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37079E7CCB5967D/Documents/Etudes/Ecole_ingenieur_Phelma/2A/Projet_2A_ZIGBEE/Spec_projet/"/>
    </mc:Choice>
  </mc:AlternateContent>
  <xr:revisionPtr revIDLastSave="2403" documentId="11_7D4755BF84DCCE13E97046798E31F45B5A712953" xr6:coauthVersionLast="47" xr6:coauthVersionMax="47" xr10:uidLastSave="{B497CC9F-84D6-4270-A2FC-C58BA5F38772}"/>
  <bookViews>
    <workbookView xWindow="28680" yWindow="-120" windowWidth="29040" windowHeight="15720" firstSheet="3" activeTab="9" xr2:uid="{00000000-000D-0000-FFFF-FFFF00000000}"/>
  </bookViews>
  <sheets>
    <sheet name="Spec générale" sheetId="1" state="hidden" r:id="rId1"/>
    <sheet name="Spec_Systeme" sheetId="3" r:id="rId2"/>
    <sheet name="Marges" sheetId="9" r:id="rId3"/>
    <sheet name="Calculs_Distances" sheetId="6" r:id="rId4"/>
    <sheet name="Spec_Valides" sheetId="4" r:id="rId5"/>
    <sheet name="Marges_officelle" sheetId="10" r:id="rId6"/>
    <sheet name="Calcul LNA 2" sheetId="7" r:id="rId7"/>
    <sheet name="PLL" sheetId="5" r:id="rId8"/>
    <sheet name="Chainage" sheetId="11" r:id="rId9"/>
    <sheet name="Feuil1" sheetId="12" r:id="rId10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2" l="1"/>
  <c r="K13" i="12"/>
  <c r="K12" i="12"/>
  <c r="K11" i="12"/>
  <c r="L14" i="12"/>
  <c r="L13" i="12"/>
  <c r="L12" i="12"/>
  <c r="L11" i="12"/>
  <c r="L10" i="12"/>
  <c r="K10" i="12"/>
  <c r="L9" i="12"/>
  <c r="K9" i="12"/>
  <c r="B35" i="11"/>
  <c r="B33" i="11"/>
  <c r="K25" i="11"/>
  <c r="F22" i="11"/>
  <c r="B22" i="11"/>
  <c r="F20" i="11"/>
  <c r="B20" i="11"/>
  <c r="K19" i="11"/>
  <c r="F9" i="11"/>
  <c r="B9" i="11"/>
  <c r="F7" i="11"/>
  <c r="B7" i="11"/>
  <c r="J12" i="5"/>
  <c r="B13" i="5"/>
  <c r="B17" i="5"/>
  <c r="B18" i="5"/>
  <c r="B9" i="10"/>
  <c r="B6" i="5"/>
  <c r="G37" i="5"/>
  <c r="K25" i="10"/>
  <c r="F22" i="10"/>
  <c r="F20" i="10"/>
  <c r="F9" i="10"/>
  <c r="F7" i="10"/>
  <c r="K19" i="10"/>
  <c r="B15" i="9"/>
  <c r="B22" i="10"/>
  <c r="N27" i="10"/>
  <c r="N28" i="10" s="1"/>
  <c r="K17" i="11" l="1"/>
  <c r="K18" i="11" s="1"/>
  <c r="N31" i="11"/>
  <c r="N23" i="11"/>
  <c r="N20" i="11"/>
  <c r="N27" i="11"/>
  <c r="N29" i="10"/>
  <c r="N30" i="10" s="1"/>
  <c r="H9" i="9"/>
  <c r="B35" i="10"/>
  <c r="B33" i="10"/>
  <c r="B7" i="10"/>
  <c r="B20" i="10"/>
  <c r="G30" i="9"/>
  <c r="G29" i="9"/>
  <c r="B33" i="9" s="1"/>
  <c r="E30" i="9"/>
  <c r="F30" i="9" s="1"/>
  <c r="C30" i="9"/>
  <c r="E29" i="9"/>
  <c r="F29" i="9" s="1"/>
  <c r="C29" i="9"/>
  <c r="H13" i="9"/>
  <c r="E10" i="9"/>
  <c r="B10" i="9"/>
  <c r="E9" i="9"/>
  <c r="B9" i="9"/>
  <c r="H8" i="9"/>
  <c r="E8" i="9"/>
  <c r="B8" i="9"/>
  <c r="D9" i="4"/>
  <c r="J7" i="7"/>
  <c r="J4" i="7"/>
  <c r="B11" i="7"/>
  <c r="B13" i="4"/>
  <c r="B14" i="4"/>
  <c r="B23" i="4" s="1"/>
  <c r="G9" i="4"/>
  <c r="D6" i="7"/>
  <c r="D5" i="7"/>
  <c r="B9" i="7" s="1"/>
  <c r="B5" i="7"/>
  <c r="F7" i="6"/>
  <c r="F6" i="6"/>
  <c r="F8" i="6"/>
  <c r="D25" i="7"/>
  <c r="C25" i="7"/>
  <c r="D54" i="3"/>
  <c r="F26" i="7"/>
  <c r="D26" i="7"/>
  <c r="E26" i="7" s="1"/>
  <c r="C26" i="7"/>
  <c r="F25" i="7"/>
  <c r="E25" i="7"/>
  <c r="B28" i="7"/>
  <c r="D7" i="7"/>
  <c r="B7" i="7"/>
  <c r="B6" i="7"/>
  <c r="F44" i="3"/>
  <c r="D53" i="3" s="1"/>
  <c r="C8" i="6"/>
  <c r="K15" i="6"/>
  <c r="M15" i="6" s="1"/>
  <c r="G13" i="4"/>
  <c r="B9" i="4"/>
  <c r="D24" i="4" s="1"/>
  <c r="C11" i="6"/>
  <c r="E15" i="6" s="1"/>
  <c r="C6" i="6"/>
  <c r="B3" i="5"/>
  <c r="G3" i="5"/>
  <c r="F4" i="5"/>
  <c r="G4" i="5"/>
  <c r="I4" i="5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F5" i="5"/>
  <c r="F6" i="5" s="1"/>
  <c r="G5" i="5"/>
  <c r="B11" i="5"/>
  <c r="N29" i="11" l="1"/>
  <c r="N30" i="11" s="1"/>
  <c r="N32" i="11" s="1"/>
  <c r="N28" i="11"/>
  <c r="N21" i="11" s="1"/>
  <c r="K33" i="11"/>
  <c r="N25" i="11" s="1"/>
  <c r="N24" i="11"/>
  <c r="B23" i="11"/>
  <c r="N19" i="11"/>
  <c r="B10" i="11"/>
  <c r="K17" i="10"/>
  <c r="K18" i="10" s="1"/>
  <c r="N23" i="10" s="1"/>
  <c r="N19" i="10" s="1"/>
  <c r="B13" i="9"/>
  <c r="B14" i="9" s="1"/>
  <c r="B37" i="9" s="1"/>
  <c r="B35" i="9"/>
  <c r="B30" i="7"/>
  <c r="B29" i="7"/>
  <c r="B31" i="7" s="1"/>
  <c r="D49" i="3"/>
  <c r="C12" i="6"/>
  <c r="F17" i="6" s="1"/>
  <c r="G8" i="4"/>
  <c r="F9" i="6"/>
  <c r="E17" i="6"/>
  <c r="G6" i="5"/>
  <c r="F7" i="5"/>
  <c r="B12" i="5"/>
  <c r="B16" i="5"/>
  <c r="K32" i="11" l="1"/>
  <c r="N26" i="11" s="1"/>
  <c r="N22" i="11"/>
  <c r="B25" i="11" s="1"/>
  <c r="B12" i="11"/>
  <c r="K33" i="10"/>
  <c r="N25" i="10" s="1"/>
  <c r="N31" i="10"/>
  <c r="N32" i="10" s="1"/>
  <c r="N20" i="10"/>
  <c r="N21" i="10" s="1"/>
  <c r="B34" i="9"/>
  <c r="B36" i="9" s="1"/>
  <c r="B38" i="9" s="1"/>
  <c r="B23" i="9"/>
  <c r="F14" i="9" s="1"/>
  <c r="H14" i="9" s="1"/>
  <c r="G8" i="9" s="1"/>
  <c r="E24" i="9"/>
  <c r="F15" i="6"/>
  <c r="G7" i="5"/>
  <c r="F8" i="5"/>
  <c r="K32" i="10" l="1"/>
  <c r="N26" i="10" s="1"/>
  <c r="N22" i="10"/>
  <c r="B25" i="10" s="1"/>
  <c r="B12" i="10"/>
  <c r="B10" i="10"/>
  <c r="B23" i="10"/>
  <c r="N24" i="10"/>
  <c r="G9" i="9"/>
  <c r="F9" i="5"/>
  <c r="G8" i="5"/>
  <c r="B15" i="5"/>
  <c r="F10" i="5" l="1"/>
  <c r="G9" i="5"/>
  <c r="F11" i="5" l="1"/>
  <c r="G10" i="5"/>
  <c r="G11" i="5" l="1"/>
  <c r="F12" i="5"/>
  <c r="G12" i="5" l="1"/>
  <c r="F14" i="5" l="1"/>
  <c r="G13" i="5"/>
  <c r="G14" i="5" l="1"/>
  <c r="F15" i="5"/>
  <c r="F16" i="5" l="1"/>
  <c r="G15" i="5"/>
  <c r="F17" i="5" l="1"/>
  <c r="G16" i="5"/>
  <c r="F18" i="5" l="1"/>
  <c r="G17" i="5"/>
  <c r="G18" i="5" l="1"/>
  <c r="F19" i="5"/>
  <c r="F20" i="5" l="1"/>
  <c r="G19" i="5"/>
  <c r="G20" i="5" l="1"/>
  <c r="F21" i="5"/>
  <c r="F22" i="5" l="1"/>
  <c r="G21" i="5"/>
  <c r="G22" i="5" l="1"/>
  <c r="F23" i="5"/>
  <c r="G23" i="5" l="1"/>
  <c r="F24" i="5"/>
  <c r="J32" i="5" l="1"/>
  <c r="K12" i="5"/>
  <c r="F25" i="5"/>
  <c r="G24" i="5"/>
  <c r="J24" i="5"/>
  <c r="K24" i="5" s="1"/>
  <c r="L24" i="5" s="1"/>
  <c r="J26" i="5"/>
  <c r="K26" i="5" s="1"/>
  <c r="L26" i="5" s="1"/>
  <c r="J31" i="5"/>
  <c r="K31" i="5" s="1"/>
  <c r="L31" i="5" s="1"/>
  <c r="J25" i="5"/>
  <c r="K25" i="5" s="1"/>
  <c r="L25" i="5" s="1"/>
  <c r="J28" i="5"/>
  <c r="K28" i="5" s="1"/>
  <c r="L28" i="5" s="1"/>
  <c r="J30" i="5"/>
  <c r="K30" i="5" s="1"/>
  <c r="L30" i="5" s="1"/>
  <c r="J11" i="5"/>
  <c r="K11" i="5" s="1"/>
  <c r="L11" i="5" s="1"/>
  <c r="J29" i="5"/>
  <c r="K29" i="5" s="1"/>
  <c r="L29" i="5" s="1"/>
  <c r="J21" i="5"/>
  <c r="K21" i="5" s="1"/>
  <c r="L21" i="5" s="1"/>
  <c r="J6" i="5"/>
  <c r="K6" i="5" s="1"/>
  <c r="L6" i="5" s="1"/>
  <c r="J4" i="5"/>
  <c r="K4" i="5" s="1"/>
  <c r="L4" i="5" s="1"/>
  <c r="J23" i="5"/>
  <c r="K23" i="5" s="1"/>
  <c r="L23" i="5" s="1"/>
  <c r="J22" i="5"/>
  <c r="K22" i="5" s="1"/>
  <c r="L22" i="5" s="1"/>
  <c r="J15" i="5"/>
  <c r="K15" i="5" s="1"/>
  <c r="L15" i="5" s="1"/>
  <c r="K32" i="5"/>
  <c r="L32" i="5" s="1"/>
  <c r="J16" i="5"/>
  <c r="K16" i="5" s="1"/>
  <c r="L16" i="5" s="1"/>
  <c r="J18" i="5"/>
  <c r="K18" i="5" s="1"/>
  <c r="L18" i="5" s="1"/>
  <c r="J14" i="5"/>
  <c r="K14" i="5" s="1"/>
  <c r="L14" i="5" s="1"/>
  <c r="J13" i="5"/>
  <c r="K13" i="5" s="1"/>
  <c r="L13" i="5" s="1"/>
  <c r="J3" i="5"/>
  <c r="K3" i="5" s="1"/>
  <c r="L3" i="5" s="1"/>
  <c r="J10" i="5"/>
  <c r="K10" i="5" s="1"/>
  <c r="L10" i="5" s="1"/>
  <c r="J20" i="5"/>
  <c r="K20" i="5" s="1"/>
  <c r="L20" i="5" s="1"/>
  <c r="J19" i="5"/>
  <c r="K19" i="5" s="1"/>
  <c r="L19" i="5" s="1"/>
  <c r="J7" i="5"/>
  <c r="K7" i="5" s="1"/>
  <c r="L7" i="5" s="1"/>
  <c r="L12" i="5"/>
  <c r="J5" i="5"/>
  <c r="K5" i="5" s="1"/>
  <c r="L5" i="5" s="1"/>
  <c r="J17" i="5"/>
  <c r="K17" i="5" s="1"/>
  <c r="L17" i="5" s="1"/>
  <c r="J9" i="5"/>
  <c r="K9" i="5" s="1"/>
  <c r="L9" i="5" s="1"/>
  <c r="J8" i="5"/>
  <c r="K8" i="5" s="1"/>
  <c r="L8" i="5" s="1"/>
  <c r="J27" i="5"/>
  <c r="K27" i="5" s="1"/>
  <c r="L27" i="5" s="1"/>
  <c r="F26" i="5" l="1"/>
  <c r="G25" i="5"/>
  <c r="G26" i="5" l="1"/>
  <c r="F27" i="5"/>
  <c r="G27" i="5" l="1"/>
  <c r="F28" i="5"/>
  <c r="F29" i="5" l="1"/>
  <c r="G28" i="5"/>
  <c r="F30" i="5" l="1"/>
  <c r="G29" i="5"/>
  <c r="F31" i="5" l="1"/>
  <c r="G30" i="5"/>
  <c r="G31" i="5" l="1"/>
  <c r="F32" i="5"/>
  <c r="G32" i="5" s="1"/>
  <c r="F30" i="4" l="1"/>
  <c r="D30" i="4"/>
  <c r="E30" i="4" s="1"/>
  <c r="C30" i="4"/>
  <c r="F29" i="4"/>
  <c r="D29" i="4"/>
  <c r="E29" i="4" s="1"/>
  <c r="C29" i="4"/>
  <c r="B15" i="4"/>
  <c r="D10" i="4"/>
  <c r="B10" i="4"/>
  <c r="D8" i="4"/>
  <c r="B8" i="4"/>
  <c r="F30" i="3"/>
  <c r="D30" i="3"/>
  <c r="E30" i="3" s="1"/>
  <c r="C30" i="3"/>
  <c r="F29" i="3"/>
  <c r="D29" i="3"/>
  <c r="E29" i="3" s="1"/>
  <c r="C29" i="3"/>
  <c r="B33" i="3" s="1"/>
  <c r="B15" i="3"/>
  <c r="D10" i="3"/>
  <c r="B10" i="3"/>
  <c r="D9" i="3"/>
  <c r="B9" i="3"/>
  <c r="D8" i="3"/>
  <c r="B8" i="3"/>
  <c r="B13" i="3" l="1"/>
  <c r="B14" i="3" s="1"/>
  <c r="B37" i="3" s="1"/>
  <c r="B33" i="4"/>
  <c r="B35" i="4" s="1"/>
  <c r="B37" i="4"/>
  <c r="B35" i="3"/>
  <c r="B34" i="3"/>
  <c r="B36" i="3" s="1"/>
  <c r="B38" i="3" l="1"/>
  <c r="B23" i="3"/>
  <c r="B34" i="4"/>
  <c r="B36" i="4" s="1"/>
  <c r="B38" i="4" s="1"/>
  <c r="E14" i="4"/>
  <c r="G14" i="4" s="1"/>
  <c r="F9" i="4" s="1"/>
  <c r="F8" i="4" l="1"/>
  <c r="B10" i="7"/>
  <c r="E16" i="7" l="1"/>
  <c r="E9" i="7" s="1"/>
  <c r="E11" i="7" s="1"/>
  <c r="B19" i="7"/>
  <c r="E10" i="7" s="1"/>
  <c r="J13" i="7"/>
  <c r="J14" i="7" s="1"/>
  <c r="E12" i="7"/>
  <c r="G5" i="7"/>
  <c r="G6" i="7"/>
  <c r="B32" i="7"/>
  <c r="B33" i="7" s="1"/>
  <c r="F5" i="7" l="1"/>
  <c r="F6" i="7"/>
  <c r="J11" i="7"/>
  <c r="J12" i="7" s="1"/>
</calcChain>
</file>

<file path=xl/sharedStrings.xml><?xml version="1.0" encoding="utf-8"?>
<sst xmlns="http://schemas.openxmlformats.org/spreadsheetml/2006/main" count="502" uniqueCount="176">
  <si>
    <t>Spec générale du Récepteur</t>
  </si>
  <si>
    <t>Canal</t>
  </si>
  <si>
    <t>Bw (kHz)</t>
  </si>
  <si>
    <t>SNRreq (dB)</t>
  </si>
  <si>
    <t>EVM (%)</t>
  </si>
  <si>
    <t>NF  (dB)</t>
  </si>
  <si>
    <t>G  (dB)</t>
  </si>
  <si>
    <t>Sensibilité (dBm)</t>
  </si>
  <si>
    <t>IIP3 (mW)</t>
  </si>
  <si>
    <t>Puissance Bruit sortie(dBm)</t>
  </si>
  <si>
    <t>SFDR (dB)</t>
  </si>
  <si>
    <t>Valeur attendue</t>
  </si>
  <si>
    <t>fRF=2.410 GHz (n°2)</t>
  </si>
  <si>
    <t>Variation autorisée</t>
  </si>
  <si>
    <t>Spec LNA</t>
  </si>
  <si>
    <t>Consommation</t>
  </si>
  <si>
    <t>CMRR</t>
  </si>
  <si>
    <t>2,5 ou 5</t>
  </si>
  <si>
    <t>20dB</t>
  </si>
  <si>
    <t>BAS :) 5mA ?</t>
  </si>
  <si>
    <t>Spec Mixer</t>
  </si>
  <si>
    <t>Spec PLL</t>
  </si>
  <si>
    <t>MP (°)</t>
  </si>
  <si>
    <t xml:space="preserve">Fquartz </t>
  </si>
  <si>
    <t>Fc</t>
  </si>
  <si>
    <t>Diviseur N</t>
  </si>
  <si>
    <t>Diviseur M</t>
  </si>
  <si>
    <t>Courant I0</t>
  </si>
  <si>
    <t>Gain VCO [MHz/V]</t>
  </si>
  <si>
    <t>Ko</t>
  </si>
  <si>
    <t>10MHz</t>
  </si>
  <si>
    <t>500KHz</t>
  </si>
  <si>
    <t>~100mA</t>
  </si>
  <si>
    <t>SENSIBILITE ET IIP3 DU RECEPTEUR ZIGBEE</t>
  </si>
  <si>
    <t>GAIN ET FACTEUR DE BRUIT DU RECEPTEUR ZIGBEE</t>
  </si>
  <si>
    <t>Element</t>
  </si>
  <si>
    <t>NF</t>
  </si>
  <si>
    <t>NF (dB)</t>
  </si>
  <si>
    <t>Gain linéaire en puissance</t>
  </si>
  <si>
    <t>Gain (dB)</t>
  </si>
  <si>
    <t>LNA</t>
  </si>
  <si>
    <t>mélangeur</t>
  </si>
  <si>
    <t xml:space="preserve">filtre IF </t>
  </si>
  <si>
    <t>NF (formule de FRIIS en LINEAIRE)</t>
  </si>
  <si>
    <t>NF FRIIS (dB)</t>
  </si>
  <si>
    <t>Gain récepteur (dB)</t>
  </si>
  <si>
    <t>SENSIBILITE DU RECEPTEUR ZIGBEE</t>
  </si>
  <si>
    <t>SNR requis (dB)</t>
  </si>
  <si>
    <t>thermal noise(dBm/Hz)</t>
  </si>
  <si>
    <t>bandwidth</t>
  </si>
  <si>
    <t>Sensibilité  (dBm)</t>
  </si>
  <si>
    <t>NON-LINEARITE DU RECEPTEUR ZIGBEE</t>
  </si>
  <si>
    <t>IIP3 (dBm)</t>
  </si>
  <si>
    <t>OIP3 (dBm)</t>
  </si>
  <si>
    <t>OIP3 (mW)</t>
  </si>
  <si>
    <t>Gain (linéaire en puissance)</t>
  </si>
  <si>
    <t>IIP3 récepteur (mW)</t>
  </si>
  <si>
    <t>OIP3 récepteur (mW)</t>
  </si>
  <si>
    <t>IIP3 récepteur (dBm)</t>
  </si>
  <si>
    <t>OIP3 récepteur (dBm)</t>
  </si>
  <si>
    <t>Puissance de bruit en sortie du récepteur (dBm) dans 1 Hz</t>
  </si>
  <si>
    <t>atténuation (dB)</t>
  </si>
  <si>
    <t>c (m/s)</t>
  </si>
  <si>
    <t>f (Hz)</t>
  </si>
  <si>
    <t>n</t>
  </si>
  <si>
    <t>FM</t>
  </si>
  <si>
    <t>Free Space</t>
  </si>
  <si>
    <t>dmax (m)</t>
  </si>
  <si>
    <t>dmin (m)</t>
  </si>
  <si>
    <t>One Slope</t>
  </si>
  <si>
    <t xml:space="preserve"> </t>
  </si>
  <si>
    <t>!!!!!!!!!!!!</t>
  </si>
  <si>
    <t>Sensibilité --&gt;NF LNA (limitant) 
SFDR --&gt; NF mixer  + NF LNA (limitant) + Gains (avec un petit peu plus de marges)
Si SFDR dégradé --&gt; Puissance des bloqueurs entraine plus de non linéarité et dégrade le SNR.
--&gt; DONC bloqueurs doivent être moins puissant</t>
  </si>
  <si>
    <r>
      <t>V</t>
    </r>
    <r>
      <rPr>
        <vertAlign val="subscript"/>
        <sz val="11"/>
        <color theme="1"/>
        <rFont val="Aptos Narrow"/>
        <family val="2"/>
        <scheme val="minor"/>
      </rPr>
      <t>in,min</t>
    </r>
    <r>
      <rPr>
        <sz val="11"/>
        <color theme="1"/>
        <rFont val="Aptos Narrow"/>
        <family val="2"/>
        <scheme val="minor"/>
      </rPr>
      <t xml:space="preserve"> (V</t>
    </r>
    <r>
      <rPr>
        <vertAlign val="subscript"/>
        <sz val="11"/>
        <color theme="1"/>
        <rFont val="Aptos Narrow"/>
        <family val="2"/>
        <scheme val="minor"/>
      </rPr>
      <t>rms</t>
    </r>
    <r>
      <rPr>
        <sz val="11"/>
        <color theme="1"/>
        <rFont val="Aptos Narrow"/>
        <family val="2"/>
        <scheme val="minor"/>
      </rPr>
      <t>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</si>
  <si>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in,max</t>
    </r>
    <r>
      <rPr>
        <sz val="11"/>
        <color theme="1"/>
        <rFont val="Aptos Narrow"/>
        <family val="2"/>
        <scheme val="minor"/>
      </rPr>
      <t xml:space="preserve"> (V</t>
    </r>
    <r>
      <rPr>
        <vertAlign val="subscript"/>
        <sz val="11"/>
        <color theme="1"/>
        <rFont val="Aptos Narrow"/>
        <family val="2"/>
        <scheme val="minor"/>
      </rPr>
      <t>rms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</si>
  <si>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ptos Narrow"/>
        <family val="2"/>
        <scheme val="minor"/>
      </rPr>
      <t>Gain (dB)</t>
    </r>
  </si>
  <si>
    <t>filtre IF (idéal)</t>
  </si>
  <si>
    <r>
      <rPr>
        <sz val="11"/>
        <color theme="1"/>
        <rFont val="Symbol"/>
        <family val="1"/>
        <charset val="2"/>
      </rPr>
      <t>D</t>
    </r>
    <r>
      <rPr>
        <sz val="12.65"/>
        <color theme="1"/>
        <rFont val="Aptos Narrow"/>
        <family val="2"/>
      </rPr>
      <t xml:space="preserve"> (dBm)</t>
    </r>
  </si>
  <si>
    <r>
      <t>P</t>
    </r>
    <r>
      <rPr>
        <vertAlign val="subscript"/>
        <sz val="10"/>
        <color theme="1"/>
        <rFont val="Aptos Narrow"/>
        <family val="2"/>
        <scheme val="minor"/>
      </rPr>
      <t>Si,MAX</t>
    </r>
    <r>
      <rPr>
        <sz val="10"/>
        <color theme="1"/>
        <rFont val="Aptos Narrow"/>
        <family val="2"/>
        <scheme val="minor"/>
      </rPr>
      <t xml:space="preserve"> (dBm)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</si>
  <si>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Si,max</t>
    </r>
    <r>
      <rPr>
        <sz val="11"/>
        <color theme="1"/>
        <rFont val="Aptos Narrow"/>
        <family val="2"/>
        <scheme val="minor"/>
      </rPr>
      <t xml:space="preserve"> (W)</t>
    </r>
  </si>
  <si>
    <r>
      <t>P</t>
    </r>
    <r>
      <rPr>
        <vertAlign val="subscript"/>
        <sz val="10"/>
        <color theme="1"/>
        <rFont val="Aptos Narrow"/>
        <family val="2"/>
        <scheme val="minor"/>
      </rPr>
      <t>Si,MIN</t>
    </r>
    <r>
      <rPr>
        <sz val="10"/>
        <color theme="1"/>
        <rFont val="Aptos Narrow"/>
        <family val="2"/>
        <scheme val="minor"/>
      </rPr>
      <t xml:space="preserve"> (dBm)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</si>
  <si>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Si,min</t>
    </r>
    <r>
      <rPr>
        <sz val="11"/>
        <color theme="1"/>
        <rFont val="Aptos Narrow"/>
        <family val="2"/>
        <scheme val="minor"/>
      </rPr>
      <t xml:space="preserve"> (W)</t>
    </r>
  </si>
  <si>
    <t>2 dB</t>
  </si>
  <si>
    <r>
      <t>P</t>
    </r>
    <r>
      <rPr>
        <vertAlign val="subscript"/>
        <sz val="11"/>
        <color theme="1"/>
        <rFont val="Aptos Narrow"/>
        <family val="2"/>
        <scheme val="minor"/>
      </rPr>
      <t>NFi</t>
    </r>
    <r>
      <rPr>
        <sz val="11"/>
        <color theme="1"/>
        <rFont val="Aptos Narrow"/>
        <family val="2"/>
        <scheme val="minor"/>
      </rPr>
      <t xml:space="preserve"> (dBm)</t>
    </r>
  </si>
  <si>
    <r>
      <t>d</t>
    </r>
    <r>
      <rPr>
        <vertAlign val="subscript"/>
        <sz val="11"/>
        <color theme="1"/>
        <rFont val="Aptos Narrow"/>
        <family val="2"/>
        <scheme val="minor"/>
      </rPr>
      <t>max</t>
    </r>
    <r>
      <rPr>
        <sz val="11"/>
        <color theme="1"/>
        <rFont val="Aptos Narrow"/>
        <family val="2"/>
        <scheme val="minor"/>
      </rPr>
      <t xml:space="preserve"> (m)</t>
    </r>
  </si>
  <si>
    <t>Paramètres</t>
  </si>
  <si>
    <t>Calculs</t>
  </si>
  <si>
    <r>
      <t>F</t>
    </r>
    <r>
      <rPr>
        <vertAlign val="subscript"/>
        <sz val="10"/>
        <color theme="1"/>
        <rFont val="Aptos Narrow"/>
        <family val="2"/>
        <scheme val="minor"/>
      </rPr>
      <t>OL</t>
    </r>
    <r>
      <rPr>
        <sz val="10"/>
        <color theme="1"/>
        <rFont val="Aptos Narrow"/>
        <family val="2"/>
        <scheme val="minor"/>
      </rPr>
      <t xml:space="preserve"> (Hz)</t>
    </r>
  </si>
  <si>
    <t>Atténuation min (dB)</t>
  </si>
  <si>
    <r>
      <t>P</t>
    </r>
    <r>
      <rPr>
        <vertAlign val="subscript"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 xml:space="preserve"> (dBm)</t>
    </r>
  </si>
  <si>
    <r>
      <t>D</t>
    </r>
    <r>
      <rPr>
        <vertAlign val="subscript"/>
        <sz val="10"/>
        <color theme="1"/>
        <rFont val="Aptos Narrow"/>
        <family val="2"/>
        <scheme val="minor"/>
      </rPr>
      <t>min</t>
    </r>
    <r>
      <rPr>
        <sz val="10"/>
        <color theme="1"/>
        <rFont val="Aptos Narrow"/>
        <family val="2"/>
        <scheme val="minor"/>
      </rPr>
      <t xml:space="preserve"> (m)</t>
    </r>
  </si>
  <si>
    <t>Atténuation max (dB)</t>
  </si>
  <si>
    <r>
      <t>D</t>
    </r>
    <r>
      <rPr>
        <vertAlign val="subscript"/>
        <sz val="10"/>
        <color theme="1"/>
        <rFont val="Aptos Narrow"/>
        <family val="2"/>
        <scheme val="minor"/>
      </rPr>
      <t>max</t>
    </r>
    <r>
      <rPr>
        <sz val="10"/>
        <color theme="1"/>
        <rFont val="Aptos Narrow"/>
        <family val="2"/>
        <scheme val="minor"/>
      </rPr>
      <t xml:space="preserve"> (m)</t>
    </r>
  </si>
  <si>
    <t>FM (dB)</t>
  </si>
  <si>
    <r>
      <t>V</t>
    </r>
    <r>
      <rPr>
        <vertAlign val="subscript"/>
        <sz val="11"/>
        <color theme="1"/>
        <rFont val="Aptos Narrow"/>
        <family val="2"/>
        <scheme val="minor"/>
      </rPr>
      <t>in,min,LNA</t>
    </r>
    <r>
      <rPr>
        <sz val="11"/>
        <color theme="1"/>
        <rFont val="Aptos Narrow"/>
        <family val="2"/>
        <scheme val="minor"/>
      </rPr>
      <t xml:space="preserve"> (V</t>
    </r>
    <r>
      <rPr>
        <vertAlign val="subscript"/>
        <sz val="11"/>
        <color theme="1"/>
        <rFont val="Aptos Narrow"/>
        <family val="2"/>
        <scheme val="minor"/>
      </rPr>
      <t>rms</t>
    </r>
    <r>
      <rPr>
        <sz val="11"/>
        <color theme="1"/>
        <rFont val="Aptos Narrow"/>
        <family val="2"/>
        <scheme val="minor"/>
      </rPr>
      <t>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</si>
  <si>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in,max,LNA</t>
    </r>
    <r>
      <rPr>
        <sz val="11"/>
        <color theme="1"/>
        <rFont val="Aptos Narrow"/>
        <family val="2"/>
        <scheme val="minor"/>
      </rPr>
      <t xml:space="preserve"> (V</t>
    </r>
    <r>
      <rPr>
        <vertAlign val="subscript"/>
        <sz val="11"/>
        <color theme="1"/>
        <rFont val="Aptos Narrow"/>
        <family val="2"/>
        <scheme val="minor"/>
      </rPr>
      <t>rms</t>
    </r>
    <r>
      <rPr>
        <sz val="11"/>
        <color theme="1"/>
        <rFont val="Aptos Narrow"/>
        <family val="2"/>
        <scheme val="minor"/>
      </rPr>
      <t>)</t>
    </r>
  </si>
  <si>
    <t>constante (dBm)</t>
  </si>
  <si>
    <r>
      <t>BW</t>
    </r>
    <r>
      <rPr>
        <vertAlign val="subscript"/>
        <sz val="11"/>
        <color theme="1"/>
        <rFont val="Aptos Narrow"/>
        <family val="2"/>
        <scheme val="minor"/>
      </rPr>
      <t>RF</t>
    </r>
    <r>
      <rPr>
        <sz val="11"/>
        <color theme="1"/>
        <rFont val="Aptos Narrow"/>
        <family val="2"/>
        <scheme val="minor"/>
      </rPr>
      <t xml:space="preserve"> (Hz)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</si>
  <si>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si,max</t>
    </r>
    <r>
      <rPr>
        <sz val="11"/>
        <color theme="1"/>
        <rFont val="Aptos Narrow"/>
        <family val="2"/>
        <scheme val="minor"/>
      </rPr>
      <t xml:space="preserve"> (dBm)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</si>
  <si>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in,min,MIXER</t>
    </r>
    <r>
      <rPr>
        <sz val="11"/>
        <color theme="1"/>
        <rFont val="Aptos Narrow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</si>
  <si>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in,max,MIXER</t>
    </r>
    <r>
      <rPr>
        <sz val="11"/>
        <color theme="1"/>
        <rFont val="Aptos Narrow"/>
        <family val="2"/>
        <scheme val="minor"/>
      </rPr>
      <t xml:space="preserve"> (V)</t>
    </r>
  </si>
  <si>
    <t>MARGES des Specifications</t>
  </si>
  <si>
    <t xml:space="preserve">Paramètres critiques à surveiller </t>
  </si>
  <si>
    <t>Paramètres variables</t>
  </si>
  <si>
    <t>Paramètres critiques</t>
  </si>
  <si>
    <t>Nom</t>
  </si>
  <si>
    <t>valeur</t>
  </si>
  <si>
    <t>Marge</t>
  </si>
  <si>
    <t>Unité</t>
  </si>
  <si>
    <t>NF(dB)</t>
  </si>
  <si>
    <t>dB</t>
  </si>
  <si>
    <t>OIP3(dB)</t>
  </si>
  <si>
    <t>NF(linéaire)</t>
  </si>
  <si>
    <t>Linéaire</t>
  </si>
  <si>
    <t>OIP3 (linéaire)</t>
  </si>
  <si>
    <t>IIP3(dB)</t>
  </si>
  <si>
    <t>Gain(linéaire)</t>
  </si>
  <si>
    <t>IIP3 (linéaire)</t>
  </si>
  <si>
    <r>
      <t>V</t>
    </r>
    <r>
      <rPr>
        <vertAlign val="subscript"/>
        <sz val="11"/>
        <color theme="1"/>
        <rFont val="Aptos Narrow"/>
        <family val="2"/>
        <scheme val="minor"/>
      </rPr>
      <t>in,min</t>
    </r>
  </si>
  <si>
    <t>V(rms)</t>
  </si>
  <si>
    <t>W</t>
  </si>
  <si>
    <r>
      <t>V</t>
    </r>
    <r>
      <rPr>
        <vertAlign val="subscript"/>
        <sz val="11"/>
        <color theme="1"/>
        <rFont val="Aptos Narrow"/>
        <family val="2"/>
        <scheme val="minor"/>
      </rPr>
      <t>in,max</t>
    </r>
  </si>
  <si>
    <t>Système global</t>
  </si>
  <si>
    <t>Paramètres critique</t>
  </si>
  <si>
    <t>Mélangeur</t>
  </si>
  <si>
    <t>Noise Factor &amp; Gain</t>
  </si>
  <si>
    <r>
      <t>P</t>
    </r>
    <r>
      <rPr>
        <vertAlign val="subscript"/>
        <sz val="11"/>
        <color theme="1"/>
        <rFont val="Aptos Narrow"/>
        <family val="2"/>
        <scheme val="minor"/>
      </rPr>
      <t>Si,MAX</t>
    </r>
    <r>
      <rPr>
        <sz val="11"/>
        <color theme="1"/>
        <rFont val="Aptos Narrow"/>
        <family val="2"/>
        <scheme val="minor"/>
      </rPr>
      <t xml:space="preserve"> (dBm)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</si>
  <si>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Si,MIN</t>
    </r>
    <r>
      <rPr>
        <sz val="11"/>
        <color theme="1"/>
        <rFont val="Aptos Narrow"/>
        <family val="2"/>
        <scheme val="minor"/>
      </rPr>
      <t xml:space="preserve"> (dBm)</t>
    </r>
  </si>
  <si>
    <r>
      <t>F</t>
    </r>
    <r>
      <rPr>
        <vertAlign val="subscript"/>
        <sz val="11"/>
        <color theme="1"/>
        <rFont val="Aptos Narrow"/>
        <family val="2"/>
        <scheme val="minor"/>
      </rPr>
      <t>OL</t>
    </r>
    <r>
      <rPr>
        <sz val="11"/>
        <color theme="1"/>
        <rFont val="Aptos Narrow"/>
        <family val="2"/>
        <scheme val="minor"/>
      </rPr>
      <t xml:space="preserve"> (Hz)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</si>
  <si>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(dBm)</t>
    </r>
  </si>
  <si>
    <r>
      <t>d</t>
    </r>
    <r>
      <rPr>
        <vertAlign val="subscript"/>
        <sz val="11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(m)</t>
    </r>
  </si>
  <si>
    <t>Filtre idéal</t>
  </si>
  <si>
    <t>Atténuation (dB)</t>
  </si>
  <si>
    <r>
      <t>P</t>
    </r>
    <r>
      <rPr>
        <vertAlign val="subscript"/>
        <sz val="11"/>
        <color theme="1"/>
        <rFont val="Aptos Narrow"/>
        <family val="2"/>
        <scheme val="minor"/>
      </rPr>
      <t>sortie</t>
    </r>
    <r>
      <rPr>
        <sz val="11"/>
        <color theme="1"/>
        <rFont val="Aptos Narrow"/>
        <family val="2"/>
        <scheme val="minor"/>
      </rPr>
      <t xml:space="preserve"> (dBm) dans 1Hz</t>
    </r>
  </si>
  <si>
    <t>Min</t>
  </si>
  <si>
    <t>Max</t>
  </si>
  <si>
    <t>Gain</t>
  </si>
  <si>
    <t>Sensibilité &amp; IIP3 du recepteur</t>
  </si>
  <si>
    <t>Gain puiss (Line)</t>
  </si>
  <si>
    <r>
      <t>V</t>
    </r>
    <r>
      <rPr>
        <b/>
        <vertAlign val="subscript"/>
        <sz val="11"/>
        <color theme="1"/>
        <rFont val="Aptos Narrow"/>
        <family val="2"/>
        <scheme val="minor"/>
      </rPr>
      <t>in,min</t>
    </r>
    <r>
      <rPr>
        <b/>
        <sz val="11"/>
        <color theme="1"/>
        <rFont val="Aptos Narrow"/>
        <family val="2"/>
        <scheme val="minor"/>
      </rPr>
      <t xml:space="preserve"> (V</t>
    </r>
    <r>
      <rPr>
        <b/>
        <vertAlign val="subscript"/>
        <sz val="11"/>
        <color theme="1"/>
        <rFont val="Aptos Narrow"/>
        <family val="2"/>
        <scheme val="minor"/>
      </rPr>
      <t>rms</t>
    </r>
    <r>
      <rPr>
        <b/>
        <sz val="11"/>
        <color theme="1"/>
        <rFont val="Aptos Narrow"/>
        <family val="2"/>
        <scheme val="minor"/>
      </rPr>
      <t>)</t>
    </r>
  </si>
  <si>
    <r>
      <t>V</t>
    </r>
    <r>
      <rPr>
        <b/>
        <vertAlign val="subscript"/>
        <sz val="11"/>
        <color theme="1"/>
        <rFont val="Aptos Narrow"/>
        <family val="2"/>
        <scheme val="minor"/>
      </rPr>
      <t>in,max</t>
    </r>
    <r>
      <rPr>
        <b/>
        <sz val="11"/>
        <color theme="1"/>
        <rFont val="Aptos Narrow"/>
        <family val="2"/>
        <scheme val="minor"/>
      </rPr>
      <t xml:space="preserve"> (V</t>
    </r>
    <r>
      <rPr>
        <b/>
        <vertAlign val="subscript"/>
        <sz val="11"/>
        <color theme="1"/>
        <rFont val="Aptos Narrow"/>
        <family val="2"/>
        <scheme val="minor"/>
      </rPr>
      <t>rms</t>
    </r>
    <r>
      <rPr>
        <b/>
        <sz val="11"/>
        <color theme="1"/>
        <rFont val="Aptos Narrow"/>
        <family val="2"/>
        <scheme val="minor"/>
      </rPr>
      <t>)</t>
    </r>
  </si>
  <si>
    <r>
      <t>F</t>
    </r>
    <r>
      <rPr>
        <b/>
        <vertAlign val="subscript"/>
        <sz val="10"/>
        <color theme="1"/>
        <rFont val="Aptos Narrow"/>
        <family val="2"/>
        <scheme val="minor"/>
      </rPr>
      <t>OL</t>
    </r>
    <r>
      <rPr>
        <b/>
        <sz val="10"/>
        <color theme="1"/>
        <rFont val="Aptos Narrow"/>
        <family val="2"/>
        <scheme val="minor"/>
      </rPr>
      <t xml:space="preserve"> (Hz)</t>
    </r>
  </si>
  <si>
    <r>
      <t>P</t>
    </r>
    <r>
      <rPr>
        <b/>
        <vertAlign val="subscript"/>
        <sz val="10"/>
        <color theme="1"/>
        <rFont val="Aptos Narrow"/>
        <family val="2"/>
        <scheme val="minor"/>
      </rPr>
      <t>E</t>
    </r>
    <r>
      <rPr>
        <b/>
        <sz val="10"/>
        <color theme="1"/>
        <rFont val="Aptos Narrow"/>
        <family val="2"/>
        <scheme val="minor"/>
      </rPr>
      <t xml:space="preserve"> (dBm)</t>
    </r>
  </si>
  <si>
    <t>FM (lin)</t>
  </si>
  <si>
    <t xml:space="preserve">C (m/s) </t>
  </si>
  <si>
    <r>
      <t>P</t>
    </r>
    <r>
      <rPr>
        <b/>
        <vertAlign val="subscript"/>
        <sz val="10"/>
        <color theme="1"/>
        <rFont val="Aptos Narrow"/>
        <family val="2"/>
        <scheme val="minor"/>
      </rPr>
      <t>Si,MAX</t>
    </r>
    <r>
      <rPr>
        <b/>
        <sz val="10"/>
        <color theme="1"/>
        <rFont val="Aptos Narrow"/>
        <family val="2"/>
        <scheme val="minor"/>
      </rPr>
      <t xml:space="preserve"> (dBm)</t>
    </r>
  </si>
  <si>
    <r>
      <t>P</t>
    </r>
    <r>
      <rPr>
        <b/>
        <vertAlign val="subscript"/>
        <sz val="10"/>
        <color theme="1"/>
        <rFont val="Aptos Narrow"/>
        <family val="2"/>
        <scheme val="minor"/>
      </rPr>
      <t>Si,MIN</t>
    </r>
    <r>
      <rPr>
        <b/>
        <sz val="10"/>
        <color theme="1"/>
        <rFont val="Aptos Narrow"/>
        <family val="2"/>
        <scheme val="minor"/>
      </rPr>
      <t xml:space="preserve"> (dBm)</t>
    </r>
  </si>
  <si>
    <t>Calculs des distances</t>
  </si>
  <si>
    <r>
      <t>P</t>
    </r>
    <r>
      <rPr>
        <b/>
        <vertAlign val="subscript"/>
        <sz val="11"/>
        <color theme="1"/>
        <rFont val="Aptos Narrow"/>
        <family val="2"/>
        <scheme val="minor"/>
      </rPr>
      <t>Si,max</t>
    </r>
    <r>
      <rPr>
        <b/>
        <sz val="11"/>
        <color theme="1"/>
        <rFont val="Aptos Narrow"/>
        <family val="2"/>
        <scheme val="minor"/>
      </rPr>
      <t xml:space="preserve"> (W)</t>
    </r>
  </si>
  <si>
    <r>
      <t>P</t>
    </r>
    <r>
      <rPr>
        <b/>
        <vertAlign val="subscript"/>
        <sz val="11"/>
        <color theme="1"/>
        <rFont val="Aptos Narrow"/>
        <family val="2"/>
        <scheme val="minor"/>
      </rPr>
      <t>Si,min</t>
    </r>
    <r>
      <rPr>
        <b/>
        <sz val="11"/>
        <color theme="1"/>
        <rFont val="Aptos Narrow"/>
        <family val="2"/>
        <scheme val="minor"/>
      </rPr>
      <t xml:space="preserve"> (W)</t>
    </r>
  </si>
  <si>
    <r>
      <t>D</t>
    </r>
    <r>
      <rPr>
        <b/>
        <vertAlign val="subscript"/>
        <sz val="11"/>
        <color theme="1"/>
        <rFont val="Aptos Narrow"/>
        <family val="2"/>
        <scheme val="minor"/>
      </rPr>
      <t>min</t>
    </r>
    <r>
      <rPr>
        <b/>
        <sz val="11"/>
        <color theme="1"/>
        <rFont val="Aptos Narrow"/>
        <family val="2"/>
        <scheme val="minor"/>
      </rPr>
      <t xml:space="preserve"> (m)</t>
    </r>
  </si>
  <si>
    <r>
      <t>D</t>
    </r>
    <r>
      <rPr>
        <b/>
        <vertAlign val="subscript"/>
        <sz val="11"/>
        <color theme="1"/>
        <rFont val="Aptos Narrow"/>
        <family val="2"/>
        <scheme val="minor"/>
      </rPr>
      <t>max</t>
    </r>
    <r>
      <rPr>
        <b/>
        <sz val="11"/>
        <color theme="1"/>
        <rFont val="Aptos Narrow"/>
        <family val="2"/>
        <scheme val="minor"/>
      </rPr>
      <t xml:space="preserve"> (m)</t>
    </r>
  </si>
  <si>
    <r>
      <t>P</t>
    </r>
    <r>
      <rPr>
        <b/>
        <vertAlign val="subscript"/>
        <sz val="11"/>
        <color theme="1"/>
        <rFont val="Aptos Narrow"/>
        <family val="2"/>
        <scheme val="minor"/>
      </rPr>
      <t>NFi</t>
    </r>
    <r>
      <rPr>
        <b/>
        <sz val="11"/>
        <color theme="1"/>
        <rFont val="Aptos Narrow"/>
        <family val="2"/>
        <scheme val="minor"/>
      </rPr>
      <t xml:space="preserve"> (dBm)</t>
    </r>
  </si>
  <si>
    <r>
      <t>d</t>
    </r>
    <r>
      <rPr>
        <b/>
        <vertAlign val="subscript"/>
        <sz val="11"/>
        <color theme="1"/>
        <rFont val="Aptos Narrow"/>
        <family val="2"/>
        <scheme val="minor"/>
      </rPr>
      <t>max</t>
    </r>
    <r>
      <rPr>
        <b/>
        <sz val="11"/>
        <color theme="1"/>
        <rFont val="Aptos Narrow"/>
        <family val="2"/>
        <scheme val="minor"/>
      </rPr>
      <t xml:space="preserve"> (m)</t>
    </r>
  </si>
  <si>
    <t>Paramètres fixes</t>
  </si>
  <si>
    <t>Gain fixe à 90 MHz/V ; courant variable</t>
  </si>
  <si>
    <t>MP (rad)</t>
  </si>
  <si>
    <t>Column1</t>
  </si>
  <si>
    <t>Gain VCO[MHz/V]</t>
  </si>
  <si>
    <t>Ko/N</t>
  </si>
  <si>
    <t>C1</t>
  </si>
  <si>
    <t>C2</t>
  </si>
  <si>
    <t>R</t>
  </si>
  <si>
    <t>Fquartz [Hz]</t>
  </si>
  <si>
    <t>Fc[Hz]</t>
  </si>
  <si>
    <t>ratio de 20</t>
  </si>
  <si>
    <t>Wc</t>
  </si>
  <si>
    <t>Wp</t>
  </si>
  <si>
    <t>Wz</t>
  </si>
  <si>
    <t>Wz/Wp</t>
  </si>
  <si>
    <t>1/Wc²</t>
  </si>
  <si>
    <t>sqrt(1+(Wc/Wz)²)</t>
  </si>
  <si>
    <t>sqrt(1+(Wc/Wp)²)</t>
  </si>
  <si>
    <t>Récepteur</t>
  </si>
  <si>
    <t>Specifications</t>
  </si>
  <si>
    <t>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</si>
</sst>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E+00"/>
    <numFmt numFmtId="168" formatCode="0E+00"/>
  </numFmts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vertAlign val="subscript"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vertAlign val="subscript"/>
      <sz val="10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2.65"/>
      <color theme="1"/>
      <name val="Aptos Narrow"/>
      <family val="2"/>
    </font>
    <font>
      <sz val="11"/>
      <color theme="1"/>
      <name val="Aptos Narrow"/>
      <family val="1"/>
      <charset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1"/>
      <charset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C1F7"/>
        <bgColor indexed="64"/>
      </patternFill>
    </fill>
    <fill>
      <patternFill patternType="solid">
        <fgColor rgb="FFBDF2D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2"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4" borderId="0" xfId="0" applyFont="1" applyFill="1"/>
    <xf numFmtId="0" fontId="1" fillId="5" borderId="0" xfId="0" applyFont="1" applyFill="1"/>
    <xf numFmtId="164" fontId="0" fillId="0" borderId="1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0" xfId="0" applyNumberFormat="1"/>
    <xf numFmtId="164" fontId="1" fillId="6" borderId="1" xfId="0" applyNumberFormat="1" applyFont="1" applyFill="1" applyBorder="1"/>
    <xf numFmtId="164" fontId="1" fillId="0" borderId="0" xfId="0" applyNumberFormat="1" applyFont="1"/>
    <xf numFmtId="164" fontId="1" fillId="5" borderId="0" xfId="0" applyNumberFormat="1" applyFont="1" applyFill="1"/>
    <xf numFmtId="0" fontId="1" fillId="0" borderId="0" xfId="0" applyFont="1"/>
    <xf numFmtId="164" fontId="1" fillId="7" borderId="1" xfId="0" applyNumberFormat="1" applyFont="1" applyFill="1" applyBorder="1"/>
    <xf numFmtId="164" fontId="0" fillId="7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" fontId="0" fillId="0" borderId="16" xfId="0" applyNumberForma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13" borderId="29" xfId="0" applyFill="1" applyBorder="1" applyAlignment="1">
      <alignment horizontal="center"/>
    </xf>
    <xf numFmtId="11" fontId="0" fillId="13" borderId="29" xfId="0" applyNumberFormat="1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11" fontId="0" fillId="15" borderId="28" xfId="0" applyNumberFormat="1" applyFill="1" applyBorder="1" applyAlignment="1">
      <alignment horizontal="center" wrapText="1"/>
    </xf>
    <xf numFmtId="11" fontId="0" fillId="9" borderId="0" xfId="0" applyNumberFormat="1" applyFill="1"/>
    <xf numFmtId="11" fontId="0" fillId="9" borderId="0" xfId="0" applyNumberFormat="1" applyFill="1" applyAlignment="1">
      <alignment horizontal="center"/>
    </xf>
    <xf numFmtId="0" fontId="0" fillId="16" borderId="28" xfId="0" applyFill="1" applyBorder="1" applyAlignment="1">
      <alignment horizontal="center"/>
    </xf>
    <xf numFmtId="11" fontId="0" fillId="16" borderId="28" xfId="0" applyNumberFormat="1" applyFill="1" applyBorder="1" applyAlignment="1">
      <alignment horizontal="center"/>
    </xf>
    <xf numFmtId="164" fontId="0" fillId="6" borderId="1" xfId="0" applyNumberFormat="1" applyFill="1" applyBorder="1"/>
    <xf numFmtId="164" fontId="1" fillId="0" borderId="1" xfId="0" applyNumberFormat="1" applyFont="1" applyBorder="1"/>
    <xf numFmtId="11" fontId="0" fillId="0" borderId="1" xfId="0" applyNumberFormat="1" applyBorder="1"/>
    <xf numFmtId="1" fontId="0" fillId="6" borderId="1" xfId="0" applyNumberFormat="1" applyFill="1" applyBorder="1"/>
    <xf numFmtId="0" fontId="0" fillId="0" borderId="0" xfId="0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11" fontId="0" fillId="0" borderId="32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4" fillId="0" borderId="33" xfId="0" applyNumberFormat="1" applyFont="1" applyBorder="1" applyAlignment="1">
      <alignment horizontal="center" vertical="center"/>
    </xf>
    <xf numFmtId="164" fontId="4" fillId="6" borderId="45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67" fontId="0" fillId="6" borderId="2" xfId="0" applyNumberFormat="1" applyFill="1" applyBorder="1" applyAlignment="1">
      <alignment horizontal="center" vertical="center"/>
    </xf>
    <xf numFmtId="164" fontId="0" fillId="0" borderId="16" xfId="0" applyNumberFormat="1" applyBorder="1"/>
    <xf numFmtId="164" fontId="0" fillId="0" borderId="4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6" borderId="11" xfId="0" applyNumberFormat="1" applyFill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6" borderId="13" xfId="0" applyNumberFormat="1" applyFill="1" applyBorder="1"/>
    <xf numFmtId="164" fontId="0" fillId="6" borderId="14" xfId="0" applyNumberFormat="1" applyFill="1" applyBorder="1"/>
    <xf numFmtId="0" fontId="0" fillId="0" borderId="47" xfId="0" applyBorder="1" applyAlignment="1">
      <alignment horizontal="center" vertical="center"/>
    </xf>
    <xf numFmtId="168" fontId="0" fillId="6" borderId="11" xfId="0" applyNumberFormat="1" applyFill="1" applyBorder="1" applyAlignment="1">
      <alignment horizontal="center" vertical="center"/>
    </xf>
    <xf numFmtId="167" fontId="0" fillId="6" borderId="48" xfId="0" applyNumberFormat="1" applyFill="1" applyBorder="1" applyAlignment="1">
      <alignment horizontal="center" vertical="center"/>
    </xf>
    <xf numFmtId="168" fontId="0" fillId="6" borderId="14" xfId="0" applyNumberFormat="1" applyFill="1" applyBorder="1" applyAlignment="1">
      <alignment horizontal="center" vertical="center"/>
    </xf>
    <xf numFmtId="164" fontId="1" fillId="0" borderId="49" xfId="0" applyNumberFormat="1" applyFont="1" applyBorder="1"/>
    <xf numFmtId="164" fontId="1" fillId="6" borderId="7" xfId="0" applyNumberFormat="1" applyFont="1" applyFill="1" applyBorder="1"/>
    <xf numFmtId="164" fontId="1" fillId="6" borderId="9" xfId="0" applyNumberFormat="1" applyFont="1" applyFill="1" applyBorder="1"/>
    <xf numFmtId="164" fontId="1" fillId="6" borderId="12" xfId="0" applyNumberFormat="1" applyFont="1" applyFill="1" applyBorder="1"/>
    <xf numFmtId="164" fontId="1" fillId="6" borderId="14" xfId="0" applyNumberFormat="1" applyFont="1" applyFill="1" applyBorder="1"/>
    <xf numFmtId="164" fontId="0" fillId="0" borderId="2" xfId="0" applyNumberFormat="1" applyBorder="1"/>
    <xf numFmtId="164" fontId="0" fillId="6" borderId="10" xfId="0" applyNumberFormat="1" applyFill="1" applyBorder="1"/>
    <xf numFmtId="164" fontId="0" fillId="6" borderId="12" xfId="0" applyNumberFormat="1" applyFill="1" applyBorder="1"/>
    <xf numFmtId="164" fontId="0" fillId="0" borderId="49" xfId="0" applyNumberFormat="1" applyBorder="1"/>
    <xf numFmtId="164" fontId="0" fillId="6" borderId="16" xfId="0" applyNumberFormat="1" applyFill="1" applyBorder="1"/>
    <xf numFmtId="164" fontId="0" fillId="6" borderId="18" xfId="0" applyNumberFormat="1" applyFill="1" applyBorder="1"/>
    <xf numFmtId="1" fontId="0" fillId="6" borderId="16" xfId="0" applyNumberFormat="1" applyFill="1" applyBorder="1"/>
    <xf numFmtId="1" fontId="0" fillId="6" borderId="20" xfId="0" applyNumberFormat="1" applyFill="1" applyBorder="1"/>
    <xf numFmtId="1" fontId="0" fillId="0" borderId="1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4" fontId="1" fillId="0" borderId="7" xfId="0" applyNumberFormat="1" applyFont="1" applyBorder="1"/>
    <xf numFmtId="164" fontId="1" fillId="0" borderId="9" xfId="0" applyNumberFormat="1" applyFont="1" applyBorder="1"/>
    <xf numFmtId="164" fontId="1" fillId="6" borderId="10" xfId="0" applyNumberFormat="1" applyFont="1" applyFill="1" applyBorder="1"/>
    <xf numFmtId="164" fontId="1" fillId="6" borderId="18" xfId="0" applyNumberFormat="1" applyFont="1" applyFill="1" applyBorder="1"/>
    <xf numFmtId="164" fontId="1" fillId="6" borderId="16" xfId="0" applyNumberFormat="1" applyFont="1" applyFill="1" applyBorder="1"/>
    <xf numFmtId="164" fontId="1" fillId="0" borderId="2" xfId="0" applyNumberFormat="1" applyFont="1" applyBorder="1"/>
    <xf numFmtId="164" fontId="0" fillId="0" borderId="3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6" borderId="49" xfId="0" applyNumberFormat="1" applyFont="1" applyFill="1" applyBorder="1"/>
    <xf numFmtId="164" fontId="0" fillId="0" borderId="14" xfId="0" applyNumberFormat="1" applyBorder="1"/>
    <xf numFmtId="164" fontId="1" fillId="6" borderId="55" xfId="0" applyNumberFormat="1" applyFont="1" applyFill="1" applyBorder="1"/>
    <xf numFmtId="164" fontId="0" fillId="0" borderId="56" xfId="0" applyNumberFormat="1" applyBorder="1"/>
    <xf numFmtId="164" fontId="1" fillId="6" borderId="57" xfId="0" applyNumberFormat="1" applyFont="1" applyFill="1" applyBorder="1"/>
    <xf numFmtId="164" fontId="1" fillId="6" borderId="59" xfId="0" applyNumberFormat="1" applyFont="1" applyFill="1" applyBorder="1"/>
    <xf numFmtId="1" fontId="0" fillId="0" borderId="60" xfId="0" applyNumberFormat="1" applyBorder="1"/>
    <xf numFmtId="0" fontId="6" fillId="6" borderId="52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/>
    </xf>
    <xf numFmtId="11" fontId="0" fillId="0" borderId="61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4" fontId="0" fillId="0" borderId="52" xfId="0" applyNumberFormat="1" applyBorder="1" applyAlignment="1">
      <alignment horizontal="center" vertical="center"/>
    </xf>
    <xf numFmtId="2" fontId="0" fillId="0" borderId="51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164" fontId="0" fillId="20" borderId="1" xfId="0" applyNumberFormat="1" applyFill="1" applyBorder="1"/>
    <xf numFmtId="164" fontId="0" fillId="20" borderId="11" xfId="0" applyNumberFormat="1" applyFill="1" applyBorder="1"/>
    <xf numFmtId="164" fontId="0" fillId="0" borderId="33" xfId="0" applyNumberFormat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11" fontId="0" fillId="0" borderId="62" xfId="0" applyNumberFormat="1" applyBorder="1" applyAlignment="1">
      <alignment horizontal="center" vertical="center"/>
    </xf>
    <xf numFmtId="11" fontId="0" fillId="20" borderId="31" xfId="0" applyNumberFormat="1" applyFill="1" applyBorder="1" applyAlignment="1">
      <alignment horizontal="center" vertical="center"/>
    </xf>
    <xf numFmtId="11" fontId="0" fillId="0" borderId="53" xfId="0" applyNumberFormat="1" applyBorder="1" applyAlignment="1">
      <alignment horizontal="center" vertical="center"/>
    </xf>
    <xf numFmtId="164" fontId="0" fillId="0" borderId="61" xfId="0" applyNumberFormat="1" applyBorder="1" applyAlignment="1">
      <alignment horizontal="center" vertical="center"/>
    </xf>
    <xf numFmtId="0" fontId="0" fillId="20" borderId="61" xfId="0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50" xfId="0" applyFont="1" applyFill="1" applyBorder="1" applyAlignment="1">
      <alignment horizontal="center" vertical="center"/>
    </xf>
    <xf numFmtId="1" fontId="0" fillId="20" borderId="20" xfId="0" applyNumberFormat="1" applyFill="1" applyBorder="1"/>
    <xf numFmtId="164" fontId="0" fillId="20" borderId="2" xfId="0" applyNumberFormat="1" applyFill="1" applyBorder="1"/>
    <xf numFmtId="165" fontId="0" fillId="20" borderId="1" xfId="0" applyNumberFormat="1" applyFill="1" applyBorder="1"/>
    <xf numFmtId="1" fontId="0" fillId="20" borderId="16" xfId="0" applyNumberFormat="1" applyFill="1" applyBorder="1"/>
    <xf numFmtId="164" fontId="0" fillId="20" borderId="58" xfId="0" applyNumberFormat="1" applyFill="1" applyBorder="1"/>
    <xf numFmtId="0" fontId="1" fillId="6" borderId="41" xfId="0" applyFont="1" applyFill="1" applyBorder="1" applyAlignment="1">
      <alignment horizontal="center" vertical="center"/>
    </xf>
    <xf numFmtId="0" fontId="0" fillId="20" borderId="63" xfId="0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20" borderId="53" xfId="0" applyFill="1" applyBorder="1"/>
    <xf numFmtId="0" fontId="0" fillId="20" borderId="54" xfId="0" applyFill="1" applyBorder="1"/>
    <xf numFmtId="0" fontId="1" fillId="6" borderId="34" xfId="0" applyFont="1" applyFill="1" applyBorder="1" applyAlignment="1">
      <alignment horizontal="center"/>
    </xf>
    <xf numFmtId="0" fontId="8" fillId="0" borderId="0" xfId="0" applyFont="1"/>
    <xf numFmtId="164" fontId="0" fillId="0" borderId="66" xfId="0" applyNumberFormat="1" applyBorder="1"/>
    <xf numFmtId="164" fontId="0" fillId="0" borderId="67" xfId="0" applyNumberFormat="1" applyBorder="1"/>
    <xf numFmtId="167" fontId="0" fillId="20" borderId="67" xfId="0" applyNumberFormat="1" applyFill="1" applyBorder="1" applyAlignment="1">
      <alignment horizontal="center" vertical="center"/>
    </xf>
    <xf numFmtId="168" fontId="0" fillId="20" borderId="68" xfId="0" applyNumberFormat="1" applyFill="1" applyBorder="1" applyAlignment="1">
      <alignment horizontal="center" vertical="center"/>
    </xf>
    <xf numFmtId="164" fontId="1" fillId="0" borderId="69" xfId="0" applyNumberFormat="1" applyFont="1" applyBorder="1"/>
    <xf numFmtId="0" fontId="1" fillId="0" borderId="69" xfId="0" applyFont="1" applyBorder="1" applyAlignment="1">
      <alignment horizontal="center" vertical="center"/>
    </xf>
    <xf numFmtId="164" fontId="0" fillId="0" borderId="27" xfId="0" applyNumberFormat="1" applyBorder="1"/>
    <xf numFmtId="167" fontId="0" fillId="20" borderId="27" xfId="0" applyNumberFormat="1" applyFill="1" applyBorder="1" applyAlignment="1">
      <alignment horizontal="center" vertical="center"/>
    </xf>
    <xf numFmtId="168" fontId="0" fillId="20" borderId="27" xfId="0" applyNumberFormat="1" applyFill="1" applyBorder="1" applyAlignment="1">
      <alignment horizontal="center" vertical="center"/>
    </xf>
    <xf numFmtId="2" fontId="0" fillId="20" borderId="67" xfId="0" applyNumberFormat="1" applyFill="1" applyBorder="1"/>
    <xf numFmtId="164" fontId="0" fillId="3" borderId="1" xfId="0" applyNumberFormat="1" applyFill="1" applyBorder="1"/>
    <xf numFmtId="164" fontId="4" fillId="3" borderId="45" xfId="0" applyNumberFormat="1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64" fontId="13" fillId="16" borderId="1" xfId="0" applyNumberFormat="1" applyFont="1" applyFill="1" applyBorder="1" applyAlignment="1">
      <alignment horizontal="center"/>
    </xf>
    <xf numFmtId="164" fontId="14" fillId="16" borderId="1" xfId="0" applyNumberFormat="1" applyFont="1" applyFill="1" applyBorder="1" applyAlignment="1">
      <alignment horizontal="center"/>
    </xf>
    <xf numFmtId="164" fontId="15" fillId="16" borderId="1" xfId="0" applyNumberFormat="1" applyFont="1" applyFill="1" applyBorder="1" applyAlignment="1">
      <alignment horizontal="center"/>
    </xf>
    <xf numFmtId="164" fontId="16" fillId="16" borderId="1" xfId="0" applyNumberFormat="1" applyFont="1" applyFill="1" applyBorder="1"/>
    <xf numFmtId="164" fontId="0" fillId="16" borderId="1" xfId="0" applyNumberFormat="1" applyFill="1" applyBorder="1"/>
    <xf numFmtId="1" fontId="0" fillId="16" borderId="1" xfId="0" applyNumberFormat="1" applyFill="1" applyBorder="1"/>
    <xf numFmtId="1" fontId="0" fillId="16" borderId="20" xfId="0" applyNumberFormat="1" applyFill="1" applyBorder="1"/>
    <xf numFmtId="1" fontId="0" fillId="16" borderId="16" xfId="0" applyNumberFormat="1" applyFill="1" applyBorder="1"/>
    <xf numFmtId="0" fontId="0" fillId="0" borderId="1" xfId="0" applyBorder="1" applyAlignment="1">
      <alignment horizontal="center"/>
    </xf>
    <xf numFmtId="0" fontId="8" fillId="23" borderId="7" xfId="0" applyFont="1" applyFill="1" applyBorder="1" applyAlignment="1">
      <alignment horizontal="center"/>
    </xf>
    <xf numFmtId="0" fontId="8" fillId="23" borderId="8" xfId="0" applyFont="1" applyFill="1" applyBorder="1" applyAlignment="1">
      <alignment horizontal="center"/>
    </xf>
    <xf numFmtId="0" fontId="8" fillId="23" borderId="9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22" borderId="49" xfId="0" applyFill="1" applyBorder="1" applyAlignment="1">
      <alignment horizontal="center"/>
    </xf>
    <xf numFmtId="0" fontId="0" fillId="22" borderId="71" xfId="0" applyFill="1" applyBorder="1" applyAlignment="1">
      <alignment horizontal="center"/>
    </xf>
    <xf numFmtId="167" fontId="0" fillId="0" borderId="4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2" borderId="7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0" fontId="0" fillId="16" borderId="80" xfId="0" applyFill="1" applyBorder="1" applyAlignment="1">
      <alignment horizontal="center"/>
    </xf>
    <xf numFmtId="0" fontId="0" fillId="16" borderId="81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46" xfId="0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6" xfId="0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164" fontId="0" fillId="0" borderId="77" xfId="0" applyNumberFormat="1" applyBorder="1" applyAlignment="1">
      <alignment horizontal="center"/>
    </xf>
    <xf numFmtId="164" fontId="0" fillId="0" borderId="78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2" fontId="20" fillId="0" borderId="13" xfId="0" applyNumberFormat="1" applyFont="1" applyBorder="1" applyAlignment="1">
      <alignment horizontal="center"/>
    </xf>
    <xf numFmtId="2" fontId="0" fillId="0" borderId="2" xfId="0" applyNumberFormat="1" applyBorder="1"/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8" fillId="21" borderId="85" xfId="0" applyFont="1" applyFill="1" applyBorder="1" applyAlignment="1">
      <alignment horizontal="center"/>
    </xf>
    <xf numFmtId="0" fontId="8" fillId="21" borderId="82" xfId="0" applyFont="1" applyFill="1" applyBorder="1" applyAlignment="1">
      <alignment horizontal="center"/>
    </xf>
    <xf numFmtId="0" fontId="8" fillId="21" borderId="83" xfId="0" applyFont="1" applyFill="1" applyBorder="1" applyAlignment="1">
      <alignment horizontal="center"/>
    </xf>
    <xf numFmtId="1" fontId="20" fillId="0" borderId="16" xfId="0" applyNumberFormat="1" applyFont="1" applyBorder="1" applyAlignment="1">
      <alignment horizontal="center"/>
    </xf>
    <xf numFmtId="164" fontId="20" fillId="0" borderId="13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70" xfId="0" applyNumberFormat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14" borderId="86" xfId="0" applyFill="1" applyBorder="1" applyAlignment="1">
      <alignment horizontal="center"/>
    </xf>
    <xf numFmtId="0" fontId="0" fillId="14" borderId="89" xfId="0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47" xfId="0" applyFont="1" applyBorder="1" applyAlignment="1">
      <alignment horizontal="center"/>
    </xf>
    <xf numFmtId="0" fontId="0" fillId="2" borderId="86" xfId="0" applyFill="1" applyBorder="1" applyAlignment="1">
      <alignment horizontal="center"/>
    </xf>
    <xf numFmtId="0" fontId="0" fillId="2" borderId="87" xfId="0" applyFill="1" applyBorder="1" applyAlignment="1">
      <alignment horizontal="center"/>
    </xf>
    <xf numFmtId="0" fontId="0" fillId="2" borderId="88" xfId="0" applyFill="1" applyBorder="1" applyAlignment="1">
      <alignment horizontal="center"/>
    </xf>
    <xf numFmtId="167" fontId="0" fillId="6" borderId="11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" fontId="0" fillId="0" borderId="49" xfId="0" applyNumberForma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2" borderId="89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12" borderId="10" xfId="0" applyFill="1" applyBorder="1" applyAlignment="1">
      <alignment horizontal="center" vertical="center"/>
    </xf>
    <xf numFmtId="164" fontId="0" fillId="12" borderId="10" xfId="0" applyNumberFormat="1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7" fillId="11" borderId="21" xfId="0" applyFont="1" applyFill="1" applyBorder="1" applyAlignment="1">
      <alignment horizontal="center"/>
    </xf>
    <xf numFmtId="0" fontId="17" fillId="11" borderId="22" xfId="0" applyFont="1" applyFill="1" applyBorder="1" applyAlignment="1">
      <alignment horizontal="center"/>
    </xf>
    <xf numFmtId="0" fontId="17" fillId="11" borderId="7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17" borderId="35" xfId="0" applyFill="1" applyBorder="1" applyAlignment="1">
      <alignment horizontal="center" vertical="center"/>
    </xf>
    <xf numFmtId="0" fontId="0" fillId="17" borderId="31" xfId="0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17" fillId="25" borderId="21" xfId="0" applyFont="1" applyFill="1" applyBorder="1" applyAlignment="1">
      <alignment horizontal="center"/>
    </xf>
    <xf numFmtId="0" fontId="17" fillId="25" borderId="22" xfId="0" applyFont="1" applyFill="1" applyBorder="1" applyAlignment="1">
      <alignment horizontal="center"/>
    </xf>
    <xf numFmtId="0" fontId="17" fillId="25" borderId="75" xfId="0" applyFont="1" applyFill="1" applyBorder="1" applyAlignment="1">
      <alignment horizontal="center"/>
    </xf>
    <xf numFmtId="0" fontId="8" fillId="21" borderId="21" xfId="0" applyFont="1" applyFill="1" applyBorder="1" applyAlignment="1">
      <alignment horizontal="center"/>
    </xf>
    <xf numFmtId="0" fontId="8" fillId="21" borderId="22" xfId="0" applyFont="1" applyFill="1" applyBorder="1" applyAlignment="1">
      <alignment horizontal="center"/>
    </xf>
    <xf numFmtId="0" fontId="8" fillId="21" borderId="75" xfId="0" applyFont="1" applyFill="1" applyBorder="1" applyAlignment="1">
      <alignment horizontal="center"/>
    </xf>
    <xf numFmtId="0" fontId="17" fillId="11" borderId="21" xfId="0" applyFont="1" applyFill="1" applyBorder="1" applyAlignment="1">
      <alignment horizontal="center"/>
    </xf>
    <xf numFmtId="0" fontId="17" fillId="11" borderId="22" xfId="0" applyFont="1" applyFill="1" applyBorder="1" applyAlignment="1">
      <alignment horizontal="center"/>
    </xf>
    <xf numFmtId="0" fontId="17" fillId="11" borderId="75" xfId="0" applyFont="1" applyFill="1" applyBorder="1" applyAlignment="1">
      <alignment horizontal="center"/>
    </xf>
    <xf numFmtId="0" fontId="18" fillId="27" borderId="21" xfId="0" applyFont="1" applyFill="1" applyBorder="1" applyAlignment="1">
      <alignment horizontal="center"/>
    </xf>
    <xf numFmtId="0" fontId="18" fillId="27" borderId="75" xfId="0" applyFont="1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22" borderId="72" xfId="0" applyFill="1" applyBorder="1" applyAlignment="1">
      <alignment horizontal="center"/>
    </xf>
    <xf numFmtId="0" fontId="0" fillId="22" borderId="42" xfId="0" applyFill="1" applyBorder="1" applyAlignment="1">
      <alignment horizontal="center"/>
    </xf>
    <xf numFmtId="0" fontId="0" fillId="28" borderId="30" xfId="0" applyFill="1" applyBorder="1" applyAlignment="1">
      <alignment horizontal="center" vertical="center"/>
    </xf>
    <xf numFmtId="0" fontId="0" fillId="28" borderId="31" xfId="0" applyFill="1" applyBorder="1" applyAlignment="1">
      <alignment horizontal="center" vertical="center"/>
    </xf>
    <xf numFmtId="0" fontId="19" fillId="21" borderId="21" xfId="0" applyFont="1" applyFill="1" applyBorder="1" applyAlignment="1">
      <alignment horizontal="center" vertical="center"/>
    </xf>
    <xf numFmtId="0" fontId="19" fillId="21" borderId="22" xfId="0" applyFont="1" applyFill="1" applyBorder="1" applyAlignment="1">
      <alignment horizontal="center" vertical="center"/>
    </xf>
    <xf numFmtId="0" fontId="17" fillId="26" borderId="21" xfId="0" applyFont="1" applyFill="1" applyBorder="1" applyAlignment="1">
      <alignment horizontal="center"/>
    </xf>
    <xf numFmtId="0" fontId="17" fillId="26" borderId="75" xfId="0" applyFont="1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7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2" borderId="7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75" xfId="0" applyFill="1" applyBorder="1" applyAlignment="1">
      <alignment horizontal="center"/>
    </xf>
    <xf numFmtId="0" fontId="19" fillId="26" borderId="22" xfId="0" applyFont="1" applyFill="1" applyBorder="1" applyAlignment="1">
      <alignment horizontal="center" vertical="center"/>
    </xf>
    <xf numFmtId="0" fontId="19" fillId="26" borderId="75" xfId="0" applyFont="1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6" borderId="77" xfId="0" applyFill="1" applyBorder="1" applyAlignment="1">
      <alignment horizontal="center"/>
    </xf>
    <xf numFmtId="0" fontId="0" fillId="16" borderId="84" xfId="0" applyFill="1" applyBorder="1" applyAlignment="1">
      <alignment horizontal="center"/>
    </xf>
    <xf numFmtId="0" fontId="0" fillId="16" borderId="78" xfId="0" applyFill="1" applyBorder="1" applyAlignment="1">
      <alignment horizontal="center"/>
    </xf>
    <xf numFmtId="0" fontId="8" fillId="23" borderId="21" xfId="0" applyFont="1" applyFill="1" applyBorder="1" applyAlignment="1">
      <alignment horizontal="center"/>
    </xf>
    <xf numFmtId="0" fontId="8" fillId="23" borderId="22" xfId="0" applyFont="1" applyFill="1" applyBorder="1" applyAlignment="1">
      <alignment horizontal="center"/>
    </xf>
    <xf numFmtId="0" fontId="8" fillId="23" borderId="75" xfId="0" applyFont="1" applyFill="1" applyBorder="1" applyAlignment="1">
      <alignment horizontal="center"/>
    </xf>
    <xf numFmtId="0" fontId="17" fillId="24" borderId="21" xfId="0" applyFont="1" applyFill="1" applyBorder="1" applyAlignment="1">
      <alignment horizontal="center"/>
    </xf>
    <xf numFmtId="0" fontId="17" fillId="24" borderId="22" xfId="0" applyFont="1" applyFill="1" applyBorder="1" applyAlignment="1">
      <alignment horizontal="center"/>
    </xf>
    <xf numFmtId="0" fontId="17" fillId="24" borderId="75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8" fillId="19" borderId="35" xfId="0" applyFont="1" applyFill="1" applyBorder="1" applyAlignment="1">
      <alignment horizontal="center"/>
    </xf>
    <xf numFmtId="0" fontId="8" fillId="19" borderId="64" xfId="0" applyFont="1" applyFill="1" applyBorder="1" applyAlignment="1">
      <alignment horizontal="center"/>
    </xf>
    <xf numFmtId="0" fontId="8" fillId="19" borderId="6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164" fontId="0" fillId="29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133350</xdr:rowOff>
    </xdr:from>
    <xdr:to>
      <xdr:col>3</xdr:col>
      <xdr:colOff>752475</xdr:colOff>
      <xdr:row>8</xdr:row>
      <xdr:rowOff>47625</xdr:rowOff>
    </xdr:to>
    <xdr:sp macro="" textlink="">
      <xdr:nvSpPr>
        <xdr:cNvPr id="14" name="Flèche droite 1">
          <a:extLst>
            <a:ext uri="{FF2B5EF4-FFF2-40B4-BE49-F238E27FC236}">
              <a16:creationId xmlns:a16="http://schemas.microsoft.com/office/drawing/2014/main" id="{BE173205-782C-782C-2493-C975D2632C31}"/>
            </a:ext>
          </a:extLst>
        </xdr:cNvPr>
        <xdr:cNvSpPr/>
      </xdr:nvSpPr>
      <xdr:spPr>
        <a:xfrm>
          <a:off x="2314575" y="1276350"/>
          <a:ext cx="742950" cy="29527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45CE6-0C09-472E-8F3B-E628434D9221}" name="Table1" displayName="Table1" ref="A2:C9" totalsRowShown="0" headerRowDxfId="13" headerRowBorderDxfId="12" tableBorderDxfId="11">
  <autoFilter ref="A2:C9" xr:uid="{BFB45CE6-0C09-472E-8F3B-E628434D9221}"/>
  <tableColumns count="3">
    <tableColumn id="1" xr3:uid="{4E280FDD-5BC1-4B04-82BB-C0CCF69E8821}" name="MP (°)"/>
    <tableColumn id="2" xr3:uid="{F522DA74-116C-4A68-9C04-F6BEE7B7D288}" name="MP (rad)"/>
    <tableColumn id="3" xr3:uid="{1853BB47-DCD5-4632-AE8F-6C78682ADCE8}" name="Column1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23"/>
  <sheetViews>
    <sheetView topLeftCell="D1" workbookViewId="0">
      <selection activeCell="E2" sqref="E2"/>
    </sheetView>
  </sheetViews>
  <sheetFormatPr baseColWidth="10" defaultColWidth="10.81640625" defaultRowHeight="14.5" x14ac:dyDescent="0.35"/>
  <cols>
    <col min="1" max="2" width="10.81640625" style="1"/>
    <col min="3" max="3" width="25.81640625" style="1" bestFit="1" customWidth="1"/>
    <col min="4" max="4" width="10.81640625" style="1"/>
    <col min="5" max="5" width="17.1796875" style="1" bestFit="1" customWidth="1"/>
    <col min="6" max="6" width="21" style="1" customWidth="1"/>
    <col min="7" max="8" width="10.54296875" style="1" bestFit="1" customWidth="1"/>
    <col min="9" max="9" width="16" style="1" bestFit="1" customWidth="1"/>
    <col min="10" max="11" width="10.81640625" style="1"/>
    <col min="12" max="12" width="16.26953125" style="1" bestFit="1" customWidth="1"/>
    <col min="13" max="13" width="10.81640625" style="1"/>
    <col min="14" max="14" width="23.453125" style="1" bestFit="1" customWidth="1"/>
    <col min="15" max="15" width="10.81640625" style="1"/>
    <col min="16" max="16" width="14.1796875" style="1" bestFit="1" customWidth="1"/>
    <col min="17" max="16384" width="10.81640625" style="1"/>
  </cols>
  <sheetData>
    <row r="2" spans="5:17" ht="15" thickBot="1" x14ac:dyDescent="0.4"/>
    <row r="3" spans="5:17" ht="15" thickBot="1" x14ac:dyDescent="0.4">
      <c r="F3" s="277" t="s">
        <v>0</v>
      </c>
      <c r="G3" s="278"/>
      <c r="H3" s="278"/>
      <c r="I3" s="278"/>
      <c r="J3" s="278"/>
      <c r="K3" s="278"/>
      <c r="L3" s="278"/>
      <c r="M3" s="278"/>
      <c r="N3" s="278"/>
      <c r="O3" s="279"/>
    </row>
    <row r="4" spans="5:17" ht="15" thickBot="1" x14ac:dyDescent="0.4">
      <c r="F4" s="10" t="s">
        <v>1</v>
      </c>
      <c r="G4" s="11" t="s">
        <v>2</v>
      </c>
      <c r="H4" s="11" t="s">
        <v>3</v>
      </c>
      <c r="I4" s="11" t="s">
        <v>4</v>
      </c>
      <c r="J4" s="11" t="s">
        <v>5</v>
      </c>
      <c r="K4" s="11" t="s">
        <v>6</v>
      </c>
      <c r="L4" s="11" t="s">
        <v>7</v>
      </c>
      <c r="M4" s="11" t="s">
        <v>8</v>
      </c>
      <c r="N4" s="11" t="s">
        <v>9</v>
      </c>
      <c r="O4" s="12" t="s">
        <v>10</v>
      </c>
    </row>
    <row r="5" spans="5:17" x14ac:dyDescent="0.35">
      <c r="E5" s="2" t="s">
        <v>11</v>
      </c>
      <c r="F5" s="274" t="s">
        <v>12</v>
      </c>
      <c r="G5" s="7">
        <v>300</v>
      </c>
      <c r="H5" s="7">
        <v>14</v>
      </c>
      <c r="I5" s="8">
        <v>0.2</v>
      </c>
      <c r="J5" s="7">
        <v>5</v>
      </c>
      <c r="K5" s="7">
        <v>15</v>
      </c>
      <c r="L5" s="7">
        <v>-90.2</v>
      </c>
      <c r="M5" s="7">
        <v>3.3</v>
      </c>
      <c r="N5" s="7">
        <v>-154</v>
      </c>
      <c r="O5" s="9">
        <v>116.1</v>
      </c>
    </row>
    <row r="6" spans="5:17" ht="15" thickBot="1" x14ac:dyDescent="0.4">
      <c r="E6" s="3" t="s">
        <v>13</v>
      </c>
      <c r="F6" s="4"/>
      <c r="G6" s="5"/>
      <c r="H6" s="5"/>
      <c r="I6" s="5"/>
      <c r="J6" s="5"/>
      <c r="K6" s="5"/>
      <c r="L6" s="5"/>
      <c r="M6" s="5"/>
      <c r="N6" s="5"/>
      <c r="O6" s="6"/>
    </row>
    <row r="7" spans="5:17" ht="15" thickBot="1" x14ac:dyDescent="0.4"/>
    <row r="8" spans="5:17" ht="15" thickBot="1" x14ac:dyDescent="0.4">
      <c r="F8" s="280" t="s">
        <v>14</v>
      </c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2"/>
    </row>
    <row r="9" spans="5:17" ht="15" thickBot="1" x14ac:dyDescent="0.4">
      <c r="F9" s="10"/>
      <c r="G9" s="11" t="s">
        <v>2</v>
      </c>
      <c r="H9" s="11"/>
      <c r="I9" s="11"/>
      <c r="J9" s="11" t="s">
        <v>5</v>
      </c>
      <c r="K9" s="11" t="s">
        <v>6</v>
      </c>
      <c r="L9" s="11"/>
      <c r="M9" s="11"/>
      <c r="N9" s="11"/>
      <c r="O9" s="12"/>
      <c r="P9" s="10" t="s">
        <v>15</v>
      </c>
      <c r="Q9" s="11" t="s">
        <v>16</v>
      </c>
    </row>
    <row r="10" spans="5:17" x14ac:dyDescent="0.35">
      <c r="E10" s="2" t="s">
        <v>11</v>
      </c>
      <c r="F10" s="274"/>
      <c r="G10" s="7"/>
      <c r="H10" s="7"/>
      <c r="I10" s="8"/>
      <c r="J10" s="7" t="s">
        <v>17</v>
      </c>
      <c r="K10" s="7" t="s">
        <v>18</v>
      </c>
      <c r="L10" s="7"/>
      <c r="M10" s="7"/>
      <c r="N10" s="7"/>
      <c r="O10" s="9"/>
      <c r="P10" s="274" t="s">
        <v>19</v>
      </c>
      <c r="Q10" s="7"/>
    </row>
    <row r="11" spans="5:17" ht="15" thickBot="1" x14ac:dyDescent="0.4">
      <c r="E11" s="3" t="s">
        <v>13</v>
      </c>
      <c r="F11" s="4"/>
      <c r="G11" s="5"/>
      <c r="H11" s="5"/>
      <c r="I11" s="5"/>
      <c r="J11" s="5"/>
      <c r="K11" s="5"/>
      <c r="L11" s="5"/>
      <c r="M11" s="5"/>
      <c r="N11" s="5"/>
      <c r="O11" s="6"/>
      <c r="P11" s="4"/>
      <c r="Q11" s="5"/>
    </row>
    <row r="12" spans="5:17" ht="15" thickBot="1" x14ac:dyDescent="0.4"/>
    <row r="13" spans="5:17" ht="15" thickBot="1" x14ac:dyDescent="0.4">
      <c r="F13" s="277" t="s">
        <v>20</v>
      </c>
      <c r="G13" s="278"/>
      <c r="H13" s="278"/>
      <c r="I13" s="278"/>
      <c r="J13" s="278"/>
      <c r="K13" s="278"/>
      <c r="L13" s="278"/>
      <c r="M13" s="278"/>
      <c r="N13" s="278"/>
      <c r="O13" s="279"/>
    </row>
    <row r="14" spans="5:17" ht="15" thickBot="1" x14ac:dyDescent="0.4">
      <c r="F14" s="10"/>
      <c r="G14" s="11" t="s">
        <v>2</v>
      </c>
      <c r="H14" s="11"/>
      <c r="I14" s="11"/>
      <c r="J14" s="11" t="s">
        <v>5</v>
      </c>
      <c r="K14" s="11" t="s">
        <v>6</v>
      </c>
      <c r="L14" s="11"/>
      <c r="M14" s="11"/>
      <c r="N14" s="11"/>
      <c r="O14" s="12"/>
    </row>
    <row r="15" spans="5:17" x14ac:dyDescent="0.35">
      <c r="E15" s="2" t="s">
        <v>11</v>
      </c>
      <c r="F15" s="274"/>
      <c r="G15" s="7"/>
      <c r="H15" s="7"/>
      <c r="I15" s="8"/>
      <c r="J15" s="7"/>
      <c r="K15" s="7"/>
      <c r="L15" s="7"/>
      <c r="M15" s="7"/>
      <c r="N15" s="7"/>
      <c r="O15" s="9"/>
    </row>
    <row r="16" spans="5:17" ht="15" thickBot="1" x14ac:dyDescent="0.4">
      <c r="E16" s="3" t="s">
        <v>13</v>
      </c>
      <c r="F16" s="4"/>
      <c r="G16" s="5"/>
      <c r="H16" s="5"/>
      <c r="I16" s="5"/>
      <c r="J16" s="5"/>
      <c r="K16" s="5"/>
      <c r="L16" s="5"/>
      <c r="M16" s="5"/>
      <c r="N16" s="5"/>
      <c r="O16" s="6"/>
    </row>
    <row r="19" spans="5:15" ht="15" thickBot="1" x14ac:dyDescent="0.4"/>
    <row r="20" spans="5:15" ht="15" thickBot="1" x14ac:dyDescent="0.4">
      <c r="F20" s="277" t="s">
        <v>21</v>
      </c>
      <c r="G20" s="278"/>
      <c r="H20" s="278"/>
      <c r="I20" s="278"/>
      <c r="J20" s="278"/>
      <c r="K20" s="278"/>
      <c r="L20" s="278"/>
      <c r="M20" s="278"/>
      <c r="N20" s="278"/>
      <c r="O20" s="279"/>
    </row>
    <row r="21" spans="5:15" ht="15" thickBot="1" x14ac:dyDescent="0.4">
      <c r="F21" s="10" t="s">
        <v>22</v>
      </c>
      <c r="G21" s="11" t="s">
        <v>23</v>
      </c>
      <c r="H21" s="11" t="s">
        <v>24</v>
      </c>
      <c r="I21" s="11" t="s">
        <v>25</v>
      </c>
      <c r="J21" s="11" t="s">
        <v>26</v>
      </c>
      <c r="K21" s="11" t="s">
        <v>27</v>
      </c>
      <c r="L21" s="11" t="s">
        <v>28</v>
      </c>
      <c r="M21" s="11" t="s">
        <v>29</v>
      </c>
      <c r="N21" s="11"/>
      <c r="O21" s="12"/>
    </row>
    <row r="22" spans="5:15" x14ac:dyDescent="0.35">
      <c r="E22" s="2" t="s">
        <v>11</v>
      </c>
      <c r="F22" s="274">
        <v>60</v>
      </c>
      <c r="G22" s="7" t="s">
        <v>30</v>
      </c>
      <c r="H22" s="7" t="s">
        <v>31</v>
      </c>
      <c r="I22" s="29">
        <v>256</v>
      </c>
      <c r="J22" s="7">
        <v>1</v>
      </c>
      <c r="K22" s="7" t="s">
        <v>32</v>
      </c>
      <c r="L22" s="7">
        <v>90</v>
      </c>
      <c r="M22" s="7"/>
      <c r="N22" s="7"/>
      <c r="O22" s="9"/>
    </row>
    <row r="23" spans="5:15" ht="15" thickBot="1" x14ac:dyDescent="0.4">
      <c r="E23" s="3" t="s">
        <v>13</v>
      </c>
      <c r="F23" s="4"/>
      <c r="G23" s="5"/>
      <c r="H23" s="5"/>
      <c r="I23" s="5"/>
      <c r="J23" s="5"/>
      <c r="K23" s="5"/>
      <c r="L23" s="5"/>
      <c r="M23" s="5"/>
      <c r="N23" s="5"/>
      <c r="O23" s="6"/>
    </row>
  </sheetData>
  <mergeCells count="4">
    <mergeCell ref="F20:O20"/>
    <mergeCell ref="F3:O3"/>
    <mergeCell ref="F13:O13"/>
    <mergeCell ref="F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39BD-C47B-484C-BB31-CA82F21168ED}">
  <dimension ref="A1:N54"/>
  <sheetViews>
    <sheetView topLeftCell="A9" workbookViewId="0">
      <selection activeCell="D52" sqref="D52"/>
    </sheetView>
  </sheetViews>
  <sheetFormatPr baseColWidth="10" defaultColWidth="11.453125" defaultRowHeight="14.5" x14ac:dyDescent="0.35"/>
  <cols>
    <col min="1" max="1" width="55.26953125" customWidth="1"/>
    <col min="2" max="3" width="31.7265625" customWidth="1"/>
    <col min="4" max="4" width="25.81640625" customWidth="1"/>
    <col min="5" max="5" width="20.1796875" customWidth="1"/>
    <col min="6" max="6" width="24.7265625" customWidth="1"/>
    <col min="7" max="7" width="13.453125" customWidth="1"/>
    <col min="8" max="8" width="16" customWidth="1"/>
    <col min="9" max="9" width="30.26953125" customWidth="1"/>
    <col min="10" max="10" width="35.1796875" customWidth="1"/>
    <col min="11" max="11" width="33.26953125" customWidth="1"/>
    <col min="12" max="12" width="21" customWidth="1"/>
    <col min="13" max="13" width="20.7265625" customWidth="1"/>
    <col min="14" max="14" width="20.453125" customWidth="1"/>
  </cols>
  <sheetData>
    <row r="1" spans="1:13" s="13" customFormat="1" ht="37" x14ac:dyDescent="0.85">
      <c r="A1" s="13" t="s">
        <v>33</v>
      </c>
    </row>
    <row r="5" spans="1:13" s="14" customFormat="1" x14ac:dyDescent="0.35">
      <c r="A5" s="14" t="s">
        <v>34</v>
      </c>
    </row>
    <row r="7" spans="1:13" x14ac:dyDescent="0.35">
      <c r="A7" s="15" t="s">
        <v>35</v>
      </c>
      <c r="B7" s="15" t="s">
        <v>36</v>
      </c>
      <c r="C7" s="15" t="s">
        <v>37</v>
      </c>
      <c r="D7" s="15" t="s">
        <v>38</v>
      </c>
      <c r="E7" s="16" t="s">
        <v>39</v>
      </c>
      <c r="F7" s="17"/>
      <c r="G7" s="18"/>
      <c r="H7" s="18"/>
      <c r="I7" s="18"/>
      <c r="J7" s="18"/>
      <c r="K7" s="18"/>
      <c r="L7" s="18"/>
      <c r="M7" s="18"/>
    </row>
    <row r="8" spans="1:13" x14ac:dyDescent="0.35">
      <c r="A8" s="15" t="s">
        <v>40</v>
      </c>
      <c r="B8" s="15">
        <f>10^(C8/10)</f>
        <v>3.1622776601683795</v>
      </c>
      <c r="C8" s="15">
        <v>5</v>
      </c>
      <c r="D8" s="15">
        <f>10^(E8/10)</f>
        <v>100</v>
      </c>
      <c r="E8" s="16">
        <v>20</v>
      </c>
      <c r="F8" s="17"/>
      <c r="G8" s="18"/>
      <c r="H8" s="18"/>
      <c r="I8" s="18"/>
      <c r="J8" s="18"/>
      <c r="K8" s="18"/>
      <c r="L8" s="18">
        <v>8</v>
      </c>
      <c r="M8" s="18"/>
    </row>
    <row r="9" spans="1:13" x14ac:dyDescent="0.35">
      <c r="A9" s="15" t="s">
        <v>41</v>
      </c>
      <c r="B9" s="15">
        <f t="shared" ref="B9:B10" si="0">10^(C9/10)</f>
        <v>3.9810717055349727</v>
      </c>
      <c r="C9" s="15">
        <v>6</v>
      </c>
      <c r="D9" s="15">
        <f t="shared" ref="D9:D10" si="1">10^(E9/10)</f>
        <v>0.3981071705534972</v>
      </c>
      <c r="E9" s="16">
        <v>-4</v>
      </c>
      <c r="F9" s="17"/>
      <c r="G9" s="18"/>
      <c r="H9" s="18"/>
      <c r="I9" s="18"/>
      <c r="J9" s="18"/>
      <c r="K9" s="18"/>
      <c r="L9" s="18"/>
      <c r="M9" s="18"/>
    </row>
    <row r="10" spans="1:13" x14ac:dyDescent="0.35">
      <c r="A10" s="15" t="s">
        <v>42</v>
      </c>
      <c r="B10" s="15">
        <f t="shared" si="0"/>
        <v>1</v>
      </c>
      <c r="C10" s="15">
        <v>0</v>
      </c>
      <c r="D10" s="15">
        <f t="shared" si="1"/>
        <v>1</v>
      </c>
      <c r="E10" s="16">
        <v>0</v>
      </c>
      <c r="F10" s="17"/>
      <c r="G10" s="18"/>
      <c r="H10" s="18"/>
      <c r="I10" s="18"/>
      <c r="J10" s="18"/>
      <c r="K10" s="18"/>
      <c r="L10" s="18"/>
      <c r="M10" s="18"/>
    </row>
    <row r="11" spans="1:13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3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35">
      <c r="A13" s="19" t="s">
        <v>43</v>
      </c>
      <c r="B13" s="19">
        <f>B8+(B9-1)/D8+(B10-1)/(D8*D9)</f>
        <v>3.1920883772237292</v>
      </c>
      <c r="C13" s="20"/>
      <c r="D13" s="18"/>
      <c r="E13" s="18"/>
      <c r="F13" s="18"/>
      <c r="G13" s="20"/>
      <c r="H13" s="20"/>
      <c r="I13" s="18"/>
      <c r="J13" s="18"/>
      <c r="K13" s="18"/>
      <c r="L13" s="18"/>
      <c r="M13" s="18"/>
    </row>
    <row r="14" spans="1:13" x14ac:dyDescent="0.35">
      <c r="A14" s="19" t="s">
        <v>44</v>
      </c>
      <c r="B14" s="19">
        <f>10*LOG10(B13)</f>
        <v>5.0407490686705705</v>
      </c>
      <c r="C14" s="20"/>
      <c r="D14" s="18"/>
      <c r="E14" s="18"/>
      <c r="F14" s="18"/>
      <c r="G14" s="20"/>
      <c r="H14" s="20"/>
      <c r="I14" s="18"/>
      <c r="J14" s="18"/>
      <c r="K14" s="18"/>
      <c r="L14" s="18"/>
      <c r="M14" s="18"/>
    </row>
    <row r="15" spans="1:13" x14ac:dyDescent="0.35">
      <c r="A15" s="19" t="s">
        <v>45</v>
      </c>
      <c r="B15" s="19">
        <f>SUM(E8:E10)</f>
        <v>16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4" x14ac:dyDescent="0.3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4" s="14" customFormat="1" x14ac:dyDescent="0.35">
      <c r="A18" s="21" t="s">
        <v>46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4" s="22" customFormat="1" x14ac:dyDescent="0.3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 x14ac:dyDescent="0.35">
      <c r="A20" s="15" t="s">
        <v>47</v>
      </c>
      <c r="B20" s="15">
        <v>14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4" x14ac:dyDescent="0.35">
      <c r="A21" s="15" t="s">
        <v>48</v>
      </c>
      <c r="B21" s="15">
        <v>-174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4" x14ac:dyDescent="0.35">
      <c r="A22" s="15" t="s">
        <v>49</v>
      </c>
      <c r="B22" s="15">
        <v>3000000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4" x14ac:dyDescent="0.35">
      <c r="A23" s="23" t="s">
        <v>50</v>
      </c>
      <c r="B23" s="24">
        <f>B14+B21+10*LOG10(B22)+B20</f>
        <v>-90.188038384132795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4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4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4" s="14" customFormat="1" x14ac:dyDescent="0.35">
      <c r="A26" s="21" t="s">
        <v>51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4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4" x14ac:dyDescent="0.35">
      <c r="A28" s="15" t="s">
        <v>35</v>
      </c>
      <c r="B28" s="15" t="s">
        <v>52</v>
      </c>
      <c r="C28" s="15" t="s">
        <v>8</v>
      </c>
      <c r="D28" s="15" t="s">
        <v>53</v>
      </c>
      <c r="E28" s="15" t="s">
        <v>54</v>
      </c>
      <c r="F28" s="15" t="s">
        <v>55</v>
      </c>
      <c r="G28" s="15" t="s">
        <v>39</v>
      </c>
      <c r="H28" s="18"/>
      <c r="I28" s="18"/>
      <c r="J28" s="18"/>
      <c r="K28" s="18"/>
      <c r="L28" s="18"/>
      <c r="M28" s="18"/>
      <c r="N28" s="18"/>
    </row>
    <row r="29" spans="1:14" ht="13.5" customHeight="1" x14ac:dyDescent="0.35">
      <c r="A29" s="15" t="s">
        <v>40</v>
      </c>
      <c r="B29" s="15">
        <v>13</v>
      </c>
      <c r="C29" s="15">
        <f>10^(B29/10)</f>
        <v>19.952623149688804</v>
      </c>
      <c r="D29" s="15">
        <f>B29+E8</f>
        <v>33</v>
      </c>
      <c r="E29" s="25">
        <f>10^(D29/10)</f>
        <v>1995.2623149688804</v>
      </c>
      <c r="F29" s="15">
        <f>10^(G29/10)</f>
        <v>100</v>
      </c>
      <c r="G29" s="15">
        <v>20</v>
      </c>
      <c r="H29" s="18"/>
      <c r="I29" s="18"/>
      <c r="J29" s="18"/>
      <c r="K29" s="18"/>
      <c r="L29" s="18"/>
      <c r="M29" s="18"/>
      <c r="N29" s="18"/>
    </row>
    <row r="30" spans="1:14" ht="13.5" customHeight="1" x14ac:dyDescent="0.35">
      <c r="A30" s="15" t="s">
        <v>41</v>
      </c>
      <c r="B30" s="15">
        <v>26</v>
      </c>
      <c r="C30" s="15">
        <f>10^(B30/10)</f>
        <v>398.10717055349761</v>
      </c>
      <c r="D30" s="15">
        <f>B30+E9</f>
        <v>22</v>
      </c>
      <c r="E30" s="25">
        <f>10^(D30/10)</f>
        <v>158.48931924611153</v>
      </c>
      <c r="F30" s="15">
        <f>10^(G30/10)</f>
        <v>0.3981071705534972</v>
      </c>
      <c r="G30" s="15">
        <v>-4</v>
      </c>
      <c r="H30" s="18"/>
      <c r="I30" s="18"/>
      <c r="J30" s="18"/>
      <c r="K30" s="18"/>
      <c r="L30" s="18"/>
      <c r="M30" s="18"/>
    </row>
    <row r="31" spans="1:14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4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35">
      <c r="A33" s="23" t="s">
        <v>56</v>
      </c>
      <c r="B33" s="24">
        <f>1/(1/C29+F29/C30)</f>
        <v>3.3188700680326089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x14ac:dyDescent="0.35">
      <c r="A34" s="23" t="s">
        <v>57</v>
      </c>
      <c r="B34" s="24">
        <f>B33*10^(B15/10)</f>
        <v>132.12659722191557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x14ac:dyDescent="0.35">
      <c r="A35" s="15" t="s">
        <v>58</v>
      </c>
      <c r="B35" s="15">
        <f>10*LOG(B33)</f>
        <v>5.2099025034743383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x14ac:dyDescent="0.35">
      <c r="A36" s="15" t="s">
        <v>59</v>
      </c>
      <c r="B36" s="26">
        <f>10*LOG(B34)</f>
        <v>21.209902503474343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35">
      <c r="A37" s="23" t="s">
        <v>60</v>
      </c>
      <c r="B37" s="24">
        <f>B21+B14+B15</f>
        <v>-152.95925093132942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35">
      <c r="A38" s="23" t="s">
        <v>10</v>
      </c>
      <c r="B38" s="24">
        <f>(2/3)*(B36-B37)</f>
        <v>116.11276895653585</v>
      </c>
      <c r="C38" s="27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35">
      <c r="A39" s="15"/>
      <c r="B39" s="28"/>
      <c r="C39" s="27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2" spans="1:13" s="18" customFormat="1" x14ac:dyDescent="0.35"/>
    <row r="43" spans="1:13" s="18" customFormat="1" x14ac:dyDescent="0.35">
      <c r="D43" s="122" t="s">
        <v>61</v>
      </c>
      <c r="E43" s="122" t="s">
        <v>62</v>
      </c>
      <c r="F43" s="122" t="s">
        <v>63</v>
      </c>
      <c r="G43" s="18" t="s">
        <v>64</v>
      </c>
      <c r="H43" s="18" t="s">
        <v>65</v>
      </c>
    </row>
    <row r="44" spans="1:13" s="18" customFormat="1" x14ac:dyDescent="0.35">
      <c r="D44" s="122">
        <v>110</v>
      </c>
      <c r="E44" s="122">
        <v>300000000</v>
      </c>
      <c r="F44" s="122">
        <f>2.445*10^9</f>
        <v>2445000000</v>
      </c>
      <c r="G44" s="18">
        <v>3</v>
      </c>
      <c r="H44" s="18">
        <v>30</v>
      </c>
    </row>
    <row r="45" spans="1:13" s="18" customFormat="1" x14ac:dyDescent="0.35"/>
    <row r="46" spans="1:13" s="18" customFormat="1" x14ac:dyDescent="0.35"/>
    <row r="47" spans="1:13" s="18" customFormat="1" x14ac:dyDescent="0.35">
      <c r="D47" s="18" t="s">
        <v>66</v>
      </c>
    </row>
    <row r="48" spans="1:13" s="18" customFormat="1" x14ac:dyDescent="0.35">
      <c r="D48" s="18" t="s">
        <v>67</v>
      </c>
      <c r="E48" s="18" t="s">
        <v>68</v>
      </c>
    </row>
    <row r="49" spans="4:4" s="18" customFormat="1" x14ac:dyDescent="0.35">
      <c r="D49" s="18">
        <f>(E44/(4*PI()*F44))*10^(D44/20)</f>
        <v>3087.6817242016614</v>
      </c>
    </row>
    <row r="50" spans="4:4" s="18" customFormat="1" x14ac:dyDescent="0.35"/>
    <row r="51" spans="4:4" s="18" customFormat="1" x14ac:dyDescent="0.35">
      <c r="D51" s="18" t="s">
        <v>69</v>
      </c>
    </row>
    <row r="52" spans="4:4" x14ac:dyDescent="0.35">
      <c r="D52" s="18" t="s">
        <v>67</v>
      </c>
    </row>
    <row r="53" spans="4:4" x14ac:dyDescent="0.35">
      <c r="D53">
        <f>10^((D44-20*LOG10((4*PI()*F44)/E44))/(10*G44))</f>
        <v>212.04189890668155</v>
      </c>
    </row>
    <row r="54" spans="4:4" x14ac:dyDescent="0.35">
      <c r="D54">
        <f>10^((D44-H44)/20)*(E44/(4*PI()*F44))</f>
        <v>97.641069381530883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CA16-8E48-45EF-AAFD-D17A869B1767}">
  <dimension ref="A1:O51"/>
  <sheetViews>
    <sheetView zoomScale="115" zoomScaleNormal="115" workbookViewId="0">
      <selection activeCell="H9" sqref="H9"/>
    </sheetView>
  </sheetViews>
  <sheetFormatPr baseColWidth="10" defaultColWidth="11.453125" defaultRowHeight="14.5" x14ac:dyDescent="0.35"/>
  <cols>
    <col min="1" max="1" width="38.1796875" customWidth="1"/>
    <col min="2" max="2" width="12.1796875" customWidth="1"/>
    <col min="3" max="3" width="9.1796875" bestFit="1" customWidth="1"/>
    <col min="4" max="4" width="9.1796875" customWidth="1"/>
    <col min="5" max="5" width="23.54296875" bestFit="1" customWidth="1"/>
    <col min="6" max="6" width="9.81640625" bestFit="1" customWidth="1"/>
    <col min="7" max="7" width="23.7265625" bestFit="1" customWidth="1"/>
    <col min="8" max="8" width="11.81640625" bestFit="1" customWidth="1"/>
    <col min="9" max="9" width="16" customWidth="1"/>
    <col min="10" max="10" width="30.26953125" customWidth="1"/>
    <col min="11" max="11" width="35.1796875" customWidth="1"/>
    <col min="12" max="12" width="33.26953125" customWidth="1"/>
    <col min="13" max="13" width="21" customWidth="1"/>
    <col min="14" max="14" width="20.7265625" customWidth="1"/>
    <col min="15" max="15" width="20.453125" customWidth="1"/>
  </cols>
  <sheetData>
    <row r="1" spans="1:14" s="13" customFormat="1" ht="37" x14ac:dyDescent="0.85">
      <c r="A1" s="13" t="s">
        <v>70</v>
      </c>
    </row>
    <row r="2" spans="1:14" x14ac:dyDescent="0.35">
      <c r="A2" t="s">
        <v>71</v>
      </c>
    </row>
    <row r="3" spans="1:14" ht="116.15" customHeight="1" x14ac:dyDescent="0.35">
      <c r="A3" s="283" t="s">
        <v>72</v>
      </c>
      <c r="B3" s="283"/>
      <c r="C3" s="283"/>
    </row>
    <row r="5" spans="1:14" s="14" customFormat="1" x14ac:dyDescent="0.35">
      <c r="A5" s="14" t="s">
        <v>34</v>
      </c>
    </row>
    <row r="6" spans="1:14" ht="15" thickBot="1" x14ac:dyDescent="0.4"/>
    <row r="7" spans="1:14" ht="16.5" x14ac:dyDescent="0.35">
      <c r="A7" s="95" t="s">
        <v>35</v>
      </c>
      <c r="B7" s="96" t="s">
        <v>36</v>
      </c>
      <c r="C7" s="96" t="s">
        <v>37</v>
      </c>
      <c r="D7" s="96"/>
      <c r="E7" s="96" t="s">
        <v>38</v>
      </c>
      <c r="F7" s="97" t="s">
        <v>39</v>
      </c>
      <c r="G7" s="104" t="s">
        <v>73</v>
      </c>
      <c r="H7" s="185" t="s">
        <v>74</v>
      </c>
      <c r="I7" s="190" t="s">
        <v>75</v>
      </c>
      <c r="J7" s="18"/>
      <c r="K7" s="18"/>
      <c r="L7" s="18"/>
      <c r="M7" s="18"/>
      <c r="N7" s="18"/>
    </row>
    <row r="8" spans="1:14" x14ac:dyDescent="0.35">
      <c r="A8" s="98" t="s">
        <v>40</v>
      </c>
      <c r="B8" s="15">
        <f>10^(C8/10)</f>
        <v>2.2387211385683394</v>
      </c>
      <c r="C8" s="48">
        <v>3.5</v>
      </c>
      <c r="D8" s="48"/>
      <c r="E8" s="15">
        <f>10^(F8/10)</f>
        <v>100</v>
      </c>
      <c r="F8" s="99">
        <v>20</v>
      </c>
      <c r="G8" s="92">
        <f>SQRT(H14*2*50)</f>
        <v>8.4152483250774893E-6</v>
      </c>
      <c r="H8" s="261">
        <f>SQRT(H13*2*50)</f>
        <v>2.9853826189179594E-3</v>
      </c>
      <c r="I8" s="189">
        <v>5</v>
      </c>
      <c r="J8" s="18"/>
      <c r="K8" s="18"/>
      <c r="L8" s="18"/>
      <c r="M8" s="18">
        <v>8</v>
      </c>
      <c r="N8" s="18"/>
    </row>
    <row r="9" spans="1:14" ht="15" thickBot="1" x14ac:dyDescent="0.4">
      <c r="A9" s="100" t="s">
        <v>41</v>
      </c>
      <c r="B9" s="101">
        <f>10^(C9/10)</f>
        <v>13.18256738556407</v>
      </c>
      <c r="C9" s="102">
        <v>11.2</v>
      </c>
      <c r="D9" s="102"/>
      <c r="E9" s="101">
        <f>10^(F9/10)</f>
        <v>6.3095734448019343</v>
      </c>
      <c r="F9" s="103">
        <v>8</v>
      </c>
      <c r="G9" s="106">
        <f>SQRT(2*H14*50)*10^(F8/20)</f>
        <v>8.415248325077489E-5</v>
      </c>
      <c r="H9" s="107">
        <f>SQRT(2*H13*50)*10^(F8/20)</f>
        <v>2.9853826189179596E-2</v>
      </c>
      <c r="I9" s="189">
        <v>4</v>
      </c>
      <c r="J9" s="18"/>
      <c r="K9" s="18"/>
      <c r="L9" s="18"/>
      <c r="M9" s="18"/>
      <c r="N9" s="18"/>
    </row>
    <row r="10" spans="1:14" x14ac:dyDescent="0.35">
      <c r="A10" s="93" t="s">
        <v>76</v>
      </c>
      <c r="B10" s="93">
        <f t="shared" ref="B10" si="0">10^(C10/10)</f>
        <v>1</v>
      </c>
      <c r="C10" s="93">
        <v>0</v>
      </c>
      <c r="D10" s="93"/>
      <c r="E10" s="93">
        <f t="shared" ref="E10" si="1">10^(F10/10)</f>
        <v>1</v>
      </c>
      <c r="F10" s="94">
        <v>0</v>
      </c>
      <c r="G10" s="93"/>
      <c r="H10" s="93"/>
      <c r="I10" s="18"/>
      <c r="J10" s="18"/>
      <c r="K10" s="18"/>
      <c r="L10" s="18"/>
      <c r="M10" s="18"/>
      <c r="N10" s="18"/>
    </row>
    <row r="11" spans="1:14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17" thickBot="1" x14ac:dyDescent="0.45">
      <c r="A12" s="18"/>
      <c r="B12" s="18"/>
      <c r="C12" s="18"/>
      <c r="D12" s="18"/>
      <c r="E12" s="18"/>
      <c r="F12" s="18"/>
      <c r="G12" s="18"/>
      <c r="H12" s="18"/>
      <c r="I12" s="187" t="s">
        <v>77</v>
      </c>
      <c r="J12" s="18"/>
      <c r="K12" s="18"/>
      <c r="L12" s="18"/>
      <c r="M12" s="18"/>
      <c r="N12" s="18"/>
    </row>
    <row r="13" spans="1:14" ht="17" thickBot="1" x14ac:dyDescent="0.4">
      <c r="A13" s="108" t="s">
        <v>43</v>
      </c>
      <c r="B13" s="108">
        <f>B8+(B9-1)/E8+(B10-1)/(E8*E9)</f>
        <v>2.3605468124239803</v>
      </c>
      <c r="C13" s="20"/>
      <c r="D13" s="20"/>
      <c r="E13" s="71" t="s">
        <v>78</v>
      </c>
      <c r="F13" s="73">
        <v>-40.5</v>
      </c>
      <c r="G13" s="74" t="s">
        <v>79</v>
      </c>
      <c r="H13" s="185">
        <f>(10^(F13/10)*0.001)</f>
        <v>8.9125093813374524E-8</v>
      </c>
      <c r="I13" s="188"/>
      <c r="J13" s="18"/>
      <c r="K13" s="18"/>
      <c r="L13" s="18"/>
      <c r="M13" s="18"/>
      <c r="N13" s="18"/>
    </row>
    <row r="14" spans="1:14" ht="17" thickBot="1" x14ac:dyDescent="0.4">
      <c r="A14" s="109" t="s">
        <v>44</v>
      </c>
      <c r="B14" s="110">
        <f>10*LOG10(B13)</f>
        <v>3.7301261742384231</v>
      </c>
      <c r="C14" s="20"/>
      <c r="D14" s="20"/>
      <c r="E14" s="72" t="s">
        <v>80</v>
      </c>
      <c r="F14" s="184">
        <f>B23</f>
        <v>-91.498661278564953</v>
      </c>
      <c r="G14" s="276" t="s">
        <v>81</v>
      </c>
      <c r="H14" s="186">
        <f>(10^(F14/10)*0.001)</f>
        <v>7.0816404372719497E-13</v>
      </c>
      <c r="I14" s="189">
        <v>1</v>
      </c>
      <c r="J14" s="18"/>
      <c r="K14" s="18"/>
      <c r="L14" s="18"/>
      <c r="M14" s="18"/>
      <c r="N14" s="18"/>
    </row>
    <row r="15" spans="1:14" ht="15" thickBot="1" x14ac:dyDescent="0.4">
      <c r="A15" s="111" t="s">
        <v>45</v>
      </c>
      <c r="B15" s="112">
        <f>SUM(F8:F10)</f>
        <v>28</v>
      </c>
      <c r="C15" s="18"/>
      <c r="D15" s="18"/>
      <c r="E15" s="18"/>
      <c r="F15" s="18"/>
      <c r="H15" s="18"/>
      <c r="I15" s="18"/>
      <c r="J15" s="18"/>
      <c r="K15" s="18"/>
      <c r="L15" s="18"/>
      <c r="M15" s="18"/>
      <c r="N15" s="18"/>
    </row>
    <row r="16" spans="1:14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5" x14ac:dyDescent="0.35">
      <c r="A17" s="18"/>
      <c r="B17" s="18"/>
      <c r="C17" s="18"/>
      <c r="D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5" s="14" customFormat="1" x14ac:dyDescent="0.35">
      <c r="A18" s="21" t="s">
        <v>46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 s="22" customFormat="1" x14ac:dyDescent="0.3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5" x14ac:dyDescent="0.35">
      <c r="A20" s="15" t="s">
        <v>47</v>
      </c>
      <c r="B20" s="183">
        <v>14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5" x14ac:dyDescent="0.35">
      <c r="A21" s="15" t="s">
        <v>48</v>
      </c>
      <c r="B21" s="183">
        <v>-174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5" ht="15" thickBot="1" x14ac:dyDescent="0.4">
      <c r="A22" s="15" t="s">
        <v>49</v>
      </c>
      <c r="B22" s="183">
        <v>3000000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5" ht="16.5" x14ac:dyDescent="0.35">
      <c r="A23" s="19" t="s">
        <v>50</v>
      </c>
      <c r="B23" s="191">
        <f>B14+B21+10*LOG10(B22)+B20</f>
        <v>-91.498661278564953</v>
      </c>
      <c r="C23" t="s">
        <v>82</v>
      </c>
      <c r="E23" s="90" t="s">
        <v>83</v>
      </c>
      <c r="F23" s="18"/>
      <c r="G23" s="18"/>
      <c r="H23" s="18"/>
      <c r="I23" s="18"/>
      <c r="J23" s="18"/>
      <c r="K23" s="18"/>
      <c r="L23" s="18"/>
      <c r="M23" s="18"/>
      <c r="N23" s="18"/>
    </row>
    <row r="24" spans="1:15" ht="17" thickBot="1" x14ac:dyDescent="0.5">
      <c r="A24" s="48" t="s">
        <v>84</v>
      </c>
      <c r="B24" s="192">
        <v>58.16</v>
      </c>
      <c r="C24" s="18"/>
      <c r="D24" s="18"/>
      <c r="E24" s="91">
        <f>B21+B14+10*LOG10(B22)</f>
        <v>-105.49866127856495</v>
      </c>
      <c r="F24" s="18"/>
      <c r="G24" s="18"/>
      <c r="H24" s="18"/>
      <c r="I24" s="18"/>
      <c r="J24" s="18"/>
      <c r="K24" s="18"/>
      <c r="L24" s="18"/>
      <c r="M24" s="18"/>
      <c r="N24" s="18"/>
    </row>
    <row r="25" spans="1:15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5" s="14" customFormat="1" x14ac:dyDescent="0.35">
      <c r="A26" s="21" t="s">
        <v>51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5" ht="15" thickBot="1" x14ac:dyDescent="0.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5" x14ac:dyDescent="0.35">
      <c r="A28" s="95" t="s">
        <v>35</v>
      </c>
      <c r="B28" s="97" t="s">
        <v>52</v>
      </c>
      <c r="C28" s="113" t="s">
        <v>8</v>
      </c>
      <c r="D28" s="113"/>
      <c r="E28" s="15" t="s">
        <v>53</v>
      </c>
      <c r="F28" s="15" t="s">
        <v>54</v>
      </c>
      <c r="G28" s="15" t="s">
        <v>55</v>
      </c>
      <c r="H28" s="18"/>
      <c r="I28" s="18"/>
      <c r="J28" s="18"/>
      <c r="K28" s="18"/>
      <c r="L28" s="18"/>
      <c r="M28" s="18"/>
      <c r="N28" s="18"/>
      <c r="O28" s="18"/>
    </row>
    <row r="29" spans="1:15" ht="13.5" customHeight="1" x14ac:dyDescent="0.35">
      <c r="A29" s="114" t="s">
        <v>40</v>
      </c>
      <c r="B29" s="99">
        <v>-5</v>
      </c>
      <c r="C29" s="232">
        <f>10^(B29/10)</f>
        <v>0.31622776601683794</v>
      </c>
      <c r="D29" s="113"/>
      <c r="E29" s="15">
        <f>B29+F8</f>
        <v>15</v>
      </c>
      <c r="F29" s="25">
        <f>10^(E29/10)</f>
        <v>31.622776601683803</v>
      </c>
      <c r="G29" s="15">
        <f>10^(F8/10)</f>
        <v>100</v>
      </c>
      <c r="H29" s="18"/>
      <c r="I29" s="18"/>
      <c r="J29" s="18"/>
      <c r="K29" s="18"/>
      <c r="L29" s="18"/>
      <c r="M29" s="18"/>
      <c r="N29" s="18"/>
      <c r="O29" s="18"/>
    </row>
    <row r="30" spans="1:15" ht="13.5" customHeight="1" thickBot="1" x14ac:dyDescent="0.4">
      <c r="A30" s="115" t="s">
        <v>41</v>
      </c>
      <c r="B30" s="103">
        <v>15</v>
      </c>
      <c r="C30" s="113">
        <f>10^(B30/10)</f>
        <v>31.622776601683803</v>
      </c>
      <c r="D30" s="113"/>
      <c r="E30" s="15">
        <f>B30+F9</f>
        <v>23</v>
      </c>
      <c r="F30" s="25">
        <f>10^(E30/10)</f>
        <v>199.52623149688802</v>
      </c>
      <c r="G30" s="15">
        <f>10^(F9/10)</f>
        <v>6.3095734448019343</v>
      </c>
      <c r="H30" s="18"/>
      <c r="I30" s="18"/>
      <c r="J30" s="18"/>
      <c r="K30" s="18"/>
      <c r="L30" s="18"/>
      <c r="M30" s="18"/>
      <c r="N30" s="18"/>
    </row>
    <row r="31" spans="1:15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5" x14ac:dyDescent="0.35">
      <c r="A32" s="18"/>
      <c r="B32" s="18"/>
      <c r="C32" s="190" t="s">
        <v>75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35">
      <c r="A33" s="49" t="s">
        <v>56</v>
      </c>
      <c r="B33" s="50">
        <f>1/(1/C29+G29/C30)</f>
        <v>0.158113883008419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ht="15" thickBot="1" x14ac:dyDescent="0.4">
      <c r="A34" s="108" t="s">
        <v>57</v>
      </c>
      <c r="B34" s="116">
        <f>B33*10^(B15/10)</f>
        <v>99.763115748443994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ht="15" thickBot="1" x14ac:dyDescent="0.4">
      <c r="A35" s="118" t="s">
        <v>58</v>
      </c>
      <c r="B35" s="193">
        <f>10*LOG(B33)</f>
        <v>-8.0102999566398108</v>
      </c>
      <c r="C35" s="189">
        <v>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35">
      <c r="A36" s="117" t="s">
        <v>59</v>
      </c>
      <c r="B36" s="194">
        <f>10*LOG(B34)</f>
        <v>19.989700043360187</v>
      </c>
      <c r="C36" s="189">
        <v>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35">
      <c r="A37" s="19" t="s">
        <v>60</v>
      </c>
      <c r="B37" s="48">
        <f>B21+B14+B15</f>
        <v>-142.26987382576158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35">
      <c r="A38" s="19" t="s">
        <v>10</v>
      </c>
      <c r="B38" s="191">
        <f>(2/3)*(B36-B37)</f>
        <v>108.17304924608118</v>
      </c>
      <c r="C38" s="27"/>
      <c r="D38" s="27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35">
      <c r="A39" s="15"/>
      <c r="B39" s="28"/>
      <c r="C39" s="27"/>
      <c r="D39" s="27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2" spans="1:14" s="18" customFormat="1" x14ac:dyDescent="0.35"/>
    <row r="43" spans="1:14" s="18" customFormat="1" x14ac:dyDescent="0.35"/>
    <row r="44" spans="1:14" s="18" customFormat="1" x14ac:dyDescent="0.35"/>
    <row r="45" spans="1:14" s="18" customFormat="1" x14ac:dyDescent="0.35"/>
    <row r="46" spans="1:14" s="18" customFormat="1" x14ac:dyDescent="0.35"/>
    <row r="47" spans="1:14" s="18" customFormat="1" x14ac:dyDescent="0.35"/>
    <row r="48" spans="1:14" s="18" customFormat="1" x14ac:dyDescent="0.35"/>
    <row r="49" s="18" customFormat="1" x14ac:dyDescent="0.35"/>
    <row r="50" s="18" customFormat="1" x14ac:dyDescent="0.35"/>
    <row r="51" s="18" customFormat="1" x14ac:dyDescent="0.35"/>
  </sheetData>
  <mergeCells count="1"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BDE0-7D68-47B4-8F19-488F61613B57}">
  <dimension ref="A1:O27"/>
  <sheetViews>
    <sheetView zoomScale="124" zoomScaleNormal="124" workbookViewId="0">
      <selection activeCell="N5" sqref="N5"/>
    </sheetView>
  </sheetViews>
  <sheetFormatPr baseColWidth="10" defaultColWidth="10.81640625" defaultRowHeight="14.5" x14ac:dyDescent="0.35"/>
  <cols>
    <col min="1" max="1" width="10.81640625" style="52"/>
    <col min="2" max="2" width="11.81640625" style="52" bestFit="1" customWidth="1"/>
    <col min="3" max="3" width="10.81640625" style="52" bestFit="1" customWidth="1"/>
    <col min="4" max="4" width="10.81640625" style="52"/>
    <col min="5" max="5" width="16.7265625" style="52" bestFit="1" customWidth="1"/>
    <col min="6" max="6" width="13.1796875" style="52" bestFit="1" customWidth="1"/>
    <col min="7" max="8" width="10.81640625" style="52"/>
    <col min="9" max="9" width="14.26953125" style="52" bestFit="1" customWidth="1"/>
    <col min="10" max="10" width="12.81640625" style="52" customWidth="1"/>
    <col min="11" max="11" width="10.81640625" style="52"/>
    <col min="12" max="12" width="11.81640625" style="52" bestFit="1" customWidth="1"/>
    <col min="13" max="13" width="10.81640625" style="52" bestFit="1" customWidth="1"/>
    <col min="14" max="14" width="10.81640625" style="52"/>
    <col min="15" max="15" width="13.7265625" style="52" bestFit="1" customWidth="1"/>
    <col min="16" max="16" width="14.1796875" style="52" bestFit="1" customWidth="1"/>
    <col min="17" max="18" width="10.81640625" style="52"/>
    <col min="19" max="19" width="14.81640625" style="52" bestFit="1" customWidth="1"/>
    <col min="20" max="21" width="10.81640625" style="52"/>
    <col min="22" max="22" width="9.453125" style="52" bestFit="1" customWidth="1"/>
    <col min="23" max="23" width="10.81640625" style="52" bestFit="1" customWidth="1"/>
    <col min="24" max="16384" width="10.81640625" style="52"/>
  </cols>
  <sheetData>
    <row r="1" spans="1:14" x14ac:dyDescent="0.35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x14ac:dyDescent="0.3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3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ht="15" thickBot="1" x14ac:dyDescent="0.4">
      <c r="L4" s="64"/>
      <c r="N4" s="65"/>
    </row>
    <row r="5" spans="1:14" ht="15" thickBot="1" x14ac:dyDescent="0.4">
      <c r="B5" s="284" t="s">
        <v>85</v>
      </c>
      <c r="C5" s="285"/>
      <c r="E5" s="286" t="s">
        <v>86</v>
      </c>
      <c r="F5" s="287"/>
      <c r="G5" s="64"/>
      <c r="H5" s="64"/>
      <c r="I5" s="64"/>
      <c r="J5" s="64"/>
      <c r="K5" s="64"/>
      <c r="L5" s="64"/>
    </row>
    <row r="6" spans="1:14" ht="16" x14ac:dyDescent="0.35">
      <c r="B6" s="53" t="s">
        <v>87</v>
      </c>
      <c r="C6" s="60">
        <f>2.445*10^9</f>
        <v>2445000000</v>
      </c>
      <c r="E6" s="56" t="s">
        <v>88</v>
      </c>
      <c r="F6" s="129">
        <f>C7-C8-C10</f>
        <v>24.499595817601126</v>
      </c>
    </row>
    <row r="7" spans="1:14" ht="16" x14ac:dyDescent="0.35">
      <c r="B7" s="54" t="s">
        <v>89</v>
      </c>
      <c r="C7" s="55">
        <v>14</v>
      </c>
      <c r="E7" s="57" t="s">
        <v>90</v>
      </c>
      <c r="F7" s="59">
        <f>((300000000/$C$6)*10^(($F6)/20))/(4*PI())</f>
        <v>0.16391259205359954</v>
      </c>
      <c r="K7" s="64"/>
      <c r="L7" s="64"/>
    </row>
    <row r="8" spans="1:14" ht="16" x14ac:dyDescent="0.35">
      <c r="B8" s="54" t="s">
        <v>78</v>
      </c>
      <c r="C8" s="88">
        <f>M15</f>
        <v>-40.499595817601126</v>
      </c>
      <c r="E8" s="54" t="s">
        <v>91</v>
      </c>
      <c r="F8" s="58">
        <f>C7-C9-C10</f>
        <v>75.5</v>
      </c>
      <c r="G8" s="64"/>
      <c r="H8" s="64"/>
      <c r="I8" s="64"/>
      <c r="J8" s="64"/>
      <c r="K8" s="64"/>
      <c r="L8" s="64"/>
    </row>
    <row r="9" spans="1:14" ht="16" x14ac:dyDescent="0.35">
      <c r="B9" s="54" t="s">
        <v>80</v>
      </c>
      <c r="C9" s="55">
        <v>-91.5</v>
      </c>
      <c r="E9" s="57" t="s">
        <v>92</v>
      </c>
      <c r="F9" s="59">
        <f>((300000000/$C$6)*10^(($F8)/20))/(4*PI())</f>
        <v>58.16108868426759</v>
      </c>
    </row>
    <row r="10" spans="1:14" ht="15" thickBot="1" x14ac:dyDescent="0.4">
      <c r="B10" s="61" t="s">
        <v>93</v>
      </c>
      <c r="C10" s="62">
        <v>30</v>
      </c>
    </row>
    <row r="11" spans="1:14" ht="16.5" x14ac:dyDescent="0.35">
      <c r="B11" s="66" t="s">
        <v>81</v>
      </c>
      <c r="C11" s="67">
        <f>(10^(C9/10)*0.001)</f>
        <v>7.0794578438413687E-13</v>
      </c>
    </row>
    <row r="12" spans="1:14" ht="17" thickBot="1" x14ac:dyDescent="0.4">
      <c r="B12" s="69" t="s">
        <v>79</v>
      </c>
      <c r="C12" s="70">
        <f>(10^(C8/10)*0.001)</f>
        <v>8.9133388754256118E-8</v>
      </c>
      <c r="D12" s="64"/>
      <c r="E12" s="64"/>
      <c r="F12" s="64"/>
      <c r="G12" s="64"/>
      <c r="H12" s="64"/>
      <c r="I12" s="64"/>
      <c r="J12" s="64"/>
      <c r="K12" s="64"/>
      <c r="L12" s="64"/>
    </row>
    <row r="13" spans="1:14" ht="15" thickBot="1" x14ac:dyDescent="0.4"/>
    <row r="14" spans="1:14" ht="16.5" x14ac:dyDescent="0.35">
      <c r="E14" s="77" t="s">
        <v>94</v>
      </c>
      <c r="F14" s="78" t="s">
        <v>95</v>
      </c>
      <c r="H14" s="77" t="s">
        <v>37</v>
      </c>
      <c r="I14" s="84" t="s">
        <v>96</v>
      </c>
      <c r="J14" s="84" t="s">
        <v>97</v>
      </c>
      <c r="K14" s="84" t="s">
        <v>83</v>
      </c>
      <c r="L14" s="84" t="s">
        <v>52</v>
      </c>
      <c r="M14" s="78" t="s">
        <v>98</v>
      </c>
    </row>
    <row r="15" spans="1:14" ht="15" thickBot="1" x14ac:dyDescent="0.4">
      <c r="E15" s="275">
        <f>SQRT(C11*2*50)</f>
        <v>8.4139514164519448E-6</v>
      </c>
      <c r="F15" s="79">
        <f>SQRT(C12*2*50)</f>
        <v>2.9855215416113834E-3</v>
      </c>
      <c r="H15" s="276">
        <v>3.73</v>
      </c>
      <c r="I15" s="85">
        <v>-174</v>
      </c>
      <c r="J15" s="86">
        <v>3000000</v>
      </c>
      <c r="K15" s="121">
        <f>H15+I15+10*LOG10(J15)</f>
        <v>-105.49878745280338</v>
      </c>
      <c r="L15" s="85">
        <v>-8</v>
      </c>
      <c r="M15" s="87">
        <f>(2*L15+K15)/3</f>
        <v>-40.499595817601126</v>
      </c>
    </row>
    <row r="16" spans="1:14" ht="16.5" x14ac:dyDescent="0.35">
      <c r="E16" s="80" t="s">
        <v>99</v>
      </c>
      <c r="F16" s="81" t="s">
        <v>100</v>
      </c>
    </row>
    <row r="17" spans="2:15" ht="15" thickBot="1" x14ac:dyDescent="0.4">
      <c r="E17" s="82">
        <f>SQRT(2*C11*50)*10^($E$2/20)</f>
        <v>8.4139514164519448E-6</v>
      </c>
      <c r="F17" s="83">
        <f>SQRT(2*C12*50)*10^($E$2/20)</f>
        <v>2.9855215416113834E-3</v>
      </c>
    </row>
    <row r="24" spans="2:15" x14ac:dyDescent="0.35">
      <c r="O24" s="68"/>
    </row>
    <row r="25" spans="2:15" x14ac:dyDescent="0.35">
      <c r="O25" s="68"/>
    </row>
    <row r="26" spans="2:15" x14ac:dyDescent="0.35">
      <c r="B26" s="64"/>
      <c r="O26" s="68"/>
    </row>
    <row r="27" spans="2:15" x14ac:dyDescent="0.35">
      <c r="O27" s="68"/>
    </row>
  </sheetData>
  <mergeCells count="2">
    <mergeCell ref="B5:C5"/>
    <mergeCell ref="E5:F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42FE-9E36-44D0-8CE3-B90AE23EE2D0}">
  <dimension ref="A1:N51"/>
  <sheetViews>
    <sheetView topLeftCell="A2" zoomScale="90" zoomScaleNormal="90" workbookViewId="0">
      <selection activeCell="G9" sqref="G9"/>
    </sheetView>
  </sheetViews>
  <sheetFormatPr baseColWidth="10" defaultColWidth="11.453125" defaultRowHeight="14.5" x14ac:dyDescent="0.35"/>
  <cols>
    <col min="1" max="1" width="23.1796875" customWidth="1"/>
    <col min="2" max="2" width="10.1796875" bestFit="1" customWidth="1"/>
    <col min="3" max="3" width="9.1796875" bestFit="1" customWidth="1"/>
    <col min="4" max="4" width="23.54296875" bestFit="1" customWidth="1"/>
    <col min="5" max="5" width="9.81640625" bestFit="1" customWidth="1"/>
    <col min="6" max="6" width="12.54296875" customWidth="1"/>
    <col min="7" max="7" width="11.81640625" bestFit="1" customWidth="1"/>
    <col min="8" max="8" width="16" customWidth="1"/>
    <col min="9" max="9" width="30.26953125" customWidth="1"/>
    <col min="10" max="10" width="35.1796875" customWidth="1"/>
    <col min="11" max="11" width="33.26953125" customWidth="1"/>
    <col min="12" max="12" width="21" customWidth="1"/>
    <col min="13" max="13" width="20.7265625" customWidth="1"/>
    <col min="14" max="14" width="20.453125" customWidth="1"/>
  </cols>
  <sheetData>
    <row r="1" spans="1:13" s="13" customFormat="1" ht="37" x14ac:dyDescent="0.85">
      <c r="A1" s="13" t="s">
        <v>33</v>
      </c>
    </row>
    <row r="5" spans="1:13" s="14" customFormat="1" x14ac:dyDescent="0.35">
      <c r="A5" s="14" t="s">
        <v>34</v>
      </c>
    </row>
    <row r="6" spans="1:13" ht="15" thickBot="1" x14ac:dyDescent="0.4"/>
    <row r="7" spans="1:13" ht="16.5" x14ac:dyDescent="0.35">
      <c r="A7" s="95" t="s">
        <v>35</v>
      </c>
      <c r="B7" s="96" t="s">
        <v>36</v>
      </c>
      <c r="C7" s="96" t="s">
        <v>37</v>
      </c>
      <c r="D7" s="96" t="s">
        <v>38</v>
      </c>
      <c r="E7" s="97" t="s">
        <v>39</v>
      </c>
      <c r="F7" s="104" t="s">
        <v>73</v>
      </c>
      <c r="G7" s="75" t="s">
        <v>74</v>
      </c>
      <c r="H7" s="18"/>
      <c r="I7" s="18"/>
      <c r="J7" s="18"/>
      <c r="K7" s="18"/>
      <c r="L7" s="18"/>
      <c r="M7" s="18"/>
    </row>
    <row r="8" spans="1:13" x14ac:dyDescent="0.35">
      <c r="A8" s="98" t="s">
        <v>40</v>
      </c>
      <c r="B8" s="15">
        <f>10^(C8/10)</f>
        <v>2.2387211385683394</v>
      </c>
      <c r="C8" s="48">
        <v>3.5</v>
      </c>
      <c r="D8" s="15">
        <f>10^(E8/10)</f>
        <v>100</v>
      </c>
      <c r="E8" s="99">
        <v>20</v>
      </c>
      <c r="F8" s="92">
        <f>SQRT(G14*2*50)</f>
        <v>8.4152483250774893E-6</v>
      </c>
      <c r="G8" s="105">
        <f>SQRT(G13*2*50)</f>
        <v>2.9853826189179594E-3</v>
      </c>
      <c r="H8" s="18"/>
      <c r="I8" s="18"/>
      <c r="J8" s="18"/>
      <c r="K8" s="18"/>
      <c r="L8" s="18">
        <v>8</v>
      </c>
      <c r="M8" s="18"/>
    </row>
    <row r="9" spans="1:13" ht="15" thickBot="1" x14ac:dyDescent="0.4">
      <c r="A9" s="100" t="s">
        <v>41</v>
      </c>
      <c r="B9" s="101">
        <f>10^(C9/10)</f>
        <v>13.18256738556407</v>
      </c>
      <c r="C9" s="102">
        <v>11.2</v>
      </c>
      <c r="D9" s="101">
        <f>10^(E9/10)</f>
        <v>6.3095734448019343</v>
      </c>
      <c r="E9" s="103">
        <v>8</v>
      </c>
      <c r="F9" s="106">
        <f>SQRT(2*G14*50)*10^(E8/20)</f>
        <v>8.415248325077489E-5</v>
      </c>
      <c r="G9" s="107">
        <f>SQRT(2*G13*50)*10^(E8/20)</f>
        <v>2.9853826189179596E-2</v>
      </c>
      <c r="H9" s="18"/>
      <c r="I9" s="18"/>
      <c r="J9" s="18"/>
      <c r="K9" s="18"/>
      <c r="L9" s="18"/>
      <c r="M9" s="18"/>
    </row>
    <row r="10" spans="1:13" x14ac:dyDescent="0.35">
      <c r="A10" s="93" t="s">
        <v>76</v>
      </c>
      <c r="B10" s="93">
        <f t="shared" ref="B10" si="0">10^(C10/10)</f>
        <v>1</v>
      </c>
      <c r="C10" s="93">
        <v>0</v>
      </c>
      <c r="D10" s="93">
        <f t="shared" ref="D10" si="1">10^(E10/10)</f>
        <v>1</v>
      </c>
      <c r="E10" s="94">
        <v>0</v>
      </c>
      <c r="F10" s="93"/>
      <c r="G10" s="93"/>
      <c r="H10" s="18"/>
      <c r="I10" s="18"/>
      <c r="J10" s="18"/>
      <c r="K10" s="18"/>
      <c r="L10" s="18"/>
      <c r="M10" s="18"/>
    </row>
    <row r="11" spans="1:13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15" thickBot="1" x14ac:dyDescent="0.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7" thickBot="1" x14ac:dyDescent="0.4">
      <c r="A13" s="108" t="s">
        <v>43</v>
      </c>
      <c r="B13" s="108">
        <f>B8+(B9-1)/D8+(B10-1)/(D8*D9)</f>
        <v>2.3605468124239803</v>
      </c>
      <c r="C13" s="20"/>
      <c r="D13" s="71" t="s">
        <v>78</v>
      </c>
      <c r="E13" s="73">
        <v>-40.5</v>
      </c>
      <c r="F13" s="74" t="s">
        <v>79</v>
      </c>
      <c r="G13" s="75">
        <f>(10^(E13/10)*0.001)</f>
        <v>8.9125093813374524E-8</v>
      </c>
      <c r="H13" s="20"/>
      <c r="I13" s="18"/>
      <c r="J13" s="18"/>
      <c r="K13" s="18"/>
      <c r="L13" s="18"/>
      <c r="M13" s="18"/>
    </row>
    <row r="14" spans="1:13" ht="17" thickBot="1" x14ac:dyDescent="0.4">
      <c r="A14" s="109" t="s">
        <v>44</v>
      </c>
      <c r="B14" s="110">
        <f>10*LOG10(B13)</f>
        <v>3.7301261742384231</v>
      </c>
      <c r="C14" s="20"/>
      <c r="D14" s="72" t="s">
        <v>80</v>
      </c>
      <c r="E14" s="89">
        <f>B23</f>
        <v>-91.498661278564953</v>
      </c>
      <c r="F14" s="276" t="s">
        <v>81</v>
      </c>
      <c r="G14" s="76">
        <f>(10^(E14/10)*0.001)</f>
        <v>7.0816404372719497E-13</v>
      </c>
      <c r="H14" s="20"/>
      <c r="I14" s="18"/>
      <c r="J14" s="18"/>
      <c r="K14" s="18"/>
      <c r="L14" s="18"/>
      <c r="M14" s="18"/>
    </row>
    <row r="15" spans="1:13" ht="15" thickBot="1" x14ac:dyDescent="0.4">
      <c r="A15" s="111" t="s">
        <v>45</v>
      </c>
      <c r="B15" s="112">
        <f>SUM(E8:E10)</f>
        <v>28</v>
      </c>
      <c r="C15" s="18"/>
      <c r="D15" s="18"/>
      <c r="E15" s="18"/>
      <c r="G15" s="18"/>
      <c r="H15" s="18"/>
      <c r="I15" s="18"/>
      <c r="J15" s="18"/>
      <c r="K15" s="18"/>
      <c r="L15" s="18"/>
      <c r="M15" s="18"/>
    </row>
    <row r="16" spans="1:13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4" x14ac:dyDescent="0.3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4" s="14" customFormat="1" x14ac:dyDescent="0.35">
      <c r="A18" s="21" t="s">
        <v>46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4" s="22" customFormat="1" x14ac:dyDescent="0.3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 x14ac:dyDescent="0.35">
      <c r="A20" s="15" t="s">
        <v>47</v>
      </c>
      <c r="B20" s="15">
        <v>14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4" x14ac:dyDescent="0.35">
      <c r="A21" s="15" t="s">
        <v>48</v>
      </c>
      <c r="B21" s="15">
        <v>-174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4" ht="15" thickBot="1" x14ac:dyDescent="0.4">
      <c r="A22" s="15" t="s">
        <v>49</v>
      </c>
      <c r="B22" s="15">
        <v>3000000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4" ht="16.5" x14ac:dyDescent="0.35">
      <c r="A23" s="19" t="s">
        <v>50</v>
      </c>
      <c r="B23" s="48">
        <f>B14+B21+10*LOG10(B22)+B20</f>
        <v>-91.498661278564953</v>
      </c>
      <c r="D23" s="90" t="s">
        <v>83</v>
      </c>
      <c r="E23" s="18"/>
      <c r="F23" s="18"/>
      <c r="G23" s="18"/>
      <c r="H23" s="18"/>
      <c r="I23" s="18"/>
      <c r="J23" s="18"/>
      <c r="K23" s="18"/>
      <c r="L23" s="18"/>
      <c r="M23" s="18"/>
    </row>
    <row r="24" spans="1:14" ht="17" thickBot="1" x14ac:dyDescent="0.5">
      <c r="A24" s="48" t="s">
        <v>84</v>
      </c>
      <c r="B24" s="51">
        <v>58.16</v>
      </c>
      <c r="C24" s="18"/>
      <c r="D24" s="91">
        <f>B21+B14+10*LOG10(B22)</f>
        <v>-105.49866127856495</v>
      </c>
      <c r="E24" s="18"/>
      <c r="F24" s="18"/>
      <c r="G24" s="18"/>
      <c r="H24" s="18"/>
      <c r="I24" s="18"/>
      <c r="J24" s="18"/>
      <c r="K24" s="18"/>
      <c r="L24" s="18"/>
      <c r="M24" s="18"/>
    </row>
    <row r="25" spans="1:14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4" s="14" customFormat="1" x14ac:dyDescent="0.35">
      <c r="A26" s="21" t="s">
        <v>51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4" ht="15" thickBot="1" x14ac:dyDescent="0.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4" x14ac:dyDescent="0.35">
      <c r="A28" s="95" t="s">
        <v>35</v>
      </c>
      <c r="B28" s="97" t="s">
        <v>52</v>
      </c>
      <c r="C28" s="113" t="s">
        <v>8</v>
      </c>
      <c r="D28" s="15" t="s">
        <v>53</v>
      </c>
      <c r="E28" s="15" t="s">
        <v>54</v>
      </c>
      <c r="F28" s="15" t="s">
        <v>55</v>
      </c>
      <c r="G28" s="15" t="s">
        <v>39</v>
      </c>
      <c r="H28" s="18"/>
      <c r="I28" s="18"/>
      <c r="J28" s="18"/>
      <c r="K28" s="18"/>
      <c r="L28" s="18"/>
      <c r="M28" s="18"/>
      <c r="N28" s="18"/>
    </row>
    <row r="29" spans="1:14" ht="13.5" customHeight="1" x14ac:dyDescent="0.35">
      <c r="A29" s="114" t="s">
        <v>40</v>
      </c>
      <c r="B29" s="99">
        <v>-5</v>
      </c>
      <c r="C29" s="113">
        <f>10^(B29/10)</f>
        <v>0.31622776601683794</v>
      </c>
      <c r="D29" s="15">
        <f>B29+E8</f>
        <v>15</v>
      </c>
      <c r="E29" s="25">
        <f>10^(D29/10)</f>
        <v>31.622776601683803</v>
      </c>
      <c r="F29" s="15">
        <f>10^(G29/10)</f>
        <v>100</v>
      </c>
      <c r="G29" s="15">
        <v>20</v>
      </c>
      <c r="H29" s="18"/>
      <c r="I29" s="18"/>
      <c r="J29" s="18"/>
      <c r="K29" s="18"/>
      <c r="L29" s="18"/>
      <c r="M29" s="18"/>
      <c r="N29" s="18"/>
    </row>
    <row r="30" spans="1:14" ht="13.5" customHeight="1" thickBot="1" x14ac:dyDescent="0.4">
      <c r="A30" s="115" t="s">
        <v>41</v>
      </c>
      <c r="B30" s="103">
        <v>15</v>
      </c>
      <c r="C30" s="113">
        <f>10^(B30/10)</f>
        <v>31.622776601683803</v>
      </c>
      <c r="D30" s="15">
        <f>B30+E9</f>
        <v>23</v>
      </c>
      <c r="E30" s="25">
        <f>10^(D30/10)</f>
        <v>199.52623149688802</v>
      </c>
      <c r="F30" s="15">
        <f>10^(G30/10)</f>
        <v>6.3095734448019343</v>
      </c>
      <c r="G30" s="15">
        <v>8</v>
      </c>
      <c r="H30" s="18"/>
      <c r="I30" s="18"/>
      <c r="J30" s="18"/>
      <c r="K30" s="18"/>
      <c r="L30" s="18"/>
      <c r="M30" s="18"/>
    </row>
    <row r="31" spans="1:14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4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35">
      <c r="A33" s="49" t="s">
        <v>56</v>
      </c>
      <c r="B33" s="50">
        <f>1/(1/C29+F29/C30)</f>
        <v>0.158113883008419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5" thickBot="1" x14ac:dyDescent="0.4">
      <c r="A34" s="108" t="s">
        <v>57</v>
      </c>
      <c r="B34" s="116">
        <f>B33*10^(B15/10)</f>
        <v>99.763115748443994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15" thickBot="1" x14ac:dyDescent="0.4">
      <c r="A35" s="118" t="s">
        <v>58</v>
      </c>
      <c r="B35" s="120">
        <f>10*LOG(B33)</f>
        <v>-8.0102999566398108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x14ac:dyDescent="0.35">
      <c r="A36" s="117" t="s">
        <v>59</v>
      </c>
      <c r="B36" s="119">
        <f>10*LOG(B34)</f>
        <v>19.989700043360187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35">
      <c r="A37" s="19" t="s">
        <v>60</v>
      </c>
      <c r="B37" s="48">
        <f>B21+B14+B15</f>
        <v>-142.26987382576158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35">
      <c r="A38" s="19" t="s">
        <v>10</v>
      </c>
      <c r="B38" s="48">
        <f>(2/3)*(B36-B37)</f>
        <v>108.17304924608118</v>
      </c>
      <c r="C38" s="27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35">
      <c r="A39" s="15"/>
      <c r="B39" s="28"/>
      <c r="C39" s="27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2" spans="1:13" s="18" customFormat="1" x14ac:dyDescent="0.35"/>
    <row r="43" spans="1:13" s="18" customFormat="1" x14ac:dyDescent="0.35"/>
    <row r="44" spans="1:13" s="18" customFormat="1" x14ac:dyDescent="0.35"/>
    <row r="45" spans="1:13" s="18" customFormat="1" x14ac:dyDescent="0.35"/>
    <row r="46" spans="1:13" s="18" customFormat="1" x14ac:dyDescent="0.35"/>
    <row r="47" spans="1:13" s="18" customFormat="1" x14ac:dyDescent="0.35"/>
    <row r="48" spans="1:13" s="18" customFormat="1" x14ac:dyDescent="0.35"/>
    <row r="49" s="18" customFormat="1" x14ac:dyDescent="0.35"/>
    <row r="50" s="18" customFormat="1" x14ac:dyDescent="0.35"/>
    <row r="51" s="18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8C38-A3D8-4BA2-B4BE-337F46227D7C}">
  <dimension ref="A1:Z35"/>
  <sheetViews>
    <sheetView showGridLines="0" topLeftCell="C5" zoomScale="106" zoomScaleNormal="106" workbookViewId="0">
      <selection activeCell="O19" sqref="O19"/>
    </sheetView>
  </sheetViews>
  <sheetFormatPr baseColWidth="10" defaultColWidth="10.81640625" defaultRowHeight="14.5" x14ac:dyDescent="0.35"/>
  <cols>
    <col min="1" max="1" width="21.453125" style="1" customWidth="1"/>
    <col min="2" max="4" width="18.453125" style="1" customWidth="1"/>
    <col min="5" max="5" width="16.81640625" style="1" customWidth="1"/>
    <col min="6" max="6" width="16.7265625" style="1" customWidth="1"/>
    <col min="7" max="7" width="17.26953125" style="1" customWidth="1"/>
    <col min="8" max="9" width="10.81640625" style="1"/>
    <col min="10" max="10" width="33.453125" style="1" customWidth="1"/>
    <col min="11" max="12" width="10.81640625" style="1"/>
    <col min="13" max="13" width="20.7265625" style="1" bestFit="1" customWidth="1"/>
    <col min="14" max="14" width="12" style="1" bestFit="1" customWidth="1"/>
    <col min="15" max="16384" width="10.81640625" style="1"/>
  </cols>
  <sheetData>
    <row r="1" spans="1:26" ht="63" thickBot="1" x14ac:dyDescent="0.4">
      <c r="A1" s="304" t="s">
        <v>101</v>
      </c>
      <c r="B1" s="305"/>
      <c r="C1" s="305"/>
      <c r="D1" s="305"/>
      <c r="E1" s="305"/>
      <c r="F1" s="305"/>
      <c r="G1" s="305"/>
      <c r="H1" s="305"/>
      <c r="I1" s="319" t="s">
        <v>102</v>
      </c>
      <c r="J1" s="319"/>
      <c r="K1" s="319"/>
      <c r="L1" s="319"/>
      <c r="M1" s="319"/>
      <c r="N1" s="319"/>
      <c r="O1" s="319"/>
      <c r="P1" s="319"/>
      <c r="Q1" s="320"/>
    </row>
    <row r="2" spans="1:26" ht="15" thickBot="1" x14ac:dyDescent="0.4">
      <c r="A2" s="52"/>
      <c r="B2" s="52"/>
      <c r="C2" s="52"/>
      <c r="D2" s="52"/>
    </row>
    <row r="3" spans="1:26" ht="29.25" customHeight="1" thickBot="1" x14ac:dyDescent="0.65">
      <c r="A3" s="330" t="s">
        <v>40</v>
      </c>
      <c r="B3" s="331"/>
      <c r="C3" s="331"/>
      <c r="D3" s="331"/>
      <c r="E3" s="331"/>
      <c r="F3" s="331"/>
      <c r="G3" s="331"/>
      <c r="H3" s="332"/>
    </row>
    <row r="4" spans="1:26" ht="16.5" thickBot="1" x14ac:dyDescent="0.45">
      <c r="A4" s="324" t="s">
        <v>103</v>
      </c>
      <c r="B4" s="325"/>
      <c r="C4" s="325"/>
      <c r="D4" s="326"/>
      <c r="E4" s="327" t="s">
        <v>104</v>
      </c>
      <c r="F4" s="328"/>
      <c r="G4" s="328"/>
      <c r="H4" s="329"/>
    </row>
    <row r="5" spans="1:26" ht="16" x14ac:dyDescent="0.4">
      <c r="A5" s="208" t="s">
        <v>105</v>
      </c>
      <c r="B5" s="209" t="s">
        <v>106</v>
      </c>
      <c r="C5" s="210" t="s">
        <v>107</v>
      </c>
      <c r="D5" s="211" t="s">
        <v>108</v>
      </c>
      <c r="E5" s="196" t="s">
        <v>105</v>
      </c>
      <c r="F5" s="197" t="s">
        <v>106</v>
      </c>
      <c r="G5" s="197" t="s">
        <v>107</v>
      </c>
      <c r="H5" s="198" t="s">
        <v>108</v>
      </c>
    </row>
    <row r="6" spans="1:26" ht="16" x14ac:dyDescent="0.4">
      <c r="A6" s="264" t="s">
        <v>109</v>
      </c>
      <c r="B6" s="195">
        <v>3.5</v>
      </c>
      <c r="C6" s="222">
        <v>1.5</v>
      </c>
      <c r="D6" s="222" t="s">
        <v>110</v>
      </c>
      <c r="E6" s="212" t="s">
        <v>111</v>
      </c>
      <c r="F6" s="213">
        <v>15</v>
      </c>
      <c r="G6" s="213"/>
      <c r="H6" s="205" t="s">
        <v>110</v>
      </c>
      <c r="R6" s="223"/>
      <c r="S6" s="223"/>
      <c r="T6" s="223"/>
      <c r="U6" s="223"/>
      <c r="V6" s="223"/>
      <c r="W6" s="223"/>
      <c r="X6" s="223"/>
      <c r="Y6" s="223"/>
      <c r="Z6" s="223"/>
    </row>
    <row r="7" spans="1:26" ht="16" x14ac:dyDescent="0.4">
      <c r="A7" s="221" t="s">
        <v>112</v>
      </c>
      <c r="B7" s="203">
        <f>10^(B6/10)</f>
        <v>2.2387211385683394</v>
      </c>
      <c r="C7" s="222"/>
      <c r="D7" s="222" t="s">
        <v>113</v>
      </c>
      <c r="E7" s="212" t="s">
        <v>114</v>
      </c>
      <c r="F7" s="230">
        <f>10^(F6/10)</f>
        <v>31.622776601683803</v>
      </c>
      <c r="G7" s="213"/>
      <c r="H7" s="205" t="s">
        <v>113</v>
      </c>
      <c r="R7" s="223"/>
      <c r="S7" s="223"/>
      <c r="T7" s="223"/>
      <c r="U7" s="223"/>
      <c r="V7" s="223"/>
      <c r="W7" s="223"/>
      <c r="X7" s="223"/>
      <c r="Y7" s="223"/>
      <c r="Z7" s="223"/>
    </row>
    <row r="8" spans="1:26" ht="16" x14ac:dyDescent="0.4">
      <c r="A8" s="264" t="s">
        <v>39</v>
      </c>
      <c r="B8" s="195">
        <v>20</v>
      </c>
      <c r="C8" s="222">
        <v>6</v>
      </c>
      <c r="D8" s="222" t="s">
        <v>110</v>
      </c>
      <c r="E8" s="212" t="s">
        <v>115</v>
      </c>
      <c r="F8" s="195">
        <v>8</v>
      </c>
      <c r="G8" s="213"/>
      <c r="H8" s="205" t="s">
        <v>110</v>
      </c>
      <c r="R8" s="223"/>
      <c r="S8" s="223"/>
      <c r="T8" s="223"/>
      <c r="U8" s="223"/>
      <c r="V8" s="223"/>
      <c r="W8" s="223"/>
      <c r="X8" s="223"/>
      <c r="Y8" s="223"/>
      <c r="Z8" s="223"/>
    </row>
    <row r="9" spans="1:26" ht="16.5" thickBot="1" x14ac:dyDescent="0.45">
      <c r="A9" s="221" t="s">
        <v>116</v>
      </c>
      <c r="B9" s="195">
        <f>10^(B8/10)</f>
        <v>100</v>
      </c>
      <c r="C9" s="222"/>
      <c r="D9" s="222" t="s">
        <v>113</v>
      </c>
      <c r="E9" s="214" t="s">
        <v>117</v>
      </c>
      <c r="F9" s="231">
        <f>10^(F8/10)</f>
        <v>6.3095734448019343</v>
      </c>
      <c r="G9" s="215"/>
      <c r="H9" s="6" t="s">
        <v>113</v>
      </c>
      <c r="R9" s="223"/>
      <c r="S9" s="223"/>
      <c r="T9" s="223"/>
      <c r="U9" s="223"/>
      <c r="V9" s="223"/>
      <c r="W9" s="223"/>
      <c r="X9" s="223"/>
      <c r="Y9" s="223"/>
      <c r="Z9" s="223"/>
    </row>
    <row r="10" spans="1:26" ht="16.5" customHeight="1" x14ac:dyDescent="0.35">
      <c r="A10" s="311" t="s">
        <v>118</v>
      </c>
      <c r="B10" s="199">
        <f>SQRT((10^(N23/10)*0.001)*2*50)</f>
        <v>8.4159797674658634E-6</v>
      </c>
      <c r="C10" s="222"/>
      <c r="D10" s="205" t="s">
        <v>119</v>
      </c>
      <c r="R10" s="223"/>
      <c r="S10" s="223"/>
      <c r="T10" s="223"/>
      <c r="U10" s="223"/>
      <c r="V10" s="223"/>
      <c r="W10" s="223"/>
      <c r="X10" s="223"/>
      <c r="Y10" s="223"/>
      <c r="Z10" s="223"/>
    </row>
    <row r="11" spans="1:26" ht="15" thickBot="1" x14ac:dyDescent="0.4">
      <c r="A11" s="312"/>
      <c r="B11" s="202"/>
      <c r="C11" s="224"/>
      <c r="D11" s="205" t="s">
        <v>120</v>
      </c>
      <c r="R11" s="223"/>
      <c r="S11" s="223"/>
      <c r="T11" s="223"/>
      <c r="U11" s="223"/>
      <c r="V11" s="223"/>
      <c r="W11" s="223"/>
      <c r="X11" s="223"/>
      <c r="Y11" s="223"/>
      <c r="Z11" s="223"/>
    </row>
    <row r="12" spans="1:26" ht="26.5" thickBot="1" x14ac:dyDescent="0.65">
      <c r="A12" s="311" t="s">
        <v>121</v>
      </c>
      <c r="B12" s="199">
        <f>SQRT((10^(N21/10)*0.001)*2*50)</f>
        <v>3.6979022505667252E-3</v>
      </c>
      <c r="C12" s="195"/>
      <c r="D12" s="205" t="s">
        <v>119</v>
      </c>
      <c r="M12" s="294" t="s">
        <v>122</v>
      </c>
      <c r="N12" s="295"/>
      <c r="O12" s="296"/>
      <c r="R12" s="223"/>
      <c r="S12" s="223"/>
      <c r="T12" s="223"/>
      <c r="U12" s="223"/>
      <c r="V12" s="223"/>
      <c r="W12" s="223"/>
      <c r="X12" s="223"/>
      <c r="Y12" s="223"/>
      <c r="Z12" s="223"/>
    </row>
    <row r="13" spans="1:26" ht="26.5" thickBot="1" x14ac:dyDescent="0.65">
      <c r="A13" s="313"/>
      <c r="B13" s="207"/>
      <c r="C13" s="5"/>
      <c r="D13" s="6" t="s">
        <v>120</v>
      </c>
      <c r="M13" s="271"/>
      <c r="N13" s="272"/>
      <c r="O13" s="273"/>
      <c r="R13" s="223"/>
      <c r="S13" s="223"/>
      <c r="T13" s="223"/>
      <c r="U13" s="223"/>
      <c r="V13" s="223"/>
      <c r="W13" s="223"/>
      <c r="X13" s="223"/>
      <c r="Y13" s="223"/>
      <c r="Z13" s="223"/>
    </row>
    <row r="14" spans="1:26" x14ac:dyDescent="0.35">
      <c r="A14" s="52"/>
      <c r="M14" s="299" t="s">
        <v>123</v>
      </c>
      <c r="N14" s="300"/>
      <c r="O14" s="301"/>
      <c r="R14" s="223"/>
      <c r="S14" s="223"/>
      <c r="T14" s="223"/>
      <c r="U14" s="223"/>
      <c r="V14" s="223"/>
      <c r="W14" s="223"/>
      <c r="X14" s="223"/>
      <c r="Y14" s="223"/>
      <c r="Z14" s="223"/>
    </row>
    <row r="15" spans="1:26" ht="15" thickBot="1" x14ac:dyDescent="0.4">
      <c r="M15" s="204" t="s">
        <v>105</v>
      </c>
      <c r="N15" s="200" t="s">
        <v>106</v>
      </c>
      <c r="O15" s="201" t="s">
        <v>107</v>
      </c>
      <c r="R15" s="223"/>
      <c r="S15" s="223"/>
      <c r="T15" s="223"/>
      <c r="U15" s="223"/>
      <c r="V15" s="223"/>
      <c r="W15" s="223"/>
      <c r="X15" s="223"/>
      <c r="Y15" s="223"/>
      <c r="Z15" s="223"/>
    </row>
    <row r="16" spans="1:26" ht="26.5" thickBot="1" x14ac:dyDescent="0.65">
      <c r="A16" s="288" t="s">
        <v>124</v>
      </c>
      <c r="B16" s="289"/>
      <c r="C16" s="289"/>
      <c r="D16" s="289"/>
      <c r="E16" s="289"/>
      <c r="F16" s="289"/>
      <c r="G16" s="289"/>
      <c r="H16" s="290"/>
      <c r="J16" s="297" t="s">
        <v>125</v>
      </c>
      <c r="K16" s="298"/>
      <c r="M16" s="244" t="s">
        <v>47</v>
      </c>
      <c r="N16" s="245">
        <v>14</v>
      </c>
      <c r="O16" s="246"/>
    </row>
    <row r="17" spans="1:15" ht="16.5" thickBot="1" x14ac:dyDescent="0.45">
      <c r="A17" s="314" t="s">
        <v>103</v>
      </c>
      <c r="B17" s="315"/>
      <c r="C17" s="315"/>
      <c r="D17" s="316"/>
      <c r="E17" s="291" t="s">
        <v>104</v>
      </c>
      <c r="F17" s="292"/>
      <c r="G17" s="292"/>
      <c r="H17" s="293"/>
      <c r="J17" s="225" t="s">
        <v>43</v>
      </c>
      <c r="K17" s="226">
        <f>B7+(B20-1)/B9+(B33-1)/(B9*B22)</f>
        <v>2.360957181546488</v>
      </c>
      <c r="M17" s="240" t="s">
        <v>48</v>
      </c>
      <c r="N17" s="241">
        <v>-174</v>
      </c>
      <c r="O17" s="205"/>
    </row>
    <row r="18" spans="1:15" ht="16.5" thickBot="1" x14ac:dyDescent="0.45">
      <c r="A18" s="258" t="s">
        <v>105</v>
      </c>
      <c r="B18" s="259" t="s">
        <v>106</v>
      </c>
      <c r="C18" s="260" t="s">
        <v>107</v>
      </c>
      <c r="D18" s="265" t="s">
        <v>108</v>
      </c>
      <c r="E18" s="235" t="s">
        <v>105</v>
      </c>
      <c r="F18" s="236" t="s">
        <v>106</v>
      </c>
      <c r="G18" s="237" t="s">
        <v>107</v>
      </c>
      <c r="H18" s="237" t="s">
        <v>108</v>
      </c>
      <c r="J18" s="225" t="s">
        <v>44</v>
      </c>
      <c r="K18" s="226">
        <f>10*LOG10(K17)</f>
        <v>3.7308811076076416</v>
      </c>
      <c r="M18" s="240" t="s">
        <v>49</v>
      </c>
      <c r="N18" s="241">
        <v>3000000</v>
      </c>
      <c r="O18" s="205"/>
    </row>
    <row r="19" spans="1:15" ht="16.5" thickBot="1" x14ac:dyDescent="0.45">
      <c r="A19" s="264" t="s">
        <v>109</v>
      </c>
      <c r="B19" s="249">
        <v>11.2</v>
      </c>
      <c r="C19" s="266">
        <v>1.5</v>
      </c>
      <c r="D19" s="246" t="s">
        <v>110</v>
      </c>
      <c r="E19" s="257" t="s">
        <v>111</v>
      </c>
      <c r="F19" s="233">
        <v>23</v>
      </c>
      <c r="G19" s="234"/>
      <c r="H19" s="205" t="s">
        <v>110</v>
      </c>
      <c r="J19" s="227" t="s">
        <v>45</v>
      </c>
      <c r="K19" s="228">
        <f>B21+B34+B8</f>
        <v>28</v>
      </c>
      <c r="M19" s="268" t="s">
        <v>50</v>
      </c>
      <c r="N19" s="203">
        <f>N23</f>
        <v>-91.49790634519573</v>
      </c>
      <c r="O19" s="205">
        <v>2</v>
      </c>
    </row>
    <row r="20" spans="1:15" ht="16.5" x14ac:dyDescent="0.4">
      <c r="A20" s="221" t="s">
        <v>112</v>
      </c>
      <c r="B20" s="203">
        <f>10^(B19/10)</f>
        <v>13.18256738556407</v>
      </c>
      <c r="C20" s="222"/>
      <c r="D20" s="205" t="s">
        <v>113</v>
      </c>
      <c r="E20" s="217" t="s">
        <v>114</v>
      </c>
      <c r="F20" s="238">
        <f>10^(F19/10)</f>
        <v>199.52623149688802</v>
      </c>
      <c r="G20" s="216"/>
      <c r="H20" s="205" t="s">
        <v>113</v>
      </c>
      <c r="J20" s="223"/>
      <c r="K20" s="223"/>
      <c r="M20" s="275" t="s">
        <v>83</v>
      </c>
      <c r="N20" s="203">
        <f>K18+N17+10*LOG10(N18)</f>
        <v>-105.49790634519573</v>
      </c>
      <c r="O20" s="205"/>
    </row>
    <row r="21" spans="1:15" ht="16.5" x14ac:dyDescent="0.4">
      <c r="A21" s="264" t="s">
        <v>39</v>
      </c>
      <c r="B21" s="195">
        <v>8</v>
      </c>
      <c r="C21" s="222">
        <v>6</v>
      </c>
      <c r="D21" s="205" t="s">
        <v>110</v>
      </c>
      <c r="E21" s="217" t="s">
        <v>115</v>
      </c>
      <c r="F21" s="195">
        <v>15</v>
      </c>
      <c r="G21" s="218"/>
      <c r="H21" s="205" t="s">
        <v>110</v>
      </c>
      <c r="M21" s="275" t="s">
        <v>126</v>
      </c>
      <c r="N21" s="242">
        <f>(2*N28+N20)/3</f>
        <v>-38.640891461160273</v>
      </c>
      <c r="O21" s="205"/>
    </row>
    <row r="22" spans="1:15" ht="17" thickBot="1" x14ac:dyDescent="0.45">
      <c r="A22" s="221" t="s">
        <v>116</v>
      </c>
      <c r="B22" s="203">
        <f>10^(B21/10)</f>
        <v>6.3095734448019343</v>
      </c>
      <c r="C22" s="195"/>
      <c r="D22" s="205" t="s">
        <v>113</v>
      </c>
      <c r="E22" s="219" t="s">
        <v>117</v>
      </c>
      <c r="F22" s="239">
        <f>10^(F21/10)</f>
        <v>31.622776601683803</v>
      </c>
      <c r="G22" s="220"/>
      <c r="H22" s="6" t="s">
        <v>113</v>
      </c>
      <c r="M22" s="275" t="s">
        <v>79</v>
      </c>
      <c r="N22" s="254">
        <f>(10^(N21/10)*0.001)</f>
        <v>1.3674481054746452E-7</v>
      </c>
      <c r="O22" s="205"/>
    </row>
    <row r="23" spans="1:15" ht="17" thickBot="1" x14ac:dyDescent="0.4">
      <c r="A23" s="322" t="s">
        <v>73</v>
      </c>
      <c r="B23" s="199">
        <f>SQRT((10^(N23/10)*0.001)*2*50)*10^(B8/20)</f>
        <v>8.4159797674658631E-5</v>
      </c>
      <c r="C23" s="195"/>
      <c r="D23" s="205" t="s">
        <v>119</v>
      </c>
      <c r="M23" s="267" t="s">
        <v>127</v>
      </c>
      <c r="N23" s="242">
        <f>K18+N17+10*LOG10(N18)+N16</f>
        <v>-91.49790634519573</v>
      </c>
      <c r="O23" s="205">
        <v>2</v>
      </c>
    </row>
    <row r="24" spans="1:15" ht="17" thickBot="1" x14ac:dyDescent="0.4">
      <c r="A24" s="322"/>
      <c r="B24" s="199"/>
      <c r="C24" s="195"/>
      <c r="D24" s="205" t="s">
        <v>120</v>
      </c>
      <c r="J24" s="321" t="s">
        <v>85</v>
      </c>
      <c r="K24" s="285"/>
      <c r="M24" s="275" t="s">
        <v>81</v>
      </c>
      <c r="N24" s="243">
        <f>(10^(N23/10)*0.001)</f>
        <v>7.082871544639477E-13</v>
      </c>
      <c r="O24" s="205"/>
    </row>
    <row r="25" spans="1:15" ht="16.5" x14ac:dyDescent="0.45">
      <c r="A25" s="322" t="s">
        <v>74</v>
      </c>
      <c r="B25" s="199">
        <f>SQRT(2*N22*50)*10^(B8/20)</f>
        <v>3.6979022505667251E-2</v>
      </c>
      <c r="C25" s="195"/>
      <c r="D25" s="205" t="s">
        <v>119</v>
      </c>
      <c r="J25" s="74" t="s">
        <v>128</v>
      </c>
      <c r="K25" s="255">
        <f>2.445*10^9</f>
        <v>2445000000</v>
      </c>
      <c r="M25" s="240" t="s">
        <v>84</v>
      </c>
      <c r="N25" s="203">
        <f>((300000000/$K$25)*10^(($K33)/20))/(4*PI())</f>
        <v>58.147071171575917</v>
      </c>
      <c r="O25" s="205"/>
    </row>
    <row r="26" spans="1:15" ht="17" thickBot="1" x14ac:dyDescent="0.5">
      <c r="A26" s="323"/>
      <c r="B26" s="207"/>
      <c r="C26" s="5"/>
      <c r="D26" s="6" t="s">
        <v>120</v>
      </c>
      <c r="E26" s="229"/>
      <c r="F26" s="229"/>
      <c r="G26" s="229"/>
      <c r="J26" s="275" t="s">
        <v>129</v>
      </c>
      <c r="K26" s="256">
        <v>14</v>
      </c>
      <c r="M26" s="247" t="s">
        <v>130</v>
      </c>
      <c r="N26" s="263">
        <f>((300000000/$K$25)*10^(($K32)/20))/(4*PI())</f>
        <v>0.13233572478623043</v>
      </c>
      <c r="O26" s="248"/>
    </row>
    <row r="27" spans="1:15" ht="15" thickBot="1" x14ac:dyDescent="0.4">
      <c r="J27" s="276" t="s">
        <v>93</v>
      </c>
      <c r="K27" s="76">
        <v>30</v>
      </c>
      <c r="M27" s="270" t="s">
        <v>8</v>
      </c>
      <c r="N27" s="250">
        <f>1/(1/F9+B9/F22)</f>
        <v>0.30113525164488292</v>
      </c>
      <c r="O27" s="246"/>
    </row>
    <row r="28" spans="1:15" ht="15" thickBot="1" x14ac:dyDescent="0.4">
      <c r="M28" s="264" t="s">
        <v>52</v>
      </c>
      <c r="N28" s="203">
        <f>10*LOG(N27)</f>
        <v>-5.2123840191425499</v>
      </c>
      <c r="O28" s="205"/>
    </row>
    <row r="29" spans="1:15" ht="26.5" thickBot="1" x14ac:dyDescent="0.65">
      <c r="A29" s="306" t="s">
        <v>131</v>
      </c>
      <c r="B29" s="307"/>
      <c r="M29" s="221" t="s">
        <v>54</v>
      </c>
      <c r="N29" s="203">
        <f>N27*10^(K19/10)</f>
        <v>190.00349870723008</v>
      </c>
      <c r="O29" s="205"/>
    </row>
    <row r="30" spans="1:15" ht="15" thickBot="1" x14ac:dyDescent="0.4">
      <c r="A30" s="317" t="s">
        <v>103</v>
      </c>
      <c r="B30" s="318"/>
      <c r="M30" s="221" t="s">
        <v>53</v>
      </c>
      <c r="N30" s="203">
        <f>10*LOG(N29)</f>
        <v>22.787615980857453</v>
      </c>
      <c r="O30" s="205"/>
    </row>
    <row r="31" spans="1:15" ht="17" thickBot="1" x14ac:dyDescent="0.5">
      <c r="A31" s="251" t="s">
        <v>105</v>
      </c>
      <c r="B31" s="252" t="s">
        <v>106</v>
      </c>
      <c r="J31" s="302" t="s">
        <v>132</v>
      </c>
      <c r="K31" s="303"/>
      <c r="M31" s="221" t="s">
        <v>133</v>
      </c>
      <c r="N31" s="203">
        <f>N17+K18+K19</f>
        <v>-142.26911889239236</v>
      </c>
      <c r="O31" s="205"/>
    </row>
    <row r="32" spans="1:15" ht="15" thickBot="1" x14ac:dyDescent="0.4">
      <c r="A32" s="308" t="s">
        <v>36</v>
      </c>
      <c r="B32" s="205">
        <v>1</v>
      </c>
      <c r="J32" s="74" t="s">
        <v>134</v>
      </c>
      <c r="K32" s="262">
        <f>K26-N21-K27</f>
        <v>22.640891461160273</v>
      </c>
      <c r="M32" s="269" t="s">
        <v>10</v>
      </c>
      <c r="N32" s="206">
        <f>(2/3)*(N30-N31)</f>
        <v>110.03782324883321</v>
      </c>
      <c r="O32" s="6"/>
    </row>
    <row r="33" spans="1:11" ht="15" thickBot="1" x14ac:dyDescent="0.4">
      <c r="A33" s="309"/>
      <c r="B33" s="253">
        <f>10^(B32/10)</f>
        <v>1.2589254117941673</v>
      </c>
      <c r="J33" s="276" t="s">
        <v>135</v>
      </c>
      <c r="K33" s="87">
        <f>K26-N23-K27</f>
        <v>75.49790634519573</v>
      </c>
    </row>
    <row r="34" spans="1:11" x14ac:dyDescent="0.35">
      <c r="A34" s="308" t="s">
        <v>136</v>
      </c>
      <c r="B34" s="205">
        <v>0</v>
      </c>
    </row>
    <row r="35" spans="1:11" ht="15" thickBot="1" x14ac:dyDescent="0.4">
      <c r="A35" s="310"/>
      <c r="B35" s="6">
        <f>10^(B34/10)</f>
        <v>1</v>
      </c>
    </row>
  </sheetData>
  <mergeCells count="21">
    <mergeCell ref="J31:K31"/>
    <mergeCell ref="A1:H1"/>
    <mergeCell ref="A29:B29"/>
    <mergeCell ref="A32:A33"/>
    <mergeCell ref="A34:A35"/>
    <mergeCell ref="A10:A11"/>
    <mergeCell ref="A12:A13"/>
    <mergeCell ref="A17:D17"/>
    <mergeCell ref="A30:B30"/>
    <mergeCell ref="I1:Q1"/>
    <mergeCell ref="J24:K24"/>
    <mergeCell ref="A23:A24"/>
    <mergeCell ref="A25:A26"/>
    <mergeCell ref="A4:D4"/>
    <mergeCell ref="E4:H4"/>
    <mergeCell ref="A3:H3"/>
    <mergeCell ref="A16:H16"/>
    <mergeCell ref="E17:H17"/>
    <mergeCell ref="M12:O12"/>
    <mergeCell ref="J16:K16"/>
    <mergeCell ref="M14:O14"/>
  </mergeCells>
  <conditionalFormatting sqref="B6">
    <cfRule type="cellIs" dxfId="9" priority="1" operator="greaterThan">
      <formula>"3,5+$C$6"</formula>
    </cfRule>
  </conditionalFormatting>
  <conditionalFormatting sqref="N19">
    <cfRule type="cellIs" dxfId="8" priority="7" operator="lessThan">
      <formula>-91.5+$O$19</formula>
    </cfRule>
    <cfRule type="cellIs" dxfId="7" priority="9" operator="greaterThan">
      <formula>-91.5+$O$19</formula>
    </cfRule>
  </conditionalFormatting>
  <conditionalFormatting sqref="N23">
    <cfRule type="cellIs" dxfId="6" priority="10" operator="greaterThan">
      <formula>-91.5+$O$23</formula>
    </cfRule>
    <cfRule type="cellIs" dxfId="5" priority="11" operator="lessThan">
      <formula>-91.5+$O$23</formula>
    </cfRule>
  </conditionalFormatting>
  <dataValidations count="1">
    <dataValidation type="decimal" allowBlank="1" showInputMessage="1" showErrorMessage="1" sqref="O23" xr:uid="{EDF75397-00E5-4E7D-94A7-DA0126944E69}">
      <formula1>N23-O23</formula1>
      <formula2>N23+O23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A114-64E2-4E1A-8461-20E884094F42}">
  <dimension ref="A1:T33"/>
  <sheetViews>
    <sheetView workbookViewId="0">
      <selection activeCell="D5" sqref="D5:E5"/>
    </sheetView>
  </sheetViews>
  <sheetFormatPr baseColWidth="10" defaultColWidth="11.453125" defaultRowHeight="14.5" x14ac:dyDescent="0.35"/>
  <cols>
    <col min="1" max="1" width="23.453125" customWidth="1"/>
    <col min="2" max="2" width="10.1796875" bestFit="1" customWidth="1"/>
    <col min="3" max="3" width="9.54296875" bestFit="1" customWidth="1"/>
    <col min="4" max="4" width="15.54296875" bestFit="1" customWidth="1"/>
    <col min="5" max="5" width="12.26953125" bestFit="1" customWidth="1"/>
    <col min="6" max="6" width="15.54296875" bestFit="1" customWidth="1"/>
    <col min="7" max="7" width="11.26953125" bestFit="1" customWidth="1"/>
    <col min="9" max="9" width="19.453125" bestFit="1" customWidth="1"/>
    <col min="10" max="10" width="15.54296875" bestFit="1" customWidth="1"/>
    <col min="11" max="11" width="9.1796875" bestFit="1" customWidth="1"/>
    <col min="12" max="12" width="9.7265625" bestFit="1" customWidth="1"/>
    <col min="13" max="13" width="16.453125" bestFit="1" customWidth="1"/>
    <col min="14" max="14" width="14" bestFit="1" customWidth="1"/>
  </cols>
  <sheetData>
    <row r="1" spans="1:20" ht="16" x14ac:dyDescent="0.4">
      <c r="A1" s="335" t="s">
        <v>137</v>
      </c>
      <c r="B1" s="336"/>
      <c r="C1" s="336"/>
      <c r="D1" s="336"/>
      <c r="E1" s="336"/>
      <c r="F1" s="336"/>
      <c r="G1" s="336"/>
      <c r="H1" s="336"/>
      <c r="I1" s="336"/>
      <c r="J1" s="337"/>
      <c r="K1" s="172"/>
      <c r="L1" s="172"/>
      <c r="M1" s="172"/>
      <c r="N1" s="172"/>
    </row>
    <row r="2" spans="1:20" x14ac:dyDescent="0.35">
      <c r="A2" s="14" t="s">
        <v>34</v>
      </c>
      <c r="B2" s="14"/>
      <c r="C2" s="14"/>
      <c r="D2" s="14"/>
      <c r="E2" s="14"/>
      <c r="F2" s="14"/>
      <c r="G2" s="14"/>
      <c r="I2" s="52"/>
      <c r="J2" s="52"/>
      <c r="K2" s="52"/>
      <c r="L2" s="52"/>
      <c r="M2" s="52"/>
      <c r="N2" s="52"/>
      <c r="O2" s="52"/>
      <c r="P2" s="52"/>
      <c r="Q2" s="52"/>
      <c r="R2" s="52"/>
      <c r="S2" s="64"/>
      <c r="T2" s="52"/>
    </row>
    <row r="3" spans="1:20" x14ac:dyDescent="0.35">
      <c r="I3" s="333" t="s">
        <v>85</v>
      </c>
      <c r="J3" s="334"/>
      <c r="K3" s="52"/>
      <c r="O3" s="64"/>
      <c r="P3" s="64"/>
      <c r="Q3" s="64"/>
      <c r="R3" s="64"/>
      <c r="S3" s="64"/>
      <c r="T3" s="52"/>
    </row>
    <row r="4" spans="1:20" ht="16.5" x14ac:dyDescent="0.35">
      <c r="A4" s="177" t="s">
        <v>35</v>
      </c>
      <c r="B4" s="177" t="s">
        <v>36</v>
      </c>
      <c r="C4" s="177" t="s">
        <v>37</v>
      </c>
      <c r="D4" s="177" t="s">
        <v>138</v>
      </c>
      <c r="E4" s="177" t="s">
        <v>39</v>
      </c>
      <c r="F4" s="178" t="s">
        <v>139</v>
      </c>
      <c r="G4" s="178" t="s">
        <v>140</v>
      </c>
      <c r="I4" s="141" t="s">
        <v>141</v>
      </c>
      <c r="J4" s="155">
        <f>2.445*10^9</f>
        <v>2445000000</v>
      </c>
      <c r="K4" s="52"/>
      <c r="O4" s="52"/>
      <c r="P4" s="52"/>
      <c r="Q4" s="52"/>
      <c r="R4" s="52"/>
      <c r="S4" s="52"/>
      <c r="T4" s="52"/>
    </row>
    <row r="5" spans="1:20" ht="16" x14ac:dyDescent="0.35">
      <c r="A5" s="173" t="s">
        <v>40</v>
      </c>
      <c r="B5" s="174">
        <f>10^(C5/10)</f>
        <v>3.0130060241861214</v>
      </c>
      <c r="C5" s="182">
        <v>4.79</v>
      </c>
      <c r="D5" s="174">
        <f>10^(E5/10)</f>
        <v>100</v>
      </c>
      <c r="E5" s="174">
        <v>20</v>
      </c>
      <c r="F5" s="175">
        <f>SQRT(E12*2*50)</f>
        <v>9.697677605553455E-6</v>
      </c>
      <c r="G5" s="176">
        <f>SQRT(E11*2*50)</f>
        <v>3.1276099215615375E-3</v>
      </c>
      <c r="I5" s="142" t="s">
        <v>142</v>
      </c>
      <c r="J5" s="158">
        <v>14</v>
      </c>
      <c r="K5" s="52"/>
      <c r="O5" s="52"/>
      <c r="P5" s="52"/>
      <c r="Q5" s="52"/>
      <c r="R5" s="64"/>
      <c r="S5" s="64"/>
      <c r="T5" s="52"/>
    </row>
    <row r="6" spans="1:20" x14ac:dyDescent="0.35">
      <c r="A6" s="179" t="s">
        <v>41</v>
      </c>
      <c r="B6" s="179">
        <f>10^(C6/10)</f>
        <v>13.18256738556407</v>
      </c>
      <c r="C6" s="179">
        <v>11.2</v>
      </c>
      <c r="D6" s="179">
        <f>10^(E6/10)</f>
        <v>6.3095734448019343</v>
      </c>
      <c r="E6" s="179">
        <v>8</v>
      </c>
      <c r="F6" s="180">
        <f>SQRT(2*E12*50)*10^(E5/20)</f>
        <v>9.6976776055534547E-5</v>
      </c>
      <c r="G6" s="181">
        <f>SQRT(2*E11*50)*10^(E5/20)</f>
        <v>3.1276099215615374E-2</v>
      </c>
      <c r="I6" s="166" t="s">
        <v>93</v>
      </c>
      <c r="J6" s="167">
        <v>30</v>
      </c>
      <c r="K6" s="52"/>
      <c r="O6" s="64"/>
      <c r="P6" s="64"/>
      <c r="Q6" s="64"/>
      <c r="R6" s="64"/>
      <c r="S6" s="64"/>
      <c r="T6" s="52"/>
    </row>
    <row r="7" spans="1:20" x14ac:dyDescent="0.35">
      <c r="A7" s="93" t="s">
        <v>76</v>
      </c>
      <c r="B7" s="93">
        <f t="shared" ref="B7" si="0">10^(C7/10)</f>
        <v>1</v>
      </c>
      <c r="C7" s="93">
        <v>0</v>
      </c>
      <c r="D7" s="93">
        <f t="shared" ref="D7" si="1">10^(E7/10)</f>
        <v>1</v>
      </c>
      <c r="E7" s="94">
        <v>0</v>
      </c>
      <c r="F7" s="93"/>
      <c r="G7" s="93"/>
      <c r="I7" s="168" t="s">
        <v>143</v>
      </c>
      <c r="J7" s="169">
        <f>10*LOG10(J6)</f>
        <v>14.771212547196624</v>
      </c>
      <c r="K7" s="52"/>
      <c r="O7" s="52"/>
      <c r="P7" s="52"/>
      <c r="Q7" s="52"/>
      <c r="R7" s="52"/>
      <c r="S7" s="52"/>
      <c r="T7" s="52"/>
    </row>
    <row r="8" spans="1:20" x14ac:dyDescent="0.35">
      <c r="A8" s="18"/>
      <c r="B8" s="18"/>
      <c r="C8" s="18"/>
      <c r="D8" s="18"/>
      <c r="E8" s="18"/>
      <c r="F8" s="18"/>
      <c r="G8" s="18"/>
      <c r="I8" s="171" t="s">
        <v>144</v>
      </c>
      <c r="J8" s="170">
        <v>300000000</v>
      </c>
      <c r="M8" s="52"/>
      <c r="N8" s="52"/>
      <c r="O8" s="52"/>
      <c r="P8" s="52"/>
      <c r="Q8" s="52"/>
      <c r="R8" s="52"/>
      <c r="S8" s="52"/>
      <c r="T8" s="52"/>
    </row>
    <row r="9" spans="1:20" ht="16" x14ac:dyDescent="0.35">
      <c r="A9" s="108" t="s">
        <v>43</v>
      </c>
      <c r="B9" s="116">
        <f>B5+(B6-1)/D5+(B7-1)/(D5*D6)</f>
        <v>3.1348316980417623</v>
      </c>
      <c r="C9" s="20"/>
      <c r="D9" s="141" t="s">
        <v>145</v>
      </c>
      <c r="E9" s="156">
        <f>(2*B30+E16)/3</f>
        <v>-40.095748356983641</v>
      </c>
      <c r="I9" s="52"/>
      <c r="J9" s="52"/>
      <c r="K9" s="52"/>
      <c r="M9" s="130"/>
      <c r="N9" s="130"/>
      <c r="O9" s="52"/>
      <c r="P9" s="52"/>
      <c r="Q9" s="52"/>
      <c r="R9" s="52"/>
      <c r="S9" s="52"/>
      <c r="T9" s="52"/>
    </row>
    <row r="10" spans="1:20" ht="16" x14ac:dyDescent="0.35">
      <c r="A10" s="109" t="s">
        <v>44</v>
      </c>
      <c r="B10" s="97">
        <f>10*LOG10(B9)</f>
        <v>4.9621422951320771</v>
      </c>
      <c r="C10" s="20"/>
      <c r="D10" s="142" t="s">
        <v>146</v>
      </c>
      <c r="E10" s="157">
        <f>B19</f>
        <v>-90.266645157671292</v>
      </c>
      <c r="I10" s="333" t="s">
        <v>147</v>
      </c>
      <c r="J10" s="334"/>
      <c r="K10" s="64"/>
      <c r="M10" s="52"/>
      <c r="N10" s="68"/>
      <c r="O10" s="64"/>
      <c r="P10" s="64"/>
      <c r="Q10" s="64"/>
      <c r="R10" s="64"/>
      <c r="S10" s="64"/>
      <c r="T10" s="52"/>
    </row>
    <row r="11" spans="1:20" ht="16.5" x14ac:dyDescent="0.35">
      <c r="A11" s="111" t="s">
        <v>45</v>
      </c>
      <c r="B11" s="135">
        <f>SUM(E5:E7)</f>
        <v>28</v>
      </c>
      <c r="C11" s="18"/>
      <c r="D11" s="143" t="s">
        <v>148</v>
      </c>
      <c r="E11" s="145">
        <f>(10^(E9/10)*0.001)</f>
        <v>9.7819438214501669E-8</v>
      </c>
      <c r="G11" s="18"/>
      <c r="I11" s="131" t="s">
        <v>88</v>
      </c>
      <c r="J11" s="147">
        <f>J5-E9-J6</f>
        <v>24.095748356983641</v>
      </c>
      <c r="K11" s="52"/>
      <c r="M11" s="130"/>
      <c r="N11" s="130"/>
      <c r="O11" s="52"/>
      <c r="P11" s="52"/>
      <c r="Q11" s="52"/>
      <c r="R11" s="52"/>
      <c r="S11" s="52"/>
      <c r="T11" s="52"/>
    </row>
    <row r="12" spans="1:20" ht="16.5" x14ac:dyDescent="0.35">
      <c r="A12" s="18"/>
      <c r="B12" s="18"/>
      <c r="C12" s="18"/>
      <c r="D12" s="144" t="s">
        <v>149</v>
      </c>
      <c r="E12" s="146">
        <f>(10^(E10/10)*0.001)</f>
        <v>9.4044950941253E-13</v>
      </c>
      <c r="F12" s="18"/>
      <c r="G12" s="18"/>
      <c r="I12" s="159" t="s">
        <v>150</v>
      </c>
      <c r="J12" s="149">
        <f>((J8/J4)*10^((J11)/20))/(4*PI())</f>
        <v>0.15646598738024606</v>
      </c>
      <c r="K12" s="52"/>
      <c r="M12" s="68"/>
      <c r="N12" s="68"/>
    </row>
    <row r="13" spans="1:20" x14ac:dyDescent="0.35">
      <c r="I13" s="159" t="s">
        <v>91</v>
      </c>
      <c r="J13" s="152">
        <f>J5-E10-J6</f>
        <v>74.266645157671292</v>
      </c>
    </row>
    <row r="14" spans="1:20" ht="16.5" x14ac:dyDescent="0.35">
      <c r="A14" s="21" t="s">
        <v>46</v>
      </c>
      <c r="B14" s="21"/>
      <c r="C14" s="21"/>
      <c r="D14" s="21"/>
      <c r="E14" s="21"/>
      <c r="F14" s="21"/>
      <c r="G14" s="21"/>
      <c r="I14" s="160" t="s">
        <v>151</v>
      </c>
      <c r="J14" s="148">
        <f>((J8/$J$4)*10^(($J13)/20))/(4*PI())</f>
        <v>50.462037863286135</v>
      </c>
      <c r="O14" s="52"/>
      <c r="P14" s="52"/>
      <c r="Q14" s="52"/>
      <c r="R14" s="52"/>
      <c r="S14" s="52"/>
      <c r="T14" s="52"/>
    </row>
    <row r="15" spans="1:20" x14ac:dyDescent="0.35">
      <c r="A15" s="20"/>
      <c r="B15" s="20"/>
      <c r="C15" s="20"/>
      <c r="D15" s="20"/>
      <c r="E15" s="20"/>
      <c r="F15" s="20"/>
      <c r="G15" s="20"/>
      <c r="K15" s="52"/>
      <c r="N15" s="52"/>
      <c r="O15" s="52"/>
      <c r="P15" s="52"/>
      <c r="Q15" s="52"/>
      <c r="R15" s="52"/>
      <c r="S15" s="52"/>
      <c r="T15" s="52"/>
    </row>
    <row r="16" spans="1:20" ht="16.5" x14ac:dyDescent="0.35">
      <c r="A16" s="136" t="s">
        <v>47</v>
      </c>
      <c r="B16" s="137">
        <v>14</v>
      </c>
      <c r="C16" s="18"/>
      <c r="D16" s="153" t="s">
        <v>152</v>
      </c>
      <c r="E16" s="154">
        <f>B17+B10+10*LOG10(B18)</f>
        <v>-104.26664515767129</v>
      </c>
      <c r="F16" s="18"/>
      <c r="G16" s="18"/>
      <c r="I16" s="130"/>
      <c r="J16" s="130"/>
      <c r="K16" s="130"/>
      <c r="L16" s="130"/>
      <c r="M16" s="130"/>
      <c r="N16" s="130"/>
      <c r="O16" s="52"/>
      <c r="P16" s="52"/>
      <c r="Q16" s="52"/>
      <c r="R16" s="52"/>
      <c r="S16" s="52"/>
      <c r="T16" s="52"/>
    </row>
    <row r="17" spans="1:14" x14ac:dyDescent="0.35">
      <c r="A17" s="138" t="s">
        <v>48</v>
      </c>
      <c r="B17" s="165">
        <v>-174</v>
      </c>
      <c r="C17" s="18"/>
      <c r="E17" s="18"/>
      <c r="F17" s="18"/>
      <c r="G17" s="18"/>
      <c r="I17" s="52"/>
      <c r="J17" s="52"/>
      <c r="K17" s="68"/>
      <c r="L17" s="132"/>
      <c r="M17" s="52"/>
      <c r="N17" s="133"/>
    </row>
    <row r="18" spans="1:14" x14ac:dyDescent="0.35">
      <c r="A18" s="138" t="s">
        <v>49</v>
      </c>
      <c r="B18" s="165">
        <v>3000000</v>
      </c>
      <c r="C18" s="18"/>
      <c r="D18" s="18"/>
      <c r="E18" s="18"/>
      <c r="F18" s="18"/>
      <c r="G18" s="18"/>
    </row>
    <row r="19" spans="1:14" x14ac:dyDescent="0.35">
      <c r="A19" s="138" t="s">
        <v>50</v>
      </c>
      <c r="B19" s="165">
        <f>B10+B17+10*LOG10(B18)+B16</f>
        <v>-90.266645157671292</v>
      </c>
      <c r="E19" s="18"/>
      <c r="F19" s="18"/>
      <c r="G19" s="18"/>
    </row>
    <row r="20" spans="1:14" ht="16.5" x14ac:dyDescent="0.45">
      <c r="A20" s="139" t="s">
        <v>153</v>
      </c>
      <c r="B20" s="140">
        <v>58.16</v>
      </c>
      <c r="C20" s="18"/>
      <c r="E20" s="18"/>
      <c r="F20" s="18"/>
      <c r="G20" s="18"/>
    </row>
    <row r="21" spans="1:14" x14ac:dyDescent="0.35">
      <c r="A21" s="18"/>
      <c r="B21" s="18"/>
      <c r="C21" s="18"/>
      <c r="D21" s="18"/>
      <c r="E21" s="18"/>
      <c r="F21" s="18"/>
      <c r="G21" s="18"/>
    </row>
    <row r="22" spans="1:14" x14ac:dyDescent="0.35">
      <c r="A22" s="21" t="s">
        <v>51</v>
      </c>
      <c r="B22" s="21"/>
      <c r="C22" s="21"/>
      <c r="D22" s="21"/>
      <c r="E22" s="21"/>
      <c r="F22" s="21"/>
      <c r="G22" s="21"/>
    </row>
    <row r="23" spans="1:14" x14ac:dyDescent="0.35">
      <c r="A23" s="18"/>
      <c r="B23" s="18"/>
      <c r="C23" s="18"/>
      <c r="D23" s="18"/>
      <c r="E23" s="18"/>
      <c r="F23" s="18"/>
      <c r="G23" s="18"/>
    </row>
    <row r="24" spans="1:14" x14ac:dyDescent="0.35">
      <c r="A24" s="123" t="s">
        <v>35</v>
      </c>
      <c r="B24" s="124" t="s">
        <v>52</v>
      </c>
      <c r="C24" s="128" t="s">
        <v>8</v>
      </c>
      <c r="D24" s="49" t="s">
        <v>53</v>
      </c>
      <c r="E24" s="49" t="s">
        <v>54</v>
      </c>
      <c r="F24" s="49" t="s">
        <v>138</v>
      </c>
      <c r="G24" s="49" t="s">
        <v>39</v>
      </c>
    </row>
    <row r="25" spans="1:14" x14ac:dyDescent="0.35">
      <c r="A25" s="125" t="s">
        <v>40</v>
      </c>
      <c r="B25" s="151">
        <v>-5</v>
      </c>
      <c r="C25" s="162">
        <f>10^(B25/10)</f>
        <v>0.31622776601683794</v>
      </c>
      <c r="D25" s="150">
        <f>B25+E5</f>
        <v>15</v>
      </c>
      <c r="E25" s="163">
        <f>10^(D25/10)</f>
        <v>31.622776601683803</v>
      </c>
      <c r="F25" s="150">
        <f>10^(G25/10)</f>
        <v>100</v>
      </c>
      <c r="G25" s="150">
        <v>20</v>
      </c>
    </row>
    <row r="26" spans="1:14" x14ac:dyDescent="0.35">
      <c r="A26" s="111" t="s">
        <v>41</v>
      </c>
      <c r="B26" s="135">
        <v>15</v>
      </c>
      <c r="C26" s="113">
        <f>10^(B26/10)</f>
        <v>31.622776601683803</v>
      </c>
      <c r="D26" s="15">
        <f>B26+E6</f>
        <v>23</v>
      </c>
      <c r="E26" s="25">
        <f>10^(D26/10)</f>
        <v>199.52623149688802</v>
      </c>
      <c r="F26" s="15">
        <f>10^(G26/10)</f>
        <v>6.3095734448019343</v>
      </c>
      <c r="G26" s="15">
        <v>8</v>
      </c>
    </row>
    <row r="27" spans="1:14" x14ac:dyDescent="0.35">
      <c r="A27" s="18"/>
      <c r="B27" s="18"/>
      <c r="C27" s="18"/>
      <c r="D27" s="18"/>
      <c r="E27" s="18"/>
      <c r="F27" s="18"/>
      <c r="G27" s="18"/>
    </row>
    <row r="28" spans="1:14" x14ac:dyDescent="0.35">
      <c r="A28" s="19" t="s">
        <v>56</v>
      </c>
      <c r="B28" s="50">
        <f>1/(1/C25+F25/C26)</f>
        <v>0.158113883008419</v>
      </c>
      <c r="C28" s="18"/>
      <c r="D28" s="18"/>
      <c r="E28" s="18"/>
      <c r="F28" s="18"/>
      <c r="G28" s="18"/>
    </row>
    <row r="29" spans="1:14" x14ac:dyDescent="0.35">
      <c r="A29" s="134" t="s">
        <v>57</v>
      </c>
      <c r="B29" s="116">
        <f>B28*10^(B11/10)</f>
        <v>99.763115748443994</v>
      </c>
      <c r="C29" s="18"/>
      <c r="D29" s="18"/>
      <c r="E29" s="18"/>
      <c r="F29" s="18"/>
      <c r="G29" s="18"/>
    </row>
    <row r="30" spans="1:14" x14ac:dyDescent="0.35">
      <c r="A30" s="126" t="s">
        <v>58</v>
      </c>
      <c r="B30" s="161">
        <f>10*LOG(B28)</f>
        <v>-8.0102999566398108</v>
      </c>
      <c r="C30" s="18"/>
      <c r="D30" s="18"/>
      <c r="E30" s="18"/>
      <c r="F30" s="18"/>
      <c r="G30" s="18"/>
    </row>
    <row r="31" spans="1:14" x14ac:dyDescent="0.35">
      <c r="A31" s="127" t="s">
        <v>59</v>
      </c>
      <c r="B31" s="164">
        <f>10*LOG(B29)</f>
        <v>19.989700043360187</v>
      </c>
      <c r="C31" s="18"/>
      <c r="D31" s="18"/>
      <c r="E31" s="18"/>
      <c r="F31" s="18"/>
      <c r="G31" s="18"/>
    </row>
    <row r="32" spans="1:14" x14ac:dyDescent="0.35">
      <c r="A32" s="19" t="s">
        <v>60</v>
      </c>
      <c r="B32" s="15">
        <f>B17+B10+B11</f>
        <v>-141.03785770486792</v>
      </c>
      <c r="C32" s="18"/>
      <c r="D32" s="18"/>
      <c r="E32" s="18"/>
      <c r="F32" s="18"/>
      <c r="G32" s="18"/>
    </row>
    <row r="33" spans="1:7" x14ac:dyDescent="0.35">
      <c r="A33" s="19" t="s">
        <v>10</v>
      </c>
      <c r="B33" s="15">
        <f>(2/3)*(B31-B32)</f>
        <v>107.3517051654854</v>
      </c>
      <c r="C33" s="27"/>
      <c r="D33" s="18"/>
      <c r="E33" s="18"/>
      <c r="F33" s="18"/>
      <c r="G33" s="18"/>
    </row>
  </sheetData>
  <mergeCells count="3">
    <mergeCell ref="I3:J3"/>
    <mergeCell ref="I10:J10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0533-3E7D-4499-ADDA-BD6625BC6686}">
  <dimension ref="A1:L37"/>
  <sheetViews>
    <sheetView workbookViewId="0">
      <selection activeCell="J13" sqref="J13"/>
    </sheetView>
  </sheetViews>
  <sheetFormatPr baseColWidth="10" defaultColWidth="11.453125" defaultRowHeight="14.5" x14ac:dyDescent="0.35"/>
  <cols>
    <col min="1" max="1" width="15.54296875" bestFit="1" customWidth="1"/>
    <col min="2" max="2" width="30.1796875" bestFit="1" customWidth="1"/>
    <col min="6" max="6" width="15.453125" bestFit="1" customWidth="1"/>
    <col min="9" max="9" width="9.54296875" bestFit="1" customWidth="1"/>
    <col min="10" max="10" width="13.81640625" customWidth="1"/>
    <col min="11" max="11" width="9" bestFit="1" customWidth="1"/>
  </cols>
  <sheetData>
    <row r="1" spans="1:12" x14ac:dyDescent="0.35">
      <c r="A1" s="338" t="s">
        <v>154</v>
      </c>
      <c r="B1" s="338"/>
      <c r="C1" s="338"/>
      <c r="J1" s="339" t="s">
        <v>155</v>
      </c>
      <c r="K1" s="339"/>
      <c r="L1" s="339"/>
    </row>
    <row r="2" spans="1:12" x14ac:dyDescent="0.35">
      <c r="A2" s="36" t="s">
        <v>22</v>
      </c>
      <c r="B2" s="36" t="s">
        <v>156</v>
      </c>
      <c r="C2" s="30" t="s">
        <v>157</v>
      </c>
      <c r="F2" s="31" t="s">
        <v>158</v>
      </c>
      <c r="G2" s="32" t="s">
        <v>159</v>
      </c>
      <c r="H2" s="1"/>
      <c r="I2" s="33" t="s">
        <v>27</v>
      </c>
      <c r="J2" s="34" t="s">
        <v>160</v>
      </c>
      <c r="K2" s="34" t="s">
        <v>161</v>
      </c>
      <c r="L2" s="35" t="s">
        <v>162</v>
      </c>
    </row>
    <row r="3" spans="1:12" x14ac:dyDescent="0.35">
      <c r="A3" s="36">
        <v>60</v>
      </c>
      <c r="B3" s="36">
        <f>A3*(PI()/180)</f>
        <v>1.0471975511965976</v>
      </c>
      <c r="F3" s="37">
        <v>80000000</v>
      </c>
      <c r="G3" s="37">
        <f t="shared" ref="G3:G32" si="0">F3/$B$8</f>
        <v>312500</v>
      </c>
      <c r="H3" s="37"/>
      <c r="I3" s="38">
        <v>1.0000000000000001E-5</v>
      </c>
      <c r="J3" s="37">
        <f t="shared" ref="J3:J31" si="1">$B$15*$B$16*$G$23*(I3/(2*PI()))*($B$17/$B$18)</f>
        <v>1.6878462121172571E-14</v>
      </c>
      <c r="K3" s="37">
        <f t="shared" ref="K3:K32" si="2">J3*($B$12/$B$13-1)</f>
        <v>2.1820818851702588E-13</v>
      </c>
      <c r="L3" s="37">
        <f t="shared" ref="L3:L32" si="3">1/(K3*$B$13)</f>
        <v>5444106.7306540711</v>
      </c>
    </row>
    <row r="4" spans="1:12" x14ac:dyDescent="0.35">
      <c r="B4" s="1"/>
      <c r="C4" s="1"/>
      <c r="D4" s="1"/>
      <c r="E4" s="37"/>
      <c r="F4" s="37">
        <f t="shared" ref="F4:F32" si="4">F3+1000000</f>
        <v>81000000</v>
      </c>
      <c r="G4" s="37">
        <f t="shared" si="0"/>
        <v>316406.25</v>
      </c>
      <c r="H4" s="37"/>
      <c r="I4" s="38">
        <f t="shared" ref="I4:I32" si="5">I3+0.00001</f>
        <v>2.0000000000000002E-5</v>
      </c>
      <c r="J4" s="37">
        <f t="shared" si="1"/>
        <v>3.3756924242345143E-14</v>
      </c>
      <c r="K4" s="37">
        <f t="shared" si="2"/>
        <v>4.3641637703405177E-13</v>
      </c>
      <c r="L4" s="37">
        <f t="shared" si="3"/>
        <v>2722053.3653270355</v>
      </c>
    </row>
    <row r="5" spans="1:12" x14ac:dyDescent="0.35">
      <c r="A5" s="39" t="s">
        <v>163</v>
      </c>
      <c r="B5" s="40">
        <v>10000000</v>
      </c>
      <c r="C5" s="1"/>
      <c r="D5" s="1"/>
      <c r="E5" s="37"/>
      <c r="F5" s="37">
        <f t="shared" si="4"/>
        <v>82000000</v>
      </c>
      <c r="G5" s="37">
        <f t="shared" si="0"/>
        <v>320312.5</v>
      </c>
      <c r="H5" s="37"/>
      <c r="I5" s="38">
        <f t="shared" si="5"/>
        <v>3.0000000000000004E-5</v>
      </c>
      <c r="J5" s="37">
        <f t="shared" si="1"/>
        <v>5.0635386363517711E-14</v>
      </c>
      <c r="K5" s="37">
        <f t="shared" si="2"/>
        <v>6.546245655510776E-13</v>
      </c>
      <c r="L5" s="37">
        <f t="shared" si="3"/>
        <v>1814702.2435513572</v>
      </c>
    </row>
    <row r="6" spans="1:12" x14ac:dyDescent="0.35">
      <c r="A6" s="39" t="s">
        <v>164</v>
      </c>
      <c r="B6" s="40">
        <f>B5/20</f>
        <v>500000</v>
      </c>
      <c r="C6" s="1" t="s">
        <v>165</v>
      </c>
      <c r="D6" s="1"/>
      <c r="E6" s="37"/>
      <c r="F6" s="37">
        <f t="shared" si="4"/>
        <v>83000000</v>
      </c>
      <c r="G6" s="37">
        <f t="shared" si="0"/>
        <v>324218.75</v>
      </c>
      <c r="H6" s="37"/>
      <c r="I6" s="38">
        <f t="shared" si="5"/>
        <v>4.0000000000000003E-5</v>
      </c>
      <c r="J6" s="37">
        <f t="shared" si="1"/>
        <v>6.7513848484690285E-14</v>
      </c>
      <c r="K6" s="37">
        <f t="shared" si="2"/>
        <v>8.7283275406810353E-13</v>
      </c>
      <c r="L6" s="37">
        <f t="shared" si="3"/>
        <v>1361026.6826635178</v>
      </c>
    </row>
    <row r="7" spans="1:12" x14ac:dyDescent="0.35">
      <c r="C7" s="1"/>
      <c r="D7" s="1"/>
      <c r="E7" s="37"/>
      <c r="F7" s="37">
        <f t="shared" si="4"/>
        <v>84000000</v>
      </c>
      <c r="G7" s="37">
        <f t="shared" si="0"/>
        <v>328125</v>
      </c>
      <c r="H7" s="37"/>
      <c r="I7" s="38">
        <f t="shared" si="5"/>
        <v>5.0000000000000002E-5</v>
      </c>
      <c r="J7" s="37">
        <f t="shared" si="1"/>
        <v>8.4392310605862841E-14</v>
      </c>
      <c r="K7" s="37">
        <f t="shared" si="2"/>
        <v>1.0910409425851291E-12</v>
      </c>
      <c r="L7" s="37">
        <f t="shared" si="3"/>
        <v>1088821.3461308144</v>
      </c>
    </row>
    <row r="8" spans="1:12" x14ac:dyDescent="0.35">
      <c r="A8" s="41" t="s">
        <v>25</v>
      </c>
      <c r="B8" s="41">
        <v>256</v>
      </c>
      <c r="C8" s="1"/>
      <c r="D8" s="1"/>
      <c r="E8" s="37"/>
      <c r="F8" s="37">
        <f t="shared" si="4"/>
        <v>85000000</v>
      </c>
      <c r="G8" s="37">
        <f t="shared" si="0"/>
        <v>332031.25</v>
      </c>
      <c r="H8" s="37"/>
      <c r="I8" s="38">
        <f t="shared" si="5"/>
        <v>6.0000000000000002E-5</v>
      </c>
      <c r="J8" s="37">
        <f t="shared" si="1"/>
        <v>1.0127077272703542E-13</v>
      </c>
      <c r="K8" s="37">
        <f t="shared" si="2"/>
        <v>1.3092491311021552E-12</v>
      </c>
      <c r="L8" s="37">
        <f t="shared" si="3"/>
        <v>907351.12177567859</v>
      </c>
    </row>
    <row r="9" spans="1:12" x14ac:dyDescent="0.35">
      <c r="A9" s="41" t="s">
        <v>26</v>
      </c>
      <c r="B9" s="41">
        <v>1</v>
      </c>
      <c r="C9" s="1"/>
      <c r="D9" s="1"/>
      <c r="E9" s="37"/>
      <c r="F9" s="37">
        <f t="shared" si="4"/>
        <v>86000000</v>
      </c>
      <c r="G9" s="37">
        <f t="shared" si="0"/>
        <v>335937.5</v>
      </c>
      <c r="H9" s="37"/>
      <c r="I9" s="38">
        <f t="shared" si="5"/>
        <v>7.0000000000000007E-5</v>
      </c>
      <c r="J9" s="37">
        <f t="shared" si="1"/>
        <v>1.1814923484820799E-13</v>
      </c>
      <c r="K9" s="37">
        <f t="shared" si="2"/>
        <v>1.5274573196191809E-12</v>
      </c>
      <c r="L9" s="37">
        <f t="shared" si="3"/>
        <v>777729.53295058175</v>
      </c>
    </row>
    <row r="10" spans="1:12" x14ac:dyDescent="0.35">
      <c r="A10" s="1"/>
      <c r="B10" s="1"/>
      <c r="C10" s="1"/>
      <c r="D10" s="1"/>
      <c r="E10" s="37"/>
      <c r="F10" s="37">
        <f t="shared" si="4"/>
        <v>87000000</v>
      </c>
      <c r="G10" s="37">
        <f t="shared" si="0"/>
        <v>339843.75</v>
      </c>
      <c r="H10" s="37"/>
      <c r="I10" s="38">
        <f t="shared" si="5"/>
        <v>8.0000000000000007E-5</v>
      </c>
      <c r="J10" s="37">
        <f t="shared" si="1"/>
        <v>1.3502769696938057E-13</v>
      </c>
      <c r="K10" s="37">
        <f t="shared" si="2"/>
        <v>1.7456655081362071E-12</v>
      </c>
      <c r="L10" s="37">
        <f t="shared" si="3"/>
        <v>680513.34133175889</v>
      </c>
    </row>
    <row r="11" spans="1:12" x14ac:dyDescent="0.35">
      <c r="A11" s="42" t="s">
        <v>166</v>
      </c>
      <c r="B11" s="43">
        <f>PI()*2*B6</f>
        <v>3141592.653589793</v>
      </c>
      <c r="C11" s="1"/>
      <c r="D11" s="1"/>
      <c r="E11" s="37"/>
      <c r="F11" s="37">
        <f t="shared" si="4"/>
        <v>88000000</v>
      </c>
      <c r="G11" s="37">
        <f t="shared" si="0"/>
        <v>343750</v>
      </c>
      <c r="H11" s="37"/>
      <c r="I11" s="38">
        <f t="shared" si="5"/>
        <v>9.0000000000000006E-5</v>
      </c>
      <c r="J11" s="37">
        <f t="shared" si="1"/>
        <v>1.5190615909055315E-13</v>
      </c>
      <c r="K11" s="37">
        <f t="shared" si="2"/>
        <v>1.9638736966532328E-12</v>
      </c>
      <c r="L11" s="37">
        <f t="shared" si="3"/>
        <v>604900.74785045232</v>
      </c>
    </row>
    <row r="12" spans="1:12" x14ac:dyDescent="0.35">
      <c r="A12" s="42" t="s">
        <v>167</v>
      </c>
      <c r="B12" s="43">
        <f>B11/(1/COS(B3)-TAN(B3))</f>
        <v>11724583.399882235</v>
      </c>
      <c r="C12" s="1"/>
      <c r="D12" s="1"/>
      <c r="E12" s="37"/>
      <c r="F12" s="37">
        <f t="shared" si="4"/>
        <v>89000000</v>
      </c>
      <c r="G12" s="37">
        <f t="shared" si="0"/>
        <v>347656.25</v>
      </c>
      <c r="H12" s="37"/>
      <c r="I12" s="44">
        <f t="shared" si="5"/>
        <v>1E-4</v>
      </c>
      <c r="J12" s="45">
        <f>$B$15*$B$16*$G$37*(I12/(2*PI()))*($B$17/$B$18)</f>
        <v>8.8443141514944275E-13</v>
      </c>
      <c r="K12" s="45">
        <f>J12*($B$12/$B$13-1)</f>
        <v>1.1434109078292155E-11</v>
      </c>
      <c r="L12" s="45">
        <f t="shared" si="3"/>
        <v>103895.16661553572</v>
      </c>
    </row>
    <row r="13" spans="1:12" x14ac:dyDescent="0.35">
      <c r="A13" s="42" t="s">
        <v>168</v>
      </c>
      <c r="B13" s="43">
        <f>(B11*B11)/B12</f>
        <v>841787.21447693324</v>
      </c>
      <c r="C13" s="1"/>
      <c r="D13" s="1"/>
      <c r="E13" s="37"/>
      <c r="F13" s="38">
        <v>90000000</v>
      </c>
      <c r="G13" s="45">
        <f t="shared" si="0"/>
        <v>351562.5</v>
      </c>
      <c r="H13" s="37"/>
      <c r="I13" s="38">
        <f t="shared" si="5"/>
        <v>1.1E-4</v>
      </c>
      <c r="J13" s="37">
        <f t="shared" si="1"/>
        <v>1.8566308333289829E-13</v>
      </c>
      <c r="K13" s="37">
        <f t="shared" si="2"/>
        <v>2.4002900736872847E-12</v>
      </c>
      <c r="L13" s="37">
        <f t="shared" si="3"/>
        <v>494918.79369582463</v>
      </c>
    </row>
    <row r="14" spans="1:12" x14ac:dyDescent="0.35">
      <c r="A14" s="1"/>
      <c r="B14" s="1"/>
      <c r="C14" s="1"/>
      <c r="D14" s="1"/>
      <c r="E14" s="37"/>
      <c r="F14" s="37">
        <f t="shared" si="4"/>
        <v>91000000</v>
      </c>
      <c r="G14" s="37">
        <f t="shared" si="0"/>
        <v>355468.75</v>
      </c>
      <c r="H14" s="37"/>
      <c r="I14" s="38">
        <f t="shared" si="5"/>
        <v>1.2E-4</v>
      </c>
      <c r="J14" s="37">
        <f t="shared" si="1"/>
        <v>2.0254154545407084E-13</v>
      </c>
      <c r="K14" s="37">
        <f t="shared" si="2"/>
        <v>2.6184982622043104E-12</v>
      </c>
      <c r="L14" s="37">
        <f t="shared" si="3"/>
        <v>453675.5608878393</v>
      </c>
    </row>
    <row r="15" spans="1:12" x14ac:dyDescent="0.35">
      <c r="A15" s="46" t="s">
        <v>169</v>
      </c>
      <c r="B15" s="47">
        <f>$B$13/$B$12</f>
        <v>7.179676972449088E-2</v>
      </c>
      <c r="C15" s="1"/>
      <c r="D15" s="1"/>
      <c r="E15" s="37"/>
      <c r="F15" s="37">
        <f t="shared" si="4"/>
        <v>92000000</v>
      </c>
      <c r="G15" s="37">
        <f t="shared" si="0"/>
        <v>359375</v>
      </c>
      <c r="H15" s="37"/>
      <c r="I15" s="38">
        <f t="shared" si="5"/>
        <v>1.3000000000000002E-4</v>
      </c>
      <c r="J15" s="37">
        <f t="shared" si="1"/>
        <v>2.1942000757524347E-13</v>
      </c>
      <c r="K15" s="37">
        <f t="shared" si="2"/>
        <v>2.8367064507213369E-12</v>
      </c>
      <c r="L15" s="37">
        <f t="shared" si="3"/>
        <v>418777.4408195439</v>
      </c>
    </row>
    <row r="16" spans="1:12" x14ac:dyDescent="0.35">
      <c r="A16" s="46" t="s">
        <v>170</v>
      </c>
      <c r="B16" s="47">
        <f>1/($B$11*$B$11)</f>
        <v>1.0132118364233778E-13</v>
      </c>
      <c r="C16" s="1"/>
      <c r="D16" s="1"/>
      <c r="E16" s="37"/>
      <c r="F16" s="37">
        <f t="shared" si="4"/>
        <v>93000000</v>
      </c>
      <c r="G16" s="37">
        <f t="shared" si="0"/>
        <v>363281.25</v>
      </c>
      <c r="H16" s="37"/>
      <c r="I16" s="38">
        <f t="shared" si="5"/>
        <v>1.4000000000000001E-4</v>
      </c>
      <c r="J16" s="37">
        <f t="shared" si="1"/>
        <v>2.3629846969641598E-13</v>
      </c>
      <c r="K16" s="37">
        <f t="shared" si="2"/>
        <v>3.0549146392383619E-12</v>
      </c>
      <c r="L16" s="37">
        <f t="shared" si="3"/>
        <v>388864.76647529087</v>
      </c>
    </row>
    <row r="17" spans="1:12" x14ac:dyDescent="0.35">
      <c r="A17" s="46" t="s">
        <v>171</v>
      </c>
      <c r="B17" s="47">
        <f>SQRT(1+($B$11/$B$13)*($B$11/$B$13))</f>
        <v>3.8637033051562719</v>
      </c>
      <c r="C17" s="1"/>
      <c r="D17" s="1"/>
      <c r="E17" s="37"/>
      <c r="F17" s="37">
        <f t="shared" si="4"/>
        <v>94000000</v>
      </c>
      <c r="G17" s="37">
        <f t="shared" si="0"/>
        <v>367187.5</v>
      </c>
      <c r="H17" s="37"/>
      <c r="I17" s="38">
        <f t="shared" si="5"/>
        <v>1.5000000000000001E-4</v>
      </c>
      <c r="J17" s="37">
        <f t="shared" si="1"/>
        <v>2.5317693181758856E-13</v>
      </c>
      <c r="K17" s="37">
        <f t="shared" si="2"/>
        <v>3.273122827755388E-12</v>
      </c>
      <c r="L17" s="37">
        <f t="shared" si="3"/>
        <v>362940.44871027139</v>
      </c>
    </row>
    <row r="18" spans="1:12" x14ac:dyDescent="0.35">
      <c r="A18" s="46" t="s">
        <v>172</v>
      </c>
      <c r="B18" s="47">
        <f>SQRT(1+($B$11/$B$12)*($B$11/$B$12))</f>
        <v>1.035276180410083</v>
      </c>
      <c r="C18" s="1"/>
      <c r="D18" s="1"/>
      <c r="E18" s="37"/>
      <c r="F18" s="37">
        <f t="shared" si="4"/>
        <v>95000000</v>
      </c>
      <c r="G18" s="37">
        <f t="shared" si="0"/>
        <v>371093.75</v>
      </c>
      <c r="H18" s="37"/>
      <c r="I18" s="38">
        <f t="shared" si="5"/>
        <v>1.6000000000000001E-4</v>
      </c>
      <c r="J18" s="37">
        <f t="shared" si="1"/>
        <v>2.7005539393876114E-13</v>
      </c>
      <c r="K18" s="37">
        <f t="shared" si="2"/>
        <v>3.4913310162724141E-12</v>
      </c>
      <c r="L18" s="37">
        <f t="shared" si="3"/>
        <v>340256.67066587944</v>
      </c>
    </row>
    <row r="19" spans="1:12" x14ac:dyDescent="0.35">
      <c r="C19" s="1"/>
      <c r="D19" s="1"/>
      <c r="E19" s="37"/>
      <c r="F19" s="37">
        <f t="shared" si="4"/>
        <v>96000000</v>
      </c>
      <c r="G19" s="37">
        <f t="shared" si="0"/>
        <v>375000</v>
      </c>
      <c r="H19" s="37"/>
      <c r="I19" s="38">
        <f t="shared" si="5"/>
        <v>1.7000000000000001E-4</v>
      </c>
      <c r="J19" s="37">
        <f t="shared" si="1"/>
        <v>2.8693385605993372E-13</v>
      </c>
      <c r="K19" s="37">
        <f t="shared" si="2"/>
        <v>3.7095392047894403E-12</v>
      </c>
      <c r="L19" s="37">
        <f t="shared" si="3"/>
        <v>320241.57239141589</v>
      </c>
    </row>
    <row r="20" spans="1:12" x14ac:dyDescent="0.35">
      <c r="A20" s="1"/>
      <c r="B20" s="1"/>
      <c r="C20" s="1"/>
      <c r="D20" s="1"/>
      <c r="E20" s="37"/>
      <c r="F20" s="37">
        <f t="shared" si="4"/>
        <v>97000000</v>
      </c>
      <c r="G20" s="37">
        <f t="shared" si="0"/>
        <v>378906.25</v>
      </c>
      <c r="H20" s="37"/>
      <c r="I20" s="38">
        <f t="shared" si="5"/>
        <v>1.8000000000000001E-4</v>
      </c>
      <c r="J20" s="37">
        <f t="shared" si="1"/>
        <v>3.038123181811063E-13</v>
      </c>
      <c r="K20" s="37">
        <f t="shared" si="2"/>
        <v>3.9277473933064656E-12</v>
      </c>
      <c r="L20" s="37">
        <f t="shared" si="3"/>
        <v>302450.37392522616</v>
      </c>
    </row>
    <row r="21" spans="1:12" x14ac:dyDescent="0.35">
      <c r="A21" s="1"/>
      <c r="B21" s="37"/>
      <c r="C21" s="1"/>
      <c r="D21" s="1"/>
      <c r="E21" s="37"/>
      <c r="F21" s="37">
        <f t="shared" si="4"/>
        <v>98000000</v>
      </c>
      <c r="G21" s="37">
        <f t="shared" si="0"/>
        <v>382812.5</v>
      </c>
      <c r="H21" s="37"/>
      <c r="I21" s="38">
        <f t="shared" si="5"/>
        <v>1.9000000000000001E-4</v>
      </c>
      <c r="J21" s="37">
        <f t="shared" si="1"/>
        <v>3.2069078030227883E-13</v>
      </c>
      <c r="K21" s="37">
        <f t="shared" si="2"/>
        <v>4.1459555818234909E-12</v>
      </c>
      <c r="L21" s="37">
        <f t="shared" si="3"/>
        <v>286531.93319231959</v>
      </c>
    </row>
    <row r="22" spans="1:12" x14ac:dyDescent="0.35">
      <c r="A22" s="1"/>
      <c r="B22" s="37"/>
      <c r="C22" s="1"/>
      <c r="D22" s="1"/>
      <c r="E22" s="37"/>
      <c r="F22" s="37">
        <f t="shared" si="4"/>
        <v>99000000</v>
      </c>
      <c r="G22" s="37">
        <f t="shared" si="0"/>
        <v>386718.75</v>
      </c>
      <c r="H22" s="37"/>
      <c r="I22" s="38">
        <f t="shared" si="5"/>
        <v>2.0000000000000001E-4</v>
      </c>
      <c r="J22" s="37">
        <f t="shared" si="1"/>
        <v>3.3756924242345136E-13</v>
      </c>
      <c r="K22" s="37">
        <f t="shared" si="2"/>
        <v>4.3641637703405163E-12</v>
      </c>
      <c r="L22" s="37">
        <f t="shared" si="3"/>
        <v>272205.3365327036</v>
      </c>
    </row>
    <row r="23" spans="1:12" x14ac:dyDescent="0.35">
      <c r="A23" s="1"/>
      <c r="B23" s="1"/>
      <c r="C23" s="1"/>
      <c r="D23" s="1"/>
      <c r="E23" s="37"/>
      <c r="F23" s="37">
        <f t="shared" si="4"/>
        <v>100000000</v>
      </c>
      <c r="G23" s="37">
        <f t="shared" si="0"/>
        <v>390625</v>
      </c>
      <c r="H23" s="37"/>
      <c r="I23" s="38">
        <f t="shared" si="5"/>
        <v>2.1000000000000001E-4</v>
      </c>
      <c r="J23" s="37">
        <f t="shared" si="1"/>
        <v>3.5444770454462394E-13</v>
      </c>
      <c r="K23" s="37">
        <f t="shared" si="2"/>
        <v>4.5823719588575424E-12</v>
      </c>
      <c r="L23" s="37">
        <f t="shared" si="3"/>
        <v>259243.17765019389</v>
      </c>
    </row>
    <row r="24" spans="1:12" x14ac:dyDescent="0.35">
      <c r="A24" s="1"/>
      <c r="B24" s="1"/>
      <c r="C24" s="1"/>
      <c r="D24" s="1"/>
      <c r="E24" s="37"/>
      <c r="F24" s="37">
        <f t="shared" si="4"/>
        <v>101000000</v>
      </c>
      <c r="G24" s="37">
        <f t="shared" si="0"/>
        <v>394531.25</v>
      </c>
      <c r="H24" s="37"/>
      <c r="I24" s="38">
        <f t="shared" si="5"/>
        <v>2.2000000000000001E-4</v>
      </c>
      <c r="J24" s="37">
        <f t="shared" si="1"/>
        <v>3.7132616666579657E-13</v>
      </c>
      <c r="K24" s="37">
        <f t="shared" si="2"/>
        <v>4.8005801473745693E-12</v>
      </c>
      <c r="L24" s="37">
        <f t="shared" si="3"/>
        <v>247459.39684791231</v>
      </c>
    </row>
    <row r="25" spans="1:12" x14ac:dyDescent="0.35">
      <c r="A25" s="1"/>
      <c r="B25" s="1"/>
      <c r="C25" s="1"/>
      <c r="D25" s="1"/>
      <c r="E25" s="37"/>
      <c r="F25" s="37">
        <f t="shared" si="4"/>
        <v>102000000</v>
      </c>
      <c r="G25" s="37">
        <f t="shared" si="0"/>
        <v>398437.5</v>
      </c>
      <c r="H25" s="37"/>
      <c r="I25" s="38">
        <f t="shared" si="5"/>
        <v>2.3000000000000001E-4</v>
      </c>
      <c r="J25" s="37">
        <f t="shared" si="1"/>
        <v>3.8820462878696916E-13</v>
      </c>
      <c r="K25" s="37">
        <f t="shared" si="2"/>
        <v>5.0187883358915955E-12</v>
      </c>
      <c r="L25" s="37">
        <f t="shared" si="3"/>
        <v>236700.29263713351</v>
      </c>
    </row>
    <row r="26" spans="1:12" x14ac:dyDescent="0.35">
      <c r="A26" s="1"/>
      <c r="B26" s="1"/>
      <c r="C26" s="1"/>
      <c r="D26" s="1"/>
      <c r="E26" s="37"/>
      <c r="F26" s="37">
        <f t="shared" si="4"/>
        <v>103000000</v>
      </c>
      <c r="G26" s="37">
        <f t="shared" si="0"/>
        <v>402343.75</v>
      </c>
      <c r="H26" s="37"/>
      <c r="I26" s="38">
        <f t="shared" si="5"/>
        <v>2.4000000000000001E-4</v>
      </c>
      <c r="J26" s="37">
        <f t="shared" si="1"/>
        <v>4.0508309090814169E-13</v>
      </c>
      <c r="K26" s="37">
        <f t="shared" si="2"/>
        <v>5.2369965244086208E-12</v>
      </c>
      <c r="L26" s="37">
        <f t="shared" si="3"/>
        <v>226837.78044391965</v>
      </c>
    </row>
    <row r="27" spans="1:12" x14ac:dyDescent="0.35">
      <c r="A27" s="1"/>
      <c r="B27" s="1"/>
      <c r="C27" s="1"/>
      <c r="D27" s="1"/>
      <c r="E27" s="37"/>
      <c r="F27" s="37">
        <f t="shared" si="4"/>
        <v>104000000</v>
      </c>
      <c r="G27" s="37">
        <f t="shared" si="0"/>
        <v>406250</v>
      </c>
      <c r="H27" s="37"/>
      <c r="I27" s="38">
        <f t="shared" si="5"/>
        <v>2.5000000000000001E-4</v>
      </c>
      <c r="J27" s="37">
        <f t="shared" si="1"/>
        <v>4.2196155302931427E-13</v>
      </c>
      <c r="K27" s="37">
        <f t="shared" si="2"/>
        <v>5.4552047129256469E-12</v>
      </c>
      <c r="L27" s="37">
        <f t="shared" si="3"/>
        <v>217764.26922616284</v>
      </c>
    </row>
    <row r="28" spans="1:12" x14ac:dyDescent="0.35">
      <c r="A28" s="1"/>
      <c r="B28" s="1"/>
      <c r="C28" s="1"/>
      <c r="D28" s="1"/>
      <c r="E28" s="37"/>
      <c r="F28" s="37">
        <f t="shared" si="4"/>
        <v>105000000</v>
      </c>
      <c r="G28" s="37">
        <f t="shared" si="0"/>
        <v>410156.25</v>
      </c>
      <c r="H28" s="37"/>
      <c r="I28" s="38">
        <f t="shared" si="5"/>
        <v>2.6000000000000003E-4</v>
      </c>
      <c r="J28" s="37">
        <f t="shared" si="1"/>
        <v>4.3884001515048695E-13</v>
      </c>
      <c r="K28" s="37">
        <f t="shared" si="2"/>
        <v>5.6734129014426739E-12</v>
      </c>
      <c r="L28" s="37">
        <f t="shared" si="3"/>
        <v>209388.72040977195</v>
      </c>
    </row>
    <row r="29" spans="1:12" x14ac:dyDescent="0.35">
      <c r="A29" s="1"/>
      <c r="B29" s="1"/>
      <c r="C29" s="1"/>
      <c r="D29" s="1"/>
      <c r="E29" s="37"/>
      <c r="F29" s="37">
        <f t="shared" si="4"/>
        <v>106000000</v>
      </c>
      <c r="G29" s="37">
        <f t="shared" si="0"/>
        <v>414062.5</v>
      </c>
      <c r="H29" s="37"/>
      <c r="I29" s="38">
        <f t="shared" si="5"/>
        <v>2.7000000000000006E-4</v>
      </c>
      <c r="J29" s="37">
        <f t="shared" si="1"/>
        <v>4.5571847727165943E-13</v>
      </c>
      <c r="K29" s="37">
        <f t="shared" si="2"/>
        <v>5.8916210899596984E-12</v>
      </c>
      <c r="L29" s="37">
        <f t="shared" si="3"/>
        <v>201633.58261681744</v>
      </c>
    </row>
    <row r="30" spans="1:12" x14ac:dyDescent="0.35">
      <c r="A30" s="1"/>
      <c r="B30" s="1"/>
      <c r="C30" s="37"/>
      <c r="D30" s="1"/>
      <c r="E30" s="37"/>
      <c r="F30" s="37">
        <f t="shared" si="4"/>
        <v>107000000</v>
      </c>
      <c r="G30" s="37">
        <f t="shared" si="0"/>
        <v>417968.75</v>
      </c>
      <c r="H30" s="37"/>
      <c r="I30" s="38">
        <f t="shared" si="5"/>
        <v>2.8000000000000008E-4</v>
      </c>
      <c r="J30" s="37">
        <f t="shared" si="1"/>
        <v>4.7259693939283206E-13</v>
      </c>
      <c r="K30" s="37">
        <f t="shared" si="2"/>
        <v>6.1098292784767254E-12</v>
      </c>
      <c r="L30" s="37">
        <f t="shared" si="3"/>
        <v>194432.38323764538</v>
      </c>
    </row>
    <row r="31" spans="1:12" x14ac:dyDescent="0.35">
      <c r="A31" s="1"/>
      <c r="B31" s="1"/>
      <c r="C31" s="1"/>
      <c r="D31" s="1"/>
      <c r="E31" s="37"/>
      <c r="F31" s="37">
        <f t="shared" si="4"/>
        <v>108000000</v>
      </c>
      <c r="G31" s="37">
        <f t="shared" si="0"/>
        <v>421875</v>
      </c>
      <c r="H31" s="37"/>
      <c r="I31" s="38">
        <f t="shared" si="5"/>
        <v>2.9000000000000011E-4</v>
      </c>
      <c r="J31" s="37">
        <f t="shared" si="1"/>
        <v>4.8947540151400469E-13</v>
      </c>
      <c r="K31" s="37">
        <f t="shared" si="2"/>
        <v>6.3280374669937515E-12</v>
      </c>
      <c r="L31" s="37">
        <f t="shared" si="3"/>
        <v>187727.81829841621</v>
      </c>
    </row>
    <row r="32" spans="1:12" x14ac:dyDescent="0.35">
      <c r="A32" s="1"/>
      <c r="B32" s="1"/>
      <c r="C32" s="1"/>
      <c r="D32" s="1"/>
      <c r="E32" s="37"/>
      <c r="F32" s="37">
        <f t="shared" si="4"/>
        <v>109000000</v>
      </c>
      <c r="G32" s="37">
        <f t="shared" si="0"/>
        <v>425781.25</v>
      </c>
      <c r="H32" s="37"/>
      <c r="I32" s="38">
        <f t="shared" si="5"/>
        <v>3.0000000000000014E-4</v>
      </c>
      <c r="J32" s="37">
        <f>$B$15*$B$16*$G$23*(I32/(2*PI()))*($B$17/$B$18)</f>
        <v>5.0635386363517732E-13</v>
      </c>
      <c r="K32" s="37">
        <f t="shared" si="2"/>
        <v>6.5462456555107784E-12</v>
      </c>
      <c r="L32" s="37">
        <f t="shared" si="3"/>
        <v>181470.22435513564</v>
      </c>
    </row>
    <row r="33" spans="1:12" x14ac:dyDescent="0.35">
      <c r="A33" s="1"/>
      <c r="B33" s="1"/>
      <c r="C33" s="1"/>
      <c r="D33" s="1"/>
      <c r="E33" s="1"/>
      <c r="F33" s="1"/>
      <c r="G33" s="37"/>
      <c r="H33" s="1"/>
      <c r="I33" s="38"/>
    </row>
    <row r="37" spans="1:12" x14ac:dyDescent="0.35">
      <c r="F37" s="38">
        <v>524000000</v>
      </c>
      <c r="G37" s="37">
        <f>F37/$B$8</f>
        <v>2046875</v>
      </c>
      <c r="I37" s="38"/>
      <c r="J37" s="37"/>
      <c r="K37" s="37"/>
      <c r="L37" s="37"/>
    </row>
  </sheetData>
  <mergeCells count="2">
    <mergeCell ref="A1:C1"/>
    <mergeCell ref="J1:L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DC15-D166-41CE-BBD4-27C152C3ADBC}">
  <dimension ref="A1:Z35"/>
  <sheetViews>
    <sheetView showGridLines="0" topLeftCell="A3" zoomScaleNormal="100" workbookViewId="0">
      <selection activeCell="J22" sqref="J22"/>
    </sheetView>
  </sheetViews>
  <sheetFormatPr baseColWidth="10" defaultColWidth="10.81640625" defaultRowHeight="14.5" x14ac:dyDescent="0.35"/>
  <cols>
    <col min="1" max="1" width="21.453125" style="1" customWidth="1"/>
    <col min="2" max="4" width="18.453125" style="1" customWidth="1"/>
    <col min="5" max="5" width="16.81640625" style="1" customWidth="1"/>
    <col min="6" max="6" width="16.7265625" style="1" customWidth="1"/>
    <col min="7" max="7" width="17.26953125" style="1" customWidth="1"/>
    <col min="8" max="9" width="9.1796875" style="1"/>
    <col min="10" max="10" width="33.453125" style="1" customWidth="1"/>
    <col min="11" max="12" width="9.1796875" style="1"/>
    <col min="13" max="13" width="20.7265625" style="1" bestFit="1" customWidth="1"/>
    <col min="14" max="14" width="12" style="1" bestFit="1" customWidth="1"/>
    <col min="15" max="16384" width="10.81640625" style="1"/>
  </cols>
  <sheetData>
    <row r="1" spans="1:26" ht="62.5" x14ac:dyDescent="0.35">
      <c r="A1" s="304" t="s">
        <v>101</v>
      </c>
      <c r="B1" s="305"/>
      <c r="C1" s="305"/>
      <c r="D1" s="305"/>
      <c r="E1" s="305"/>
      <c r="F1" s="305"/>
      <c r="G1" s="305"/>
      <c r="H1" s="305"/>
      <c r="I1" s="319" t="s">
        <v>102</v>
      </c>
      <c r="J1" s="319"/>
      <c r="K1" s="319"/>
      <c r="L1" s="319"/>
      <c r="M1" s="319"/>
      <c r="N1" s="319"/>
      <c r="O1" s="319"/>
      <c r="P1" s="319"/>
      <c r="Q1" s="320"/>
    </row>
    <row r="2" spans="1:26" x14ac:dyDescent="0.35">
      <c r="A2" s="52"/>
      <c r="B2" s="52"/>
      <c r="C2" s="52"/>
      <c r="D2" s="52"/>
    </row>
    <row r="3" spans="1:26" ht="29.25" customHeight="1" x14ac:dyDescent="0.6">
      <c r="A3" s="330" t="s">
        <v>40</v>
      </c>
      <c r="B3" s="331"/>
      <c r="C3" s="331"/>
      <c r="D3" s="331"/>
      <c r="E3" s="331"/>
      <c r="F3" s="331"/>
      <c r="G3" s="331"/>
      <c r="H3" s="332"/>
    </row>
    <row r="4" spans="1:26" ht="16" x14ac:dyDescent="0.4">
      <c r="A4" s="324" t="s">
        <v>103</v>
      </c>
      <c r="B4" s="325"/>
      <c r="C4" s="325"/>
      <c r="D4" s="326"/>
      <c r="E4" s="327" t="s">
        <v>104</v>
      </c>
      <c r="F4" s="328"/>
      <c r="G4" s="328"/>
      <c r="H4" s="329"/>
    </row>
    <row r="5" spans="1:26" ht="16" x14ac:dyDescent="0.4">
      <c r="A5" s="208" t="s">
        <v>105</v>
      </c>
      <c r="B5" s="209" t="s">
        <v>106</v>
      </c>
      <c r="C5" s="210" t="s">
        <v>107</v>
      </c>
      <c r="D5" s="211" t="s">
        <v>108</v>
      </c>
      <c r="E5" s="196" t="s">
        <v>105</v>
      </c>
      <c r="F5" s="197" t="s">
        <v>106</v>
      </c>
      <c r="G5" s="197" t="s">
        <v>107</v>
      </c>
      <c r="H5" s="198" t="s">
        <v>108</v>
      </c>
    </row>
    <row r="6" spans="1:26" ht="16" x14ac:dyDescent="0.4">
      <c r="A6" s="264" t="s">
        <v>109</v>
      </c>
      <c r="B6" s="195">
        <v>5.67</v>
      </c>
      <c r="C6" s="222">
        <v>1.5</v>
      </c>
      <c r="D6" s="222" t="s">
        <v>110</v>
      </c>
      <c r="E6" s="212" t="s">
        <v>111</v>
      </c>
      <c r="F6" s="213">
        <v>15</v>
      </c>
      <c r="G6" s="213"/>
      <c r="H6" s="205" t="s">
        <v>110</v>
      </c>
      <c r="R6" s="223"/>
      <c r="S6" s="223"/>
      <c r="T6" s="223"/>
      <c r="U6" s="223"/>
      <c r="V6" s="223"/>
      <c r="W6" s="223"/>
      <c r="X6" s="223"/>
      <c r="Y6" s="223"/>
      <c r="Z6" s="223"/>
    </row>
    <row r="7" spans="1:26" ht="16" x14ac:dyDescent="0.4">
      <c r="A7" s="221" t="s">
        <v>112</v>
      </c>
      <c r="B7" s="203">
        <f>10^(B6/10)</f>
        <v>3.6897759857015031</v>
      </c>
      <c r="C7" s="222"/>
      <c r="D7" s="222" t="s">
        <v>113</v>
      </c>
      <c r="E7" s="212" t="s">
        <v>114</v>
      </c>
      <c r="F7" s="230">
        <f>10^(F6/10)</f>
        <v>31.622776601683803</v>
      </c>
      <c r="G7" s="213"/>
      <c r="H7" s="205" t="s">
        <v>113</v>
      </c>
      <c r="R7" s="223"/>
      <c r="S7" s="223"/>
      <c r="T7" s="223"/>
      <c r="U7" s="223"/>
      <c r="V7" s="223"/>
      <c r="W7" s="223"/>
      <c r="X7" s="223"/>
      <c r="Y7" s="223"/>
      <c r="Z7" s="223"/>
    </row>
    <row r="8" spans="1:26" ht="16" x14ac:dyDescent="0.4">
      <c r="A8" s="264" t="s">
        <v>39</v>
      </c>
      <c r="B8" s="195">
        <v>16.899999999999999</v>
      </c>
      <c r="C8" s="222">
        <v>6</v>
      </c>
      <c r="D8" s="222" t="s">
        <v>110</v>
      </c>
      <c r="E8" s="212" t="s">
        <v>115</v>
      </c>
      <c r="F8" s="195">
        <v>-4.5</v>
      </c>
      <c r="G8" s="213"/>
      <c r="H8" s="205" t="s">
        <v>110</v>
      </c>
      <c r="R8" s="223"/>
      <c r="S8" s="223"/>
      <c r="T8" s="223"/>
      <c r="U8" s="223"/>
      <c r="V8" s="223"/>
      <c r="W8" s="223"/>
      <c r="X8" s="223"/>
      <c r="Y8" s="223"/>
      <c r="Z8" s="223"/>
    </row>
    <row r="9" spans="1:26" ht="16" x14ac:dyDescent="0.4">
      <c r="A9" s="221" t="s">
        <v>116</v>
      </c>
      <c r="B9" s="195">
        <f>10^(B8/10)</f>
        <v>48.977881936844632</v>
      </c>
      <c r="C9" s="222"/>
      <c r="D9" s="222" t="s">
        <v>113</v>
      </c>
      <c r="E9" s="214" t="s">
        <v>117</v>
      </c>
      <c r="F9" s="231">
        <f>10^(F8/10)</f>
        <v>0.35481338923357542</v>
      </c>
      <c r="G9" s="215"/>
      <c r="H9" s="6" t="s">
        <v>113</v>
      </c>
      <c r="R9" s="223"/>
      <c r="S9" s="223"/>
      <c r="T9" s="223"/>
      <c r="U9" s="223"/>
      <c r="V9" s="223"/>
      <c r="W9" s="223"/>
      <c r="X9" s="223"/>
      <c r="Y9" s="223"/>
      <c r="Z9" s="223"/>
    </row>
    <row r="10" spans="1:26" ht="16.5" customHeight="1" x14ac:dyDescent="0.35">
      <c r="A10" s="311" t="s">
        <v>118</v>
      </c>
      <c r="B10" s="199">
        <f>SQRT((10^(N23/10)*0.001)*2*50)</f>
        <v>1.0871910807524152E-5</v>
      </c>
      <c r="C10" s="222"/>
      <c r="D10" s="205" t="s">
        <v>119</v>
      </c>
      <c r="R10" s="223"/>
      <c r="S10" s="223"/>
      <c r="T10" s="223"/>
      <c r="U10" s="223"/>
      <c r="V10" s="223"/>
      <c r="W10" s="223"/>
      <c r="X10" s="223"/>
      <c r="Y10" s="223"/>
      <c r="Z10" s="223"/>
    </row>
    <row r="11" spans="1:26" x14ac:dyDescent="0.35">
      <c r="A11" s="312"/>
      <c r="B11" s="202"/>
      <c r="C11" s="224"/>
      <c r="D11" s="205" t="s">
        <v>120</v>
      </c>
      <c r="R11" s="223"/>
      <c r="S11" s="223"/>
      <c r="T11" s="223"/>
      <c r="U11" s="223"/>
      <c r="V11" s="223"/>
      <c r="W11" s="223"/>
      <c r="X11" s="223"/>
      <c r="Y11" s="223"/>
      <c r="Z11" s="223"/>
    </row>
    <row r="12" spans="1:26" ht="26" x14ac:dyDescent="0.6">
      <c r="A12" s="311" t="s">
        <v>121</v>
      </c>
      <c r="B12" s="199">
        <f>SQRT((10^(N21/10)*0.001)*2*50)</f>
        <v>3.675933234486747E-3</v>
      </c>
      <c r="C12" s="195"/>
      <c r="D12" s="205" t="s">
        <v>119</v>
      </c>
      <c r="M12" s="294" t="s">
        <v>122</v>
      </c>
      <c r="N12" s="295"/>
      <c r="O12" s="296"/>
      <c r="R12" s="223"/>
      <c r="S12" s="223"/>
      <c r="T12" s="223"/>
      <c r="U12" s="223"/>
      <c r="V12" s="223"/>
      <c r="W12" s="223"/>
      <c r="X12" s="223"/>
      <c r="Y12" s="223"/>
      <c r="Z12" s="223"/>
    </row>
    <row r="13" spans="1:26" ht="26" x14ac:dyDescent="0.6">
      <c r="A13" s="313"/>
      <c r="B13" s="207"/>
      <c r="C13" s="5"/>
      <c r="D13" s="6" t="s">
        <v>120</v>
      </c>
      <c r="M13" s="271"/>
      <c r="N13" s="272"/>
      <c r="O13" s="273"/>
      <c r="R13" s="223"/>
      <c r="S13" s="223"/>
      <c r="T13" s="223"/>
      <c r="U13" s="223"/>
      <c r="V13" s="223"/>
      <c r="W13" s="223"/>
      <c r="X13" s="223"/>
      <c r="Y13" s="223"/>
      <c r="Z13" s="223"/>
    </row>
    <row r="14" spans="1:26" x14ac:dyDescent="0.35">
      <c r="A14" s="52"/>
      <c r="M14" s="299" t="s">
        <v>123</v>
      </c>
      <c r="N14" s="300"/>
      <c r="O14" s="301"/>
      <c r="R14" s="223"/>
      <c r="S14" s="223"/>
      <c r="T14" s="223"/>
      <c r="U14" s="223"/>
      <c r="V14" s="223"/>
      <c r="W14" s="223"/>
      <c r="X14" s="223"/>
      <c r="Y14" s="223"/>
      <c r="Z14" s="223"/>
    </row>
    <row r="15" spans="1:26" x14ac:dyDescent="0.35">
      <c r="M15" s="204" t="s">
        <v>105</v>
      </c>
      <c r="N15" s="200" t="s">
        <v>106</v>
      </c>
      <c r="O15" s="201" t="s">
        <v>107</v>
      </c>
      <c r="R15" s="223"/>
      <c r="S15" s="223"/>
      <c r="T15" s="223"/>
      <c r="U15" s="223"/>
      <c r="V15" s="223"/>
      <c r="W15" s="223"/>
      <c r="X15" s="223"/>
      <c r="Y15" s="223"/>
      <c r="Z15" s="223"/>
    </row>
    <row r="16" spans="1:26" ht="26" x14ac:dyDescent="0.6">
      <c r="A16" s="288" t="s">
        <v>124</v>
      </c>
      <c r="B16" s="289"/>
      <c r="C16" s="289"/>
      <c r="D16" s="289"/>
      <c r="E16" s="289"/>
      <c r="F16" s="289"/>
      <c r="G16" s="289"/>
      <c r="H16" s="290"/>
      <c r="J16" s="297" t="s">
        <v>125</v>
      </c>
      <c r="K16" s="298"/>
      <c r="M16" s="244" t="s">
        <v>47</v>
      </c>
      <c r="N16" s="245">
        <v>14</v>
      </c>
      <c r="O16" s="246"/>
    </row>
    <row r="17" spans="1:15" ht="16" x14ac:dyDescent="0.4">
      <c r="A17" s="314" t="s">
        <v>103</v>
      </c>
      <c r="B17" s="315"/>
      <c r="C17" s="315"/>
      <c r="D17" s="316"/>
      <c r="E17" s="291" t="s">
        <v>104</v>
      </c>
      <c r="F17" s="292"/>
      <c r="G17" s="292"/>
      <c r="H17" s="293"/>
      <c r="J17" s="225" t="s">
        <v>43</v>
      </c>
      <c r="K17" s="226">
        <f>B7+(B20-1)/B9+(B33-1)/(B9*B22)</f>
        <v>3.9399481535586918</v>
      </c>
      <c r="M17" s="240" t="s">
        <v>48</v>
      </c>
      <c r="N17" s="241">
        <v>-174</v>
      </c>
      <c r="O17" s="205"/>
    </row>
    <row r="18" spans="1:15" ht="16" x14ac:dyDescent="0.4">
      <c r="A18" s="258" t="s">
        <v>105</v>
      </c>
      <c r="B18" s="259" t="s">
        <v>106</v>
      </c>
      <c r="C18" s="260" t="s">
        <v>107</v>
      </c>
      <c r="D18" s="265" t="s">
        <v>108</v>
      </c>
      <c r="E18" s="235" t="s">
        <v>105</v>
      </c>
      <c r="F18" s="236" t="s">
        <v>106</v>
      </c>
      <c r="G18" s="237" t="s">
        <v>107</v>
      </c>
      <c r="H18" s="237" t="s">
        <v>108</v>
      </c>
      <c r="J18" s="225" t="s">
        <v>44</v>
      </c>
      <c r="K18" s="226">
        <f>10*LOG10(K17)</f>
        <v>5.9549050690894578</v>
      </c>
      <c r="M18" s="240" t="s">
        <v>49</v>
      </c>
      <c r="N18" s="241">
        <v>3000000</v>
      </c>
      <c r="O18" s="205"/>
    </row>
    <row r="19" spans="1:15" ht="16" x14ac:dyDescent="0.4">
      <c r="A19" s="264" t="s">
        <v>109</v>
      </c>
      <c r="B19" s="249">
        <v>11.2</v>
      </c>
      <c r="C19" s="266">
        <v>1.5</v>
      </c>
      <c r="D19" s="246" t="s">
        <v>110</v>
      </c>
      <c r="E19" s="257" t="s">
        <v>111</v>
      </c>
      <c r="F19" s="233">
        <v>23</v>
      </c>
      <c r="G19" s="234"/>
      <c r="H19" s="205" t="s">
        <v>110</v>
      </c>
      <c r="J19" s="227" t="s">
        <v>45</v>
      </c>
      <c r="K19" s="228">
        <f>B21+B34+B8</f>
        <v>22.56</v>
      </c>
      <c r="M19" s="268" t="s">
        <v>50</v>
      </c>
      <c r="N19" s="203">
        <f>N23</f>
        <v>-89.273882383713925</v>
      </c>
      <c r="O19" s="205">
        <v>2</v>
      </c>
    </row>
    <row r="20" spans="1:15" ht="16.5" x14ac:dyDescent="0.4">
      <c r="A20" s="221" t="s">
        <v>112</v>
      </c>
      <c r="B20" s="203">
        <f>10^(B19/10)</f>
        <v>13.18256738556407</v>
      </c>
      <c r="C20" s="222"/>
      <c r="D20" s="205" t="s">
        <v>113</v>
      </c>
      <c r="E20" s="217" t="s">
        <v>114</v>
      </c>
      <c r="F20" s="238">
        <f>10^(F19/10)</f>
        <v>199.52623149688802</v>
      </c>
      <c r="G20" s="216"/>
      <c r="H20" s="205" t="s">
        <v>113</v>
      </c>
      <c r="J20" s="223"/>
      <c r="K20" s="223"/>
      <c r="M20" s="275" t="s">
        <v>83</v>
      </c>
      <c r="N20" s="203">
        <f>K18+N17+10*LOG10(N18)</f>
        <v>-103.27388238371393</v>
      </c>
      <c r="O20" s="205"/>
    </row>
    <row r="21" spans="1:15" ht="16.5" x14ac:dyDescent="0.4">
      <c r="A21" s="264" t="s">
        <v>39</v>
      </c>
      <c r="B21" s="195">
        <v>5.66</v>
      </c>
      <c r="C21" s="222">
        <v>6</v>
      </c>
      <c r="D21" s="205" t="s">
        <v>110</v>
      </c>
      <c r="E21" s="217" t="s">
        <v>115</v>
      </c>
      <c r="F21" s="195">
        <v>15</v>
      </c>
      <c r="G21" s="218"/>
      <c r="H21" s="205" t="s">
        <v>110</v>
      </c>
      <c r="M21" s="275" t="s">
        <v>126</v>
      </c>
      <c r="N21" s="242">
        <f>(2*N28+N20)/3</f>
        <v>-38.692647705007481</v>
      </c>
      <c r="O21" s="205"/>
    </row>
    <row r="22" spans="1:15" ht="16.5" x14ac:dyDescent="0.4">
      <c r="A22" s="221" t="s">
        <v>116</v>
      </c>
      <c r="B22" s="203">
        <f>10^(B21/10)</f>
        <v>3.681289736425315</v>
      </c>
      <c r="C22" s="195"/>
      <c r="D22" s="205" t="s">
        <v>113</v>
      </c>
      <c r="E22" s="219" t="s">
        <v>117</v>
      </c>
      <c r="F22" s="239">
        <f>10^(F21/10)</f>
        <v>31.622776601683803</v>
      </c>
      <c r="G22" s="220"/>
      <c r="H22" s="6" t="s">
        <v>113</v>
      </c>
      <c r="M22" s="275" t="s">
        <v>79</v>
      </c>
      <c r="N22" s="254">
        <f>(10^(N21/10)*0.001)</f>
        <v>1.3512485144404199E-7</v>
      </c>
      <c r="O22" s="205"/>
    </row>
    <row r="23" spans="1:15" ht="16.5" x14ac:dyDescent="0.35">
      <c r="A23" s="322" t="s">
        <v>73</v>
      </c>
      <c r="B23" s="199">
        <f>SQRT((10^(N23/10)*0.001)*2*50)*10^(B8/20)</f>
        <v>7.6086197598963928E-5</v>
      </c>
      <c r="C23" s="195"/>
      <c r="D23" s="205" t="s">
        <v>119</v>
      </c>
      <c r="M23" s="267" t="s">
        <v>127</v>
      </c>
      <c r="N23" s="340">
        <f>K18+N17+10*LOG10(N18)+N16</f>
        <v>-89.273882383713925</v>
      </c>
      <c r="O23" s="205">
        <v>2</v>
      </c>
    </row>
    <row r="24" spans="1:15" ht="16.5" x14ac:dyDescent="0.35">
      <c r="A24" s="322"/>
      <c r="B24" s="199"/>
      <c r="C24" s="195"/>
      <c r="D24" s="205" t="s">
        <v>120</v>
      </c>
      <c r="J24" s="321" t="s">
        <v>85</v>
      </c>
      <c r="K24" s="285"/>
      <c r="M24" s="275" t="s">
        <v>81</v>
      </c>
      <c r="N24" s="243">
        <f>(10^(N23/10)*0.001)</f>
        <v>1.1819844460676045E-12</v>
      </c>
      <c r="O24" s="205"/>
    </row>
    <row r="25" spans="1:15" ht="16.5" x14ac:dyDescent="0.45">
      <c r="A25" s="322" t="s">
        <v>74</v>
      </c>
      <c r="B25" s="199">
        <f>SQRT(2*N22*50)*10^(B8/20)</f>
        <v>2.5725724519942986E-2</v>
      </c>
      <c r="C25" s="195"/>
      <c r="D25" s="205" t="s">
        <v>119</v>
      </c>
      <c r="J25" s="74" t="s">
        <v>128</v>
      </c>
      <c r="K25" s="255">
        <f>2.445*10^9</f>
        <v>2445000000</v>
      </c>
      <c r="M25" s="240" t="s">
        <v>84</v>
      </c>
      <c r="N25" s="203">
        <f>((300000000/$K$25)*10^(($K33)/20))/(4*PI())</f>
        <v>45.011827560129056</v>
      </c>
      <c r="O25" s="205"/>
    </row>
    <row r="26" spans="1:15" ht="16.5" x14ac:dyDescent="0.45">
      <c r="A26" s="323"/>
      <c r="B26" s="207"/>
      <c r="C26" s="5"/>
      <c r="D26" s="6" t="s">
        <v>120</v>
      </c>
      <c r="E26" s="229"/>
      <c r="F26" s="229"/>
      <c r="G26" s="229"/>
      <c r="J26" s="275" t="s">
        <v>129</v>
      </c>
      <c r="K26" s="256">
        <v>14</v>
      </c>
      <c r="M26" s="247" t="s">
        <v>130</v>
      </c>
      <c r="N26" s="263">
        <f>((300000000/$K$25)*10^(($K32)/20))/(4*PI())</f>
        <v>0.13312662208504661</v>
      </c>
      <c r="O26" s="248"/>
    </row>
    <row r="27" spans="1:15" x14ac:dyDescent="0.35">
      <c r="J27" s="276" t="s">
        <v>93</v>
      </c>
      <c r="K27" s="76">
        <v>30</v>
      </c>
      <c r="M27" s="270" t="s">
        <v>8</v>
      </c>
      <c r="N27" s="250">
        <f>1/(1/F9+B9/F22)</f>
        <v>0.22897969019059031</v>
      </c>
      <c r="O27" s="246"/>
    </row>
    <row r="28" spans="1:15" x14ac:dyDescent="0.35">
      <c r="M28" s="264" t="s">
        <v>52</v>
      </c>
      <c r="N28" s="203">
        <f>10*LOG(N27)</f>
        <v>-6.4020303656542517</v>
      </c>
      <c r="O28" s="205"/>
    </row>
    <row r="29" spans="1:15" ht="26" x14ac:dyDescent="0.6">
      <c r="A29" s="306" t="s">
        <v>131</v>
      </c>
      <c r="B29" s="307"/>
      <c r="M29" s="221" t="s">
        <v>54</v>
      </c>
      <c r="N29" s="203">
        <f>N27*10^(K19/10)</f>
        <v>41.285444371016197</v>
      </c>
      <c r="O29" s="205"/>
    </row>
    <row r="30" spans="1:15" x14ac:dyDescent="0.35">
      <c r="A30" s="317" t="s">
        <v>103</v>
      </c>
      <c r="B30" s="318"/>
      <c r="M30" s="221" t="s">
        <v>53</v>
      </c>
      <c r="N30" s="203">
        <f>10*LOG(N29)</f>
        <v>16.157969634345747</v>
      </c>
      <c r="O30" s="205"/>
    </row>
    <row r="31" spans="1:15" ht="16.5" x14ac:dyDescent="0.45">
      <c r="A31" s="251" t="s">
        <v>105</v>
      </c>
      <c r="B31" s="252" t="s">
        <v>106</v>
      </c>
      <c r="J31" s="302" t="s">
        <v>132</v>
      </c>
      <c r="K31" s="303"/>
      <c r="M31" s="221" t="s">
        <v>133</v>
      </c>
      <c r="N31" s="203">
        <f>N17+K18+K19</f>
        <v>-145.48509493091055</v>
      </c>
      <c r="O31" s="205"/>
    </row>
    <row r="32" spans="1:15" x14ac:dyDescent="0.35">
      <c r="A32" s="308" t="s">
        <v>36</v>
      </c>
      <c r="B32" s="205">
        <v>1</v>
      </c>
      <c r="J32" s="74" t="s">
        <v>134</v>
      </c>
      <c r="K32" s="262">
        <f>K26-N21-K27</f>
        <v>22.692647705007481</v>
      </c>
      <c r="M32" s="269" t="s">
        <v>10</v>
      </c>
      <c r="N32" s="206">
        <f>(2/3)*(N30-N31)</f>
        <v>107.76204304350418</v>
      </c>
      <c r="O32" s="6"/>
    </row>
    <row r="33" spans="1:11" x14ac:dyDescent="0.35">
      <c r="A33" s="309"/>
      <c r="B33" s="253">
        <f>10^(B32/10)</f>
        <v>1.2589254117941673</v>
      </c>
      <c r="J33" s="276" t="s">
        <v>135</v>
      </c>
      <c r="K33" s="87">
        <f>K26-N23-K27</f>
        <v>73.273882383713925</v>
      </c>
    </row>
    <row r="34" spans="1:11" x14ac:dyDescent="0.35">
      <c r="A34" s="308" t="s">
        <v>136</v>
      </c>
      <c r="B34" s="205">
        <v>0</v>
      </c>
    </row>
    <row r="35" spans="1:11" x14ac:dyDescent="0.35">
      <c r="A35" s="310"/>
      <c r="B35" s="6">
        <f>10^(B34/10)</f>
        <v>1</v>
      </c>
    </row>
  </sheetData>
  <mergeCells count="21">
    <mergeCell ref="A17:D17"/>
    <mergeCell ref="E17:H17"/>
    <mergeCell ref="A1:H1"/>
    <mergeCell ref="I1:Q1"/>
    <mergeCell ref="A3:H3"/>
    <mergeCell ref="A4:D4"/>
    <mergeCell ref="E4:H4"/>
    <mergeCell ref="A10:A11"/>
    <mergeCell ref="A12:A13"/>
    <mergeCell ref="M12:O12"/>
    <mergeCell ref="M14:O14"/>
    <mergeCell ref="A16:H16"/>
    <mergeCell ref="J16:K16"/>
    <mergeCell ref="A32:A33"/>
    <mergeCell ref="A34:A35"/>
    <mergeCell ref="A23:A24"/>
    <mergeCell ref="J24:K24"/>
    <mergeCell ref="A25:A26"/>
    <mergeCell ref="A29:B29"/>
    <mergeCell ref="A30:B30"/>
    <mergeCell ref="J31:K31"/>
  </mergeCells>
  <conditionalFormatting sqref="B6">
    <cfRule type="cellIs" dxfId="4" priority="1" operator="greaterThan">
      <formula>"3,5+$C$6"</formula>
    </cfRule>
  </conditionalFormatting>
  <conditionalFormatting sqref="N19">
    <cfRule type="cellIs" dxfId="3" priority="2" operator="lessThan">
      <formula>-91.5+$O$19</formula>
    </cfRule>
    <cfRule type="cellIs" dxfId="2" priority="3" operator="greaterThan">
      <formula>-91.5+$O$19</formula>
    </cfRule>
  </conditionalFormatting>
  <conditionalFormatting sqref="N23">
    <cfRule type="cellIs" dxfId="1" priority="4" operator="greaterThan">
      <formula>-91.5+$O$23</formula>
    </cfRule>
    <cfRule type="cellIs" dxfId="0" priority="5" operator="lessThan">
      <formula>-91.5+$O$23</formula>
    </cfRule>
  </conditionalFormatting>
  <dataValidations disablePrompts="1" count="1">
    <dataValidation type="decimal" allowBlank="1" showInputMessage="1" showErrorMessage="1" sqref="O23" xr:uid="{80929884-DA49-4295-8813-C94ED7F81EF5}">
      <formula1>N23-O23</formula1>
      <formula2>N23+O23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2DB-8611-455C-ACC0-E9D71B602043}">
  <dimension ref="G7:L14"/>
  <sheetViews>
    <sheetView tabSelected="1" workbookViewId="0">
      <selection activeCell="P23" sqref="P23"/>
    </sheetView>
  </sheetViews>
  <sheetFormatPr baseColWidth="10" defaultRowHeight="14.5" x14ac:dyDescent="0.35"/>
  <cols>
    <col min="1" max="8" width="10.90625" style="1"/>
    <col min="9" max="9" width="13.08984375" style="1" bestFit="1" customWidth="1"/>
    <col min="10" max="10" width="15.54296875" style="1" customWidth="1"/>
    <col min="11" max="11" width="15.81640625" style="1" customWidth="1"/>
    <col min="12" max="12" width="16.7265625" style="1" customWidth="1"/>
    <col min="13" max="13" width="10.90625" style="1"/>
    <col min="14" max="14" width="29.1796875" style="1" bestFit="1" customWidth="1"/>
    <col min="15" max="16384" width="10.90625" style="1"/>
  </cols>
  <sheetData>
    <row r="7" spans="7:12" x14ac:dyDescent="0.35">
      <c r="G7" s="1" t="s">
        <v>136</v>
      </c>
      <c r="K7" s="338" t="s">
        <v>173</v>
      </c>
      <c r="L7" s="338"/>
    </row>
    <row r="8" spans="7:12" x14ac:dyDescent="0.35">
      <c r="G8" s="1" t="s">
        <v>36</v>
      </c>
      <c r="K8" s="1" t="s">
        <v>174</v>
      </c>
      <c r="L8" s="1" t="s">
        <v>175</v>
      </c>
    </row>
    <row r="9" spans="7:12" x14ac:dyDescent="0.35">
      <c r="J9" s="1" t="s">
        <v>37</v>
      </c>
      <c r="K9" s="223">
        <f>Marges_officelle!K18</f>
        <v>3.7308811076076416</v>
      </c>
      <c r="L9" s="223">
        <f>Chainage!K18</f>
        <v>5.9549050690894578</v>
      </c>
    </row>
    <row r="10" spans="7:12" x14ac:dyDescent="0.35">
      <c r="J10" s="1" t="s">
        <v>39</v>
      </c>
      <c r="K10" s="1">
        <f>Marges_officelle!K19</f>
        <v>28</v>
      </c>
      <c r="L10" s="223">
        <f>Chainage!K19</f>
        <v>22.56</v>
      </c>
    </row>
    <row r="11" spans="7:12" ht="16.5" x14ac:dyDescent="0.45">
      <c r="J11" s="1" t="s">
        <v>126</v>
      </c>
      <c r="K11" s="223">
        <f>Marges_officelle!N21</f>
        <v>-38.640891461160273</v>
      </c>
      <c r="L11" s="223">
        <f>Chainage!N21</f>
        <v>-38.692647705007481</v>
      </c>
    </row>
    <row r="12" spans="7:12" ht="16.5" x14ac:dyDescent="0.45">
      <c r="J12" s="1" t="s">
        <v>130</v>
      </c>
      <c r="K12" s="341">
        <f>Marges_officelle!N26</f>
        <v>0.13233572478623043</v>
      </c>
      <c r="L12" s="341">
        <f>Chainage!N26</f>
        <v>0.13312662208504661</v>
      </c>
    </row>
    <row r="13" spans="7:12" ht="16.5" x14ac:dyDescent="0.45">
      <c r="J13" s="1" t="s">
        <v>127</v>
      </c>
      <c r="K13" s="223">
        <f>Marges_officelle!N23</f>
        <v>-91.49790634519573</v>
      </c>
      <c r="L13" s="223">
        <f>Chainage!N23</f>
        <v>-89.273882383713925</v>
      </c>
    </row>
    <row r="14" spans="7:12" ht="16.5" x14ac:dyDescent="0.45">
      <c r="J14" s="1" t="s">
        <v>84</v>
      </c>
      <c r="K14" s="223">
        <f>Marges_officelle!N25</f>
        <v>58.147071171575917</v>
      </c>
      <c r="L14" s="223">
        <f>Chainage!N25</f>
        <v>45.011827560129056</v>
      </c>
    </row>
  </sheetData>
  <mergeCells count="1"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Spec générale</vt:lpstr>
      <vt:lpstr>Spec_Systeme</vt:lpstr>
      <vt:lpstr>Marges</vt:lpstr>
      <vt:lpstr>Calculs_Distances</vt:lpstr>
      <vt:lpstr>Spec_Valides</vt:lpstr>
      <vt:lpstr>Marges_officelle</vt:lpstr>
      <vt:lpstr>Calcul LNA 2</vt:lpstr>
      <vt:lpstr>PLL</vt:lpstr>
      <vt:lpstr>Chainage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Baptiste Monget</cp:lastModifiedBy>
  <cp:revision/>
  <dcterms:created xsi:type="dcterms:W3CDTF">2025-03-18T15:05:59Z</dcterms:created>
  <dcterms:modified xsi:type="dcterms:W3CDTF">2025-06-12T14:26:21Z</dcterms:modified>
  <cp:category/>
  <cp:contentStatus/>
</cp:coreProperties>
</file>