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A37079E7CCB5967D/Documents/Etudes/Ecole_ingenieur_Phelma/2A/Projet_2A_ZIGBEE/Mixer/"/>
    </mc:Choice>
  </mc:AlternateContent>
  <xr:revisionPtr revIDLastSave="1699" documentId="11_7D4755BF84DCCE13E97046798E31F45B5A712953" xr6:coauthVersionLast="47" xr6:coauthVersionMax="47" xr10:uidLastSave="{28F675CC-9B87-41CF-958C-EE93263DFD02}"/>
  <bookViews>
    <workbookView xWindow="-108" yWindow="-108" windowWidth="23256" windowHeight="12456" firstSheet="4" activeTab="2" xr2:uid="{00000000-000D-0000-FFFF-FFFF00000000}"/>
  </bookViews>
  <sheets>
    <sheet name="Cellule de GIlbert" sheetId="1" r:id="rId1"/>
    <sheet name="Mixer-Point de compression" sheetId="4" r:id="rId2"/>
    <sheet name="Balun-Point de compression" sheetId="5" r:id="rId3"/>
    <sheet name="Feuil1" sheetId="7" r:id="rId4"/>
    <sheet name="Balun" sheetId="3" r:id="rId5"/>
    <sheet name="Balun simu K" sheetId="6" r:id="rId6"/>
    <sheet name="paramètres techno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3" i="7"/>
  <c r="C9" i="7"/>
  <c r="M3" i="7"/>
  <c r="E3" i="7"/>
  <c r="Q3" i="7"/>
  <c r="Q4" i="7" s="1"/>
  <c r="Q5" i="7" s="1"/>
  <c r="P3" i="7"/>
  <c r="P4" i="7" s="1"/>
  <c r="P5" i="7" s="1"/>
  <c r="O3" i="7"/>
  <c r="O4" i="7" s="1"/>
  <c r="O5" i="7" s="1"/>
  <c r="N3" i="7"/>
  <c r="N4" i="7" s="1"/>
  <c r="N5" i="7" s="1"/>
  <c r="M4" i="7"/>
  <c r="M5" i="7" s="1"/>
  <c r="L3" i="7"/>
  <c r="L4" i="7" s="1"/>
  <c r="L5" i="7" s="1"/>
  <c r="K3" i="7"/>
  <c r="K4" i="7" s="1"/>
  <c r="K5" i="7" s="1"/>
  <c r="J3" i="7"/>
  <c r="J4" i="7" s="1"/>
  <c r="J5" i="7" s="1"/>
  <c r="I3" i="7"/>
  <c r="H3" i="7"/>
  <c r="G3" i="7"/>
  <c r="F3" i="7"/>
  <c r="D3" i="7"/>
  <c r="B3" i="7"/>
  <c r="I2" i="7"/>
  <c r="H2" i="7"/>
  <c r="G2" i="7"/>
  <c r="F2" i="7"/>
  <c r="E2" i="7"/>
  <c r="D2" i="7"/>
  <c r="C2" i="7"/>
  <c r="B2" i="7"/>
  <c r="B1" i="7"/>
  <c r="C3" i="5"/>
  <c r="M3" i="5"/>
  <c r="D3" i="5"/>
  <c r="K13" i="5"/>
  <c r="C67" i="5"/>
  <c r="P3" i="5"/>
  <c r="Q67" i="5"/>
  <c r="P67" i="5"/>
  <c r="O67" i="5"/>
  <c r="N67" i="5"/>
  <c r="M67" i="5"/>
  <c r="L67" i="5"/>
  <c r="K67" i="5"/>
  <c r="J67" i="5"/>
  <c r="I67" i="5"/>
  <c r="H67" i="5"/>
  <c r="E67" i="5"/>
  <c r="F67" i="5"/>
  <c r="G67" i="5"/>
  <c r="D67" i="5"/>
  <c r="B67" i="5"/>
  <c r="I3" i="5"/>
  <c r="Q68" i="5"/>
  <c r="Q69" i="5" s="1"/>
  <c r="P68" i="5"/>
  <c r="P69" i="5" s="1"/>
  <c r="O68" i="5"/>
  <c r="O69" i="5" s="1"/>
  <c r="N68" i="5"/>
  <c r="N69" i="5" s="1"/>
  <c r="M68" i="5"/>
  <c r="M69" i="5" s="1"/>
  <c r="L68" i="5"/>
  <c r="L69" i="5" s="1"/>
  <c r="K68" i="5"/>
  <c r="K69" i="5" s="1"/>
  <c r="J68" i="5"/>
  <c r="J69" i="5" s="1"/>
  <c r="I66" i="5"/>
  <c r="I68" i="5" s="1"/>
  <c r="I69" i="5" s="1"/>
  <c r="H66" i="5"/>
  <c r="H68" i="5" s="1"/>
  <c r="H69" i="5" s="1"/>
  <c r="G66" i="5"/>
  <c r="G68" i="5" s="1"/>
  <c r="G69" i="5" s="1"/>
  <c r="F66" i="5"/>
  <c r="F68" i="5" s="1"/>
  <c r="F69" i="5" s="1"/>
  <c r="E66" i="5"/>
  <c r="E68" i="5" s="1"/>
  <c r="E69" i="5" s="1"/>
  <c r="D66" i="5"/>
  <c r="D68" i="5" s="1"/>
  <c r="D69" i="5" s="1"/>
  <c r="C66" i="5"/>
  <c r="C68" i="5" s="1"/>
  <c r="C69" i="5" s="1"/>
  <c r="B66" i="5"/>
  <c r="B68" i="5" s="1"/>
  <c r="B69" i="5" s="1"/>
  <c r="B65" i="5"/>
  <c r="E3" i="5"/>
  <c r="J6" i="5"/>
  <c r="K6" i="5"/>
  <c r="L6" i="5"/>
  <c r="M6" i="5"/>
  <c r="N6" i="5"/>
  <c r="O6" i="5"/>
  <c r="P6" i="5"/>
  <c r="Q6" i="5"/>
  <c r="Q3" i="5"/>
  <c r="B3" i="5"/>
  <c r="O3" i="5"/>
  <c r="N3" i="5"/>
  <c r="L3" i="5"/>
  <c r="K3" i="5"/>
  <c r="J3" i="5"/>
  <c r="H3" i="5"/>
  <c r="G3" i="5"/>
  <c r="F3" i="5"/>
  <c r="B7" i="5"/>
  <c r="H7" i="5"/>
  <c r="Q18" i="4"/>
  <c r="B13" i="6"/>
  <c r="B12" i="6"/>
  <c r="B11" i="6"/>
  <c r="B10" i="6"/>
  <c r="B9" i="6"/>
  <c r="B8" i="6"/>
  <c r="B7" i="6"/>
  <c r="B6" i="6"/>
  <c r="B5" i="6"/>
  <c r="B4" i="6"/>
  <c r="A4" i="6"/>
  <c r="F7" i="3"/>
  <c r="B2" i="5"/>
  <c r="B4" i="5" s="1"/>
  <c r="B5" i="5" s="1"/>
  <c r="B1" i="5"/>
  <c r="I2" i="5"/>
  <c r="I4" i="5" s="1"/>
  <c r="H2" i="5"/>
  <c r="C2" i="5"/>
  <c r="C4" i="5" s="1"/>
  <c r="D2" i="5"/>
  <c r="E2" i="5"/>
  <c r="F2" i="5"/>
  <c r="G2" i="5"/>
  <c r="D4" i="5"/>
  <c r="F4" i="5"/>
  <c r="G4" i="5"/>
  <c r="C5" i="5"/>
  <c r="D5" i="5"/>
  <c r="F5" i="5"/>
  <c r="G5" i="5"/>
  <c r="I5" i="5"/>
  <c r="B6" i="5"/>
  <c r="C6" i="5"/>
  <c r="D6" i="5"/>
  <c r="E6" i="5"/>
  <c r="F6" i="5"/>
  <c r="G6" i="5"/>
  <c r="H6" i="5"/>
  <c r="I6" i="5"/>
  <c r="C7" i="5"/>
  <c r="D7" i="5"/>
  <c r="F7" i="5"/>
  <c r="G7" i="5"/>
  <c r="I7" i="5"/>
  <c r="C3" i="3"/>
  <c r="B7" i="3"/>
  <c r="A7" i="3"/>
  <c r="B2" i="1"/>
  <c r="B1" i="1"/>
  <c r="B3" i="1" s="1"/>
  <c r="F10" i="4"/>
  <c r="G10" i="4"/>
  <c r="H10" i="4"/>
  <c r="F9" i="4"/>
  <c r="G9" i="4"/>
  <c r="H9" i="4"/>
  <c r="F8" i="4"/>
  <c r="G8" i="4"/>
  <c r="H8" i="4"/>
  <c r="F6" i="4"/>
  <c r="F7" i="4" s="1"/>
  <c r="G6" i="4"/>
  <c r="G7" i="4" s="1"/>
  <c r="H6" i="4"/>
  <c r="H7" i="4" s="1"/>
  <c r="F4" i="4"/>
  <c r="F5" i="4" s="1"/>
  <c r="G4" i="4"/>
  <c r="G5" i="4" s="1"/>
  <c r="H4" i="4"/>
  <c r="H5" i="4" s="1"/>
  <c r="C10" i="4"/>
  <c r="D10" i="4"/>
  <c r="E10" i="4"/>
  <c r="I10" i="4"/>
  <c r="J10" i="4"/>
  <c r="K10" i="4"/>
  <c r="L10" i="4"/>
  <c r="M10" i="4"/>
  <c r="N10" i="4"/>
  <c r="O10" i="4"/>
  <c r="P10" i="4"/>
  <c r="Q10" i="4"/>
  <c r="C9" i="4"/>
  <c r="D9" i="4"/>
  <c r="E9" i="4"/>
  <c r="I9" i="4"/>
  <c r="J9" i="4"/>
  <c r="K9" i="4"/>
  <c r="L9" i="4"/>
  <c r="M9" i="4"/>
  <c r="N9" i="4"/>
  <c r="O9" i="4"/>
  <c r="P9" i="4"/>
  <c r="Q9" i="4"/>
  <c r="B9" i="4"/>
  <c r="B10" i="4"/>
  <c r="D8" i="4"/>
  <c r="E8" i="4"/>
  <c r="I8" i="4"/>
  <c r="J8" i="4"/>
  <c r="K8" i="4"/>
  <c r="L8" i="4"/>
  <c r="M8" i="4"/>
  <c r="N8" i="4"/>
  <c r="O8" i="4"/>
  <c r="P8" i="4"/>
  <c r="Q8" i="4"/>
  <c r="O6" i="4"/>
  <c r="O7" i="4" s="1"/>
  <c r="P6" i="4"/>
  <c r="P7" i="4" s="1"/>
  <c r="Q6" i="4"/>
  <c r="Q7" i="4" s="1"/>
  <c r="O4" i="4"/>
  <c r="O5" i="4" s="1"/>
  <c r="P4" i="4"/>
  <c r="P5" i="4" s="1"/>
  <c r="Q4" i="4"/>
  <c r="Q5" i="4" s="1"/>
  <c r="N6" i="4"/>
  <c r="N7" i="4" s="1"/>
  <c r="N4" i="4"/>
  <c r="N5" i="4" s="1"/>
  <c r="M6" i="4"/>
  <c r="M7" i="4" s="1"/>
  <c r="M4" i="4"/>
  <c r="M5" i="4" s="1"/>
  <c r="J6" i="4"/>
  <c r="J7" i="4" s="1"/>
  <c r="J4" i="4"/>
  <c r="J5" i="4" s="1"/>
  <c r="I6" i="4"/>
  <c r="I7" i="4" s="1"/>
  <c r="I4" i="4"/>
  <c r="I5" i="4" s="1"/>
  <c r="L6" i="4"/>
  <c r="L7" i="4" s="1"/>
  <c r="K6" i="4"/>
  <c r="K7" i="4" s="1"/>
  <c r="E6" i="4"/>
  <c r="E7" i="4" s="1"/>
  <c r="D6" i="4"/>
  <c r="D7" i="4" s="1"/>
  <c r="L4" i="4"/>
  <c r="L5" i="4" s="1"/>
  <c r="K4" i="4"/>
  <c r="K5" i="4" s="1"/>
  <c r="E4" i="4"/>
  <c r="E5" i="4" s="1"/>
  <c r="C1" i="4"/>
  <c r="D4" i="4"/>
  <c r="D5" i="4" s="1"/>
  <c r="C4" i="4"/>
  <c r="C5" i="4" s="1"/>
  <c r="B1" i="4"/>
  <c r="B8" i="4" s="1"/>
  <c r="B16" i="1"/>
  <c r="B19" i="1"/>
  <c r="F2" i="2"/>
  <c r="J2" i="2"/>
  <c r="G11" i="1"/>
  <c r="H20" i="2"/>
  <c r="G20" i="2"/>
  <c r="F20" i="2"/>
  <c r="J20" i="2" s="1"/>
  <c r="E20" i="2"/>
  <c r="C20" i="2"/>
  <c r="D20" i="2" s="1"/>
  <c r="B23" i="2" s="1"/>
  <c r="H2" i="2"/>
  <c r="G2" i="2"/>
  <c r="E2" i="2"/>
  <c r="C2" i="2"/>
  <c r="D2" i="2" s="1"/>
  <c r="B5" i="2" s="1"/>
  <c r="D19" i="1"/>
  <c r="C16" i="1"/>
  <c r="B4" i="7" l="1"/>
  <c r="B5" i="7" s="1"/>
  <c r="C4" i="7"/>
  <c r="C5" i="7" s="1"/>
  <c r="D4" i="7"/>
  <c r="D5" i="7" s="1"/>
  <c r="E4" i="7"/>
  <c r="E5" i="7" s="1"/>
  <c r="F4" i="7"/>
  <c r="F5" i="7" s="1"/>
  <c r="G4" i="7"/>
  <c r="G5" i="7" s="1"/>
  <c r="H4" i="7"/>
  <c r="H5" i="7" s="1"/>
  <c r="I4" i="7"/>
  <c r="I5" i="7" s="1"/>
  <c r="J4" i="5"/>
  <c r="J5" i="5" s="1"/>
  <c r="J7" i="5"/>
  <c r="K4" i="5"/>
  <c r="K5" i="5" s="1"/>
  <c r="K7" i="5"/>
  <c r="L4" i="5"/>
  <c r="L5" i="5" s="1"/>
  <c r="L7" i="5"/>
  <c r="M4" i="5"/>
  <c r="M5" i="5" s="1"/>
  <c r="M7" i="5"/>
  <c r="N4" i="5"/>
  <c r="N5" i="5" s="1"/>
  <c r="N7" i="5"/>
  <c r="O4" i="5"/>
  <c r="O5" i="5" s="1"/>
  <c r="O7" i="5"/>
  <c r="P7" i="5"/>
  <c r="P4" i="5"/>
  <c r="P5" i="5" s="1"/>
  <c r="Q7" i="5"/>
  <c r="Q4" i="5"/>
  <c r="Q5" i="5" s="1"/>
  <c r="B29" i="2"/>
  <c r="B11" i="2"/>
  <c r="B14" i="2"/>
  <c r="C15" i="3"/>
  <c r="B10" i="3"/>
  <c r="D15" i="3"/>
  <c r="E4" i="5"/>
  <c r="E5" i="5" s="1"/>
  <c r="H4" i="5"/>
  <c r="H5" i="5" s="1"/>
  <c r="E7" i="5"/>
  <c r="C7" i="3"/>
  <c r="H12" i="4"/>
  <c r="H14" i="4" s="1"/>
  <c r="H11" i="4"/>
  <c r="H13" i="4" s="1"/>
  <c r="G12" i="4"/>
  <c r="G14" i="4" s="1"/>
  <c r="G11" i="4"/>
  <c r="G13" i="4" s="1"/>
  <c r="F12" i="4"/>
  <c r="F14" i="4" s="1"/>
  <c r="F11" i="4"/>
  <c r="F13" i="4" s="1"/>
  <c r="B12" i="4"/>
  <c r="B14" i="4" s="1"/>
  <c r="B11" i="4"/>
  <c r="B13" i="4" s="1"/>
  <c r="C6" i="4"/>
  <c r="C7" i="4" s="1"/>
  <c r="C8" i="4"/>
  <c r="Q12" i="4"/>
  <c r="Q14" i="4" s="1"/>
  <c r="Q11" i="4"/>
  <c r="Q13" i="4" s="1"/>
  <c r="P12" i="4"/>
  <c r="P14" i="4" s="1"/>
  <c r="P11" i="4"/>
  <c r="P13" i="4" s="1"/>
  <c r="O12" i="4"/>
  <c r="O14" i="4" s="1"/>
  <c r="O11" i="4"/>
  <c r="O13" i="4" s="1"/>
  <c r="N12" i="4"/>
  <c r="N14" i="4" s="1"/>
  <c r="N11" i="4"/>
  <c r="N13" i="4" s="1"/>
  <c r="M12" i="4"/>
  <c r="M14" i="4" s="1"/>
  <c r="M11" i="4"/>
  <c r="M13" i="4" s="1"/>
  <c r="L12" i="4"/>
  <c r="L14" i="4" s="1"/>
  <c r="L11" i="4"/>
  <c r="L13" i="4" s="1"/>
  <c r="K12" i="4"/>
  <c r="K14" i="4" s="1"/>
  <c r="K11" i="4"/>
  <c r="K13" i="4" s="1"/>
  <c r="J12" i="4"/>
  <c r="J14" i="4" s="1"/>
  <c r="J11" i="4"/>
  <c r="J13" i="4" s="1"/>
  <c r="I12" i="4"/>
  <c r="I14" i="4" s="1"/>
  <c r="I11" i="4"/>
  <c r="I13" i="4" s="1"/>
  <c r="E12" i="4"/>
  <c r="E14" i="4" s="1"/>
  <c r="E11" i="4"/>
  <c r="E13" i="4" s="1"/>
  <c r="D12" i="4"/>
  <c r="D14" i="4" s="1"/>
  <c r="D11" i="4"/>
  <c r="D13" i="4" s="1"/>
  <c r="B6" i="4"/>
  <c r="B7" i="4" s="1"/>
  <c r="B4" i="4"/>
  <c r="B5" i="4" s="1"/>
  <c r="B17" i="2"/>
  <c r="C17" i="2" s="1"/>
  <c r="B8" i="2"/>
  <c r="C5" i="2"/>
  <c r="B35" i="2"/>
  <c r="C35" i="2" s="1"/>
  <c r="B26" i="2"/>
  <c r="C26" i="2" s="1"/>
  <c r="C23" i="2"/>
  <c r="B32" i="2"/>
  <c r="C23" i="1" l="1"/>
  <c r="C24" i="1"/>
  <c r="E7" i="3"/>
  <c r="D7" i="3"/>
  <c r="C12" i="4"/>
  <c r="C14" i="4" s="1"/>
  <c r="C11" i="4"/>
  <c r="C13" i="4" s="1"/>
  <c r="C8" i="2"/>
  <c r="C25" i="1"/>
  <c r="C26" i="1"/>
  <c r="C28" i="1" s="1"/>
  <c r="C27" i="1" l="1"/>
  <c r="H11" i="1" s="1"/>
</calcChain>
</file>

<file path=xl/sharedStrings.xml><?xml version="1.0" encoding="utf-8"?>
<sst xmlns="http://schemas.openxmlformats.org/spreadsheetml/2006/main" count="184" uniqueCount="128">
  <si>
    <t>FOL(Hz)</t>
  </si>
  <si>
    <t>FIF(Hz)</t>
  </si>
  <si>
    <t>FRF(Hz)</t>
  </si>
  <si>
    <t>VOL(V)</t>
  </si>
  <si>
    <t>VDD(V)</t>
  </si>
  <si>
    <t>VRF(V)</t>
  </si>
  <si>
    <t>VIF(V)</t>
  </si>
  <si>
    <t>IIP3(dBm)</t>
  </si>
  <si>
    <t>RL(Ohms)</t>
  </si>
  <si>
    <t>CL(fF)</t>
  </si>
  <si>
    <t>Gv(dB)</t>
  </si>
  <si>
    <t>gm(N1,N2) (A/V)</t>
  </si>
  <si>
    <t>Gv</t>
  </si>
  <si>
    <t>gm(N3,N4,N5,N6) (A/V)</t>
  </si>
  <si>
    <t>A déterminer</t>
  </si>
  <si>
    <t>NF(dB)</t>
  </si>
  <si>
    <t>1ère étape: calcul de Ip</t>
  </si>
  <si>
    <t>alpha</t>
  </si>
  <si>
    <t>Ip(A)</t>
  </si>
  <si>
    <t>FRF(GHz)</t>
  </si>
  <si>
    <t>FOL(GHz)</t>
  </si>
  <si>
    <t>2éme étape: tension mode commun</t>
  </si>
  <si>
    <t>VRFMC(V)</t>
  </si>
  <si>
    <t>VRFMC (V) adapté</t>
  </si>
  <si>
    <t>VOLMC(V)</t>
  </si>
  <si>
    <t>VOLMC (V) ADAPTÉ</t>
  </si>
  <si>
    <t>3éme étape: calcul de W(N1) et W(N2)</t>
  </si>
  <si>
    <t>4éme étape: calcule de W(N3) , W(N4), W(N5) et W(N6)</t>
  </si>
  <si>
    <t>L(N1) (m)</t>
  </si>
  <si>
    <t>W(N1,N2) (m)</t>
  </si>
  <si>
    <t>L(µm)</t>
  </si>
  <si>
    <t>W(N3,N4,N5,N6) (m)</t>
  </si>
  <si>
    <t>W(N1,N2) (µm)</t>
  </si>
  <si>
    <t>Idsat(N1,N2) (A)</t>
  </si>
  <si>
    <t>W(N3,N4,N5,N6) (µm)</t>
  </si>
  <si>
    <t>Idsat(N3,N4,N5,N6) (A)</t>
  </si>
  <si>
    <t>vgsRF(V)</t>
  </si>
  <si>
    <t>Vdsat(N1,N2) (V)</t>
  </si>
  <si>
    <t>vgsOL(V)</t>
  </si>
  <si>
    <t>Vdsat(N3,N4,N5,N6) (V)</t>
  </si>
  <si>
    <t>Ve(V)</t>
  </si>
  <si>
    <t>Vs1(V)</t>
  </si>
  <si>
    <t>Vs2(V)</t>
  </si>
  <si>
    <t>G1 lin</t>
  </si>
  <si>
    <t>G1 dB</t>
  </si>
  <si>
    <t>G2 lin</t>
  </si>
  <si>
    <t>G2 dB</t>
  </si>
  <si>
    <t>Pe (dBv)</t>
  </si>
  <si>
    <t>P1(dBv)</t>
  </si>
  <si>
    <t>P2(dBv)</t>
  </si>
  <si>
    <t>tangente 1</t>
  </si>
  <si>
    <t>tangente 2</t>
  </si>
  <si>
    <t>Diff 1</t>
  </si>
  <si>
    <t>Diff 2</t>
  </si>
  <si>
    <t>ICP3 1 (V)</t>
  </si>
  <si>
    <t>ICP3 2 (V)</t>
  </si>
  <si>
    <t>Vepp(V)</t>
  </si>
  <si>
    <t>Vspp(V)</t>
  </si>
  <si>
    <t>G lin</t>
  </si>
  <si>
    <t>G dB</t>
  </si>
  <si>
    <t>Pepp (dBv)</t>
  </si>
  <si>
    <t>Pspp(dBv)</t>
  </si>
  <si>
    <r>
      <rPr>
        <b/>
        <i/>
        <sz val="12"/>
        <color rgb="FF000000"/>
        <rFont val="Calibri"/>
      </rPr>
      <t xml:space="preserve">1- Détermination de </t>
    </r>
    <r>
      <rPr>
        <b/>
        <i/>
        <sz val="12"/>
        <color rgb="FF000000"/>
        <rFont val="Symbol"/>
      </rPr>
      <t>D</t>
    </r>
    <r>
      <rPr>
        <b/>
        <i/>
        <sz val="12"/>
        <color rgb="FF000000"/>
        <rFont val="Calibri"/>
      </rPr>
      <t>V</t>
    </r>
    <r>
      <rPr>
        <b/>
        <i/>
        <vertAlign val="subscript"/>
        <sz val="12"/>
        <color rgb="FF000000"/>
        <rFont val="Calibri"/>
      </rPr>
      <t>edmax</t>
    </r>
  </si>
  <si>
    <t>OP1dB (V)</t>
  </si>
  <si>
    <t>DVedmax(V)</t>
  </si>
  <si>
    <t>2- Calcul de W(N1,2) et de R</t>
  </si>
  <si>
    <t>Ip (A)</t>
  </si>
  <si>
    <t>gm0(A/V)</t>
  </si>
  <si>
    <t>Vdsat(V)</t>
  </si>
  <si>
    <t>Vgs(V)</t>
  </si>
  <si>
    <t>W/L</t>
  </si>
  <si>
    <t>W (m)</t>
  </si>
  <si>
    <t>K&gt;1</t>
  </si>
  <si>
    <t>R (Ohms)</t>
  </si>
  <si>
    <r>
      <rPr>
        <b/>
        <i/>
        <sz val="12"/>
        <color rgb="FF000000"/>
        <rFont val="Calibri"/>
      </rPr>
      <t>détermination de la tension de MC en entrée V</t>
    </r>
    <r>
      <rPr>
        <b/>
        <i/>
        <vertAlign val="subscript"/>
        <sz val="12"/>
        <color rgb="FF000000"/>
        <rFont val="Calibri"/>
      </rPr>
      <t>e0</t>
    </r>
    <r>
      <rPr>
        <b/>
        <i/>
        <sz val="12"/>
        <color rgb="FF000000"/>
        <rFont val="Calibri"/>
      </rPr>
      <t xml:space="preserve"> et de R</t>
    </r>
    <r>
      <rPr>
        <b/>
        <i/>
        <vertAlign val="subscript"/>
        <sz val="12"/>
        <color rgb="FF000000"/>
        <rFont val="Calibri"/>
      </rPr>
      <t>L</t>
    </r>
  </si>
  <si>
    <t>Ve0</t>
  </si>
  <si>
    <t>Rl</t>
  </si>
  <si>
    <t>A</t>
  </si>
  <si>
    <t>W</t>
  </si>
  <si>
    <t>Les valeurs de résistances</t>
  </si>
  <si>
    <t>R1(Ohms)</t>
  </si>
  <si>
    <t>R2(Ohms)</t>
  </si>
  <si>
    <t>6k</t>
  </si>
  <si>
    <t>5k</t>
  </si>
  <si>
    <t>2k</t>
  </si>
  <si>
    <t>9,6k</t>
  </si>
  <si>
    <t>W/L des transistors</t>
  </si>
  <si>
    <t>W(N1,N2,N3)</t>
  </si>
  <si>
    <t>30u</t>
  </si>
  <si>
    <t>K=10</t>
  </si>
  <si>
    <t>Ved</t>
  </si>
  <si>
    <t>I(Ved)</t>
  </si>
  <si>
    <t>gm(Ved)</t>
  </si>
  <si>
    <t>gm0</t>
  </si>
  <si>
    <t>K=5</t>
  </si>
  <si>
    <t>K=8</t>
  </si>
  <si>
    <t>K=9</t>
  </si>
  <si>
    <t>K=11</t>
  </si>
  <si>
    <t>Datasheet Nmos</t>
  </si>
  <si>
    <t>μn (cm²/V.s)</t>
  </si>
  <si>
    <t>Eps0(F/m)</t>
  </si>
  <si>
    <t>EpsR(F/m)</t>
  </si>
  <si>
    <t>Tox(nm)</t>
  </si>
  <si>
    <t>W(m)</t>
  </si>
  <si>
    <t>L(m)</t>
  </si>
  <si>
    <t>VT(V)</t>
  </si>
  <si>
    <t>IdSat(A)</t>
  </si>
  <si>
    <t>Calcul de Cox</t>
  </si>
  <si>
    <t>Cox(F/m²)</t>
  </si>
  <si>
    <t>Cox(fF/μm²)</t>
  </si>
  <si>
    <t>Calcul de Kn</t>
  </si>
  <si>
    <t>Kn(A/V²)</t>
  </si>
  <si>
    <t>Kn(uA/V²)</t>
  </si>
  <si>
    <t>Pour W=10e-6, on calcule les valeurs en dessous (W peut varier--&gt;dimensionnement  bloc)</t>
  </si>
  <si>
    <t>Calcul de Vdsat</t>
  </si>
  <si>
    <t>VDsat(V)</t>
  </si>
  <si>
    <t>Calcul de Gm</t>
  </si>
  <si>
    <t>Gm(A/V)</t>
  </si>
  <si>
    <t>Calcul de Capa</t>
  </si>
  <si>
    <t>Cgs/Cgd(F)</t>
  </si>
  <si>
    <t>Cgs/Cgd(fF)</t>
  </si>
  <si>
    <t>CMiller(fF/um)</t>
  </si>
  <si>
    <t>CJunction(fF/um²)</t>
  </si>
  <si>
    <t>Datasheet Pmos</t>
  </si>
  <si>
    <t>μp (cm²/V.s)</t>
  </si>
  <si>
    <t>Calcul de Kp</t>
  </si>
  <si>
    <t>Kp(A/V²)</t>
  </si>
  <si>
    <t>Kp(uA/V²)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</si>
</sst>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2"/>
      <color rgb="FF000000"/>
      <name val="Calibri"/>
    </font>
    <font>
      <b/>
      <i/>
      <sz val="12"/>
      <color rgb="FF000000"/>
      <name val="Symbol"/>
    </font>
    <font>
      <b/>
      <i/>
      <vertAlign val="subscript"/>
      <sz val="12"/>
      <color rgb="FF000000"/>
      <name val="Calibri"/>
    </font>
    <font>
      <b/>
      <i/>
      <sz val="12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0" fontId="1" fillId="3" borderId="3" xfId="0" applyFont="1" applyFill="1" applyBorder="1" applyAlignment="1">
      <alignment readingOrder="1"/>
    </xf>
    <xf numFmtId="11" fontId="1" fillId="0" borderId="2" xfId="0" applyNumberFormat="1" applyFont="1" applyBorder="1" applyAlignment="1">
      <alignment readingOrder="1"/>
    </xf>
    <xf numFmtId="11" fontId="1" fillId="0" borderId="4" xfId="0" applyNumberFormat="1" applyFont="1" applyBorder="1" applyAlignment="1">
      <alignment readingOrder="1"/>
    </xf>
    <xf numFmtId="2" fontId="1" fillId="0" borderId="4" xfId="0" applyNumberFormat="1" applyFont="1" applyBorder="1" applyAlignment="1">
      <alignment readingOrder="1"/>
    </xf>
    <xf numFmtId="0" fontId="0" fillId="0" borderId="1" xfId="0" applyBorder="1"/>
    <xf numFmtId="0" fontId="0" fillId="4" borderId="1" xfId="0" applyFill="1" applyBorder="1"/>
    <xf numFmtId="0" fontId="1" fillId="2" borderId="5" xfId="0" applyFont="1" applyFill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2" borderId="7" xfId="0" applyFont="1" applyFill="1" applyBorder="1" applyAlignment="1">
      <alignment readingOrder="1"/>
    </xf>
    <xf numFmtId="0" fontId="1" fillId="0" borderId="8" xfId="0" applyFont="1" applyBorder="1" applyAlignment="1">
      <alignment readingOrder="1"/>
    </xf>
    <xf numFmtId="0" fontId="0" fillId="0" borderId="9" xfId="0" applyBorder="1"/>
    <xf numFmtId="2" fontId="0" fillId="0" borderId="1" xfId="0" applyNumberFormat="1" applyBorder="1"/>
    <xf numFmtId="11" fontId="0" fillId="0" borderId="1" xfId="0" applyNumberFormat="1" applyBorder="1"/>
    <xf numFmtId="0" fontId="2" fillId="0" borderId="0" xfId="0" applyFont="1"/>
    <xf numFmtId="0" fontId="3" fillId="5" borderId="1" xfId="0" applyFont="1" applyFill="1" applyBorder="1"/>
    <xf numFmtId="0" fontId="3" fillId="6" borderId="0" xfId="0" applyFont="1" applyFill="1"/>
    <xf numFmtId="0" fontId="3" fillId="0" borderId="1" xfId="0" applyFont="1" applyBorder="1"/>
    <xf numFmtId="11" fontId="2" fillId="0" borderId="1" xfId="0" applyNumberFormat="1" applyFont="1" applyBorder="1"/>
    <xf numFmtId="11" fontId="3" fillId="0" borderId="1" xfId="0" applyNumberFormat="1" applyFont="1" applyBorder="1"/>
    <xf numFmtId="2" fontId="3" fillId="0" borderId="1" xfId="0" applyNumberFormat="1" applyFont="1" applyBorder="1"/>
    <xf numFmtId="0" fontId="4" fillId="5" borderId="1" xfId="0" applyFont="1" applyFill="1" applyBorder="1"/>
    <xf numFmtId="0" fontId="2" fillId="0" borderId="1" xfId="0" applyFont="1" applyBorder="1"/>
    <xf numFmtId="11" fontId="1" fillId="0" borderId="4" xfId="0" applyNumberFormat="1" applyFont="1" applyBorder="1" applyAlignment="1">
      <alignment wrapText="1" readingOrder="1"/>
    </xf>
    <xf numFmtId="11" fontId="0" fillId="0" borderId="0" xfId="0" applyNumberFormat="1" applyAlignment="1">
      <alignment wrapText="1"/>
    </xf>
    <xf numFmtId="2" fontId="1" fillId="0" borderId="4" xfId="0" applyNumberFormat="1" applyFont="1" applyBorder="1" applyAlignment="1">
      <alignment wrapText="1" readingOrder="1"/>
    </xf>
    <xf numFmtId="11" fontId="1" fillId="0" borderId="1" xfId="0" applyNumberFormat="1" applyFont="1" applyBorder="1" applyAlignment="1">
      <alignment readingOrder="1"/>
    </xf>
    <xf numFmtId="0" fontId="1" fillId="0" borderId="1" xfId="0" applyFont="1" applyBorder="1" applyAlignment="1">
      <alignment readingOrder="1"/>
    </xf>
    <xf numFmtId="0" fontId="0" fillId="7" borderId="0" xfId="0" applyFill="1"/>
    <xf numFmtId="11" fontId="5" fillId="0" borderId="0" xfId="0" applyNumberFormat="1" applyFont="1"/>
    <xf numFmtId="0" fontId="0" fillId="8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9" borderId="1" xfId="0" applyFill="1" applyBorder="1"/>
    <xf numFmtId="1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7" borderId="1" xfId="0" applyFill="1" applyBorder="1"/>
    <xf numFmtId="0" fontId="0" fillId="0" borderId="10" xfId="0" applyBorder="1"/>
    <xf numFmtId="2" fontId="0" fillId="0" borderId="9" xfId="0" applyNumberFormat="1" applyBorder="1"/>
    <xf numFmtId="0" fontId="0" fillId="0" borderId="7" xfId="0" applyBorder="1"/>
    <xf numFmtId="2" fontId="0" fillId="13" borderId="10" xfId="0" applyNumberFormat="1" applyFill="1" applyBorder="1"/>
    <xf numFmtId="2" fontId="0" fillId="13" borderId="1" xfId="0" applyNumberFormat="1" applyFill="1" applyBorder="1"/>
    <xf numFmtId="0" fontId="0" fillId="14" borderId="1" xfId="0" applyFill="1" applyBorder="1"/>
    <xf numFmtId="0" fontId="0" fillId="15" borderId="1" xfId="0" applyFill="1" applyBorder="1"/>
    <xf numFmtId="164" fontId="0" fillId="15" borderId="1" xfId="0" applyNumberFormat="1" applyFill="1" applyBorder="1"/>
    <xf numFmtId="2" fontId="0" fillId="15" borderId="1" xfId="0" applyNumberFormat="1" applyFill="1" applyBorder="1"/>
    <xf numFmtId="0" fontId="0" fillId="16" borderId="1" xfId="0" applyFill="1" applyBorder="1"/>
    <xf numFmtId="11" fontId="0" fillId="15" borderId="1" xfId="0" applyNumberFormat="1" applyFill="1" applyBorder="1"/>
    <xf numFmtId="0" fontId="0" fillId="0" borderId="1" xfId="0" applyFill="1" applyBorder="1"/>
    <xf numFmtId="11" fontId="0" fillId="8" borderId="1" xfId="0" applyNumberFormat="1" applyFill="1" applyBorder="1"/>
    <xf numFmtId="11" fontId="0" fillId="0" borderId="0" xfId="0" applyNumberFormat="1"/>
    <xf numFmtId="2" fontId="0" fillId="7" borderId="1" xfId="0" applyNumberFormat="1" applyFill="1" applyBorder="1"/>
    <xf numFmtId="0" fontId="1" fillId="17" borderId="1" xfId="0" applyFont="1" applyFill="1" applyBorder="1" applyAlignment="1">
      <alignment readingOrder="1"/>
    </xf>
    <xf numFmtId="0" fontId="1" fillId="17" borderId="1" xfId="0" applyNumberFormat="1" applyFont="1" applyFill="1" applyBorder="1" applyAlignment="1">
      <alignment readingOrder="1"/>
    </xf>
    <xf numFmtId="0" fontId="1" fillId="17" borderId="1" xfId="0" applyNumberFormat="1" applyFont="1" applyFill="1" applyBorder="1" applyAlignment="1">
      <alignment wrapText="1" readingOrder="1"/>
    </xf>
    <xf numFmtId="0" fontId="0" fillId="17" borderId="1" xfId="0" applyFill="1" applyBorder="1"/>
    <xf numFmtId="0" fontId="0" fillId="0" borderId="0" xfId="0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'Mixer-Point de compression'!$A$2</c:f>
              <c:strCache>
                <c:ptCount val="1"/>
                <c:pt idx="0">
                  <c:v>Vs1(V)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'Mixer-Point de compression'!$B$1:$Q$1</c:f>
              <c:numCache>
                <c:formatCode>General</c:formatCode>
                <c:ptCount val="1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xVal>
          <c:yVal>
            <c:numRef>
              <c:f>'Mixer-Point de compression'!$B$2:$Q$2</c:f>
              <c:numCache>
                <c:formatCode>General</c:formatCode>
                <c:ptCount val="16"/>
                <c:pt idx="0">
                  <c:v>3.6099999999999999E-4</c:v>
                </c:pt>
                <c:pt idx="1">
                  <c:v>3.6099999999999999E-3</c:v>
                </c:pt>
                <c:pt idx="2">
                  <c:v>3.7699999999999997E-2</c:v>
                </c:pt>
                <c:pt idx="3">
                  <c:v>0.33100000000000002</c:v>
                </c:pt>
                <c:pt idx="4">
                  <c:v>0.40600000000000003</c:v>
                </c:pt>
                <c:pt idx="5">
                  <c:v>0.46400000000000002</c:v>
                </c:pt>
                <c:pt idx="6">
                  <c:v>0.499</c:v>
                </c:pt>
                <c:pt idx="7">
                  <c:v>0.54900000000000004</c:v>
                </c:pt>
                <c:pt idx="8">
                  <c:v>0.63400000000000001</c:v>
                </c:pt>
                <c:pt idx="9">
                  <c:v>0.64300000000000002</c:v>
                </c:pt>
                <c:pt idx="10">
                  <c:v>0.65700000000000003</c:v>
                </c:pt>
                <c:pt idx="11">
                  <c:v>0.66500000000000004</c:v>
                </c:pt>
                <c:pt idx="12">
                  <c:v>0.66300000000000003</c:v>
                </c:pt>
                <c:pt idx="13">
                  <c:v>0.66400000000000003</c:v>
                </c:pt>
                <c:pt idx="14">
                  <c:v>0.66900000000000004</c:v>
                </c:pt>
                <c:pt idx="15">
                  <c:v>0.66300000000000003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D-4D0B-8E11-19DB2DB6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58791"/>
        <c:axId val="1731973639"/>
      </c:scatterChart>
      <c:valAx>
        <c:axId val="1731958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73639"/>
        <c:crosses val="autoZero"/>
        <c:crossBetween val="midCat"/>
      </c:valAx>
      <c:valAx>
        <c:axId val="1731973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58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'Mixer-Point de compression'!$A$3</c:f>
              <c:strCache>
                <c:ptCount val="1"/>
                <c:pt idx="0">
                  <c:v>Vs2(V)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'Mixer-Point de compression'!$B$1:$Q$1</c:f>
              <c:numCache>
                <c:formatCode>General</c:formatCode>
                <c:ptCount val="1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xVal>
          <c:yVal>
            <c:numRef>
              <c:f>'Mixer-Point de compression'!$B$3:$Q$3</c:f>
              <c:numCache>
                <c:formatCode>General</c:formatCode>
                <c:ptCount val="16"/>
                <c:pt idx="0">
                  <c:v>2.7300000000000002E-4</c:v>
                </c:pt>
                <c:pt idx="1">
                  <c:v>2.7499999999999998E-3</c:v>
                </c:pt>
                <c:pt idx="2">
                  <c:v>2.8899999999999999E-2</c:v>
                </c:pt>
                <c:pt idx="3">
                  <c:v>0.25700000000000001</c:v>
                </c:pt>
                <c:pt idx="4">
                  <c:v>0.30399999999999999</c:v>
                </c:pt>
                <c:pt idx="5">
                  <c:v>0.36199999999999999</c:v>
                </c:pt>
                <c:pt idx="6">
                  <c:v>0.40200000000000002</c:v>
                </c:pt>
                <c:pt idx="7">
                  <c:v>0.42899999999999999</c:v>
                </c:pt>
                <c:pt idx="8">
                  <c:v>0.58199999999999996</c:v>
                </c:pt>
                <c:pt idx="9">
                  <c:v>0.65700000000000003</c:v>
                </c:pt>
                <c:pt idx="10">
                  <c:v>0.71199999999999997</c:v>
                </c:pt>
                <c:pt idx="11">
                  <c:v>0.73699999999999999</c:v>
                </c:pt>
                <c:pt idx="12">
                  <c:v>0.751</c:v>
                </c:pt>
                <c:pt idx="13" formatCode="0.00E+00">
                  <c:v>0.755</c:v>
                </c:pt>
                <c:pt idx="14">
                  <c:v>0.77800000000000002</c:v>
                </c:pt>
                <c:pt idx="15">
                  <c:v>0.78100000000000003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B-4F0A-927F-7E049F53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30983"/>
        <c:axId val="655245831"/>
      </c:scatterChart>
      <c:valAx>
        <c:axId val="655230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45831"/>
        <c:crosses val="autoZero"/>
        <c:crossBetween val="midCat"/>
      </c:valAx>
      <c:valAx>
        <c:axId val="655245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30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'Mixer-Point de compression'!$A$9</c:f>
              <c:strCache>
                <c:ptCount val="1"/>
                <c:pt idx="0">
                  <c:v>P1(dBv)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'Mixer-Point de compression'!$B$8:$Q$8</c:f>
              <c:numCache>
                <c:formatCode>General</c:formatCode>
                <c:ptCount val="16"/>
                <c:pt idx="0">
                  <c:v>-80</c:v>
                </c:pt>
                <c:pt idx="1">
                  <c:v>-60</c:v>
                </c:pt>
                <c:pt idx="2">
                  <c:v>-40</c:v>
                </c:pt>
                <c:pt idx="3">
                  <c:v>-20</c:v>
                </c:pt>
                <c:pt idx="4">
                  <c:v>-18.061799739838872</c:v>
                </c:pt>
                <c:pt idx="5">
                  <c:v>-16.478174818886377</c:v>
                </c:pt>
                <c:pt idx="6">
                  <c:v>-15.139239026274112</c:v>
                </c:pt>
                <c:pt idx="7" formatCode="0.00">
                  <c:v>-13.979400086720375</c:v>
                </c:pt>
                <c:pt idx="8" formatCode="0.00">
                  <c:v>-10.457574905606752</c:v>
                </c:pt>
                <c:pt idx="9" formatCode="0.00">
                  <c:v>-7.9588001734407516</c:v>
                </c:pt>
                <c:pt idx="10" formatCode="0.00">
                  <c:v>-6.0205999132796242</c:v>
                </c:pt>
                <c:pt idx="11" formatCode="0.00">
                  <c:v>-4.4369749923271282</c:v>
                </c:pt>
                <c:pt idx="12" formatCode="0.00">
                  <c:v>-3.0980391997148637</c:v>
                </c:pt>
                <c:pt idx="13" formatCode="0.00">
                  <c:v>-1.9382002601611279</c:v>
                </c:pt>
                <c:pt idx="14" formatCode="0.00">
                  <c:v>-0.91514981121350236</c:v>
                </c:pt>
                <c:pt idx="15" formatCode="0">
                  <c:v>0</c:v>
                </c:pt>
              </c:numCache>
            </c:numRef>
          </c:xVal>
          <c:yVal>
            <c:numRef>
              <c:f>'Mixer-Point de compression'!$B$9:$Q$9</c:f>
              <c:numCache>
                <c:formatCode>0.00</c:formatCode>
                <c:ptCount val="16"/>
                <c:pt idx="0">
                  <c:v>-68.849855961886846</c:v>
                </c:pt>
                <c:pt idx="1">
                  <c:v>-48.849855961886846</c:v>
                </c:pt>
                <c:pt idx="2">
                  <c:v>-28.473172995884145</c:v>
                </c:pt>
                <c:pt idx="3">
                  <c:v>-9.6034401244856245</c:v>
                </c:pt>
                <c:pt idx="4">
                  <c:v>-7.8294793284561166</c:v>
                </c:pt>
                <c:pt idx="5">
                  <c:v>-6.6696403889023825</c:v>
                </c:pt>
                <c:pt idx="6">
                  <c:v>-6.0379890875322015</c:v>
                </c:pt>
                <c:pt idx="7">
                  <c:v>-5.2085531109981611</c:v>
                </c:pt>
                <c:pt idx="8">
                  <c:v>-3.9582148423653463</c:v>
                </c:pt>
                <c:pt idx="9">
                  <c:v>-3.8357805415155584</c:v>
                </c:pt>
                <c:pt idx="10">
                  <c:v>-3.6486926088043843</c:v>
                </c:pt>
                <c:pt idx="11">
                  <c:v>-3.5435670939379076</c:v>
                </c:pt>
                <c:pt idx="12">
                  <c:v>-3.5697294319045367</c:v>
                </c:pt>
                <c:pt idx="13">
                  <c:v>-3.55663841263965</c:v>
                </c:pt>
                <c:pt idx="14">
                  <c:v>-3.4914776446435374</c:v>
                </c:pt>
                <c:pt idx="15">
                  <c:v>-3.5697294319045367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5A-4614-8D7A-2F019367134E}"/>
            </c:ext>
          </c:extLst>
        </c:ser>
        <c:ser>
          <c:idx val="1"/>
          <c:order val="1"/>
          <c:tx>
            <c:v>tang1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612510936132983"/>
                  <c:y val="-3.87868183143773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'Mixer-Point de compression'!$B$8:$Q$8</c:f>
              <c:numCache>
                <c:formatCode>General</c:formatCode>
                <c:ptCount val="16"/>
                <c:pt idx="0">
                  <c:v>-80</c:v>
                </c:pt>
                <c:pt idx="1">
                  <c:v>-60</c:v>
                </c:pt>
                <c:pt idx="2">
                  <c:v>-40</c:v>
                </c:pt>
                <c:pt idx="3">
                  <c:v>-20</c:v>
                </c:pt>
                <c:pt idx="4">
                  <c:v>-18.061799739838872</c:v>
                </c:pt>
                <c:pt idx="5">
                  <c:v>-16.478174818886377</c:v>
                </c:pt>
                <c:pt idx="6">
                  <c:v>-15.139239026274112</c:v>
                </c:pt>
                <c:pt idx="7" formatCode="0.00">
                  <c:v>-13.979400086720375</c:v>
                </c:pt>
                <c:pt idx="8" formatCode="0.00">
                  <c:v>-10.457574905606752</c:v>
                </c:pt>
                <c:pt idx="9" formatCode="0.00">
                  <c:v>-7.9588001734407516</c:v>
                </c:pt>
                <c:pt idx="10" formatCode="0.00">
                  <c:v>-6.0205999132796242</c:v>
                </c:pt>
                <c:pt idx="11" formatCode="0.00">
                  <c:v>-4.4369749923271282</c:v>
                </c:pt>
                <c:pt idx="12" formatCode="0.00">
                  <c:v>-3.0980391997148637</c:v>
                </c:pt>
                <c:pt idx="13" formatCode="0.00">
                  <c:v>-1.9382002601611279</c:v>
                </c:pt>
                <c:pt idx="14" formatCode="0.00">
                  <c:v>-0.91514981121350236</c:v>
                </c:pt>
                <c:pt idx="15" formatCode="0">
                  <c:v>0</c:v>
                </c:pt>
              </c:numCache>
            </c:numRef>
          </c:xVal>
          <c:yVal>
            <c:numRef>
              <c:f>'Mixer-Point de compression'!$B$11:$Q$11</c:f>
              <c:numCache>
                <c:formatCode>0.00</c:formatCode>
                <c:ptCount val="16"/>
                <c:pt idx="0">
                  <c:v>-68.533999999999992</c:v>
                </c:pt>
                <c:pt idx="1">
                  <c:v>-48.645999999999994</c:v>
                </c:pt>
                <c:pt idx="2">
                  <c:v>-28.757999999999996</c:v>
                </c:pt>
                <c:pt idx="3">
                  <c:v>-8.8699999999999974</c:v>
                </c:pt>
                <c:pt idx="4">
                  <c:v>-6.9426536612957719</c:v>
                </c:pt>
                <c:pt idx="5">
                  <c:v>-5.3678970399006118</c:v>
                </c:pt>
                <c:pt idx="6">
                  <c:v>-4.0364592877269754</c:v>
                </c:pt>
                <c:pt idx="7">
                  <c:v>-2.8831154462347399</c:v>
                </c:pt>
                <c:pt idx="8">
                  <c:v>0.61898751386464745</c:v>
                </c:pt>
                <c:pt idx="9">
                  <c:v>3.1037691075305176</c:v>
                </c:pt>
                <c:pt idx="10">
                  <c:v>5.0311154462347423</c:v>
                </c:pt>
                <c:pt idx="11">
                  <c:v>6.605872067629905</c:v>
                </c:pt>
                <c:pt idx="12">
                  <c:v>7.9373098198035397</c:v>
                </c:pt>
                <c:pt idx="13">
                  <c:v>9.0906536612957751</c:v>
                </c:pt>
                <c:pt idx="14">
                  <c:v>10.107975027729294</c:v>
                </c:pt>
                <c:pt idx="15">
                  <c:v>11.018000000000001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16-4CCC-8196-0FFB7304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22311"/>
        <c:axId val="810492935"/>
      </c:scatterChart>
      <c:valAx>
        <c:axId val="676322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92935"/>
        <c:crosses val="autoZero"/>
        <c:crossBetween val="midCat"/>
      </c:valAx>
      <c:valAx>
        <c:axId val="8104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22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P2(dBv)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'Mixer-Point de compression'!$B$8:$Q$8</c:f>
              <c:numCache>
                <c:formatCode>General</c:formatCode>
                <c:ptCount val="16"/>
                <c:pt idx="0">
                  <c:v>-80</c:v>
                </c:pt>
                <c:pt idx="1">
                  <c:v>-60</c:v>
                </c:pt>
                <c:pt idx="2">
                  <c:v>-40</c:v>
                </c:pt>
                <c:pt idx="3">
                  <c:v>-20</c:v>
                </c:pt>
                <c:pt idx="4">
                  <c:v>-18.061799739838872</c:v>
                </c:pt>
                <c:pt idx="5">
                  <c:v>-16.478174818886377</c:v>
                </c:pt>
                <c:pt idx="6">
                  <c:v>-15.139239026274112</c:v>
                </c:pt>
                <c:pt idx="7" formatCode="0.00">
                  <c:v>-13.979400086720375</c:v>
                </c:pt>
                <c:pt idx="8" formatCode="0.00">
                  <c:v>-10.457574905606752</c:v>
                </c:pt>
                <c:pt idx="9" formatCode="0.00">
                  <c:v>-7.9588001734407516</c:v>
                </c:pt>
                <c:pt idx="10" formatCode="0.00">
                  <c:v>-6.0205999132796242</c:v>
                </c:pt>
                <c:pt idx="11" formatCode="0.00">
                  <c:v>-4.4369749923271282</c:v>
                </c:pt>
                <c:pt idx="12" formatCode="0.00">
                  <c:v>-3.0980391997148637</c:v>
                </c:pt>
                <c:pt idx="13" formatCode="0.00">
                  <c:v>-1.9382002601611279</c:v>
                </c:pt>
                <c:pt idx="14" formatCode="0.00">
                  <c:v>-0.91514981121350236</c:v>
                </c:pt>
                <c:pt idx="15" formatCode="0">
                  <c:v>0</c:v>
                </c:pt>
              </c:numCache>
            </c:numRef>
          </c:xVal>
          <c:yVal>
            <c:numRef>
              <c:f>'Mixer-Point de compression'!$B$10:$Q$10</c:f>
              <c:numCache>
                <c:formatCode>0.00</c:formatCode>
                <c:ptCount val="16"/>
                <c:pt idx="0">
                  <c:v>-71.276747059184885</c:v>
                </c:pt>
                <c:pt idx="1">
                  <c:v>-51.21334612339475</c:v>
                </c:pt>
                <c:pt idx="2">
                  <c:v>-30.782043144869043</c:v>
                </c:pt>
                <c:pt idx="3">
                  <c:v>-11.80133753337411</c:v>
                </c:pt>
                <c:pt idx="4">
                  <c:v>-10.342528327824924</c:v>
                </c:pt>
                <c:pt idx="5">
                  <c:v>-8.8258285893366857</c:v>
                </c:pt>
                <c:pt idx="6">
                  <c:v>-7.9154789383105983</c:v>
                </c:pt>
                <c:pt idx="7">
                  <c:v>-7.3508541563055152</c:v>
                </c:pt>
                <c:pt idx="8">
                  <c:v>-4.7015403070022312</c:v>
                </c:pt>
                <c:pt idx="9">
                  <c:v>-3.6486926088043843</c:v>
                </c:pt>
                <c:pt idx="10">
                  <c:v>-2.9504001272628733</c:v>
                </c:pt>
                <c:pt idx="11">
                  <c:v>-2.6506502428189704</c:v>
                </c:pt>
                <c:pt idx="12">
                  <c:v>-2.487201259916632</c:v>
                </c:pt>
                <c:pt idx="13">
                  <c:v>-2.4410609674162349</c:v>
                </c:pt>
                <c:pt idx="14">
                  <c:v>-2.1804080602062212</c:v>
                </c:pt>
                <c:pt idx="15">
                  <c:v>-2.1469793224539933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D-4D0E-A38D-95D35066990D}"/>
            </c:ext>
          </c:extLst>
        </c:ser>
        <c:ser>
          <c:idx val="1"/>
          <c:order val="1"/>
          <c:tx>
            <c:v>tang2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879177602799649"/>
                  <c:y val="-3.60746573344998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'Mixer-Point de compression'!$B$8:$Q$8</c:f>
              <c:numCache>
                <c:formatCode>General</c:formatCode>
                <c:ptCount val="16"/>
                <c:pt idx="0">
                  <c:v>-80</c:v>
                </c:pt>
                <c:pt idx="1">
                  <c:v>-60</c:v>
                </c:pt>
                <c:pt idx="2">
                  <c:v>-40</c:v>
                </c:pt>
                <c:pt idx="3">
                  <c:v>-20</c:v>
                </c:pt>
                <c:pt idx="4">
                  <c:v>-18.061799739838872</c:v>
                </c:pt>
                <c:pt idx="5">
                  <c:v>-16.478174818886377</c:v>
                </c:pt>
                <c:pt idx="6">
                  <c:v>-15.139239026274112</c:v>
                </c:pt>
                <c:pt idx="7" formatCode="0.00">
                  <c:v>-13.979400086720375</c:v>
                </c:pt>
                <c:pt idx="8" formatCode="0.00">
                  <c:v>-10.457574905606752</c:v>
                </c:pt>
                <c:pt idx="9" formatCode="0.00">
                  <c:v>-7.9588001734407516</c:v>
                </c:pt>
                <c:pt idx="10" formatCode="0.00">
                  <c:v>-6.0205999132796242</c:v>
                </c:pt>
                <c:pt idx="11" formatCode="0.00">
                  <c:v>-4.4369749923271282</c:v>
                </c:pt>
                <c:pt idx="12" formatCode="0.00">
                  <c:v>-3.0980391997148637</c:v>
                </c:pt>
                <c:pt idx="13" formatCode="0.00">
                  <c:v>-1.9382002601611279</c:v>
                </c:pt>
                <c:pt idx="14" formatCode="0.00">
                  <c:v>-0.91514981121350236</c:v>
                </c:pt>
                <c:pt idx="15" formatCode="0">
                  <c:v>0</c:v>
                </c:pt>
              </c:numCache>
            </c:numRef>
          </c:xVal>
          <c:yVal>
            <c:numRef>
              <c:f>'Mixer-Point de compression'!$B$12:$Q$12</c:f>
              <c:numCache>
                <c:formatCode>0.00</c:formatCode>
                <c:ptCount val="16"/>
                <c:pt idx="0">
                  <c:v>-71.097999999999999</c:v>
                </c:pt>
                <c:pt idx="1">
                  <c:v>-51.212000000000003</c:v>
                </c:pt>
                <c:pt idx="2">
                  <c:v>-31.326000000000001</c:v>
                </c:pt>
                <c:pt idx="3">
                  <c:v>-11.44</c:v>
                </c:pt>
                <c:pt idx="4">
                  <c:v>-9.5128474813217903</c:v>
                </c:pt>
                <c:pt idx="5">
                  <c:v>-7.9382492224187242</c:v>
                </c:pt>
                <c:pt idx="6">
                  <c:v>-6.606945363824348</c:v>
                </c:pt>
                <c:pt idx="7">
                  <c:v>-5.4537175062260683</c:v>
                </c:pt>
                <c:pt idx="8">
                  <c:v>-1.951966728644793</c:v>
                </c:pt>
                <c:pt idx="9">
                  <c:v>0.53256498754786108</c:v>
                </c:pt>
                <c:pt idx="10">
                  <c:v>2.4597175062260694</c:v>
                </c:pt>
                <c:pt idx="11">
                  <c:v>4.0343157651291364</c:v>
                </c:pt>
                <c:pt idx="12">
                  <c:v>5.3656196237235108</c:v>
                </c:pt>
                <c:pt idx="13">
                  <c:v>6.5188474813217905</c:v>
                </c:pt>
                <c:pt idx="14">
                  <c:v>7.5360665427104143</c:v>
                </c:pt>
                <c:pt idx="15">
                  <c:v>8.4459999999999997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D-4D0E-A38D-95D350669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44647"/>
        <c:axId val="810546695"/>
      </c:scatterChart>
      <c:valAx>
        <c:axId val="810544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6695"/>
        <c:crosses val="autoZero"/>
        <c:crossBetween val="midCat"/>
      </c:valAx>
      <c:valAx>
        <c:axId val="810546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4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Vspp(Vepp)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'Balun-Point de compression'!$B$2:$Q$2</c:f>
              <c:numCache>
                <c:formatCode>General</c:formatCode>
                <c:ptCount val="16"/>
                <c:pt idx="0">
                  <c:v>2.0000000000000001E-4</c:v>
                </c:pt>
                <c:pt idx="1">
                  <c:v>2E-3</c:v>
                </c:pt>
                <c:pt idx="2">
                  <c:v>0.02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1.6</c:v>
                </c:pt>
              </c:numCache>
            </c:numRef>
          </c:xVal>
          <c:yVal>
            <c:numRef>
              <c:f>'Balun-Point de compression'!$B$3:$Q$3</c:f>
              <c:numCache>
                <c:formatCode>0.00E+00</c:formatCode>
                <c:ptCount val="16"/>
                <c:pt idx="0">
                  <c:v>2.9999999999974492E-5</c:v>
                </c:pt>
                <c:pt idx="1">
                  <c:v>5.9000000000009045E-4</c:v>
                </c:pt>
                <c:pt idx="2">
                  <c:v>6.0000000000004494E-4</c:v>
                </c:pt>
                <c:pt idx="3">
                  <c:v>2.9689999999999994E-2</c:v>
                </c:pt>
                <c:pt idx="4">
                  <c:v>3.7170000000000036E-2</c:v>
                </c:pt>
                <c:pt idx="5">
                  <c:v>4.4690000000000007E-2</c:v>
                </c:pt>
                <c:pt idx="6">
                  <c:v>5.2259999999999973E-2</c:v>
                </c:pt>
                <c:pt idx="7">
                  <c:v>5.9879999999999933E-2</c:v>
                </c:pt>
                <c:pt idx="8">
                  <c:v>7.5359999999999983E-2</c:v>
                </c:pt>
                <c:pt idx="9">
                  <c:v>9.1189999999999993E-2</c:v>
                </c:pt>
                <c:pt idx="10">
                  <c:v>0.10746999999999995</c:v>
                </c:pt>
                <c:pt idx="11">
                  <c:v>0.19145000000000001</c:v>
                </c:pt>
                <c:pt idx="12">
                  <c:v>0.14159999999999995</c:v>
                </c:pt>
                <c:pt idx="13">
                  <c:v>0.15964</c:v>
                </c:pt>
                <c:pt idx="14">
                  <c:v>0.19867000000000001</c:v>
                </c:pt>
                <c:pt idx="15">
                  <c:v>0.29300000000000004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FE-4E6B-8DE5-29FC8B99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86983"/>
        <c:axId val="497089031"/>
      </c:scatterChart>
      <c:valAx>
        <c:axId val="497086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89031"/>
        <c:crosses val="autoZero"/>
        <c:crossBetween val="midCat"/>
      </c:valAx>
      <c:valAx>
        <c:axId val="497089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86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Pspp(Pepp)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'Balun-Point de compression'!$B$6:$I$6</c:f>
              <c:numCache>
                <c:formatCode>General</c:formatCode>
                <c:ptCount val="8"/>
                <c:pt idx="0">
                  <c:v>-73.979400086720375</c:v>
                </c:pt>
                <c:pt idx="1">
                  <c:v>-53.979400086720375</c:v>
                </c:pt>
                <c:pt idx="2">
                  <c:v>-33.979400086720375</c:v>
                </c:pt>
                <c:pt idx="3">
                  <c:v>-13.979400086720375</c:v>
                </c:pt>
                <c:pt idx="4">
                  <c:v>-12.041199826559248</c:v>
                </c:pt>
                <c:pt idx="5">
                  <c:v>-10.457574905606752</c:v>
                </c:pt>
                <c:pt idx="6">
                  <c:v>-9.1186391129944884</c:v>
                </c:pt>
                <c:pt idx="7" formatCode="0.00">
                  <c:v>-7.9588001734407516</c:v>
                </c:pt>
              </c:numCache>
            </c:numRef>
          </c:xVal>
          <c:yVal>
            <c:numRef>
              <c:f>'Balun-Point de compression'!$B$7:$I$7</c:f>
              <c:numCache>
                <c:formatCode>0.00</c:formatCode>
                <c:ptCount val="8"/>
                <c:pt idx="0">
                  <c:v>-90.457574905614138</c:v>
                </c:pt>
                <c:pt idx="1">
                  <c:v>-64.582959767155785</c:v>
                </c:pt>
                <c:pt idx="2">
                  <c:v>-64.436974992326469</c:v>
                </c:pt>
                <c:pt idx="3">
                  <c:v>-30.547796048079107</c:v>
                </c:pt>
                <c:pt idx="4">
                  <c:v>-28.596148778085471</c:v>
                </c:pt>
                <c:pt idx="5">
                  <c:v>-26.995792906792815</c:v>
                </c:pt>
                <c:pt idx="6">
                  <c:v>-25.636611892173867</c:v>
                </c:pt>
                <c:pt idx="7">
                  <c:v>-24.454364166579715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C4-4BFA-B537-7A0D21F3D8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'Balun-Point de compression'!$B$6:$I$6</c:f>
              <c:numCache>
                <c:formatCode>General</c:formatCode>
                <c:ptCount val="8"/>
                <c:pt idx="0">
                  <c:v>-73.979400086720375</c:v>
                </c:pt>
                <c:pt idx="1">
                  <c:v>-53.979400086720375</c:v>
                </c:pt>
                <c:pt idx="2">
                  <c:v>-33.979400086720375</c:v>
                </c:pt>
                <c:pt idx="3">
                  <c:v>-13.979400086720375</c:v>
                </c:pt>
                <c:pt idx="4">
                  <c:v>-12.041199826559248</c:v>
                </c:pt>
                <c:pt idx="5">
                  <c:v>-10.457574905606752</c:v>
                </c:pt>
                <c:pt idx="6">
                  <c:v>-9.1186391129944884</c:v>
                </c:pt>
                <c:pt idx="7" formatCode="0.00">
                  <c:v>-7.9588001734407516</c:v>
                </c:pt>
              </c:numCache>
            </c:numRef>
          </c:xVal>
          <c:yVal>
            <c:numRef>
              <c:f>'Balun-Point de compression'!#REF!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6D-409F-B660-5A854E2D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20391"/>
        <c:axId val="1832722439"/>
      </c:scatterChart>
      <c:valAx>
        <c:axId val="1832720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22439"/>
        <c:crosses val="autoZero"/>
        <c:crossBetween val="midCat"/>
      </c:valAx>
      <c:valAx>
        <c:axId val="1832722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20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Linéarité Balun en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'Balun-Point de compression'!$A$67</c:f>
              <c:strCache>
                <c:ptCount val="1"/>
                <c:pt idx="0">
                  <c:v>Vspp(V)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'Balun-Point de compression'!$B$66:$Q$66</c:f>
              <c:numCache>
                <c:formatCode>General</c:formatCode>
                <c:ptCount val="16"/>
                <c:pt idx="0">
                  <c:v>2.0000000000000001E-4</c:v>
                </c:pt>
                <c:pt idx="1">
                  <c:v>2E-3</c:v>
                </c:pt>
                <c:pt idx="2">
                  <c:v>0.02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1.6</c:v>
                </c:pt>
              </c:numCache>
            </c:numRef>
          </c:xVal>
          <c:yVal>
            <c:numRef>
              <c:f>'Balun-Point de compression'!$B$67:$Q$67</c:f>
              <c:numCache>
                <c:formatCode>0.0000</c:formatCode>
                <c:ptCount val="16"/>
                <c:pt idx="0" formatCode="0.00E+00">
                  <c:v>5.9999999999948983E-5</c:v>
                </c:pt>
                <c:pt idx="1">
                  <c:v>5.3999999999998494E-4</c:v>
                </c:pt>
                <c:pt idx="2" formatCode="0.00">
                  <c:v>5.3999999999999604E-3</c:v>
                </c:pt>
                <c:pt idx="3" formatCode="0.00">
                  <c:v>5.4170000000000051E-2</c:v>
                </c:pt>
                <c:pt idx="4" formatCode="0.00">
                  <c:v>6.7459999999999964E-2</c:v>
                </c:pt>
                <c:pt idx="5" formatCode="0.00">
                  <c:v>8.057000000000003E-2</c:v>
                </c:pt>
                <c:pt idx="6" formatCode="0.00">
                  <c:v>9.3400000000000039E-2</c:v>
                </c:pt>
                <c:pt idx="7" formatCode="0.00">
                  <c:v>0.10591000000000006</c:v>
                </c:pt>
                <c:pt idx="8" formatCode="0.00">
                  <c:v>0.12978000000000001</c:v>
                </c:pt>
                <c:pt idx="9" formatCode="0.00">
                  <c:v>0.15209000000000006</c:v>
                </c:pt>
                <c:pt idx="10" formatCode="0.00">
                  <c:v>0.17491000000000001</c:v>
                </c:pt>
                <c:pt idx="11" formatCode="0.00">
                  <c:v>0.19565000000000005</c:v>
                </c:pt>
                <c:pt idx="12" formatCode="0.00">
                  <c:v>0.21575999999999995</c:v>
                </c:pt>
                <c:pt idx="13" formatCode="0.00">
                  <c:v>0.23533000000000004</c:v>
                </c:pt>
                <c:pt idx="14" formatCode="0.00">
                  <c:v>0.27931999999999996</c:v>
                </c:pt>
                <c:pt idx="15" formatCode="0.00">
                  <c:v>0.37105000000000005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7-4625-BE75-F8DE71FE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684295"/>
        <c:axId val="1520304648"/>
      </c:scatterChart>
      <c:valAx>
        <c:axId val="154068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04648"/>
        <c:crosses val="autoZero"/>
        <c:crossBetween val="midCat"/>
      </c:valAx>
      <c:valAx>
        <c:axId val="1520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'Balun simu K'!$B$2</c:f>
              <c:strCache>
                <c:ptCount val="1"/>
                <c:pt idx="0">
                  <c:v>I(Ved)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'Balun simu K'!$A$3:$A$13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'Balun simu K'!$B$3:$B$13</c:f>
              <c:numCache>
                <c:formatCode>General</c:formatCode>
                <c:ptCount val="11"/>
                <c:pt idx="0">
                  <c:v>0</c:v>
                </c:pt>
                <c:pt idx="1">
                  <c:v>1.08E-6</c:v>
                </c:pt>
                <c:pt idx="2">
                  <c:v>2.1600000000000001E-6</c:v>
                </c:pt>
                <c:pt idx="3">
                  <c:v>3.23E-6</c:v>
                </c:pt>
                <c:pt idx="4">
                  <c:v>4.3100000000000002E-6</c:v>
                </c:pt>
                <c:pt idx="5">
                  <c:v>5.3900000000000001E-6</c:v>
                </c:pt>
                <c:pt idx="6">
                  <c:v>6.4699999999999999E-6</c:v>
                </c:pt>
                <c:pt idx="7">
                  <c:v>7.5399999999999998E-6</c:v>
                </c:pt>
                <c:pt idx="8">
                  <c:v>8.6200000000000005E-6</c:v>
                </c:pt>
                <c:pt idx="9">
                  <c:v>9.7000000000000003E-6</c:v>
                </c:pt>
                <c:pt idx="10">
                  <c:v>1.08E-5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A-4F66-A4B7-D416E9FE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94439"/>
        <c:axId val="251796487"/>
      </c:scatterChart>
      <c:valAx>
        <c:axId val="251794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96487"/>
        <c:crosses val="autoZero"/>
        <c:crossBetween val="midCat"/>
      </c:valAx>
      <c:valAx>
        <c:axId val="251796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94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0</xdr:row>
      <xdr:rowOff>85725</xdr:rowOff>
    </xdr:from>
    <xdr:to>
      <xdr:col>28</xdr:col>
      <xdr:colOff>352425</xdr:colOff>
      <xdr:row>14</xdr:row>
      <xdr:rowOff>161925</xdr:rowOff>
    </xdr:to>
    <xdr:graphicFrame macro="">
      <xdr:nvGraphicFramePr>
        <xdr:cNvPr id="21" name="Graphique 13">
          <a:extLst>
            <a:ext uri="{FF2B5EF4-FFF2-40B4-BE49-F238E27FC236}">
              <a16:creationId xmlns:a16="http://schemas.microsoft.com/office/drawing/2014/main" id="{56F8411E-AB74-9E1D-C9D6-6FEF51440B31}"/>
            </a:ext>
            <a:ext uri="{147F2762-F138-4A5C-976F-8EAC2B608ADB}">
              <a16:predDERef xmlns:a16="http://schemas.microsoft.com/office/drawing/2014/main" pred="{62C35F99-65EC-D0A4-D6B4-543C1B96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333375</xdr:colOff>
      <xdr:row>0</xdr:row>
      <xdr:rowOff>85725</xdr:rowOff>
    </xdr:from>
    <xdr:to>
      <xdr:col>36</xdr:col>
      <xdr:colOff>28575</xdr:colOff>
      <xdr:row>14</xdr:row>
      <xdr:rowOff>161925</xdr:rowOff>
    </xdr:to>
    <xdr:graphicFrame macro="">
      <xdr:nvGraphicFramePr>
        <xdr:cNvPr id="20" name="Graphique 15">
          <a:extLst>
            <a:ext uri="{FF2B5EF4-FFF2-40B4-BE49-F238E27FC236}">
              <a16:creationId xmlns:a16="http://schemas.microsoft.com/office/drawing/2014/main" id="{49748B28-2B01-EC74-9FD3-F15C8E36606B}"/>
            </a:ext>
            <a:ext uri="{147F2762-F138-4A5C-976F-8EAC2B608ADB}">
              <a16:predDERef xmlns:a16="http://schemas.microsoft.com/office/drawing/2014/main" pred="{56F8411E-AB74-9E1D-C9D6-6FEF51440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438150</xdr:colOff>
      <xdr:row>19</xdr:row>
      <xdr:rowOff>133350</xdr:rowOff>
    </xdr:from>
    <xdr:to>
      <xdr:col>28</xdr:col>
      <xdr:colOff>133350</xdr:colOff>
      <xdr:row>34</xdr:row>
      <xdr:rowOff>19050</xdr:rowOff>
    </xdr:to>
    <xdr:graphicFrame macro="">
      <xdr:nvGraphicFramePr>
        <xdr:cNvPr id="145" name="Graphique 4">
          <a:extLst>
            <a:ext uri="{FF2B5EF4-FFF2-40B4-BE49-F238E27FC236}">
              <a16:creationId xmlns:a16="http://schemas.microsoft.com/office/drawing/2014/main" id="{D2939494-EA35-2C2A-F1E0-50A036BE8411}"/>
            </a:ext>
            <a:ext uri="{147F2762-F138-4A5C-976F-8EAC2B608ADB}">
              <a16:predDERef xmlns:a16="http://schemas.microsoft.com/office/drawing/2014/main" pred="{49748B28-2B01-EC74-9FD3-F15C8E366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209550</xdr:colOff>
      <xdr:row>20</xdr:row>
      <xdr:rowOff>9525</xdr:rowOff>
    </xdr:from>
    <xdr:to>
      <xdr:col>35</xdr:col>
      <xdr:colOff>514350</xdr:colOff>
      <xdr:row>34</xdr:row>
      <xdr:rowOff>85725</xdr:rowOff>
    </xdr:to>
    <xdr:graphicFrame macro="">
      <xdr:nvGraphicFramePr>
        <xdr:cNvPr id="12" name="Graphique 5">
          <a:extLst>
            <a:ext uri="{FF2B5EF4-FFF2-40B4-BE49-F238E27FC236}">
              <a16:creationId xmlns:a16="http://schemas.microsoft.com/office/drawing/2014/main" id="{D91A11EC-8B92-33C8-A604-975CE3B1B148}"/>
            </a:ext>
            <a:ext uri="{147F2762-F138-4A5C-976F-8EAC2B608ADB}">
              <a16:predDERef xmlns:a16="http://schemas.microsoft.com/office/drawing/2014/main" pred="{D2939494-EA35-2C2A-F1E0-50A036BE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8</xdr:row>
      <xdr:rowOff>152400</xdr:rowOff>
    </xdr:from>
    <xdr:to>
      <xdr:col>8</xdr:col>
      <xdr:colOff>638175</xdr:colOff>
      <xdr:row>23</xdr:row>
      <xdr:rowOff>47625</xdr:rowOff>
    </xdr:to>
    <xdr:graphicFrame macro="">
      <xdr:nvGraphicFramePr>
        <xdr:cNvPr id="14" name="Graphique 2">
          <a:extLst>
            <a:ext uri="{FF2B5EF4-FFF2-40B4-BE49-F238E27FC236}">
              <a16:creationId xmlns:a16="http://schemas.microsoft.com/office/drawing/2014/main" id="{068AA817-3C11-3C9E-F0E6-A3D335DCE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27</xdr:row>
      <xdr:rowOff>95250</xdr:rowOff>
    </xdr:from>
    <xdr:to>
      <xdr:col>8</xdr:col>
      <xdr:colOff>590550</xdr:colOff>
      <xdr:row>41</xdr:row>
      <xdr:rowOff>171450</xdr:rowOff>
    </xdr:to>
    <xdr:graphicFrame macro="">
      <xdr:nvGraphicFramePr>
        <xdr:cNvPr id="21" name="Graphique 4">
          <a:extLst>
            <a:ext uri="{FF2B5EF4-FFF2-40B4-BE49-F238E27FC236}">
              <a16:creationId xmlns:a16="http://schemas.microsoft.com/office/drawing/2014/main" id="{B606DC27-18FE-87B9-417F-F077116E945C}"/>
            </a:ext>
            <a:ext uri="{147F2762-F138-4A5C-976F-8EAC2B608ADB}">
              <a16:predDERef xmlns:a16="http://schemas.microsoft.com/office/drawing/2014/main" pred="{068AA817-3C11-3C9E-F0E6-A3D335DCE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79</xdr:row>
      <xdr:rowOff>104775</xdr:rowOff>
    </xdr:from>
    <xdr:to>
      <xdr:col>13</xdr:col>
      <xdr:colOff>0</xdr:colOff>
      <xdr:row>97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4A7CC7-FFE2-8E03-D23F-A42CB214ED86}"/>
            </a:ext>
            <a:ext uri="{147F2762-F138-4A5C-976F-8EAC2B608ADB}">
              <a16:predDERef xmlns:a16="http://schemas.microsoft.com/office/drawing/2014/main" pred="{B606DC27-18FE-87B9-417F-F077116E9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657225</xdr:colOff>
      <xdr:row>80</xdr:row>
      <xdr:rowOff>161925</xdr:rowOff>
    </xdr:from>
    <xdr:to>
      <xdr:col>12</xdr:col>
      <xdr:colOff>285750</xdr:colOff>
      <xdr:row>94</xdr:row>
      <xdr:rowOff>142875</xdr:rowOff>
    </xdr:to>
    <xdr:cxnSp macro="">
      <xdr:nvCxnSpPr>
        <xdr:cNvPr id="2" name="Lien droit 1">
          <a:extLst>
            <a:ext uri="{FF2B5EF4-FFF2-40B4-BE49-F238E27FC236}">
              <a16:creationId xmlns:a16="http://schemas.microsoft.com/office/drawing/2014/main" id="{F5D224FE-477B-C883-7BF1-71BFCC3063B5}"/>
            </a:ext>
            <a:ext uri="{147F2762-F138-4A5C-976F-8EAC2B608ADB}">
              <a16:predDERef xmlns:a16="http://schemas.microsoft.com/office/drawing/2014/main" pred="{F04A7CC7-FFE2-8E03-D23F-A42CB214ED86}"/>
            </a:ext>
          </a:extLst>
        </xdr:cNvPr>
        <xdr:cNvCxnSpPr>
          <a:cxnSpLocks/>
        </xdr:cNvCxnSpPr>
      </xdr:nvCxnSpPr>
      <xdr:spPr>
        <a:xfrm flipH="1">
          <a:off x="4105275" y="14639925"/>
          <a:ext cx="4838700" cy="25146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123825</xdr:rowOff>
    </xdr:from>
    <xdr:to>
      <xdr:col>13</xdr:col>
      <xdr:colOff>76200</xdr:colOff>
      <xdr:row>16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3013CD5-F983-33F1-3040-2B4E42346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G11" workbookViewId="0">
      <selection activeCell="J23" sqref="J23:K27"/>
    </sheetView>
  </sheetViews>
  <sheetFormatPr defaultRowHeight="14.45"/>
  <cols>
    <col min="1" max="1" width="17.7109375" customWidth="1"/>
    <col min="2" max="2" width="20.85546875" bestFit="1" customWidth="1"/>
    <col min="3" max="3" width="46.7109375" customWidth="1"/>
    <col min="5" max="5" width="17.28515625" bestFit="1" customWidth="1"/>
    <col min="6" max="6" width="22" bestFit="1" customWidth="1"/>
    <col min="7" max="7" width="36.5703125" bestFit="1" customWidth="1"/>
    <col min="8" max="8" width="18.140625" bestFit="1" customWidth="1"/>
    <col min="9" max="9" width="36.5703125" bestFit="1" customWidth="1"/>
    <col min="10" max="10" width="19.28515625" bestFit="1" customWidth="1"/>
    <col min="11" max="11" width="11.42578125" bestFit="1" customWidth="1"/>
    <col min="12" max="12" width="13.28515625" bestFit="1" customWidth="1"/>
  </cols>
  <sheetData>
    <row r="1" spans="1:11">
      <c r="A1" s="1" t="s">
        <v>0</v>
      </c>
      <c r="B1" s="30">
        <f>2440000000</f>
        <v>2440000000</v>
      </c>
    </row>
    <row r="2" spans="1:11">
      <c r="A2" s="1" t="s">
        <v>1</v>
      </c>
      <c r="B2" s="30">
        <f>10000000</f>
        <v>10000000</v>
      </c>
    </row>
    <row r="3" spans="1:11">
      <c r="A3" s="1" t="s">
        <v>2</v>
      </c>
      <c r="B3" s="17">
        <f>B1+B2</f>
        <v>2450000000</v>
      </c>
    </row>
    <row r="4" spans="1:11">
      <c r="A4" s="1" t="s">
        <v>3</v>
      </c>
      <c r="B4" s="31">
        <v>2</v>
      </c>
    </row>
    <row r="5" spans="1:11">
      <c r="A5" s="1" t="s">
        <v>4</v>
      </c>
      <c r="B5" s="31">
        <v>1.2</v>
      </c>
    </row>
    <row r="6" spans="1:11">
      <c r="A6" s="1" t="s">
        <v>5</v>
      </c>
      <c r="B6" s="31">
        <v>0.4</v>
      </c>
    </row>
    <row r="7" spans="1:11">
      <c r="A7" s="1" t="s">
        <v>6</v>
      </c>
      <c r="B7" s="31">
        <v>0.7</v>
      </c>
      <c r="I7" s="28"/>
    </row>
    <row r="8" spans="1:11">
      <c r="A8" s="13" t="s">
        <v>7</v>
      </c>
      <c r="B8" s="14">
        <v>15</v>
      </c>
    </row>
    <row r="9" spans="1:11">
      <c r="A9" s="11" t="s">
        <v>8</v>
      </c>
      <c r="B9" s="12">
        <v>800</v>
      </c>
    </row>
    <row r="10" spans="1:11">
      <c r="A10" s="1" t="s">
        <v>9</v>
      </c>
      <c r="B10" s="15">
        <v>200</v>
      </c>
    </row>
    <row r="11" spans="1:11">
      <c r="A11" s="13" t="s">
        <v>10</v>
      </c>
      <c r="B11" s="14">
        <v>8</v>
      </c>
      <c r="F11" s="5" t="s">
        <v>11</v>
      </c>
      <c r="G11" s="7">
        <f>(PI()*B12)/(2*B9)</f>
        <v>4.932077474926487E-3</v>
      </c>
      <c r="H11" s="33">
        <f>2*C25/C27</f>
        <v>3.0772635995536628E-2</v>
      </c>
    </row>
    <row r="12" spans="1:11">
      <c r="A12" s="2" t="s">
        <v>12</v>
      </c>
      <c r="B12" s="8">
        <f>10^(B11/20)</f>
        <v>2.5118864315095806</v>
      </c>
      <c r="F12" s="5" t="s">
        <v>13</v>
      </c>
      <c r="G12" s="7" t="s">
        <v>14</v>
      </c>
    </row>
    <row r="13" spans="1:11">
      <c r="A13" s="2" t="s">
        <v>15</v>
      </c>
      <c r="B13" s="3">
        <v>11.2</v>
      </c>
    </row>
    <row r="14" spans="1:11">
      <c r="A14" t="s">
        <v>16</v>
      </c>
    </row>
    <row r="15" spans="1:11">
      <c r="B15" s="10" t="s">
        <v>17</v>
      </c>
      <c r="C15" s="10" t="s">
        <v>18</v>
      </c>
      <c r="J15" s="52" t="s">
        <v>19</v>
      </c>
      <c r="K15" s="52">
        <v>2.4500000000000002</v>
      </c>
    </row>
    <row r="16" spans="1:11">
      <c r="B16" s="16">
        <f>SQRT(1+(B9*2*PI()*B10*10^-15*B1)^2)</f>
        <v>2.6489603433162499</v>
      </c>
      <c r="C16" s="17">
        <f>B16*4*B7/(2*B9)</f>
        <v>4.635680600803437E-3</v>
      </c>
      <c r="J16" s="52" t="s">
        <v>20</v>
      </c>
      <c r="K16" s="52">
        <v>2.44</v>
      </c>
    </row>
    <row r="17" spans="1:11">
      <c r="A17" t="s">
        <v>21</v>
      </c>
      <c r="J17" s="52" t="s">
        <v>3</v>
      </c>
      <c r="K17" s="52">
        <v>2</v>
      </c>
    </row>
    <row r="18" spans="1:11">
      <c r="B18" s="10" t="s">
        <v>22</v>
      </c>
      <c r="C18" s="32" t="s">
        <v>23</v>
      </c>
      <c r="D18" s="10" t="s">
        <v>24</v>
      </c>
      <c r="E18" s="32" t="s">
        <v>25</v>
      </c>
      <c r="J18" s="52" t="s">
        <v>4</v>
      </c>
      <c r="K18" s="52">
        <v>1.2</v>
      </c>
    </row>
    <row r="19" spans="1:11">
      <c r="B19" s="9">
        <f>B5/2.5</f>
        <v>0.48</v>
      </c>
      <c r="C19" s="32">
        <v>1.1000000000000001</v>
      </c>
      <c r="D19" s="9">
        <f>2*B5/3</f>
        <v>0.79999999999999993</v>
      </c>
      <c r="E19" s="32">
        <v>2.64</v>
      </c>
      <c r="J19" s="52" t="s">
        <v>5</v>
      </c>
      <c r="K19" s="52">
        <v>0.4</v>
      </c>
    </row>
    <row r="20" spans="1:11">
      <c r="A20" s="64" t="s">
        <v>26</v>
      </c>
      <c r="B20" s="64"/>
      <c r="C20" s="64"/>
      <c r="J20" s="52" t="s">
        <v>8</v>
      </c>
      <c r="K20" s="52">
        <v>800</v>
      </c>
    </row>
    <row r="21" spans="1:11">
      <c r="A21" t="s">
        <v>27</v>
      </c>
    </row>
    <row r="22" spans="1:11">
      <c r="A22" s="62"/>
      <c r="B22" s="4" t="s">
        <v>28</v>
      </c>
      <c r="C22" s="6">
        <v>1.3E-7</v>
      </c>
      <c r="D22" s="62"/>
    </row>
    <row r="23" spans="1:11" ht="15">
      <c r="B23" s="5" t="s">
        <v>29</v>
      </c>
      <c r="C23" s="7">
        <f>($C$16*$C$22)/('paramètres techno'!B8*'Cellule de GIlbert'!B6^2)</f>
        <v>1.7022943117019943E-5</v>
      </c>
      <c r="J23" s="58" t="s">
        <v>30</v>
      </c>
      <c r="K23" s="59">
        <v>0.13</v>
      </c>
    </row>
    <row r="24" spans="1:11" ht="15">
      <c r="B24" s="5" t="s">
        <v>31</v>
      </c>
      <c r="C24" s="27">
        <f>((C16*C22)/(('paramètres techno'!B8*(0.26*'Cellule de GIlbert'!B5+'Cellule de GIlbert'!B4/2-'Cellule de GIlbert'!B6/2-0.7)^2)))</f>
        <v>1.6045756543519593E-5</v>
      </c>
      <c r="J24" s="58" t="s">
        <v>32</v>
      </c>
      <c r="K24" s="60">
        <v>17</v>
      </c>
    </row>
    <row r="25" spans="1:11" ht="15">
      <c r="B25" s="5" t="s">
        <v>33</v>
      </c>
      <c r="C25" s="7">
        <f>C23*480</f>
        <v>8.1710126961695734E-3</v>
      </c>
      <c r="J25" s="58" t="s">
        <v>34</v>
      </c>
      <c r="K25" s="60">
        <v>16</v>
      </c>
    </row>
    <row r="26" spans="1:11">
      <c r="B26" s="5" t="s">
        <v>35</v>
      </c>
      <c r="C26" s="27">
        <f>480*C24</f>
        <v>7.7019631408894043E-3</v>
      </c>
      <c r="J26" s="61" t="s">
        <v>36</v>
      </c>
      <c r="K26" s="61">
        <v>0.8</v>
      </c>
    </row>
    <row r="27" spans="1:11">
      <c r="B27" s="5" t="s">
        <v>37</v>
      </c>
      <c r="C27" s="29">
        <f>SQRT(C22*C25/('paramètres techno'!B8*C23))</f>
        <v>0.53105705324397467</v>
      </c>
      <c r="J27" s="61" t="s">
        <v>38</v>
      </c>
      <c r="K27" s="61">
        <v>0.8</v>
      </c>
    </row>
    <row r="28" spans="1:11">
      <c r="B28" s="5" t="s">
        <v>39</v>
      </c>
      <c r="C28" s="29">
        <f>SQRT(C22*C26/('paramètres techno'!B8*C24))</f>
        <v>0.53105705324397456</v>
      </c>
    </row>
  </sheetData>
  <mergeCells count="1">
    <mergeCell ref="A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7C17-C616-403C-8B2F-596E8E2C5459}">
  <dimension ref="A1:Q18"/>
  <sheetViews>
    <sheetView workbookViewId="0">
      <selection activeCell="B2" sqref="B2"/>
    </sheetView>
  </sheetViews>
  <sheetFormatPr defaultRowHeight="14.45"/>
  <cols>
    <col min="1" max="1" width="14.28515625" bestFit="1" customWidth="1"/>
    <col min="2" max="2" width="9.28515625" bestFit="1" customWidth="1"/>
    <col min="4" max="4" width="9.28515625" bestFit="1" customWidth="1"/>
  </cols>
  <sheetData>
    <row r="1" spans="1:17">
      <c r="A1" s="34" t="s">
        <v>40</v>
      </c>
      <c r="B1" s="43">
        <f>0.0001</f>
        <v>1E-4</v>
      </c>
      <c r="C1" s="9">
        <f>0.001</f>
        <v>1E-3</v>
      </c>
      <c r="D1" s="9">
        <v>0.01</v>
      </c>
      <c r="E1" s="9">
        <v>0.1</v>
      </c>
      <c r="F1" s="9">
        <v>0.125</v>
      </c>
      <c r="G1" s="42">
        <v>0.15</v>
      </c>
      <c r="H1" s="42">
        <v>0.17499999999999999</v>
      </c>
      <c r="I1" s="9">
        <v>0.2</v>
      </c>
      <c r="J1" s="15">
        <v>0.3</v>
      </c>
      <c r="K1" s="9">
        <v>0.4</v>
      </c>
      <c r="L1" s="9">
        <v>0.5</v>
      </c>
      <c r="M1" s="9">
        <v>0.6</v>
      </c>
      <c r="N1" s="9">
        <v>0.7</v>
      </c>
      <c r="O1" s="9">
        <v>0.8</v>
      </c>
      <c r="P1" s="9">
        <v>0.9</v>
      </c>
      <c r="Q1" s="9">
        <v>1</v>
      </c>
    </row>
    <row r="2" spans="1:17">
      <c r="A2" s="34" t="s">
        <v>41</v>
      </c>
      <c r="B2" s="43">
        <v>3.6099999999999999E-4</v>
      </c>
      <c r="C2" s="9">
        <v>3.6099999999999999E-3</v>
      </c>
      <c r="D2" s="9">
        <v>3.7699999999999997E-2</v>
      </c>
      <c r="E2" s="9">
        <v>0.33100000000000002</v>
      </c>
      <c r="F2" s="9">
        <v>0.40600000000000003</v>
      </c>
      <c r="G2" s="9">
        <v>0.46400000000000002</v>
      </c>
      <c r="H2" s="9">
        <v>0.499</v>
      </c>
      <c r="I2" s="9">
        <v>0.54900000000000004</v>
      </c>
      <c r="J2" s="15">
        <v>0.63400000000000001</v>
      </c>
      <c r="K2" s="9">
        <v>0.64300000000000002</v>
      </c>
      <c r="L2" s="9">
        <v>0.65700000000000003</v>
      </c>
      <c r="M2" s="9">
        <v>0.66500000000000004</v>
      </c>
      <c r="N2" s="9">
        <v>0.66300000000000003</v>
      </c>
      <c r="O2" s="9">
        <v>0.66400000000000003</v>
      </c>
      <c r="P2" s="9">
        <v>0.66900000000000004</v>
      </c>
      <c r="Q2" s="9">
        <v>0.66300000000000003</v>
      </c>
    </row>
    <row r="3" spans="1:17">
      <c r="A3" s="34" t="s">
        <v>42</v>
      </c>
      <c r="B3" s="43">
        <v>2.7300000000000002E-4</v>
      </c>
      <c r="C3" s="9">
        <v>2.7499999999999998E-3</v>
      </c>
      <c r="D3" s="9">
        <v>2.8899999999999999E-2</v>
      </c>
      <c r="E3" s="9">
        <v>0.25700000000000001</v>
      </c>
      <c r="F3" s="9">
        <v>0.30399999999999999</v>
      </c>
      <c r="G3" s="9">
        <v>0.36199999999999999</v>
      </c>
      <c r="H3" s="9">
        <v>0.40200000000000002</v>
      </c>
      <c r="I3" s="9">
        <v>0.42899999999999999</v>
      </c>
      <c r="J3" s="15">
        <v>0.58199999999999996</v>
      </c>
      <c r="K3" s="9">
        <v>0.65700000000000003</v>
      </c>
      <c r="L3" s="9">
        <v>0.71199999999999997</v>
      </c>
      <c r="M3" s="9">
        <v>0.73699999999999999</v>
      </c>
      <c r="N3" s="9">
        <v>0.751</v>
      </c>
      <c r="O3" s="17">
        <v>0.755</v>
      </c>
      <c r="P3" s="9">
        <v>0.77800000000000002</v>
      </c>
      <c r="Q3" s="9">
        <v>0.78100000000000003</v>
      </c>
    </row>
    <row r="4" spans="1:17">
      <c r="A4" s="40" t="s">
        <v>43</v>
      </c>
      <c r="B4" s="43">
        <f>B2/B1</f>
        <v>3.61</v>
      </c>
      <c r="C4" s="9">
        <f>C2/C1</f>
        <v>3.61</v>
      </c>
      <c r="D4" s="9">
        <f>D2/D1</f>
        <v>3.7699999999999996</v>
      </c>
      <c r="E4" s="9">
        <f>E2/E1</f>
        <v>3.31</v>
      </c>
      <c r="F4" s="9">
        <f t="shared" ref="F4:H4" si="0">F2/F1</f>
        <v>3.2480000000000002</v>
      </c>
      <c r="G4" s="9">
        <f t="shared" si="0"/>
        <v>3.0933333333333337</v>
      </c>
      <c r="H4" s="9">
        <f t="shared" si="0"/>
        <v>2.8514285714285714</v>
      </c>
      <c r="I4" s="9">
        <f t="shared" ref="I4:N4" si="1">I2/I1</f>
        <v>2.7450000000000001</v>
      </c>
      <c r="J4" s="44">
        <f t="shared" si="1"/>
        <v>2.1133333333333333</v>
      </c>
      <c r="K4" s="9">
        <f t="shared" si="1"/>
        <v>1.6074999999999999</v>
      </c>
      <c r="L4" s="9">
        <f t="shared" si="1"/>
        <v>1.3140000000000001</v>
      </c>
      <c r="M4" s="36">
        <f t="shared" si="1"/>
        <v>1.1083333333333334</v>
      </c>
      <c r="N4" s="9">
        <f t="shared" si="1"/>
        <v>0.94714285714285729</v>
      </c>
      <c r="O4" s="9">
        <f t="shared" ref="O4:Q4" si="2">O2/O1</f>
        <v>0.83</v>
      </c>
      <c r="P4" s="35">
        <f t="shared" si="2"/>
        <v>0.7433333333333334</v>
      </c>
      <c r="Q4" s="9">
        <f t="shared" si="2"/>
        <v>0.66300000000000003</v>
      </c>
    </row>
    <row r="5" spans="1:17">
      <c r="A5" s="40" t="s">
        <v>44</v>
      </c>
      <c r="B5" s="46">
        <f>20*LOG(B4)</f>
        <v>11.150144038113158</v>
      </c>
      <c r="C5" s="47">
        <f>20*LOG(C4)</f>
        <v>11.150144038113158</v>
      </c>
      <c r="D5" s="47">
        <f>20*LOG(D4)</f>
        <v>11.526827004115855</v>
      </c>
      <c r="E5" s="47">
        <f>20*LOG(E4)</f>
        <v>10.396559875514376</v>
      </c>
      <c r="F5" s="47">
        <f t="shared" ref="F5:H5" si="3">20*LOG(F4)</f>
        <v>10.232320411382753</v>
      </c>
      <c r="G5" s="47">
        <f t="shared" si="3"/>
        <v>9.8085344299839932</v>
      </c>
      <c r="H5" s="16">
        <f t="shared" si="3"/>
        <v>9.1012499387419101</v>
      </c>
      <c r="I5" s="16">
        <f t="shared" ref="I5:Q5" si="4">20*LOG(I4)</f>
        <v>8.7708469757222147</v>
      </c>
      <c r="J5" s="44">
        <f t="shared" si="4"/>
        <v>6.4993600632414052</v>
      </c>
      <c r="K5" s="16">
        <f t="shared" si="4"/>
        <v>4.1230196319251933</v>
      </c>
      <c r="L5" s="16">
        <f t="shared" si="4"/>
        <v>2.3719073044752399</v>
      </c>
      <c r="M5" s="16">
        <f t="shared" si="4"/>
        <v>0.89340789838921975</v>
      </c>
      <c r="N5" s="16">
        <f t="shared" si="4"/>
        <v>-0.4716902321896726</v>
      </c>
      <c r="O5" s="16">
        <f t="shared" si="4"/>
        <v>-1.6184381524785225</v>
      </c>
      <c r="P5" s="16">
        <f t="shared" si="4"/>
        <v>-2.5763278334300344</v>
      </c>
      <c r="Q5" s="16">
        <f t="shared" si="4"/>
        <v>-3.5697294319045367</v>
      </c>
    </row>
    <row r="6" spans="1:17">
      <c r="A6" s="41" t="s">
        <v>45</v>
      </c>
      <c r="B6" s="9">
        <f>B3/B1</f>
        <v>2.73</v>
      </c>
      <c r="C6" s="45">
        <f>C3/C1</f>
        <v>2.75</v>
      </c>
      <c r="D6" s="45">
        <f>D3/D1</f>
        <v>2.8899999999999997</v>
      </c>
      <c r="E6" s="45">
        <f>E3/E1</f>
        <v>2.57</v>
      </c>
      <c r="F6" s="45">
        <f t="shared" ref="F6:H6" si="5">F3/F1</f>
        <v>2.4319999999999999</v>
      </c>
      <c r="G6" s="45">
        <f t="shared" si="5"/>
        <v>2.4133333333333336</v>
      </c>
      <c r="H6" s="45">
        <f t="shared" si="5"/>
        <v>2.2971428571428576</v>
      </c>
      <c r="I6" s="45">
        <f t="shared" ref="I6:Q6" si="6">I3/I1</f>
        <v>2.145</v>
      </c>
      <c r="J6" s="9">
        <f t="shared" si="6"/>
        <v>1.94</v>
      </c>
      <c r="K6" s="9">
        <f t="shared" si="6"/>
        <v>1.6425000000000001</v>
      </c>
      <c r="L6" s="9">
        <f t="shared" si="6"/>
        <v>1.4239999999999999</v>
      </c>
      <c r="M6" s="36">
        <f t="shared" si="6"/>
        <v>1.2283333333333333</v>
      </c>
      <c r="N6" s="9">
        <f t="shared" si="6"/>
        <v>1.072857142857143</v>
      </c>
      <c r="O6" s="16">
        <f t="shared" si="6"/>
        <v>0.94374999999999998</v>
      </c>
      <c r="P6" s="35">
        <f t="shared" si="6"/>
        <v>0.86444444444444446</v>
      </c>
      <c r="Q6" s="9">
        <f t="shared" si="6"/>
        <v>0.78100000000000003</v>
      </c>
    </row>
    <row r="7" spans="1:17">
      <c r="A7" s="41" t="s">
        <v>46</v>
      </c>
      <c r="B7" s="47">
        <f>20*LOG(B6)</f>
        <v>8.7232529408151205</v>
      </c>
      <c r="C7" s="47">
        <f>20*LOG(C6)</f>
        <v>8.7866538766052535</v>
      </c>
      <c r="D7" s="47">
        <f>20*LOG(D6)</f>
        <v>9.2179568551309572</v>
      </c>
      <c r="E7" s="47">
        <f>20*LOG(E6)</f>
        <v>8.1986624666258905</v>
      </c>
      <c r="F7" s="47">
        <f t="shared" ref="F7:H7" si="7">20*LOG(F6)</f>
        <v>7.7192714120139456</v>
      </c>
      <c r="G7" s="47">
        <f t="shared" si="7"/>
        <v>7.65234622954969</v>
      </c>
      <c r="H7" s="16">
        <f t="shared" si="7"/>
        <v>7.2237600879635142</v>
      </c>
      <c r="I7" s="16">
        <f t="shared" ref="I7:Q7" si="8">20*LOG(I6)</f>
        <v>6.6285459304148606</v>
      </c>
      <c r="J7" s="16">
        <f t="shared" si="8"/>
        <v>5.7560345986045203</v>
      </c>
      <c r="K7" s="16">
        <f t="shared" si="8"/>
        <v>4.3101075646363682</v>
      </c>
      <c r="L7" s="16">
        <f t="shared" si="8"/>
        <v>3.0701997860167509</v>
      </c>
      <c r="M7" s="16">
        <f t="shared" si="8"/>
        <v>1.7863247495081565</v>
      </c>
      <c r="N7" s="16">
        <f t="shared" si="8"/>
        <v>0.61083793979823198</v>
      </c>
      <c r="O7" s="16">
        <f t="shared" si="8"/>
        <v>-0.50286070725510712</v>
      </c>
      <c r="P7" s="16">
        <f t="shared" si="8"/>
        <v>-1.2652582489927187</v>
      </c>
      <c r="Q7" s="16">
        <f t="shared" si="8"/>
        <v>-2.1469793224539933</v>
      </c>
    </row>
    <row r="8" spans="1:17">
      <c r="A8" s="37" t="s">
        <v>47</v>
      </c>
      <c r="B8" s="9">
        <f t="shared" ref="B8:E10" si="9">20*LOG10(B1)</f>
        <v>-80</v>
      </c>
      <c r="C8" s="9">
        <f t="shared" si="9"/>
        <v>-60</v>
      </c>
      <c r="D8" s="9">
        <f t="shared" si="9"/>
        <v>-40</v>
      </c>
      <c r="E8" s="9">
        <f t="shared" si="9"/>
        <v>-20</v>
      </c>
      <c r="F8" s="9">
        <f t="shared" ref="F8:H8" si="10">20*LOG10(F1)</f>
        <v>-18.061799739838872</v>
      </c>
      <c r="G8" s="42">
        <f t="shared" si="10"/>
        <v>-16.478174818886377</v>
      </c>
      <c r="H8" s="42">
        <f t="shared" si="10"/>
        <v>-15.139239026274112</v>
      </c>
      <c r="I8" s="16">
        <f t="shared" ref="I8:Q8" si="11">20*LOG10(I1)</f>
        <v>-13.979400086720375</v>
      </c>
      <c r="J8" s="16">
        <f t="shared" si="11"/>
        <v>-10.457574905606752</v>
      </c>
      <c r="K8" s="16">
        <f t="shared" si="11"/>
        <v>-7.9588001734407516</v>
      </c>
      <c r="L8" s="16">
        <f t="shared" si="11"/>
        <v>-6.0205999132796242</v>
      </c>
      <c r="M8" s="16">
        <f t="shared" si="11"/>
        <v>-4.4369749923271282</v>
      </c>
      <c r="N8" s="16">
        <f t="shared" si="11"/>
        <v>-3.0980391997148637</v>
      </c>
      <c r="O8" s="16">
        <f t="shared" si="11"/>
        <v>-1.9382002601611279</v>
      </c>
      <c r="P8" s="16">
        <f t="shared" si="11"/>
        <v>-0.91514981121350236</v>
      </c>
      <c r="Q8" s="38">
        <f t="shared" si="11"/>
        <v>0</v>
      </c>
    </row>
    <row r="9" spans="1:17">
      <c r="A9" s="37" t="s">
        <v>48</v>
      </c>
      <c r="B9" s="16">
        <f t="shared" si="9"/>
        <v>-68.849855961886846</v>
      </c>
      <c r="C9" s="16">
        <f t="shared" si="9"/>
        <v>-48.849855961886846</v>
      </c>
      <c r="D9" s="16">
        <f t="shared" si="9"/>
        <v>-28.473172995884145</v>
      </c>
      <c r="E9" s="16">
        <f t="shared" si="9"/>
        <v>-9.6034401244856245</v>
      </c>
      <c r="F9" s="16">
        <f t="shared" ref="F9:H9" si="12">20*LOG10(F2)</f>
        <v>-7.8294793284561166</v>
      </c>
      <c r="G9" s="16">
        <f t="shared" si="12"/>
        <v>-6.6696403889023825</v>
      </c>
      <c r="H9" s="16">
        <f t="shared" si="12"/>
        <v>-6.0379890875322015</v>
      </c>
      <c r="I9" s="16">
        <f t="shared" ref="I9:Q9" si="13">20*LOG10(I2)</f>
        <v>-5.2085531109981611</v>
      </c>
      <c r="J9" s="16">
        <f t="shared" si="13"/>
        <v>-3.9582148423653463</v>
      </c>
      <c r="K9" s="16">
        <f t="shared" si="13"/>
        <v>-3.8357805415155584</v>
      </c>
      <c r="L9" s="16">
        <f t="shared" si="13"/>
        <v>-3.6486926088043843</v>
      </c>
      <c r="M9" s="16">
        <f t="shared" si="13"/>
        <v>-3.5435670939379076</v>
      </c>
      <c r="N9" s="16">
        <f t="shared" si="13"/>
        <v>-3.5697294319045367</v>
      </c>
      <c r="O9" s="16">
        <f t="shared" si="13"/>
        <v>-3.55663841263965</v>
      </c>
      <c r="P9" s="16">
        <f t="shared" si="13"/>
        <v>-3.4914776446435374</v>
      </c>
      <c r="Q9" s="16">
        <f t="shared" si="13"/>
        <v>-3.5697294319045367</v>
      </c>
    </row>
    <row r="10" spans="1:17">
      <c r="A10" s="37" t="s">
        <v>49</v>
      </c>
      <c r="B10" s="16">
        <f t="shared" si="9"/>
        <v>-71.276747059184885</v>
      </c>
      <c r="C10" s="16">
        <f t="shared" si="9"/>
        <v>-51.21334612339475</v>
      </c>
      <c r="D10" s="16">
        <f t="shared" si="9"/>
        <v>-30.782043144869043</v>
      </c>
      <c r="E10" s="16">
        <f t="shared" si="9"/>
        <v>-11.80133753337411</v>
      </c>
      <c r="F10" s="16">
        <f t="shared" ref="F10:H10" si="14">20*LOG10(F3)</f>
        <v>-10.342528327824924</v>
      </c>
      <c r="G10" s="16">
        <f t="shared" si="14"/>
        <v>-8.8258285893366857</v>
      </c>
      <c r="H10" s="16">
        <f t="shared" si="14"/>
        <v>-7.9154789383105983</v>
      </c>
      <c r="I10" s="16">
        <f t="shared" ref="I10:Q10" si="15">20*LOG10(I3)</f>
        <v>-7.3508541563055152</v>
      </c>
      <c r="J10" s="16">
        <f t="shared" si="15"/>
        <v>-4.7015403070022312</v>
      </c>
      <c r="K10" s="16">
        <f t="shared" si="15"/>
        <v>-3.6486926088043843</v>
      </c>
      <c r="L10" s="16">
        <f t="shared" si="15"/>
        <v>-2.9504001272628733</v>
      </c>
      <c r="M10" s="16">
        <f t="shared" si="15"/>
        <v>-2.6506502428189704</v>
      </c>
      <c r="N10" s="16">
        <f t="shared" si="15"/>
        <v>-2.487201259916632</v>
      </c>
      <c r="O10" s="16">
        <f t="shared" si="15"/>
        <v>-2.4410609674162349</v>
      </c>
      <c r="P10" s="16">
        <f t="shared" si="15"/>
        <v>-2.1804080602062212</v>
      </c>
      <c r="Q10" s="16">
        <f t="shared" si="15"/>
        <v>-2.1469793224539933</v>
      </c>
    </row>
    <row r="11" spans="1:17">
      <c r="A11" s="39" t="s">
        <v>50</v>
      </c>
      <c r="B11" s="16">
        <f>0.9944*B8+11.018</f>
        <v>-68.533999999999992</v>
      </c>
      <c r="C11" s="16">
        <f t="shared" ref="C11:H11" si="16">0.9944*C8+11.018</f>
        <v>-48.645999999999994</v>
      </c>
      <c r="D11" s="16">
        <f t="shared" si="16"/>
        <v>-28.757999999999996</v>
      </c>
      <c r="E11" s="16">
        <f t="shared" si="16"/>
        <v>-8.8699999999999974</v>
      </c>
      <c r="F11" s="16">
        <f t="shared" si="16"/>
        <v>-6.9426536612957719</v>
      </c>
      <c r="G11" s="16">
        <f t="shared" si="16"/>
        <v>-5.3678970399006118</v>
      </c>
      <c r="H11" s="16">
        <f t="shared" si="16"/>
        <v>-4.0364592877269754</v>
      </c>
      <c r="I11" s="16">
        <f t="shared" ref="I11:Q11" si="17">0.9944*I8+11.018</f>
        <v>-2.8831154462347399</v>
      </c>
      <c r="J11" s="16">
        <f t="shared" si="17"/>
        <v>0.61898751386464745</v>
      </c>
      <c r="K11" s="16">
        <f t="shared" si="17"/>
        <v>3.1037691075305176</v>
      </c>
      <c r="L11" s="16">
        <f t="shared" si="17"/>
        <v>5.0311154462347423</v>
      </c>
      <c r="M11" s="16">
        <f t="shared" si="17"/>
        <v>6.605872067629905</v>
      </c>
      <c r="N11" s="16">
        <f t="shared" si="17"/>
        <v>7.9373098198035397</v>
      </c>
      <c r="O11" s="16">
        <f t="shared" si="17"/>
        <v>9.0906536612957751</v>
      </c>
      <c r="P11" s="16">
        <f t="shared" si="17"/>
        <v>10.107975027729294</v>
      </c>
      <c r="Q11" s="16">
        <f t="shared" si="17"/>
        <v>11.018000000000001</v>
      </c>
    </row>
    <row r="12" spans="1:17">
      <c r="A12" s="39" t="s">
        <v>51</v>
      </c>
      <c r="B12" s="16">
        <f>0.9943*B8+8.446</f>
        <v>-71.097999999999999</v>
      </c>
      <c r="C12" s="16">
        <f t="shared" ref="C12:H12" si="18">0.9943*C8+8.446</f>
        <v>-51.212000000000003</v>
      </c>
      <c r="D12" s="16">
        <f t="shared" si="18"/>
        <v>-31.326000000000001</v>
      </c>
      <c r="E12" s="16">
        <f t="shared" si="18"/>
        <v>-11.44</v>
      </c>
      <c r="F12" s="16">
        <f t="shared" si="18"/>
        <v>-9.5128474813217903</v>
      </c>
      <c r="G12" s="16">
        <f t="shared" si="18"/>
        <v>-7.9382492224187242</v>
      </c>
      <c r="H12" s="16">
        <f t="shared" si="18"/>
        <v>-6.606945363824348</v>
      </c>
      <c r="I12" s="16">
        <f t="shared" ref="I12:Q12" si="19">0.9943*I8+8.446</f>
        <v>-5.4537175062260683</v>
      </c>
      <c r="J12" s="16">
        <f t="shared" si="19"/>
        <v>-1.951966728644793</v>
      </c>
      <c r="K12" s="16">
        <f t="shared" si="19"/>
        <v>0.53256498754786108</v>
      </c>
      <c r="L12" s="16">
        <f t="shared" si="19"/>
        <v>2.4597175062260694</v>
      </c>
      <c r="M12" s="16">
        <f t="shared" si="19"/>
        <v>4.0343157651291364</v>
      </c>
      <c r="N12" s="16">
        <f t="shared" si="19"/>
        <v>5.3656196237235108</v>
      </c>
      <c r="O12" s="16">
        <f t="shared" si="19"/>
        <v>6.5188474813217905</v>
      </c>
      <c r="P12" s="16">
        <f t="shared" si="19"/>
        <v>7.5360665427104143</v>
      </c>
      <c r="Q12" s="16">
        <f t="shared" si="19"/>
        <v>8.4459999999999997</v>
      </c>
    </row>
    <row r="13" spans="1:17">
      <c r="A13" s="9" t="s">
        <v>52</v>
      </c>
      <c r="B13" s="16">
        <f>B11-B9</f>
        <v>0.31585596188685372</v>
      </c>
      <c r="C13" s="16">
        <f t="shared" ref="C13:H13" si="20">C11-C9</f>
        <v>0.20385596188685184</v>
      </c>
      <c r="D13" s="16">
        <f t="shared" si="20"/>
        <v>-0.28482700411585071</v>
      </c>
      <c r="E13" s="16">
        <f t="shared" si="20"/>
        <v>0.73344012448562701</v>
      </c>
      <c r="F13" s="16">
        <f t="shared" si="20"/>
        <v>0.88682566716034472</v>
      </c>
      <c r="G13" s="16">
        <f t="shared" si="20"/>
        <v>1.3017433490017707</v>
      </c>
      <c r="H13" s="16">
        <f t="shared" si="20"/>
        <v>2.0015297998052262</v>
      </c>
      <c r="I13" s="16">
        <f t="shared" ref="I13:Q13" si="21">I11-I9</f>
        <v>2.3254376647634212</v>
      </c>
      <c r="J13" s="16">
        <f t="shared" si="21"/>
        <v>4.5772023562299937</v>
      </c>
      <c r="K13" s="16">
        <f t="shared" si="21"/>
        <v>6.939549649046076</v>
      </c>
      <c r="L13" s="16">
        <f t="shared" si="21"/>
        <v>8.6798080550391266</v>
      </c>
      <c r="M13" s="16">
        <f t="shared" si="21"/>
        <v>10.149439161567813</v>
      </c>
      <c r="N13" s="16">
        <f t="shared" si="21"/>
        <v>11.507039251708076</v>
      </c>
      <c r="O13" s="16">
        <f t="shared" si="21"/>
        <v>12.647292073935425</v>
      </c>
      <c r="P13" s="16">
        <f t="shared" si="21"/>
        <v>13.599452672372831</v>
      </c>
      <c r="Q13" s="16">
        <f t="shared" si="21"/>
        <v>14.587729431904538</v>
      </c>
    </row>
    <row r="14" spans="1:17">
      <c r="A14" s="9" t="s">
        <v>53</v>
      </c>
      <c r="B14" s="16">
        <f>B12-B10</f>
        <v>0.17874705918488587</v>
      </c>
      <c r="C14" s="16">
        <f t="shared" ref="C14:H14" si="22">C12-C10</f>
        <v>1.3461233947467122E-3</v>
      </c>
      <c r="D14" s="16">
        <f t="shared" si="22"/>
        <v>-0.54395685513095771</v>
      </c>
      <c r="E14" s="16">
        <f t="shared" si="22"/>
        <v>0.36133753337411001</v>
      </c>
      <c r="F14" s="16">
        <f t="shared" si="22"/>
        <v>0.82968084650313401</v>
      </c>
      <c r="G14" s="16">
        <f t="shared" si="22"/>
        <v>0.88757936691796147</v>
      </c>
      <c r="H14" s="16">
        <f t="shared" si="22"/>
        <v>1.3085335744862503</v>
      </c>
      <c r="I14" s="16">
        <f t="shared" ref="I14:Q14" si="23">I12-I10</f>
        <v>1.8971366500794469</v>
      </c>
      <c r="J14" s="16">
        <f t="shared" si="23"/>
        <v>2.7495735783574382</v>
      </c>
      <c r="K14" s="16">
        <f t="shared" si="23"/>
        <v>4.1812575963522454</v>
      </c>
      <c r="L14" s="16">
        <f t="shared" si="23"/>
        <v>5.4101176334889427</v>
      </c>
      <c r="M14" s="16">
        <f t="shared" si="23"/>
        <v>6.6849660079481072</v>
      </c>
      <c r="N14" s="16">
        <f t="shared" si="23"/>
        <v>7.8528208836401427</v>
      </c>
      <c r="O14" s="16">
        <f t="shared" si="23"/>
        <v>8.9599084487380249</v>
      </c>
      <c r="P14" s="16">
        <f t="shared" si="23"/>
        <v>9.7164746029166356</v>
      </c>
      <c r="Q14" s="16">
        <f t="shared" si="23"/>
        <v>10.592979322453992</v>
      </c>
    </row>
    <row r="17" spans="1:17">
      <c r="A17" s="48" t="s">
        <v>44</v>
      </c>
      <c r="B17" s="48" t="s">
        <v>54</v>
      </c>
      <c r="C17" s="48" t="s">
        <v>46</v>
      </c>
      <c r="D17" s="48" t="s">
        <v>55</v>
      </c>
    </row>
    <row r="18" spans="1:17">
      <c r="A18" s="9">
        <v>8.44</v>
      </c>
      <c r="B18" s="9">
        <v>0.15</v>
      </c>
      <c r="C18" s="9">
        <v>11.08</v>
      </c>
      <c r="D18" s="9">
        <v>0.17499999999999999</v>
      </c>
      <c r="Q18">
        <f>0.03*3.5</f>
        <v>0.105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4B55-6E02-4863-8689-355E0551403B}">
  <dimension ref="A1:Q69"/>
  <sheetViews>
    <sheetView tabSelected="1" topLeftCell="A61" workbookViewId="0">
      <selection activeCell="M68" sqref="M68"/>
    </sheetView>
  </sheetViews>
  <sheetFormatPr defaultRowHeight="14.45"/>
  <cols>
    <col min="1" max="1" width="10.140625" bestFit="1" customWidth="1"/>
    <col min="3" max="3" width="17.85546875" bestFit="1" customWidth="1"/>
    <col min="4" max="4" width="14.5703125" bestFit="1" customWidth="1"/>
    <col min="5" max="9" width="10.140625" bestFit="1" customWidth="1"/>
    <col min="16" max="16" width="10.42578125" bestFit="1" customWidth="1"/>
  </cols>
  <sheetData>
    <row r="1" spans="1:17">
      <c r="A1" s="9" t="s">
        <v>40</v>
      </c>
      <c r="B1" s="9">
        <f>0.0001</f>
        <v>1E-4</v>
      </c>
      <c r="C1" s="9">
        <v>1E-3</v>
      </c>
      <c r="D1" s="9">
        <v>0.01</v>
      </c>
      <c r="E1" s="54">
        <v>0.1</v>
      </c>
      <c r="F1" s="54">
        <v>0.125</v>
      </c>
      <c r="G1" s="9">
        <v>0.15</v>
      </c>
      <c r="H1" s="9">
        <v>0.17499999999999999</v>
      </c>
      <c r="I1" s="9">
        <v>0.2</v>
      </c>
      <c r="J1" s="9">
        <v>0.25</v>
      </c>
      <c r="K1" s="9">
        <v>0.3</v>
      </c>
      <c r="L1" s="9">
        <v>0.35</v>
      </c>
      <c r="M1" s="9">
        <v>0.4</v>
      </c>
      <c r="N1" s="9">
        <v>0.45</v>
      </c>
      <c r="O1" s="9">
        <v>0.5</v>
      </c>
      <c r="P1" s="9">
        <v>0.6</v>
      </c>
      <c r="Q1" s="9">
        <v>0.8</v>
      </c>
    </row>
    <row r="2" spans="1:17">
      <c r="A2" s="34" t="s">
        <v>56</v>
      </c>
      <c r="B2" s="49">
        <f>2*0.0001</f>
        <v>2.0000000000000001E-4</v>
      </c>
      <c r="C2" s="49">
        <f>2*0.001</f>
        <v>2E-3</v>
      </c>
      <c r="D2" s="49">
        <f>2*0.01</f>
        <v>0.02</v>
      </c>
      <c r="E2" s="49">
        <f>2*0.1</f>
        <v>0.2</v>
      </c>
      <c r="F2" s="49">
        <f>2*0.125</f>
        <v>0.25</v>
      </c>
      <c r="G2" s="49">
        <f>2*0.15</f>
        <v>0.3</v>
      </c>
      <c r="H2" s="49">
        <f>2*0.175</f>
        <v>0.35</v>
      </c>
      <c r="I2" s="49">
        <f>2*0.2</f>
        <v>0.4</v>
      </c>
      <c r="J2" s="49">
        <v>0.5</v>
      </c>
      <c r="K2" s="49">
        <v>0.6</v>
      </c>
      <c r="L2" s="49">
        <v>0.7</v>
      </c>
      <c r="M2" s="9">
        <v>0.8</v>
      </c>
      <c r="N2" s="9">
        <v>0.9</v>
      </c>
      <c r="O2" s="9">
        <v>1</v>
      </c>
      <c r="P2" s="9">
        <v>1.2</v>
      </c>
      <c r="Q2" s="9">
        <v>1.6</v>
      </c>
    </row>
    <row r="3" spans="1:17" s="56" customFormat="1">
      <c r="A3" s="55" t="s">
        <v>57</v>
      </c>
      <c r="B3" s="53">
        <f>0.58329-0.58326</f>
        <v>2.9999999999974492E-5</v>
      </c>
      <c r="C3" s="53">
        <f>0.58742-0.58683</f>
        <v>5.9000000000009045E-4</v>
      </c>
      <c r="D3" s="53">
        <f>0.58923-0.58863</f>
        <v>6.0000000000004494E-4</v>
      </c>
      <c r="E3" s="53">
        <f>0.59832-0.56863</f>
        <v>2.9689999999999994E-2</v>
      </c>
      <c r="F3" s="53">
        <f>0.60209-0.56492</f>
        <v>3.7170000000000036E-2</v>
      </c>
      <c r="G3" s="53">
        <f>0.60588-0.56119</f>
        <v>4.4690000000000007E-2</v>
      </c>
      <c r="H3" s="53">
        <f>0.60968-0.55742</f>
        <v>5.2259999999999973E-2</v>
      </c>
      <c r="I3" s="53">
        <f>0.61349-0.55361</f>
        <v>5.9879999999999933E-2</v>
      </c>
      <c r="J3" s="17">
        <f>0.6212-0.54584</f>
        <v>7.5359999999999983E-2</v>
      </c>
      <c r="K3" s="17">
        <f>0.62902-0.53783</f>
        <v>9.1189999999999993E-2</v>
      </c>
      <c r="L3" s="17">
        <f>0.63701-0.52954</f>
        <v>0.10746999999999995</v>
      </c>
      <c r="M3" s="17">
        <f>0.68703-0.49558</f>
        <v>0.19145000000000001</v>
      </c>
      <c r="N3" s="17">
        <f>0.65389-0.51229</f>
        <v>0.14159999999999995</v>
      </c>
      <c r="O3" s="17">
        <f>0.66312-0.50348</f>
        <v>0.15964</v>
      </c>
      <c r="P3" s="17">
        <f>0.68396-0.48529</f>
        <v>0.19867000000000001</v>
      </c>
      <c r="Q3" s="17">
        <f>0.74184-0.44884</f>
        <v>0.29300000000000004</v>
      </c>
    </row>
    <row r="4" spans="1:17">
      <c r="A4" s="40" t="s">
        <v>58</v>
      </c>
      <c r="B4" s="53">
        <f>B3/B2</f>
        <v>0.14999999999987246</v>
      </c>
      <c r="C4" s="53">
        <f>C3/C2</f>
        <v>0.29500000000004523</v>
      </c>
      <c r="D4" s="53">
        <f>D3/D2</f>
        <v>3.0000000000002247E-2</v>
      </c>
      <c r="E4" s="53">
        <f>E3/E2</f>
        <v>0.14844999999999997</v>
      </c>
      <c r="F4" s="53">
        <f t="shared" ref="F4:H4" si="0">F3/F2</f>
        <v>0.14868000000000015</v>
      </c>
      <c r="G4" s="53">
        <f t="shared" si="0"/>
        <v>0.14896666666666669</v>
      </c>
      <c r="H4" s="53">
        <f t="shared" si="0"/>
        <v>0.14931428571428565</v>
      </c>
      <c r="I4" s="53">
        <f>I3/I2</f>
        <v>0.14969999999999983</v>
      </c>
      <c r="J4" s="53">
        <f>J3/J2</f>
        <v>0.15071999999999997</v>
      </c>
      <c r="K4" s="53">
        <f>K3/K2</f>
        <v>0.15198333333333333</v>
      </c>
      <c r="L4" s="53">
        <f t="shared" ref="L4:M4" si="1">L3/L2</f>
        <v>0.15352857142857138</v>
      </c>
      <c r="M4" s="53">
        <f t="shared" si="1"/>
        <v>0.23931250000000001</v>
      </c>
      <c r="N4" s="53">
        <f>N3/N2</f>
        <v>0.15733333333333327</v>
      </c>
      <c r="O4" s="53">
        <f>O3/O2</f>
        <v>0.15964</v>
      </c>
      <c r="P4" s="53">
        <f>P3/P2</f>
        <v>0.16555833333333336</v>
      </c>
      <c r="Q4" s="53">
        <f>Q3/Q2</f>
        <v>0.18312500000000001</v>
      </c>
    </row>
    <row r="5" spans="1:17">
      <c r="A5" s="40" t="s">
        <v>59</v>
      </c>
      <c r="B5" s="51">
        <f>20*LOG(B4)</f>
        <v>-16.478174818893759</v>
      </c>
      <c r="C5" s="51">
        <f>20*LOG(C4)</f>
        <v>-10.603559680435408</v>
      </c>
      <c r="D5" s="51">
        <f>20*LOG(D4)</f>
        <v>-30.457574905606101</v>
      </c>
      <c r="E5" s="51">
        <f>20*LOG(E4)</f>
        <v>-16.568395961358732</v>
      </c>
      <c r="F5" s="51">
        <f t="shared" ref="F5:H5" si="2">20*LOG(F4)</f>
        <v>-16.554948951526224</v>
      </c>
      <c r="G5" s="51">
        <f t="shared" si="2"/>
        <v>-16.538218001186063</v>
      </c>
      <c r="H5" s="51">
        <f t="shared" si="2"/>
        <v>-16.517972779179381</v>
      </c>
      <c r="I5" s="51">
        <f>20*LOG(I4)</f>
        <v>-16.495563993138962</v>
      </c>
      <c r="J5" s="51">
        <f t="shared" ref="J5:Q5" si="3">20*LOG(J4)</f>
        <v>-16.43658229102396</v>
      </c>
      <c r="K5" s="51">
        <f t="shared" si="3"/>
        <v>-16.364080693502899</v>
      </c>
      <c r="L5" s="51">
        <f t="shared" si="3"/>
        <v>-16.276215822745176</v>
      </c>
      <c r="M5" s="51">
        <f t="shared" si="3"/>
        <v>-12.420692326164744</v>
      </c>
      <c r="N5" s="51">
        <f t="shared" si="3"/>
        <v>-16.063585121711498</v>
      </c>
      <c r="O5" s="51">
        <f t="shared" si="3"/>
        <v>-15.937165617760288</v>
      </c>
      <c r="P5" s="51">
        <f t="shared" si="3"/>
        <v>-15.620979085360299</v>
      </c>
      <c r="Q5" s="51">
        <f t="shared" si="3"/>
        <v>-14.745047246036307</v>
      </c>
    </row>
    <row r="6" spans="1:17">
      <c r="A6" s="37" t="s">
        <v>60</v>
      </c>
      <c r="B6" s="49">
        <f t="shared" ref="B6:Q7" si="4">20*LOG10(B2)</f>
        <v>-73.979400086720375</v>
      </c>
      <c r="C6" s="49">
        <f t="shared" si="4"/>
        <v>-53.979400086720375</v>
      </c>
      <c r="D6" s="49">
        <f t="shared" si="4"/>
        <v>-33.979400086720375</v>
      </c>
      <c r="E6" s="49">
        <f t="shared" si="4"/>
        <v>-13.979400086720375</v>
      </c>
      <c r="F6" s="49">
        <f t="shared" si="4"/>
        <v>-12.041199826559248</v>
      </c>
      <c r="G6" s="49">
        <f t="shared" si="4"/>
        <v>-10.457574905606752</v>
      </c>
      <c r="H6" s="49">
        <f t="shared" si="4"/>
        <v>-9.1186391129944884</v>
      </c>
      <c r="I6" s="51">
        <f t="shared" si="4"/>
        <v>-7.9588001734407516</v>
      </c>
      <c r="J6" s="51">
        <f t="shared" si="4"/>
        <v>-6.0205999132796242</v>
      </c>
      <c r="K6" s="51">
        <f t="shared" si="4"/>
        <v>-4.4369749923271282</v>
      </c>
      <c r="L6" s="51">
        <f t="shared" si="4"/>
        <v>-3.0980391997148637</v>
      </c>
      <c r="M6" s="51">
        <f t="shared" si="4"/>
        <v>-1.9382002601611279</v>
      </c>
      <c r="N6" s="51">
        <f t="shared" si="4"/>
        <v>-0.91514981121350236</v>
      </c>
      <c r="O6" s="51">
        <f t="shared" si="4"/>
        <v>0</v>
      </c>
      <c r="P6" s="51">
        <f t="shared" si="4"/>
        <v>1.5836249209524964</v>
      </c>
      <c r="Q6" s="51">
        <f t="shared" si="4"/>
        <v>4.0823996531184958</v>
      </c>
    </row>
    <row r="7" spans="1:17">
      <c r="A7" s="37" t="s">
        <v>61</v>
      </c>
      <c r="B7" s="51">
        <f>20*LOG10(B3)</f>
        <v>-90.457574905614138</v>
      </c>
      <c r="C7" s="51">
        <f t="shared" si="4"/>
        <v>-64.582959767155785</v>
      </c>
      <c r="D7" s="51">
        <f t="shared" si="4"/>
        <v>-64.436974992326469</v>
      </c>
      <c r="E7" s="51">
        <f t="shared" si="4"/>
        <v>-30.547796048079107</v>
      </c>
      <c r="F7" s="51">
        <f t="shared" si="4"/>
        <v>-28.596148778085471</v>
      </c>
      <c r="G7" s="51">
        <f t="shared" si="4"/>
        <v>-26.995792906792815</v>
      </c>
      <c r="H7" s="51">
        <f t="shared" si="4"/>
        <v>-25.636611892173867</v>
      </c>
      <c r="I7" s="51">
        <f t="shared" si="4"/>
        <v>-24.454364166579715</v>
      </c>
      <c r="J7" s="51">
        <f t="shared" si="4"/>
        <v>-22.457182204303582</v>
      </c>
      <c r="K7" s="51">
        <f t="shared" si="4"/>
        <v>-20.801055685830029</v>
      </c>
      <c r="L7" s="51">
        <f t="shared" si="4"/>
        <v>-19.374255022460041</v>
      </c>
      <c r="M7" s="51">
        <f t="shared" si="4"/>
        <v>-14.358892586325871</v>
      </c>
      <c r="N7" s="51">
        <f t="shared" si="4"/>
        <v>-16.978734932925001</v>
      </c>
      <c r="O7" s="51">
        <f t="shared" si="4"/>
        <v>-15.937165617760288</v>
      </c>
      <c r="P7" s="51">
        <f t="shared" si="4"/>
        <v>-14.037354164407802</v>
      </c>
      <c r="Q7" s="51">
        <f t="shared" si="4"/>
        <v>-10.662647592917809</v>
      </c>
    </row>
    <row r="13" spans="1:17">
      <c r="K13">
        <f>(1.2-1.1676)/0.00005</f>
        <v>647.99999999999966</v>
      </c>
    </row>
    <row r="65" spans="1:17">
      <c r="A65" s="9" t="s">
        <v>40</v>
      </c>
      <c r="B65" s="9">
        <f>0.0001</f>
        <v>1E-4</v>
      </c>
      <c r="C65" s="9">
        <v>1E-3</v>
      </c>
      <c r="D65" s="9">
        <v>0.01</v>
      </c>
      <c r="E65" s="54">
        <v>0.1</v>
      </c>
      <c r="F65" s="54">
        <v>0.125</v>
      </c>
      <c r="G65" s="9">
        <v>0.15</v>
      </c>
      <c r="H65" s="9">
        <v>0.17499999999999999</v>
      </c>
      <c r="I65" s="9">
        <v>0.2</v>
      </c>
      <c r="J65" s="9">
        <v>0.25</v>
      </c>
      <c r="K65" s="9">
        <v>0.3</v>
      </c>
      <c r="L65" s="9">
        <v>0.35</v>
      </c>
      <c r="M65" s="42">
        <v>0.4</v>
      </c>
      <c r="N65" s="42">
        <v>0.45</v>
      </c>
      <c r="O65" s="9">
        <v>0.5</v>
      </c>
      <c r="P65" s="9">
        <v>0.6</v>
      </c>
      <c r="Q65" s="9">
        <v>0.8</v>
      </c>
    </row>
    <row r="66" spans="1:17">
      <c r="A66" s="34" t="s">
        <v>56</v>
      </c>
      <c r="B66" s="49">
        <f>2*0.0001</f>
        <v>2.0000000000000001E-4</v>
      </c>
      <c r="C66" s="49">
        <f>2*0.001</f>
        <v>2E-3</v>
      </c>
      <c r="D66" s="49">
        <f>2*0.01</f>
        <v>0.02</v>
      </c>
      <c r="E66" s="49">
        <f>2*0.1</f>
        <v>0.2</v>
      </c>
      <c r="F66" s="49">
        <f>2*0.125</f>
        <v>0.25</v>
      </c>
      <c r="G66" s="49">
        <f>2*0.15</f>
        <v>0.3</v>
      </c>
      <c r="H66" s="49">
        <f>2*0.175</f>
        <v>0.35</v>
      </c>
      <c r="I66" s="49">
        <f>2*0.2</f>
        <v>0.4</v>
      </c>
      <c r="J66" s="49">
        <v>0.5</v>
      </c>
      <c r="K66" s="49">
        <v>0.6</v>
      </c>
      <c r="L66" s="49">
        <v>0.7</v>
      </c>
      <c r="M66" s="9">
        <v>0.8</v>
      </c>
      <c r="N66" s="9">
        <v>0.9</v>
      </c>
      <c r="O66" s="9">
        <v>1</v>
      </c>
      <c r="P66" s="9">
        <v>1.2</v>
      </c>
      <c r="Q66" s="9">
        <v>1.6</v>
      </c>
    </row>
    <row r="67" spans="1:17">
      <c r="A67" s="34" t="s">
        <v>57</v>
      </c>
      <c r="B67" s="53">
        <f>0.58331-0.58325</f>
        <v>5.9999999999948983E-5</v>
      </c>
      <c r="C67" s="50">
        <f>0.58356-0.58302</f>
        <v>5.3999999999998494E-4</v>
      </c>
      <c r="D67" s="51">
        <f>0.58612-0.58072</f>
        <v>5.3999999999999604E-3</v>
      </c>
      <c r="E67" s="51">
        <f>0.61158-0.55741</f>
        <v>5.4170000000000051E-2</v>
      </c>
      <c r="F67" s="51">
        <f>0.61854-0.55108</f>
        <v>6.7459999999999964E-2</v>
      </c>
      <c r="G67" s="51">
        <f>0.62543-0.54486</f>
        <v>8.057000000000003E-2</v>
      </c>
      <c r="H67" s="51">
        <f>0.6322-0.5388</f>
        <v>9.3400000000000039E-2</v>
      </c>
      <c r="I67" s="51">
        <f>0.63883-0.53292</f>
        <v>0.10591000000000006</v>
      </c>
      <c r="J67" s="16">
        <f>0.65166-0.52188</f>
        <v>0.12978000000000001</v>
      </c>
      <c r="K67" s="16">
        <f>0.66388-0.51179</f>
        <v>0.15209000000000006</v>
      </c>
      <c r="L67" s="16">
        <f>0.67536-0.50045</f>
        <v>0.17491000000000001</v>
      </c>
      <c r="M67" s="16">
        <f>0.68598-0.49033</f>
        <v>0.19565000000000005</v>
      </c>
      <c r="N67" s="16">
        <f>0.69566-0.4799</f>
        <v>0.21575999999999995</v>
      </c>
      <c r="O67" s="16">
        <f>0.70442-0.46909</f>
        <v>0.23533000000000004</v>
      </c>
      <c r="P67" s="16">
        <f>0.72098-0.44166</f>
        <v>0.27931999999999996</v>
      </c>
      <c r="Q67" s="16">
        <f>0.76221-0.39116</f>
        <v>0.37105000000000005</v>
      </c>
    </row>
    <row r="68" spans="1:17">
      <c r="A68" s="40" t="s">
        <v>58</v>
      </c>
      <c r="B68" s="51">
        <f>B67/B66</f>
        <v>0.29999999999974492</v>
      </c>
      <c r="C68" s="51">
        <f>C67/C66</f>
        <v>0.26999999999999247</v>
      </c>
      <c r="D68" s="51">
        <f>D67/D66</f>
        <v>0.26999999999999802</v>
      </c>
      <c r="E68" s="51">
        <f>E67/E66</f>
        <v>0.27085000000000026</v>
      </c>
      <c r="F68" s="51">
        <f t="shared" ref="F68:H68" si="5">F67/F66</f>
        <v>0.26983999999999986</v>
      </c>
      <c r="G68" s="51">
        <f t="shared" si="5"/>
        <v>0.26856666666666679</v>
      </c>
      <c r="H68" s="51">
        <f t="shared" si="5"/>
        <v>0.26685714285714296</v>
      </c>
      <c r="I68" s="51">
        <f>I67/I66</f>
        <v>0.26477500000000015</v>
      </c>
      <c r="J68" s="51">
        <f>J67/J66</f>
        <v>0.25956000000000001</v>
      </c>
      <c r="K68" s="51">
        <f>K67/K66</f>
        <v>0.25348333333333345</v>
      </c>
      <c r="L68" s="51">
        <f t="shared" ref="L68:M68" si="6">L67/L66</f>
        <v>0.24987142857142861</v>
      </c>
      <c r="M68" s="57">
        <f t="shared" si="6"/>
        <v>0.24456250000000004</v>
      </c>
      <c r="N68" s="51">
        <f>N67/N66</f>
        <v>0.23973333333333327</v>
      </c>
      <c r="O68" s="51">
        <f>O67/O66</f>
        <v>0.23533000000000004</v>
      </c>
      <c r="P68" s="51">
        <f>P67/P66</f>
        <v>0.23276666666666665</v>
      </c>
      <c r="Q68" s="51">
        <f>Q67/Q66</f>
        <v>0.23190625000000001</v>
      </c>
    </row>
    <row r="69" spans="1:17">
      <c r="A69" s="40" t="s">
        <v>59</v>
      </c>
      <c r="B69" s="51">
        <f>20*LOG(B68)</f>
        <v>-10.457574905614138</v>
      </c>
      <c r="C69" s="51">
        <f>20*LOG(C68)</f>
        <v>-11.372724716820496</v>
      </c>
      <c r="D69" s="51">
        <f>20*LOG(D68)</f>
        <v>-11.372724716820317</v>
      </c>
      <c r="E69" s="51">
        <f>20*LOG(E68)</f>
        <v>-11.34542320153556</v>
      </c>
      <c r="F69" s="51">
        <f t="shared" ref="F69:H69" si="7">20*LOG(F68)</f>
        <v>-11.377873436377104</v>
      </c>
      <c r="G69" s="51">
        <f t="shared" si="7"/>
        <v>-11.418957821512272</v>
      </c>
      <c r="H69" s="51">
        <f t="shared" si="7"/>
        <v>-11.474423362403643</v>
      </c>
      <c r="I69" s="51">
        <f>20*LOG(I68)</f>
        <v>-11.542460465810372</v>
      </c>
      <c r="J69" s="51">
        <f t="shared" ref="J69:Q69" si="8">20*LOG(J68)</f>
        <v>-11.715244690265674</v>
      </c>
      <c r="K69" s="51">
        <f t="shared" si="8"/>
        <v>-11.921011809793887</v>
      </c>
      <c r="L69" s="51">
        <f t="shared" si="8"/>
        <v>-12.045668004574534</v>
      </c>
      <c r="M69" s="57">
        <f t="shared" si="8"/>
        <v>-12.232202695104892</v>
      </c>
      <c r="N69" s="57">
        <f t="shared" si="8"/>
        <v>-12.405431519889804</v>
      </c>
      <c r="O69" s="51">
        <f t="shared" si="8"/>
        <v>-12.566454103826768</v>
      </c>
      <c r="P69" s="51">
        <f t="shared" si="8"/>
        <v>-12.661584253572919</v>
      </c>
      <c r="Q69" s="51">
        <f t="shared" si="8"/>
        <v>-12.693750934619718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6F86-A8FA-4D3E-BB3F-B85426CD8F26}">
  <dimension ref="A1:Q9"/>
  <sheetViews>
    <sheetView workbookViewId="0">
      <selection activeCell="C3" sqref="C3"/>
    </sheetView>
  </sheetViews>
  <sheetFormatPr defaultRowHeight="15"/>
  <sheetData>
    <row r="1" spans="1:17" ht="14.45">
      <c r="A1" s="9" t="s">
        <v>40</v>
      </c>
      <c r="B1" s="9">
        <f>0.0001</f>
        <v>1E-4</v>
      </c>
      <c r="C1" s="9">
        <v>1E-3</v>
      </c>
      <c r="D1" s="9">
        <v>0.01</v>
      </c>
      <c r="E1" s="54">
        <v>0.1</v>
      </c>
      <c r="F1" s="54">
        <v>0.125</v>
      </c>
      <c r="G1" s="9">
        <v>0.15</v>
      </c>
      <c r="H1" s="9">
        <v>0.17499999999999999</v>
      </c>
      <c r="I1" s="9">
        <v>0.2</v>
      </c>
      <c r="J1" s="9">
        <v>0.25</v>
      </c>
      <c r="K1" s="9">
        <v>0.3</v>
      </c>
      <c r="L1" s="9">
        <v>0.35</v>
      </c>
      <c r="M1" s="9">
        <v>0.4</v>
      </c>
      <c r="N1" s="9">
        <v>0.45</v>
      </c>
      <c r="O1" s="9">
        <v>0.5</v>
      </c>
      <c r="P1" s="9">
        <v>0.6</v>
      </c>
      <c r="Q1" s="9">
        <v>0.8</v>
      </c>
    </row>
    <row r="2" spans="1:17" ht="14.45">
      <c r="A2" s="34" t="s">
        <v>56</v>
      </c>
      <c r="B2" s="49">
        <f>2*0.0001</f>
        <v>2.0000000000000001E-4</v>
      </c>
      <c r="C2" s="49">
        <f>2*0.001</f>
        <v>2E-3</v>
      </c>
      <c r="D2" s="49">
        <f>2*0.01</f>
        <v>0.02</v>
      </c>
      <c r="E2" s="49">
        <f>2*0.1</f>
        <v>0.2</v>
      </c>
      <c r="F2" s="49">
        <f>2*0.125</f>
        <v>0.25</v>
      </c>
      <c r="G2" s="49">
        <f>2*0.15</f>
        <v>0.3</v>
      </c>
      <c r="H2" s="49">
        <f>2*0.175</f>
        <v>0.35</v>
      </c>
      <c r="I2" s="49">
        <f>2*0.2</f>
        <v>0.4</v>
      </c>
      <c r="J2" s="49">
        <v>0.5</v>
      </c>
      <c r="K2" s="49">
        <v>0.6</v>
      </c>
      <c r="L2" s="49">
        <v>0.7</v>
      </c>
      <c r="M2" s="9">
        <v>0.8</v>
      </c>
      <c r="N2" s="9">
        <v>0.9</v>
      </c>
      <c r="O2" s="9">
        <v>1</v>
      </c>
      <c r="P2" s="9">
        <v>1.2</v>
      </c>
      <c r="Q2" s="9">
        <v>1.6</v>
      </c>
    </row>
    <row r="3" spans="1:17" ht="14.45">
      <c r="A3" s="34" t="s">
        <v>57</v>
      </c>
      <c r="B3" s="53">
        <f>0.58331-0.58325</f>
        <v>5.9999999999948983E-5</v>
      </c>
      <c r="C3" s="50">
        <f>0.63072-0.63015</f>
        <v>5.6999999999995943E-4</v>
      </c>
      <c r="D3" s="51">
        <f>0.58612-0.58072</f>
        <v>5.3999999999999604E-3</v>
      </c>
      <c r="E3" s="51">
        <f>0.65835-0.60181</f>
        <v>5.6540000000000035E-2</v>
      </c>
      <c r="F3" s="51">
        <f>0.61854-0.55108</f>
        <v>6.7459999999999964E-2</v>
      </c>
      <c r="G3" s="51">
        <f>0.62543-0.54486</f>
        <v>8.057000000000003E-2</v>
      </c>
      <c r="H3" s="51">
        <f>0.6322-0.5388</f>
        <v>9.3400000000000039E-2</v>
      </c>
      <c r="I3" s="51">
        <f>0.63883-0.53292</f>
        <v>0.10591000000000006</v>
      </c>
      <c r="J3" s="16">
        <f>0.65166-0.52188</f>
        <v>0.12978000000000001</v>
      </c>
      <c r="K3" s="16">
        <f>0.66388-0.51179</f>
        <v>0.15209000000000006</v>
      </c>
      <c r="L3" s="16">
        <f>0.67536-0.50045</f>
        <v>0.17491000000000001</v>
      </c>
      <c r="M3" s="16">
        <f>0.72953-0.53692</f>
        <v>0.19261000000000006</v>
      </c>
      <c r="N3" s="16">
        <f>0.69566-0.4799</f>
        <v>0.21575999999999995</v>
      </c>
      <c r="O3" s="16">
        <f>0.70442-0.46909</f>
        <v>0.23533000000000004</v>
      </c>
      <c r="P3" s="16">
        <f>0.72098-0.44166</f>
        <v>0.27931999999999996</v>
      </c>
      <c r="Q3" s="16">
        <f>0.76221-0.39116</f>
        <v>0.37105000000000005</v>
      </c>
    </row>
    <row r="4" spans="1:17" ht="14.45">
      <c r="A4" s="40" t="s">
        <v>58</v>
      </c>
      <c r="B4" s="51">
        <f>B3/B2</f>
        <v>0.29999999999974492</v>
      </c>
      <c r="C4" s="51">
        <f>C3/C2</f>
        <v>0.28499999999997971</v>
      </c>
      <c r="D4" s="51">
        <f>D3/D2</f>
        <v>0.26999999999999802</v>
      </c>
      <c r="E4" s="51">
        <f>E3/E2</f>
        <v>0.28270000000000017</v>
      </c>
      <c r="F4" s="51">
        <f t="shared" ref="F4:H4" si="0">F3/F2</f>
        <v>0.26983999999999986</v>
      </c>
      <c r="G4" s="51">
        <f t="shared" si="0"/>
        <v>0.26856666666666679</v>
      </c>
      <c r="H4" s="51">
        <f t="shared" si="0"/>
        <v>0.26685714285714296</v>
      </c>
      <c r="I4" s="51">
        <f>I3/I2</f>
        <v>0.26477500000000015</v>
      </c>
      <c r="J4" s="51">
        <f>J3/J2</f>
        <v>0.25956000000000001</v>
      </c>
      <c r="K4" s="51">
        <f>K3/K2</f>
        <v>0.25348333333333345</v>
      </c>
      <c r="L4" s="51">
        <f t="shared" ref="L4:M4" si="1">L3/L2</f>
        <v>0.24987142857142861</v>
      </c>
      <c r="M4" s="51">
        <f t="shared" si="1"/>
        <v>0.24076250000000007</v>
      </c>
      <c r="N4" s="51">
        <f>N3/N2</f>
        <v>0.23973333333333327</v>
      </c>
      <c r="O4" s="51">
        <f>O3/O2</f>
        <v>0.23533000000000004</v>
      </c>
      <c r="P4" s="51">
        <f>P3/P2</f>
        <v>0.23276666666666665</v>
      </c>
      <c r="Q4" s="51">
        <f>Q3/Q2</f>
        <v>0.23190625000000001</v>
      </c>
    </row>
    <row r="5" spans="1:17" ht="14.45">
      <c r="A5" s="40" t="s">
        <v>59</v>
      </c>
      <c r="B5" s="51">
        <f>20*LOG(B4)</f>
        <v>-10.457574905614138</v>
      </c>
      <c r="C5" s="51">
        <f>20*LOG(C4)</f>
        <v>-10.903102799830414</v>
      </c>
      <c r="D5" s="51">
        <f>20*LOG(D4)</f>
        <v>-11.372724716820317</v>
      </c>
      <c r="E5" s="51">
        <f>20*LOG(E4)</f>
        <v>-10.973483830209602</v>
      </c>
      <c r="F5" s="51">
        <f t="shared" ref="F5:H5" si="2">20*LOG(F4)</f>
        <v>-11.377873436377104</v>
      </c>
      <c r="G5" s="51">
        <f t="shared" si="2"/>
        <v>-11.418957821512272</v>
      </c>
      <c r="H5" s="51">
        <f t="shared" si="2"/>
        <v>-11.474423362403643</v>
      </c>
      <c r="I5" s="51">
        <f>20*LOG(I4)</f>
        <v>-11.542460465810372</v>
      </c>
      <c r="J5" s="51">
        <f t="shared" ref="J5:Q5" si="3">20*LOG(J4)</f>
        <v>-11.715244690265674</v>
      </c>
      <c r="K5" s="51">
        <f t="shared" si="3"/>
        <v>-11.921011809793887</v>
      </c>
      <c r="L5" s="51">
        <f t="shared" si="3"/>
        <v>-12.045668004574534</v>
      </c>
      <c r="M5" s="57">
        <f t="shared" si="3"/>
        <v>-12.368223115005446</v>
      </c>
      <c r="N5" s="57">
        <f t="shared" si="3"/>
        <v>-12.405431519889804</v>
      </c>
      <c r="O5" s="51">
        <f t="shared" si="3"/>
        <v>-12.566454103826768</v>
      </c>
      <c r="P5" s="51">
        <f t="shared" si="3"/>
        <v>-12.661584253572919</v>
      </c>
      <c r="Q5" s="51">
        <f t="shared" si="3"/>
        <v>-12.693750934619718</v>
      </c>
    </row>
    <row r="9" spans="1:17">
      <c r="C9">
        <f>12.37-10.9</f>
        <v>1.4699999999999989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B028-F476-49A6-A6D6-2FB8851190CC}">
  <dimension ref="A1:F29"/>
  <sheetViews>
    <sheetView workbookViewId="0">
      <selection activeCell="I16" sqref="I16"/>
    </sheetView>
  </sheetViews>
  <sheetFormatPr defaultRowHeight="14.45"/>
  <cols>
    <col min="1" max="1" width="12.42578125" bestFit="1" customWidth="1"/>
    <col min="2" max="2" width="36.5703125" bestFit="1" customWidth="1"/>
    <col min="3" max="3" width="12.140625" bestFit="1" customWidth="1"/>
    <col min="4" max="4" width="9.5703125" bestFit="1" customWidth="1"/>
  </cols>
  <sheetData>
    <row r="1" spans="1:6" ht="18">
      <c r="A1" s="65" t="s">
        <v>62</v>
      </c>
      <c r="B1" s="66"/>
      <c r="C1" s="66"/>
      <c r="D1" s="66"/>
      <c r="E1" s="66"/>
      <c r="F1" s="66"/>
    </row>
    <row r="2" spans="1:6">
      <c r="B2" s="9" t="s">
        <v>63</v>
      </c>
      <c r="C2" s="9" t="s">
        <v>64</v>
      </c>
    </row>
    <row r="3" spans="1:6">
      <c r="B3" s="9">
        <v>0.40200000000000002</v>
      </c>
      <c r="C3" s="9">
        <f>1.2*B3</f>
        <v>0.4824</v>
      </c>
    </row>
    <row r="5" spans="1:6">
      <c r="A5" s="67" t="s">
        <v>65</v>
      </c>
      <c r="B5" s="67"/>
      <c r="C5" s="67"/>
      <c r="D5" s="67"/>
      <c r="E5" s="67"/>
    </row>
    <row r="6" spans="1:6">
      <c r="A6" s="9" t="s">
        <v>66</v>
      </c>
      <c r="B6" s="9" t="s">
        <v>67</v>
      </c>
      <c r="C6" s="9" t="s">
        <v>68</v>
      </c>
      <c r="D6" s="9" t="s">
        <v>69</v>
      </c>
      <c r="E6" s="9" t="s">
        <v>70</v>
      </c>
      <c r="F6" s="9" t="s">
        <v>71</v>
      </c>
    </row>
    <row r="7" spans="1:6">
      <c r="A7" s="9">
        <f>0.00005</f>
        <v>5.0000000000000002E-5</v>
      </c>
      <c r="B7" s="9">
        <f>0.001</f>
        <v>1E-3</v>
      </c>
      <c r="C7" s="9">
        <f>2*A7/B7</f>
        <v>0.1</v>
      </c>
      <c r="D7" s="9">
        <f>C7+'paramètres techno'!H2</f>
        <v>0.6</v>
      </c>
      <c r="E7" s="17">
        <f>A7/(C7*C7*'paramètres techno'!B8)</f>
        <v>22.597884118603655</v>
      </c>
      <c r="F7" s="17">
        <f>0.00001756</f>
        <v>1.7560000000000001E-5</v>
      </c>
    </row>
    <row r="9" spans="1:6">
      <c r="A9" s="9" t="s">
        <v>72</v>
      </c>
      <c r="B9" s="9" t="s">
        <v>73</v>
      </c>
    </row>
    <row r="10" spans="1:6">
      <c r="A10" s="9">
        <v>10</v>
      </c>
      <c r="B10" s="9">
        <f>(B7*A10*C3-2*A7)/(2.4*A7*B7)</f>
        <v>39366.666666666664</v>
      </c>
    </row>
    <row r="12" spans="1:6" ht="32.25">
      <c r="B12" s="63" t="s">
        <v>74</v>
      </c>
    </row>
    <row r="14" spans="1:6">
      <c r="B14" s="9" t="s">
        <v>75</v>
      </c>
      <c r="C14" s="9" t="s">
        <v>76</v>
      </c>
      <c r="D14" s="9" t="s">
        <v>77</v>
      </c>
      <c r="E14" s="9" t="s">
        <v>78</v>
      </c>
    </row>
    <row r="15" spans="1:6">
      <c r="B15" s="9">
        <v>0.6</v>
      </c>
      <c r="C15" s="9">
        <f>A10*(1.2-B15+0.3)/(A7*(1+A10))</f>
        <v>16363.636363636362</v>
      </c>
      <c r="D15" s="9">
        <f>B7*C15/(2.4*(1+1.2*B10*B7))</f>
        <v>0.14133876074174584</v>
      </c>
      <c r="E15" s="17">
        <v>2.94E-5</v>
      </c>
    </row>
    <row r="22" spans="1:4" ht="15"/>
    <row r="23" spans="1:4" ht="14.45" customHeight="1">
      <c r="A23" s="66" t="s">
        <v>79</v>
      </c>
      <c r="B23" s="66"/>
      <c r="C23" s="66"/>
      <c r="D23" s="66"/>
    </row>
    <row r="24" spans="1:4" ht="15">
      <c r="A24" t="s">
        <v>8</v>
      </c>
      <c r="B24" t="s">
        <v>73</v>
      </c>
      <c r="C24" t="s">
        <v>80</v>
      </c>
      <c r="D24" t="s">
        <v>81</v>
      </c>
    </row>
    <row r="25" spans="1:4">
      <c r="A25" t="s">
        <v>82</v>
      </c>
      <c r="B25" t="s">
        <v>83</v>
      </c>
      <c r="C25" t="s">
        <v>84</v>
      </c>
      <c r="D25" t="s">
        <v>85</v>
      </c>
    </row>
    <row r="26" spans="1:4" ht="15"/>
    <row r="27" spans="1:4" ht="14.45" customHeight="1">
      <c r="A27" s="66" t="s">
        <v>86</v>
      </c>
      <c r="B27" s="66"/>
      <c r="C27" s="66"/>
      <c r="D27" s="66"/>
    </row>
    <row r="28" spans="1:4" ht="15">
      <c r="A28" t="s">
        <v>87</v>
      </c>
    </row>
    <row r="29" spans="1:4">
      <c r="A29" t="s">
        <v>88</v>
      </c>
    </row>
  </sheetData>
  <mergeCells count="4">
    <mergeCell ref="A1:F1"/>
    <mergeCell ref="A5:E5"/>
    <mergeCell ref="A23:D23"/>
    <mergeCell ref="A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2B06-4334-469B-9488-7D2D29FAE8C7}">
  <dimension ref="A1:B48"/>
  <sheetViews>
    <sheetView topLeftCell="A22" workbookViewId="0">
      <selection activeCell="E45" sqref="E45"/>
    </sheetView>
  </sheetViews>
  <sheetFormatPr defaultRowHeight="14.45"/>
  <sheetData>
    <row r="1" spans="1:2">
      <c r="A1" s="32" t="s">
        <v>89</v>
      </c>
    </row>
    <row r="2" spans="1:2">
      <c r="A2" s="52" t="s">
        <v>90</v>
      </c>
      <c r="B2" s="52" t="s">
        <v>91</v>
      </c>
    </row>
    <row r="3" spans="1:2">
      <c r="A3" s="9">
        <v>0</v>
      </c>
      <c r="B3" s="9">
        <v>0</v>
      </c>
    </row>
    <row r="4" spans="1:2">
      <c r="A4" s="9">
        <f>0.5/10</f>
        <v>0.05</v>
      </c>
      <c r="B4" s="9">
        <f>0.00000108</f>
        <v>1.08E-6</v>
      </c>
    </row>
    <row r="5" spans="1:2">
      <c r="A5" s="9">
        <v>0.1</v>
      </c>
      <c r="B5" s="9">
        <f>0.00000216</f>
        <v>2.1600000000000001E-6</v>
      </c>
    </row>
    <row r="6" spans="1:2">
      <c r="A6" s="9">
        <v>0.15</v>
      </c>
      <c r="B6" s="9">
        <f>0.00000323</f>
        <v>3.23E-6</v>
      </c>
    </row>
    <row r="7" spans="1:2">
      <c r="A7" s="9">
        <v>0.2</v>
      </c>
      <c r="B7" s="9">
        <f>0.00000431</f>
        <v>4.3100000000000002E-6</v>
      </c>
    </row>
    <row r="8" spans="1:2">
      <c r="A8" s="9">
        <v>0.25</v>
      </c>
      <c r="B8" s="9">
        <f>0.00000539</f>
        <v>5.3900000000000001E-6</v>
      </c>
    </row>
    <row r="9" spans="1:2">
      <c r="A9" s="9">
        <v>0.3</v>
      </c>
      <c r="B9" s="9">
        <f>0.00000647</f>
        <v>6.4699999999999999E-6</v>
      </c>
    </row>
    <row r="10" spans="1:2">
      <c r="A10" s="9">
        <v>0.35</v>
      </c>
      <c r="B10" s="9">
        <f>0.00000754</f>
        <v>7.5399999999999998E-6</v>
      </c>
    </row>
    <row r="11" spans="1:2">
      <c r="A11" s="9">
        <v>0.4</v>
      </c>
      <c r="B11" s="9">
        <f>0.00000862</f>
        <v>8.6200000000000005E-6</v>
      </c>
    </row>
    <row r="12" spans="1:2">
      <c r="A12" s="9">
        <v>0.45</v>
      </c>
      <c r="B12" s="9">
        <f>0.0000097</f>
        <v>9.7000000000000003E-6</v>
      </c>
    </row>
    <row r="13" spans="1:2">
      <c r="A13" s="9">
        <v>0.5</v>
      </c>
      <c r="B13" s="9">
        <f>0.0000108</f>
        <v>1.08E-5</v>
      </c>
    </row>
    <row r="15" spans="1:2">
      <c r="A15" s="9" t="s">
        <v>92</v>
      </c>
      <c r="B15" s="17">
        <v>2.16E-5</v>
      </c>
    </row>
    <row r="16" spans="1:2">
      <c r="A16" s="9" t="s">
        <v>93</v>
      </c>
      <c r="B16" s="17">
        <v>2.0400000000000001E-5</v>
      </c>
    </row>
    <row r="18" spans="1:2">
      <c r="A18" s="32" t="s">
        <v>94</v>
      </c>
    </row>
    <row r="19" spans="1:2">
      <c r="A19" s="52" t="s">
        <v>90</v>
      </c>
      <c r="B19" s="52" t="s">
        <v>91</v>
      </c>
    </row>
    <row r="20" spans="1:2">
      <c r="A20" s="9">
        <v>0.15</v>
      </c>
      <c r="B20" s="17">
        <v>6.1999999999999999E-6</v>
      </c>
    </row>
    <row r="21" spans="1:2">
      <c r="A21" s="9">
        <v>0.45</v>
      </c>
      <c r="B21" s="17">
        <v>1.8600000000000001E-5</v>
      </c>
    </row>
    <row r="23" spans="1:2">
      <c r="A23" s="9" t="s">
        <v>92</v>
      </c>
      <c r="B23" s="17">
        <v>4.1300000000000001E-5</v>
      </c>
    </row>
    <row r="24" spans="1:2">
      <c r="A24" s="9" t="s">
        <v>93</v>
      </c>
      <c r="B24" s="17">
        <v>4.0000000000000003E-5</v>
      </c>
    </row>
    <row r="26" spans="1:2">
      <c r="A26" s="32" t="s">
        <v>95</v>
      </c>
    </row>
    <row r="27" spans="1:2">
      <c r="A27" s="52" t="s">
        <v>90</v>
      </c>
      <c r="B27" s="52" t="s">
        <v>91</v>
      </c>
    </row>
    <row r="28" spans="1:2">
      <c r="A28" s="9">
        <v>0.15</v>
      </c>
      <c r="B28" s="17">
        <v>4.0600000000000001E-6</v>
      </c>
    </row>
    <row r="29" spans="1:2">
      <c r="A29" s="9">
        <v>0.45</v>
      </c>
      <c r="B29" s="17">
        <v>1.22E-5</v>
      </c>
    </row>
    <row r="31" spans="1:2">
      <c r="A31" s="9" t="s">
        <v>92</v>
      </c>
      <c r="B31" s="17">
        <v>2.7100000000000001E-5</v>
      </c>
    </row>
    <row r="32" spans="1:2">
      <c r="A32" s="9" t="s">
        <v>93</v>
      </c>
      <c r="B32" s="17">
        <v>2.6169999999999998E-5</v>
      </c>
    </row>
    <row r="34" spans="1:2">
      <c r="A34" s="32" t="s">
        <v>96</v>
      </c>
    </row>
    <row r="35" spans="1:2">
      <c r="A35" s="9" t="s">
        <v>90</v>
      </c>
      <c r="B35" s="9" t="s">
        <v>91</v>
      </c>
    </row>
    <row r="36" spans="1:2">
      <c r="A36" s="9">
        <v>0.15</v>
      </c>
      <c r="B36" s="17">
        <v>2.39E-6</v>
      </c>
    </row>
    <row r="37" spans="1:2">
      <c r="A37" s="9">
        <v>0.45</v>
      </c>
      <c r="B37" s="17">
        <v>1.08E-5</v>
      </c>
    </row>
    <row r="39" spans="1:2">
      <c r="A39" s="9" t="s">
        <v>92</v>
      </c>
      <c r="B39" s="17">
        <v>2.7100000000000001E-5</v>
      </c>
    </row>
    <row r="40" spans="1:2">
      <c r="A40" s="9" t="s">
        <v>93</v>
      </c>
      <c r="B40" s="17">
        <v>2.6169999999999998E-5</v>
      </c>
    </row>
    <row r="42" spans="1:2">
      <c r="A42" s="32" t="s">
        <v>97</v>
      </c>
    </row>
    <row r="43" spans="1:2">
      <c r="A43" s="52" t="s">
        <v>90</v>
      </c>
      <c r="B43" s="52" t="s">
        <v>91</v>
      </c>
    </row>
    <row r="44" spans="1:2">
      <c r="A44" s="9">
        <v>0.15</v>
      </c>
      <c r="B44" s="17">
        <v>2.9500000000000001E-6</v>
      </c>
    </row>
    <row r="45" spans="1:2">
      <c r="A45" s="9">
        <v>0.45</v>
      </c>
      <c r="B45" s="17">
        <v>8.8400000000000001E-6</v>
      </c>
    </row>
    <row r="47" spans="1:2">
      <c r="A47" s="9" t="s">
        <v>92</v>
      </c>
      <c r="B47" s="17">
        <v>1.9599999999999999E-5</v>
      </c>
    </row>
    <row r="48" spans="1:2">
      <c r="A48" s="9" t="s">
        <v>93</v>
      </c>
      <c r="B48" s="17">
        <v>1.9000000000000001E-5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1A09-3E27-48D5-A7B3-BC5D214BF9D9}">
  <sheetPr>
    <outlinePr summaryBelow="0" summaryRight="0"/>
  </sheetPr>
  <dimension ref="A1:K35"/>
  <sheetViews>
    <sheetView workbookViewId="0">
      <selection activeCell="B8" sqref="B8"/>
    </sheetView>
  </sheetViews>
  <sheetFormatPr defaultColWidth="12.5703125" defaultRowHeight="15.75" customHeight="1"/>
  <cols>
    <col min="1" max="1" width="17.42578125" customWidth="1"/>
    <col min="2" max="2" width="12" customWidth="1"/>
    <col min="3" max="3" width="11" bestFit="1" customWidth="1"/>
    <col min="4" max="4" width="9.140625"/>
    <col min="5" max="5" width="15.7109375" bestFit="1" customWidth="1"/>
    <col min="7" max="7" width="18.140625" bestFit="1" customWidth="1"/>
  </cols>
  <sheetData>
    <row r="1" spans="1:11" ht="14.45">
      <c r="A1" s="18" t="s">
        <v>98</v>
      </c>
      <c r="B1" s="19" t="s">
        <v>99</v>
      </c>
      <c r="C1" s="19" t="s">
        <v>100</v>
      </c>
      <c r="D1" s="19" t="s">
        <v>101</v>
      </c>
      <c r="E1" s="19" t="s">
        <v>102</v>
      </c>
      <c r="F1" s="19" t="s">
        <v>103</v>
      </c>
      <c r="G1" s="19" t="s">
        <v>104</v>
      </c>
      <c r="H1" s="19" t="s">
        <v>105</v>
      </c>
      <c r="I1" s="19" t="s">
        <v>4</v>
      </c>
      <c r="J1" s="19" t="s">
        <v>106</v>
      </c>
      <c r="K1" s="20"/>
    </row>
    <row r="2" spans="1:11" ht="14.45">
      <c r="B2" s="21">
        <v>310</v>
      </c>
      <c r="C2" s="22">
        <f>8.854*10^-12</f>
        <v>8.8539999999999992E-12</v>
      </c>
      <c r="D2" s="23">
        <f>3.95*C2</f>
        <v>3.4973300000000002E-11</v>
      </c>
      <c r="E2" s="24">
        <f>2.45</f>
        <v>2.4500000000000002</v>
      </c>
      <c r="F2" s="23">
        <f>0.00001</f>
        <v>1.0000000000000001E-5</v>
      </c>
      <c r="G2" s="23">
        <f>130*10^-9</f>
        <v>1.3E-7</v>
      </c>
      <c r="H2" s="21">
        <f>0.5</f>
        <v>0.5</v>
      </c>
      <c r="I2" s="21">
        <v>1.2</v>
      </c>
      <c r="J2" s="23">
        <f>480*F2</f>
        <v>4.8000000000000004E-3</v>
      </c>
      <c r="K2" s="20"/>
    </row>
    <row r="3" spans="1:11" ht="14.45">
      <c r="K3" s="20"/>
    </row>
    <row r="4" spans="1:11" ht="14.45">
      <c r="A4" s="18" t="s">
        <v>107</v>
      </c>
      <c r="B4" s="19" t="s">
        <v>108</v>
      </c>
      <c r="C4" s="19" t="s">
        <v>109</v>
      </c>
    </row>
    <row r="5" spans="1:11" ht="14.45">
      <c r="B5" s="23">
        <f>(D2)/(E2*10^-9)</f>
        <v>1.4274816326530611E-2</v>
      </c>
      <c r="C5" s="24">
        <f>B5*(10^15/(10^6)^2)</f>
        <v>14.27481632653061</v>
      </c>
    </row>
    <row r="7" spans="1:11" ht="14.45">
      <c r="A7" s="18" t="s">
        <v>110</v>
      </c>
      <c r="B7" s="19" t="s">
        <v>111</v>
      </c>
      <c r="C7" s="19" t="s">
        <v>112</v>
      </c>
    </row>
    <row r="8" spans="1:11" ht="14.45">
      <c r="B8" s="23">
        <f>B2*10^-4*B5/2</f>
        <v>2.2125965306122447E-4</v>
      </c>
      <c r="C8" s="24">
        <f>B8*10^6</f>
        <v>221.25965306122447</v>
      </c>
    </row>
    <row r="9" spans="1:11" ht="15.75" customHeight="1">
      <c r="A9" t="s">
        <v>113</v>
      </c>
    </row>
    <row r="10" spans="1:11" ht="14.45">
      <c r="A10" s="18" t="s">
        <v>114</v>
      </c>
      <c r="B10" s="25" t="s">
        <v>115</v>
      </c>
    </row>
    <row r="11" spans="1:11" ht="14.45">
      <c r="B11" s="24">
        <f>SQRT(((J2)*G2*2)/((F2*B2*10^-4*B5)))</f>
        <v>0.53105705324397456</v>
      </c>
    </row>
    <row r="13" spans="1:11" ht="14.45">
      <c r="A13" s="18" t="s">
        <v>116</v>
      </c>
      <c r="B13" s="19" t="s">
        <v>117</v>
      </c>
    </row>
    <row r="14" spans="1:11" ht="14.45">
      <c r="B14" s="23">
        <f>(2*J2)/B11</f>
        <v>1.8077153747150469E-2</v>
      </c>
    </row>
    <row r="16" spans="1:11" ht="14.45">
      <c r="A16" s="18" t="s">
        <v>118</v>
      </c>
      <c r="B16" s="19" t="s">
        <v>119</v>
      </c>
      <c r="C16" s="19" t="s">
        <v>120</v>
      </c>
      <c r="D16" s="19" t="s">
        <v>121</v>
      </c>
      <c r="E16" s="19" t="s">
        <v>122</v>
      </c>
    </row>
    <row r="17" spans="1:10" ht="14.45">
      <c r="B17" s="23">
        <f>0.5*B5*(F2*G2)</f>
        <v>9.2786306122448975E-15</v>
      </c>
      <c r="C17" s="23">
        <f>B17*10^15</f>
        <v>9.278630612244898</v>
      </c>
      <c r="D17" s="21">
        <v>0.36</v>
      </c>
      <c r="E17" s="21">
        <v>0.95</v>
      </c>
    </row>
    <row r="19" spans="1:10" ht="14.45">
      <c r="A19" s="18" t="s">
        <v>123</v>
      </c>
      <c r="B19" s="19" t="s">
        <v>124</v>
      </c>
      <c r="C19" s="19" t="s">
        <v>100</v>
      </c>
      <c r="D19" s="19" t="s">
        <v>101</v>
      </c>
      <c r="E19" s="19" t="s">
        <v>102</v>
      </c>
      <c r="F19" s="19" t="s">
        <v>103</v>
      </c>
      <c r="G19" s="19" t="s">
        <v>104</v>
      </c>
      <c r="H19" s="19" t="s">
        <v>105</v>
      </c>
      <c r="I19" s="19" t="s">
        <v>4</v>
      </c>
      <c r="J19" s="19" t="s">
        <v>106</v>
      </c>
    </row>
    <row r="20" spans="1:10" ht="14.45">
      <c r="B20" s="21">
        <v>200</v>
      </c>
      <c r="C20" s="26">
        <f>8.854*10^-12</f>
        <v>8.8539999999999992E-12</v>
      </c>
      <c r="D20" s="23">
        <f>3.95*C20</f>
        <v>3.4973300000000002E-11</v>
      </c>
      <c r="E20" s="24">
        <f>2.45</f>
        <v>2.4500000000000002</v>
      </c>
      <c r="F20" s="23">
        <f>10*10^-6</f>
        <v>9.9999999999999991E-6</v>
      </c>
      <c r="G20" s="23">
        <f>130*10^-9</f>
        <v>1.3E-7</v>
      </c>
      <c r="H20" s="21">
        <f>0.47</f>
        <v>0.47</v>
      </c>
      <c r="I20" s="21">
        <v>1.2</v>
      </c>
      <c r="J20" s="23">
        <f>215*F20</f>
        <v>2.15E-3</v>
      </c>
    </row>
    <row r="22" spans="1:10" ht="14.45">
      <c r="A22" s="18" t="s">
        <v>107</v>
      </c>
      <c r="B22" s="19" t="s">
        <v>108</v>
      </c>
      <c r="C22" s="19" t="s">
        <v>109</v>
      </c>
    </row>
    <row r="23" spans="1:10" ht="14.45">
      <c r="B23" s="23">
        <f>(D20)/(E20*10^-9)</f>
        <v>1.4274816326530611E-2</v>
      </c>
      <c r="C23" s="24">
        <f>B23*(10^15/(10^6)^2)</f>
        <v>14.27481632653061</v>
      </c>
    </row>
    <row r="25" spans="1:10" ht="14.45">
      <c r="A25" s="18" t="s">
        <v>125</v>
      </c>
      <c r="B25" s="19" t="s">
        <v>126</v>
      </c>
      <c r="C25" s="19" t="s">
        <v>127</v>
      </c>
    </row>
    <row r="26" spans="1:10" ht="14.45">
      <c r="B26" s="23">
        <f>B20*10^-4*B23/2</f>
        <v>1.4274816326530611E-4</v>
      </c>
      <c r="C26" s="24">
        <f>B26*10^6</f>
        <v>142.74816326530612</v>
      </c>
    </row>
    <row r="28" spans="1:10" ht="14.45">
      <c r="A28" s="18" t="s">
        <v>114</v>
      </c>
      <c r="B28" s="25" t="s">
        <v>115</v>
      </c>
    </row>
    <row r="29" spans="1:10" ht="14.45">
      <c r="B29" s="24">
        <f>SQRT(((J20)*G20*2)/((F20*B20*10^-4*B23)))</f>
        <v>0.44249222246909764</v>
      </c>
    </row>
    <row r="31" spans="1:10" ht="14.45">
      <c r="A31" s="18" t="s">
        <v>116</v>
      </c>
      <c r="B31" s="19" t="s">
        <v>117</v>
      </c>
    </row>
    <row r="32" spans="1:10" ht="14.45">
      <c r="B32" s="24">
        <f>(2*J20)/B29</f>
        <v>9.7176849256379854E-3</v>
      </c>
    </row>
    <row r="34" spans="1:5" ht="14.45">
      <c r="A34" s="18" t="s">
        <v>118</v>
      </c>
      <c r="B34" s="19" t="s">
        <v>119</v>
      </c>
      <c r="C34" s="19" t="s">
        <v>120</v>
      </c>
      <c r="D34" s="19" t="s">
        <v>121</v>
      </c>
      <c r="E34" s="19" t="s">
        <v>122</v>
      </c>
    </row>
    <row r="35" spans="1:5" ht="14.45">
      <c r="B35" s="23">
        <f>0.5*B23*(F20*G20)</f>
        <v>9.2786306122448959E-15</v>
      </c>
      <c r="C35" s="24">
        <f>B35*10^15</f>
        <v>9.2786306122448963</v>
      </c>
      <c r="D35" s="21">
        <v>0.36</v>
      </c>
      <c r="E35" s="21">
        <v>0.95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Ndéye Fatou FALL</cp:lastModifiedBy>
  <cp:revision/>
  <dcterms:created xsi:type="dcterms:W3CDTF">2025-03-21T13:54:19Z</dcterms:created>
  <dcterms:modified xsi:type="dcterms:W3CDTF">2025-06-12T08:57:28Z</dcterms:modified>
  <cp:category/>
  <cp:contentStatus/>
</cp:coreProperties>
</file>