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A37079E7CCB5967D/Documents/Etudes/Ecole_ingenieur_Phelma/2A/Projet_2A_ZIGBEE/AgriZigbee/"/>
    </mc:Choice>
  </mc:AlternateContent>
  <xr:revisionPtr revIDLastSave="3151" documentId="11_AD4D9D64A577C15A4A54187820DD7B4E5ADEDD8E" xr6:coauthVersionLast="47" xr6:coauthVersionMax="47" xr10:uidLastSave="{7DE45741-CA9D-42A9-8D60-43CB686570CD}"/>
  <bookViews>
    <workbookView xWindow="28680" yWindow="-120" windowWidth="29040" windowHeight="15720" activeTab="7" xr2:uid="{00000000-000D-0000-FFFF-FFFF00000000}"/>
  </bookViews>
  <sheets>
    <sheet name="Plan d'action" sheetId="1" r:id="rId1"/>
    <sheet name="Modele1" sheetId="2" r:id="rId2"/>
    <sheet name="Conso ZigBee" sheetId="3" r:id="rId3"/>
    <sheet name="Feuil2" sheetId="4" r:id="rId4"/>
    <sheet name="Modèle consoZigBee" sheetId="6" r:id="rId5"/>
    <sheet name="Feuil3" sheetId="7" r:id="rId6"/>
    <sheet name="Modèle-conso-complete" sheetId="5" r:id="rId7"/>
    <sheet name="Model-conso-complet-v2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8" l="1"/>
  <c r="H29" i="8"/>
  <c r="I29" i="8" s="1"/>
  <c r="H30" i="8"/>
  <c r="H31" i="8"/>
  <c r="H32" i="8"/>
  <c r="I32" i="8" s="1"/>
  <c r="K32" i="8" s="1"/>
  <c r="H33" i="8"/>
  <c r="H34" i="8"/>
  <c r="H27" i="8"/>
  <c r="J27" i="8" s="1"/>
  <c r="H20" i="8"/>
  <c r="H21" i="8"/>
  <c r="I21" i="8" s="1"/>
  <c r="K21" i="8" s="1"/>
  <c r="H22" i="8"/>
  <c r="I22" i="8" s="1"/>
  <c r="K22" i="8" s="1"/>
  <c r="L22" i="8" s="1"/>
  <c r="M22" i="8" s="1"/>
  <c r="N22" i="8" s="1"/>
  <c r="H23" i="8"/>
  <c r="H24" i="8"/>
  <c r="H25" i="8"/>
  <c r="I25" i="8" s="1"/>
  <c r="H26" i="8"/>
  <c r="H19" i="8"/>
  <c r="H12" i="8"/>
  <c r="H13" i="8"/>
  <c r="H14" i="8"/>
  <c r="H15" i="8"/>
  <c r="H16" i="8"/>
  <c r="I16" i="8" s="1"/>
  <c r="H17" i="8"/>
  <c r="H18" i="8"/>
  <c r="H11" i="8"/>
  <c r="J34" i="8"/>
  <c r="I34" i="8"/>
  <c r="G34" i="8"/>
  <c r="F34" i="8"/>
  <c r="K33" i="8"/>
  <c r="I33" i="8"/>
  <c r="G33" i="8"/>
  <c r="D33" i="8"/>
  <c r="F33" i="8" s="1"/>
  <c r="J33" i="8" s="1"/>
  <c r="L33" i="8" s="1"/>
  <c r="M33" i="8" s="1"/>
  <c r="N33" i="8" s="1"/>
  <c r="J32" i="8"/>
  <c r="L32" i="8" s="1"/>
  <c r="M32" i="8" s="1"/>
  <c r="N32" i="8" s="1"/>
  <c r="G32" i="8"/>
  <c r="F32" i="8"/>
  <c r="I31" i="8"/>
  <c r="K31" i="8" s="1"/>
  <c r="G31" i="8"/>
  <c r="F31" i="8"/>
  <c r="J31" i="8" s="1"/>
  <c r="L31" i="8" s="1"/>
  <c r="M31" i="8" s="1"/>
  <c r="N31" i="8" s="1"/>
  <c r="I30" i="8"/>
  <c r="G30" i="8"/>
  <c r="K30" i="8" s="1"/>
  <c r="F30" i="8"/>
  <c r="G29" i="8"/>
  <c r="F29" i="8"/>
  <c r="I28" i="8"/>
  <c r="G28" i="8"/>
  <c r="F28" i="8"/>
  <c r="J28" i="8" s="1"/>
  <c r="D28" i="8"/>
  <c r="G27" i="8"/>
  <c r="F27" i="8"/>
  <c r="I26" i="8"/>
  <c r="G26" i="8"/>
  <c r="K26" i="8" s="1"/>
  <c r="F26" i="8"/>
  <c r="J26" i="8" s="1"/>
  <c r="L26" i="8" s="1"/>
  <c r="M26" i="8" s="1"/>
  <c r="N26" i="8" s="1"/>
  <c r="G25" i="8"/>
  <c r="D25" i="8"/>
  <c r="F25" i="8" s="1"/>
  <c r="J25" i="8" s="1"/>
  <c r="J24" i="8"/>
  <c r="I24" i="8"/>
  <c r="K24" i="8" s="1"/>
  <c r="G24" i="8"/>
  <c r="F24" i="8"/>
  <c r="J23" i="8"/>
  <c r="I23" i="8"/>
  <c r="K23" i="8" s="1"/>
  <c r="G23" i="8"/>
  <c r="F23" i="8"/>
  <c r="J22" i="8"/>
  <c r="G22" i="8"/>
  <c r="F22" i="8"/>
  <c r="G21" i="8"/>
  <c r="F21" i="8"/>
  <c r="J21" i="8" s="1"/>
  <c r="I20" i="8"/>
  <c r="G20" i="8"/>
  <c r="K20" i="8" s="1"/>
  <c r="F20" i="8"/>
  <c r="D20" i="8"/>
  <c r="I19" i="8"/>
  <c r="G19" i="8"/>
  <c r="K19" i="8" s="1"/>
  <c r="F19" i="8"/>
  <c r="J19" i="8" s="1"/>
  <c r="I18" i="8"/>
  <c r="G18" i="8"/>
  <c r="F18" i="8"/>
  <c r="J18" i="8" s="1"/>
  <c r="I17" i="8"/>
  <c r="G17" i="8"/>
  <c r="D17" i="8"/>
  <c r="F17" i="8" s="1"/>
  <c r="J16" i="8"/>
  <c r="G16" i="8"/>
  <c r="F16" i="8"/>
  <c r="I15" i="8"/>
  <c r="K15" i="8" s="1"/>
  <c r="G15" i="8"/>
  <c r="F15" i="8"/>
  <c r="J15" i="8" s="1"/>
  <c r="J14" i="8"/>
  <c r="I14" i="8"/>
  <c r="G14" i="8"/>
  <c r="F14" i="8"/>
  <c r="J13" i="8"/>
  <c r="I13" i="8"/>
  <c r="K13" i="8" s="1"/>
  <c r="G13" i="8"/>
  <c r="F13" i="8"/>
  <c r="I12" i="8"/>
  <c r="K12" i="8" s="1"/>
  <c r="G12" i="8"/>
  <c r="F12" i="8"/>
  <c r="D12" i="8"/>
  <c r="I11" i="8"/>
  <c r="G11" i="8"/>
  <c r="F11" i="8"/>
  <c r="J11" i="8" s="1"/>
  <c r="D9" i="8"/>
  <c r="F9" i="8" s="1"/>
  <c r="J9" i="8" s="1"/>
  <c r="D4" i="8"/>
  <c r="F4" i="8" s="1"/>
  <c r="J4" i="8" s="1"/>
  <c r="G4" i="8"/>
  <c r="K4" i="8" s="1"/>
  <c r="H4" i="8"/>
  <c r="I4" i="8" s="1"/>
  <c r="F5" i="8"/>
  <c r="G5" i="8"/>
  <c r="K5" i="8" s="1"/>
  <c r="H5" i="8"/>
  <c r="I5" i="8" s="1"/>
  <c r="J5" i="8"/>
  <c r="F6" i="8"/>
  <c r="J6" i="8" s="1"/>
  <c r="G6" i="8"/>
  <c r="K6" i="8" s="1"/>
  <c r="H6" i="8"/>
  <c r="I6" i="8" s="1"/>
  <c r="F7" i="8"/>
  <c r="G7" i="8"/>
  <c r="K7" i="8" s="1"/>
  <c r="H7" i="8"/>
  <c r="I7" i="8" s="1"/>
  <c r="J7" i="8"/>
  <c r="F8" i="8"/>
  <c r="J8" i="8" s="1"/>
  <c r="G8" i="8"/>
  <c r="K8" i="8" s="1"/>
  <c r="H8" i="8"/>
  <c r="I8" i="8" s="1"/>
  <c r="G9" i="8"/>
  <c r="K9" i="8" s="1"/>
  <c r="H9" i="8"/>
  <c r="I9" i="8" s="1"/>
  <c r="F10" i="8"/>
  <c r="J10" i="8" s="1"/>
  <c r="G10" i="8"/>
  <c r="K10" i="8" s="1"/>
  <c r="H10" i="8"/>
  <c r="I10" i="8" s="1"/>
  <c r="H3" i="8"/>
  <c r="I3" i="8" s="1"/>
  <c r="K3" i="8" s="1"/>
  <c r="G3" i="8"/>
  <c r="F3" i="8"/>
  <c r="I9" i="7"/>
  <c r="J9" i="7"/>
  <c r="M38" i="6"/>
  <c r="M39" i="6"/>
  <c r="O39" i="6" s="1"/>
  <c r="M40" i="6"/>
  <c r="N40" i="6" s="1"/>
  <c r="P40" i="6" s="1"/>
  <c r="M41" i="6"/>
  <c r="O41" i="6" s="1"/>
  <c r="Q41" i="6" s="1"/>
  <c r="M42" i="6"/>
  <c r="M43" i="6"/>
  <c r="N43" i="6" s="1"/>
  <c r="P43" i="6" s="1"/>
  <c r="M44" i="6"/>
  <c r="M45" i="6"/>
  <c r="N45" i="6" s="1"/>
  <c r="P45" i="6" s="1"/>
  <c r="M46" i="6"/>
  <c r="O46" i="6" s="1"/>
  <c r="M37" i="6"/>
  <c r="G42" i="6"/>
  <c r="G43" i="6"/>
  <c r="G44" i="6"/>
  <c r="H44" i="6" s="1"/>
  <c r="J44" i="6" s="1"/>
  <c r="G45" i="6"/>
  <c r="I45" i="6" s="1"/>
  <c r="G46" i="6"/>
  <c r="H46" i="6" s="1"/>
  <c r="J46" i="6" s="1"/>
  <c r="G41" i="6"/>
  <c r="G40" i="6"/>
  <c r="G38" i="6"/>
  <c r="I38" i="6" s="1"/>
  <c r="G39" i="6"/>
  <c r="H39" i="6" s="1"/>
  <c r="J39" i="6" s="1"/>
  <c r="I40" i="6"/>
  <c r="K40" i="6" s="1"/>
  <c r="G37" i="6"/>
  <c r="G10" i="6"/>
  <c r="G11" i="6"/>
  <c r="I11" i="6" s="1"/>
  <c r="G12" i="6"/>
  <c r="H12" i="6" s="1"/>
  <c r="J12" i="6" s="1"/>
  <c r="G13" i="6"/>
  <c r="H13" i="6" s="1"/>
  <c r="J13" i="6" s="1"/>
  <c r="G14" i="6"/>
  <c r="G9" i="6"/>
  <c r="G6" i="6"/>
  <c r="G7" i="6"/>
  <c r="I7" i="6" s="1"/>
  <c r="G5" i="6"/>
  <c r="H5" i="6" s="1"/>
  <c r="J5" i="6" s="1"/>
  <c r="H37" i="6"/>
  <c r="J37" i="6" s="1"/>
  <c r="I37" i="6"/>
  <c r="N37" i="6"/>
  <c r="P37" i="6" s="1"/>
  <c r="O37" i="6"/>
  <c r="H38" i="6"/>
  <c r="J38" i="6" s="1"/>
  <c r="N38" i="6"/>
  <c r="P38" i="6" s="1"/>
  <c r="O38" i="6"/>
  <c r="N39" i="6"/>
  <c r="P39" i="6" s="1"/>
  <c r="H40" i="6"/>
  <c r="J40" i="6"/>
  <c r="O40" i="6"/>
  <c r="I41" i="6"/>
  <c r="H41" i="6"/>
  <c r="J41" i="6" s="1"/>
  <c r="N41" i="6"/>
  <c r="P41" i="6"/>
  <c r="H42" i="6"/>
  <c r="J42" i="6" s="1"/>
  <c r="N42" i="6"/>
  <c r="P42" i="6" s="1"/>
  <c r="H43" i="6"/>
  <c r="I43" i="6"/>
  <c r="J43" i="6"/>
  <c r="N44" i="6"/>
  <c r="P44" i="6" s="1"/>
  <c r="O44" i="6"/>
  <c r="H45" i="6"/>
  <c r="J45" i="6" s="1"/>
  <c r="N46" i="6"/>
  <c r="P46" i="6" s="1"/>
  <c r="N21" i="6"/>
  <c r="P21" i="6" s="1"/>
  <c r="Q21" i="6" s="1"/>
  <c r="M22" i="6"/>
  <c r="N22" i="6" s="1"/>
  <c r="P22" i="6" s="1"/>
  <c r="M23" i="6"/>
  <c r="M24" i="6"/>
  <c r="N24" i="6" s="1"/>
  <c r="P24" i="6" s="1"/>
  <c r="M25" i="6"/>
  <c r="O25" i="6" s="1"/>
  <c r="M26" i="6"/>
  <c r="M27" i="6"/>
  <c r="N27" i="6" s="1"/>
  <c r="P27" i="6" s="1"/>
  <c r="M28" i="6"/>
  <c r="M29" i="6"/>
  <c r="N29" i="6" s="1"/>
  <c r="P29" i="6" s="1"/>
  <c r="M30" i="6"/>
  <c r="M21" i="6"/>
  <c r="G26" i="6"/>
  <c r="G27" i="6"/>
  <c r="G28" i="6"/>
  <c r="I28" i="6" s="1"/>
  <c r="G29" i="6"/>
  <c r="H29" i="6" s="1"/>
  <c r="J29" i="6" s="1"/>
  <c r="G30" i="6"/>
  <c r="H30" i="6" s="1"/>
  <c r="J30" i="6" s="1"/>
  <c r="G25" i="6"/>
  <c r="G24" i="6"/>
  <c r="G22" i="6"/>
  <c r="H22" i="6" s="1"/>
  <c r="J22" i="6" s="1"/>
  <c r="G23" i="6"/>
  <c r="G21" i="6"/>
  <c r="H24" i="6"/>
  <c r="J24" i="6" s="1"/>
  <c r="H27" i="6"/>
  <c r="J27" i="6" s="1"/>
  <c r="I22" i="6"/>
  <c r="H23" i="6"/>
  <c r="J23" i="6" s="1"/>
  <c r="H21" i="6"/>
  <c r="J21" i="6" s="1"/>
  <c r="H26" i="6"/>
  <c r="J26" i="6" s="1"/>
  <c r="I27" i="6"/>
  <c r="O21" i="6"/>
  <c r="O22" i="6"/>
  <c r="N23" i="6"/>
  <c r="P23" i="6" s="1"/>
  <c r="O23" i="6"/>
  <c r="H25" i="6"/>
  <c r="J25" i="6" s="1"/>
  <c r="I25" i="6"/>
  <c r="N25" i="6"/>
  <c r="P25" i="6" s="1"/>
  <c r="I26" i="6"/>
  <c r="N26" i="6"/>
  <c r="P26" i="6" s="1"/>
  <c r="O26" i="6"/>
  <c r="O27" i="6"/>
  <c r="N28" i="6"/>
  <c r="O28" i="6"/>
  <c r="P28" i="6"/>
  <c r="N30" i="6"/>
  <c r="P30" i="6" s="1"/>
  <c r="O30" i="6"/>
  <c r="O12" i="6"/>
  <c r="O14" i="6"/>
  <c r="Q14" i="6" s="1"/>
  <c r="N12" i="6"/>
  <c r="P12" i="6" s="1"/>
  <c r="M6" i="6"/>
  <c r="N6" i="6" s="1"/>
  <c r="P6" i="6" s="1"/>
  <c r="M7" i="6"/>
  <c r="O7" i="6" s="1"/>
  <c r="M8" i="6"/>
  <c r="O8" i="6" s="1"/>
  <c r="M9" i="6"/>
  <c r="O9" i="6" s="1"/>
  <c r="M10" i="6"/>
  <c r="O10" i="6" s="1"/>
  <c r="M11" i="6"/>
  <c r="N11" i="6" s="1"/>
  <c r="P11" i="6" s="1"/>
  <c r="M12" i="6"/>
  <c r="M13" i="6"/>
  <c r="N13" i="6" s="1"/>
  <c r="P13" i="6" s="1"/>
  <c r="M14" i="6"/>
  <c r="N14" i="6" s="1"/>
  <c r="P14" i="6" s="1"/>
  <c r="M5" i="6"/>
  <c r="O5" i="6" s="1"/>
  <c r="E35" i="5"/>
  <c r="F35" i="5" s="1"/>
  <c r="H35" i="5" s="1"/>
  <c r="E36" i="5"/>
  <c r="F36" i="5" s="1"/>
  <c r="H36" i="5" s="1"/>
  <c r="E37" i="5"/>
  <c r="F37" i="5" s="1"/>
  <c r="H37" i="5" s="1"/>
  <c r="E38" i="5"/>
  <c r="F38" i="5" s="1"/>
  <c r="H38" i="5" s="1"/>
  <c r="E39" i="5"/>
  <c r="F39" i="5" s="1"/>
  <c r="H39" i="5" s="1"/>
  <c r="E40" i="5"/>
  <c r="F40" i="5" s="1"/>
  <c r="H40" i="5" s="1"/>
  <c r="E41" i="5"/>
  <c r="F41" i="5" s="1"/>
  <c r="H41" i="5" s="1"/>
  <c r="E42" i="5"/>
  <c r="F42" i="5" s="1"/>
  <c r="E43" i="5"/>
  <c r="F43" i="5" s="1"/>
  <c r="H43" i="5" s="1"/>
  <c r="I10" i="6"/>
  <c r="I14" i="6"/>
  <c r="M35" i="5"/>
  <c r="N35" i="5" s="1"/>
  <c r="M36" i="5"/>
  <c r="N36" i="5" s="1"/>
  <c r="M37" i="5"/>
  <c r="N37" i="5" s="1"/>
  <c r="M38" i="5"/>
  <c r="N38" i="5" s="1"/>
  <c r="M39" i="5"/>
  <c r="N39" i="5" s="1"/>
  <c r="M40" i="5"/>
  <c r="N40" i="5" s="1"/>
  <c r="M41" i="5"/>
  <c r="N41" i="5" s="1"/>
  <c r="M42" i="5"/>
  <c r="N42" i="5" s="1"/>
  <c r="M43" i="5"/>
  <c r="N43" i="5" s="1"/>
  <c r="I9" i="6"/>
  <c r="M34" i="5"/>
  <c r="N34" i="5" s="1"/>
  <c r="E34" i="5"/>
  <c r="F34" i="5" s="1"/>
  <c r="H34" i="5" s="1"/>
  <c r="L43" i="5"/>
  <c r="K43" i="5"/>
  <c r="C43" i="5"/>
  <c r="L42" i="5"/>
  <c r="K42" i="5"/>
  <c r="C42" i="5"/>
  <c r="L41" i="5"/>
  <c r="K41" i="5"/>
  <c r="C41" i="5"/>
  <c r="L40" i="5"/>
  <c r="K40" i="5"/>
  <c r="C40" i="5"/>
  <c r="L39" i="5"/>
  <c r="K39" i="5"/>
  <c r="C39" i="5"/>
  <c r="G39" i="5" s="1"/>
  <c r="L38" i="5"/>
  <c r="K38" i="5"/>
  <c r="C38" i="5"/>
  <c r="L37" i="5"/>
  <c r="K37" i="5"/>
  <c r="O37" i="5" s="1"/>
  <c r="C37" i="5"/>
  <c r="L36" i="5"/>
  <c r="K36" i="5"/>
  <c r="O36" i="5" s="1"/>
  <c r="C36" i="5"/>
  <c r="G36" i="5" s="1"/>
  <c r="L35" i="5"/>
  <c r="K35" i="5"/>
  <c r="C35" i="5"/>
  <c r="G35" i="5" s="1"/>
  <c r="L34" i="5"/>
  <c r="K34" i="5"/>
  <c r="C34" i="5"/>
  <c r="I6" i="6"/>
  <c r="F21" i="5"/>
  <c r="H21" i="5" s="1"/>
  <c r="E20" i="5"/>
  <c r="F20" i="5" s="1"/>
  <c r="H20" i="5" s="1"/>
  <c r="E21" i="5"/>
  <c r="E22" i="5"/>
  <c r="F22" i="5" s="1"/>
  <c r="H22" i="5" s="1"/>
  <c r="E23" i="5"/>
  <c r="F23" i="5" s="1"/>
  <c r="H23" i="5" s="1"/>
  <c r="E24" i="5"/>
  <c r="F24" i="5" s="1"/>
  <c r="H24" i="5" s="1"/>
  <c r="E25" i="5"/>
  <c r="F25" i="5" s="1"/>
  <c r="H25" i="5" s="1"/>
  <c r="E26" i="5"/>
  <c r="F26" i="5" s="1"/>
  <c r="E27" i="5"/>
  <c r="E28" i="5"/>
  <c r="F28" i="5" s="1"/>
  <c r="H28" i="5" s="1"/>
  <c r="N27" i="5"/>
  <c r="M20" i="5"/>
  <c r="N20" i="5" s="1"/>
  <c r="M21" i="5"/>
  <c r="O21" i="5" s="1"/>
  <c r="M22" i="5"/>
  <c r="N22" i="5" s="1"/>
  <c r="M23" i="5"/>
  <c r="N23" i="5" s="1"/>
  <c r="M24" i="5"/>
  <c r="N24" i="5" s="1"/>
  <c r="M25" i="5"/>
  <c r="O25" i="5" s="1"/>
  <c r="M26" i="5"/>
  <c r="O26" i="5" s="1"/>
  <c r="M27" i="5"/>
  <c r="O27" i="5" s="1"/>
  <c r="M28" i="5"/>
  <c r="N28" i="5" s="1"/>
  <c r="M19" i="5"/>
  <c r="N19" i="5" s="1"/>
  <c r="E19" i="5"/>
  <c r="F19" i="5" s="1"/>
  <c r="H19" i="5" s="1"/>
  <c r="G8" i="6"/>
  <c r="I8" i="6" s="1"/>
  <c r="O28" i="5"/>
  <c r="L28" i="5"/>
  <c r="K28" i="5"/>
  <c r="C28" i="5"/>
  <c r="L27" i="5"/>
  <c r="K27" i="5"/>
  <c r="C27" i="5"/>
  <c r="L26" i="5"/>
  <c r="K26" i="5"/>
  <c r="C26" i="5"/>
  <c r="L25" i="5"/>
  <c r="K25" i="5"/>
  <c r="C25" i="5"/>
  <c r="G25" i="5" s="1"/>
  <c r="O24" i="5"/>
  <c r="L24" i="5"/>
  <c r="K24" i="5"/>
  <c r="C24" i="5"/>
  <c r="G24" i="5" s="1"/>
  <c r="O23" i="5"/>
  <c r="L23" i="5"/>
  <c r="K23" i="5"/>
  <c r="C23" i="5"/>
  <c r="O22" i="5"/>
  <c r="L22" i="5"/>
  <c r="K22" i="5"/>
  <c r="C22" i="5"/>
  <c r="L21" i="5"/>
  <c r="K21" i="5"/>
  <c r="C21" i="5"/>
  <c r="O20" i="5"/>
  <c r="L20" i="5"/>
  <c r="K20" i="5"/>
  <c r="C20" i="5"/>
  <c r="O19" i="5"/>
  <c r="L19" i="5"/>
  <c r="K19" i="5"/>
  <c r="C19" i="5"/>
  <c r="G19" i="5" s="1"/>
  <c r="N7" i="5"/>
  <c r="N11" i="5"/>
  <c r="M5" i="5"/>
  <c r="N5" i="5" s="1"/>
  <c r="P5" i="5" s="1"/>
  <c r="M6" i="5"/>
  <c r="N6" i="5" s="1"/>
  <c r="M7" i="5"/>
  <c r="M8" i="5"/>
  <c r="N8" i="5" s="1"/>
  <c r="M9" i="5"/>
  <c r="N9" i="5" s="1"/>
  <c r="M10" i="5"/>
  <c r="M11" i="5"/>
  <c r="M12" i="5"/>
  <c r="N12" i="5" s="1"/>
  <c r="M13" i="5"/>
  <c r="N13" i="5" s="1"/>
  <c r="P13" i="5" s="1"/>
  <c r="N4" i="5"/>
  <c r="M4" i="5"/>
  <c r="O4" i="5" s="1"/>
  <c r="B4" i="6"/>
  <c r="E5" i="5"/>
  <c r="F5" i="5" s="1"/>
  <c r="E6" i="5"/>
  <c r="F6" i="5" s="1"/>
  <c r="H6" i="5" s="1"/>
  <c r="E7" i="5"/>
  <c r="F7" i="5" s="1"/>
  <c r="H7" i="5" s="1"/>
  <c r="E8" i="5"/>
  <c r="F8" i="5" s="1"/>
  <c r="H8" i="5" s="1"/>
  <c r="E9" i="5"/>
  <c r="G9" i="5" s="1"/>
  <c r="E10" i="5"/>
  <c r="G10" i="5" s="1"/>
  <c r="E11" i="5"/>
  <c r="F11" i="5" s="1"/>
  <c r="E12" i="5"/>
  <c r="F12" i="5" s="1"/>
  <c r="E13" i="5"/>
  <c r="G13" i="5" s="1"/>
  <c r="E4" i="5"/>
  <c r="F4" i="5" s="1"/>
  <c r="H4" i="5" s="1"/>
  <c r="C5" i="5"/>
  <c r="K5" i="5"/>
  <c r="L5" i="5"/>
  <c r="C6" i="5"/>
  <c r="K6" i="5"/>
  <c r="L6" i="5"/>
  <c r="C7" i="5"/>
  <c r="K7" i="5"/>
  <c r="L7" i="5"/>
  <c r="C8" i="5"/>
  <c r="K8" i="5"/>
  <c r="L8" i="5"/>
  <c r="C9" i="5"/>
  <c r="K9" i="5"/>
  <c r="O9" i="5" s="1"/>
  <c r="L9" i="5"/>
  <c r="C10" i="5"/>
  <c r="K10" i="5"/>
  <c r="L10" i="5"/>
  <c r="C11" i="5"/>
  <c r="K11" i="5"/>
  <c r="O11" i="5" s="1"/>
  <c r="L11" i="5"/>
  <c r="C12" i="5"/>
  <c r="K12" i="5"/>
  <c r="L12" i="5"/>
  <c r="O12" i="5"/>
  <c r="C13" i="5"/>
  <c r="K13" i="5"/>
  <c r="O13" i="5" s="1"/>
  <c r="L13" i="5"/>
  <c r="L4" i="5"/>
  <c r="K4" i="5"/>
  <c r="N20" i="2"/>
  <c r="N19" i="2"/>
  <c r="C4" i="5"/>
  <c r="E5" i="4"/>
  <c r="C5" i="4"/>
  <c r="J20" i="2"/>
  <c r="J19" i="2"/>
  <c r="J44" i="4"/>
  <c r="J45" i="4"/>
  <c r="J69" i="4"/>
  <c r="J70" i="4"/>
  <c r="J71" i="4"/>
  <c r="A58" i="4"/>
  <c r="J58" i="4" s="1"/>
  <c r="A16" i="4"/>
  <c r="J16" i="4" s="1"/>
  <c r="A17" i="4"/>
  <c r="J17" i="4" s="1"/>
  <c r="A18" i="4"/>
  <c r="A19" i="4"/>
  <c r="A20" i="4"/>
  <c r="A21" i="4"/>
  <c r="A22" i="4"/>
  <c r="E70" i="4"/>
  <c r="I70" i="4" s="1"/>
  <c r="E65" i="4"/>
  <c r="I65" i="4" s="1"/>
  <c r="D70" i="4"/>
  <c r="D71" i="4"/>
  <c r="D65" i="4"/>
  <c r="H65" i="4" s="1"/>
  <c r="C66" i="4"/>
  <c r="C71" i="4"/>
  <c r="B66" i="4"/>
  <c r="B67" i="4"/>
  <c r="I56" i="4"/>
  <c r="I57" i="4"/>
  <c r="H54" i="4"/>
  <c r="E42" i="4"/>
  <c r="I42" i="4" s="1"/>
  <c r="E43" i="4"/>
  <c r="I43" i="4" s="1"/>
  <c r="E45" i="4"/>
  <c r="I45" i="4" s="1"/>
  <c r="E46" i="4"/>
  <c r="I46" i="4" s="1"/>
  <c r="D43" i="4"/>
  <c r="D44" i="4"/>
  <c r="D45" i="4"/>
  <c r="D46" i="4"/>
  <c r="D40" i="4"/>
  <c r="H40" i="4" s="1"/>
  <c r="C45" i="4"/>
  <c r="C46" i="4"/>
  <c r="C40" i="4"/>
  <c r="G40" i="4" s="1"/>
  <c r="B45" i="4"/>
  <c r="B40" i="4"/>
  <c r="F40" i="4" s="1"/>
  <c r="I31" i="4"/>
  <c r="I29" i="4"/>
  <c r="H29" i="4"/>
  <c r="G29" i="4"/>
  <c r="F29" i="4"/>
  <c r="A71" i="4"/>
  <c r="A70" i="4"/>
  <c r="A69" i="4"/>
  <c r="A68" i="4"/>
  <c r="J68" i="4" s="1"/>
  <c r="A67" i="4"/>
  <c r="J67" i="4" s="1"/>
  <c r="A66" i="4"/>
  <c r="J66" i="4" s="1"/>
  <c r="A65" i="4"/>
  <c r="J65" i="4" s="1"/>
  <c r="N60" i="4"/>
  <c r="E60" i="4" s="1"/>
  <c r="E71" i="4" s="1"/>
  <c r="I71" i="4" s="1"/>
  <c r="C60" i="4"/>
  <c r="B60" i="4"/>
  <c r="N59" i="4"/>
  <c r="E59" i="4" s="1"/>
  <c r="C59" i="4"/>
  <c r="B59" i="4"/>
  <c r="N58" i="4"/>
  <c r="E58" i="4"/>
  <c r="I58" i="4" s="1"/>
  <c r="C58" i="4"/>
  <c r="B58" i="4"/>
  <c r="N57" i="4"/>
  <c r="E57" i="4" s="1"/>
  <c r="B57" i="4"/>
  <c r="N56" i="4"/>
  <c r="E56" i="4" s="1"/>
  <c r="C56" i="4"/>
  <c r="B56" i="4"/>
  <c r="A56" i="4"/>
  <c r="J56" i="4" s="1"/>
  <c r="N55" i="4"/>
  <c r="E55" i="4" s="1"/>
  <c r="I55" i="4" s="1"/>
  <c r="C55" i="4"/>
  <c r="B55" i="4"/>
  <c r="P54" i="4"/>
  <c r="D66" i="4" s="1"/>
  <c r="N54" i="4"/>
  <c r="E54" i="4" s="1"/>
  <c r="I54" i="4" s="1"/>
  <c r="C54" i="4"/>
  <c r="B65" i="4" s="1"/>
  <c r="F65" i="4" s="1"/>
  <c r="B54" i="4"/>
  <c r="C65" i="4" s="1"/>
  <c r="G65" i="4" s="1"/>
  <c r="A46" i="4"/>
  <c r="J46" i="4" s="1"/>
  <c r="A45" i="4"/>
  <c r="A44" i="4"/>
  <c r="A43" i="4"/>
  <c r="A42" i="4"/>
  <c r="J42" i="4" s="1"/>
  <c r="A41" i="4"/>
  <c r="J41" i="4" s="1"/>
  <c r="A40" i="4"/>
  <c r="J40" i="4" s="1"/>
  <c r="N35" i="4"/>
  <c r="E35" i="4" s="1"/>
  <c r="I35" i="4" s="1"/>
  <c r="C35" i="4"/>
  <c r="B46" i="4" s="1"/>
  <c r="B35" i="4"/>
  <c r="N34" i="4"/>
  <c r="E34" i="4" s="1"/>
  <c r="I34" i="4" s="1"/>
  <c r="C34" i="4"/>
  <c r="B34" i="4"/>
  <c r="N33" i="4"/>
  <c r="E33" i="4"/>
  <c r="I33" i="4" s="1"/>
  <c r="C33" i="4"/>
  <c r="B33" i="4"/>
  <c r="C44" i="4" s="1"/>
  <c r="N32" i="4"/>
  <c r="E32" i="4" s="1"/>
  <c r="I32" i="4" s="1"/>
  <c r="B32" i="4"/>
  <c r="N31" i="4"/>
  <c r="E31" i="4" s="1"/>
  <c r="C31" i="4"/>
  <c r="B31" i="4"/>
  <c r="N30" i="4"/>
  <c r="E30" i="4"/>
  <c r="I30" i="4" s="1"/>
  <c r="C30" i="4"/>
  <c r="B41" i="4" s="1"/>
  <c r="B30" i="4"/>
  <c r="P29" i="4"/>
  <c r="E40" i="4" s="1"/>
  <c r="I40" i="4" s="1"/>
  <c r="N29" i="4"/>
  <c r="E29" i="4"/>
  <c r="C29" i="4"/>
  <c r="B29" i="4"/>
  <c r="A11" i="4"/>
  <c r="P5" i="4"/>
  <c r="J20" i="4" s="1"/>
  <c r="C10" i="4"/>
  <c r="C11" i="4"/>
  <c r="C9" i="4"/>
  <c r="C6" i="4"/>
  <c r="C7" i="4"/>
  <c r="B6" i="4"/>
  <c r="B7" i="4"/>
  <c r="B8" i="4"/>
  <c r="B9" i="4"/>
  <c r="B10" i="4"/>
  <c r="B11" i="4"/>
  <c r="N6" i="4"/>
  <c r="E6" i="4" s="1"/>
  <c r="N7" i="4"/>
  <c r="E7" i="4" s="1"/>
  <c r="N8" i="4"/>
  <c r="E8" i="4" s="1"/>
  <c r="N9" i="4"/>
  <c r="E9" i="4" s="1"/>
  <c r="N10" i="4"/>
  <c r="E10" i="4" s="1"/>
  <c r="N11" i="4"/>
  <c r="E11" i="4" s="1"/>
  <c r="N5" i="4"/>
  <c r="T15" i="4"/>
  <c r="B5" i="4"/>
  <c r="O24" i="3"/>
  <c r="M7" i="3" s="1"/>
  <c r="N24" i="3"/>
  <c r="M6" i="3"/>
  <c r="M5" i="3"/>
  <c r="M4" i="3"/>
  <c r="B18" i="2"/>
  <c r="B20" i="2" s="1"/>
  <c r="B19" i="2"/>
  <c r="N6" i="2"/>
  <c r="Q6" i="2" s="1"/>
  <c r="N7" i="2"/>
  <c r="Q7" i="2" s="1"/>
  <c r="N3" i="2"/>
  <c r="Q3" i="2" s="1"/>
  <c r="H5" i="2"/>
  <c r="B15" i="2"/>
  <c r="H11" i="2"/>
  <c r="N11" i="2" s="1"/>
  <c r="H9" i="2"/>
  <c r="N9" i="2" s="1"/>
  <c r="H4" i="2"/>
  <c r="N4" i="2" s="1"/>
  <c r="J29" i="8" l="1"/>
  <c r="J30" i="8"/>
  <c r="K34" i="8"/>
  <c r="K28" i="8"/>
  <c r="L28" i="8" s="1"/>
  <c r="M28" i="8" s="1"/>
  <c r="N28" i="8" s="1"/>
  <c r="I27" i="8"/>
  <c r="K27" i="8" s="1"/>
  <c r="L23" i="8"/>
  <c r="M23" i="8" s="1"/>
  <c r="N23" i="8" s="1"/>
  <c r="J20" i="8"/>
  <c r="L20" i="8" s="1"/>
  <c r="M20" i="8" s="1"/>
  <c r="N20" i="8" s="1"/>
  <c r="J17" i="8"/>
  <c r="L15" i="8"/>
  <c r="M15" i="8" s="1"/>
  <c r="N15" i="8" s="1"/>
  <c r="J12" i="8"/>
  <c r="L12" i="8" s="1"/>
  <c r="M12" i="8" s="1"/>
  <c r="N12" i="8" s="1"/>
  <c r="K14" i="8"/>
  <c r="L14" i="8" s="1"/>
  <c r="M14" i="8" s="1"/>
  <c r="N14" i="8" s="1"/>
  <c r="K11" i="8"/>
  <c r="L11" i="8" s="1"/>
  <c r="M11" i="8" s="1"/>
  <c r="N11" i="8" s="1"/>
  <c r="L27" i="8"/>
  <c r="M27" i="8" s="1"/>
  <c r="N27" i="8" s="1"/>
  <c r="L30" i="8"/>
  <c r="M30" i="8" s="1"/>
  <c r="N30" i="8" s="1"/>
  <c r="K29" i="8"/>
  <c r="L34" i="8"/>
  <c r="M34" i="8" s="1"/>
  <c r="N34" i="8" s="1"/>
  <c r="L21" i="8"/>
  <c r="M21" i="8" s="1"/>
  <c r="N21" i="8" s="1"/>
  <c r="L19" i="8"/>
  <c r="M19" i="8" s="1"/>
  <c r="N19" i="8" s="1"/>
  <c r="L24" i="8"/>
  <c r="M24" i="8" s="1"/>
  <c r="N24" i="8" s="1"/>
  <c r="K25" i="8"/>
  <c r="L25" i="8" s="1"/>
  <c r="M25" i="8" s="1"/>
  <c r="N25" i="8" s="1"/>
  <c r="L16" i="8"/>
  <c r="M16" i="8" s="1"/>
  <c r="N16" i="8" s="1"/>
  <c r="K17" i="8"/>
  <c r="L17" i="8" s="1"/>
  <c r="M17" i="8" s="1"/>
  <c r="N17" i="8" s="1"/>
  <c r="L13" i="8"/>
  <c r="M13" i="8" s="1"/>
  <c r="N13" i="8" s="1"/>
  <c r="K18" i="8"/>
  <c r="L18" i="8" s="1"/>
  <c r="M18" i="8" s="1"/>
  <c r="N18" i="8" s="1"/>
  <c r="K16" i="8"/>
  <c r="Q40" i="6"/>
  <c r="L9" i="8"/>
  <c r="M9" i="8" s="1"/>
  <c r="L7" i="8"/>
  <c r="M7" i="8" s="1"/>
  <c r="L5" i="8"/>
  <c r="M5" i="8" s="1"/>
  <c r="L10" i="8"/>
  <c r="M10" i="8" s="1"/>
  <c r="L8" i="8"/>
  <c r="M8" i="8" s="1"/>
  <c r="L6" i="8"/>
  <c r="M6" i="8" s="1"/>
  <c r="L4" i="8"/>
  <c r="M4" i="8" s="1"/>
  <c r="J3" i="8"/>
  <c r="L3" i="8" s="1"/>
  <c r="M3" i="8" s="1"/>
  <c r="Q46" i="6"/>
  <c r="Q39" i="6"/>
  <c r="O45" i="6"/>
  <c r="Q45" i="6" s="1"/>
  <c r="Q38" i="6"/>
  <c r="Q44" i="6"/>
  <c r="Q37" i="6"/>
  <c r="S37" i="6" s="1"/>
  <c r="I46" i="6"/>
  <c r="K46" i="6" s="1"/>
  <c r="S46" i="6" s="1"/>
  <c r="K45" i="6"/>
  <c r="K43" i="6"/>
  <c r="I44" i="6"/>
  <c r="K44" i="6" s="1"/>
  <c r="K41" i="6"/>
  <c r="S41" i="6" s="1"/>
  <c r="I39" i="6"/>
  <c r="K39" i="6" s="1"/>
  <c r="S39" i="6" s="1"/>
  <c r="K38" i="6"/>
  <c r="S38" i="6" s="1"/>
  <c r="K37" i="6"/>
  <c r="H11" i="6"/>
  <c r="J11" i="6" s="1"/>
  <c r="K11" i="6"/>
  <c r="G38" i="5"/>
  <c r="O40" i="5"/>
  <c r="G37" i="5"/>
  <c r="N26" i="5"/>
  <c r="H27" i="5"/>
  <c r="N25" i="5"/>
  <c r="F27" i="5"/>
  <c r="G20" i="5"/>
  <c r="G28" i="5"/>
  <c r="I28" i="5" s="1"/>
  <c r="J28" i="5" s="1"/>
  <c r="P20" i="5"/>
  <c r="N21" i="5"/>
  <c r="P21" i="5" s="1"/>
  <c r="Q21" i="5" s="1"/>
  <c r="R21" i="5" s="1"/>
  <c r="P26" i="5"/>
  <c r="O10" i="5"/>
  <c r="O8" i="5"/>
  <c r="Q8" i="5" s="1"/>
  <c r="R8" i="5" s="1"/>
  <c r="N10" i="5"/>
  <c r="P10" i="5" s="1"/>
  <c r="Q10" i="5" s="1"/>
  <c r="R10" i="5" s="1"/>
  <c r="F13" i="5"/>
  <c r="H13" i="5" s="1"/>
  <c r="H8" i="6"/>
  <c r="J8" i="6" s="1"/>
  <c r="N9" i="6"/>
  <c r="P9" i="6" s="1"/>
  <c r="Q9" i="6" s="1"/>
  <c r="K7" i="6"/>
  <c r="H7" i="6"/>
  <c r="J7" i="6" s="1"/>
  <c r="Q12" i="6"/>
  <c r="O11" i="6"/>
  <c r="Q11" i="6" s="1"/>
  <c r="O6" i="6"/>
  <c r="Q6" i="6" s="1"/>
  <c r="I13" i="6"/>
  <c r="K13" i="6" s="1"/>
  <c r="K8" i="6"/>
  <c r="K9" i="6"/>
  <c r="H10" i="6"/>
  <c r="J10" i="6" s="1"/>
  <c r="K10" i="6" s="1"/>
  <c r="I12" i="6"/>
  <c r="K12" i="6" s="1"/>
  <c r="O13" i="6"/>
  <c r="Q13" i="6" s="1"/>
  <c r="H9" i="6"/>
  <c r="J9" i="6" s="1"/>
  <c r="N10" i="6"/>
  <c r="P10" i="6" s="1"/>
  <c r="Q10" i="6" s="1"/>
  <c r="N8" i="6"/>
  <c r="P8" i="6" s="1"/>
  <c r="Q8" i="6" s="1"/>
  <c r="H14" i="6"/>
  <c r="J14" i="6" s="1"/>
  <c r="K14" i="6" s="1"/>
  <c r="S14" i="6" s="1"/>
  <c r="H6" i="6"/>
  <c r="J6" i="6" s="1"/>
  <c r="K6" i="6" s="1"/>
  <c r="N5" i="6"/>
  <c r="P5" i="6" s="1"/>
  <c r="Q5" i="6" s="1"/>
  <c r="N7" i="6"/>
  <c r="P7" i="6" s="1"/>
  <c r="Q7" i="6" s="1"/>
  <c r="I5" i="6"/>
  <c r="K5" i="6" s="1"/>
  <c r="S40" i="6"/>
  <c r="O42" i="6"/>
  <c r="Q42" i="6" s="1"/>
  <c r="O43" i="6"/>
  <c r="Q43" i="6" s="1"/>
  <c r="I42" i="6"/>
  <c r="K42" i="6" s="1"/>
  <c r="Q23" i="6"/>
  <c r="Q28" i="6"/>
  <c r="Q26" i="6"/>
  <c r="Q27" i="6"/>
  <c r="Q25" i="6"/>
  <c r="O29" i="6"/>
  <c r="Q29" i="6" s="1"/>
  <c r="O24" i="6"/>
  <c r="Q24" i="6" s="1"/>
  <c r="Q30" i="6"/>
  <c r="H28" i="6"/>
  <c r="J28" i="6" s="1"/>
  <c r="K28" i="6" s="1"/>
  <c r="I29" i="6"/>
  <c r="K29" i="6" s="1"/>
  <c r="I30" i="6"/>
  <c r="K30" i="6" s="1"/>
  <c r="S30" i="6" s="1"/>
  <c r="I24" i="6"/>
  <c r="K24" i="6" s="1"/>
  <c r="K27" i="6"/>
  <c r="I23" i="6"/>
  <c r="K23" i="6" s="1"/>
  <c r="K22" i="6"/>
  <c r="K25" i="6"/>
  <c r="K26" i="6"/>
  <c r="I21" i="6"/>
  <c r="K21" i="6" s="1"/>
  <c r="S21" i="6" s="1"/>
  <c r="Q22" i="6"/>
  <c r="O38" i="5"/>
  <c r="G43" i="5"/>
  <c r="G41" i="5"/>
  <c r="I41" i="5" s="1"/>
  <c r="J41" i="5" s="1"/>
  <c r="S41" i="5" s="1"/>
  <c r="O43" i="5"/>
  <c r="O35" i="5"/>
  <c r="O39" i="5"/>
  <c r="P41" i="5"/>
  <c r="G40" i="5"/>
  <c r="P37" i="5"/>
  <c r="Q37" i="5" s="1"/>
  <c r="R37" i="5" s="1"/>
  <c r="I36" i="5"/>
  <c r="J36" i="5" s="1"/>
  <c r="I37" i="5"/>
  <c r="J37" i="5" s="1"/>
  <c r="H42" i="5"/>
  <c r="I43" i="5"/>
  <c r="J43" i="5" s="1"/>
  <c r="I38" i="5"/>
  <c r="J38" i="5" s="1"/>
  <c r="I35" i="5"/>
  <c r="J35" i="5" s="1"/>
  <c r="I40" i="5"/>
  <c r="J40" i="5" s="1"/>
  <c r="G42" i="5"/>
  <c r="I39" i="5"/>
  <c r="J39" i="5" s="1"/>
  <c r="P40" i="5"/>
  <c r="Q40" i="5" s="1"/>
  <c r="R40" i="5" s="1"/>
  <c r="P38" i="5"/>
  <c r="Q36" i="5"/>
  <c r="R36" i="5" s="1"/>
  <c r="P39" i="5"/>
  <c r="Q39" i="5" s="1"/>
  <c r="R39" i="5" s="1"/>
  <c r="O42" i="5"/>
  <c r="P36" i="5"/>
  <c r="O41" i="5"/>
  <c r="Q41" i="5" s="1"/>
  <c r="R41" i="5" s="1"/>
  <c r="O34" i="5"/>
  <c r="G34" i="5"/>
  <c r="I34" i="5" s="1"/>
  <c r="J34" i="5" s="1"/>
  <c r="P34" i="5"/>
  <c r="P42" i="5"/>
  <c r="P35" i="5"/>
  <c r="P43" i="5"/>
  <c r="Q43" i="5" s="1"/>
  <c r="R43" i="5" s="1"/>
  <c r="H26" i="5"/>
  <c r="G26" i="5"/>
  <c r="P22" i="5"/>
  <c r="Q20" i="5"/>
  <c r="R20" i="5" s="1"/>
  <c r="P25" i="5"/>
  <c r="Q25" i="5" s="1"/>
  <c r="R25" i="5" s="1"/>
  <c r="P19" i="5"/>
  <c r="G23" i="5"/>
  <c r="I23" i="5" s="1"/>
  <c r="J23" i="5" s="1"/>
  <c r="P24" i="5"/>
  <c r="Q22" i="5"/>
  <c r="R22" i="5" s="1"/>
  <c r="Q26" i="5"/>
  <c r="R26" i="5" s="1"/>
  <c r="P28" i="5"/>
  <c r="Q28" i="5" s="1"/>
  <c r="R28" i="5" s="1"/>
  <c r="P27" i="5"/>
  <c r="Q27" i="5" s="1"/>
  <c r="R27" i="5" s="1"/>
  <c r="P23" i="5"/>
  <c r="Q23" i="5" s="1"/>
  <c r="R23" i="5" s="1"/>
  <c r="Q24" i="5"/>
  <c r="R24" i="5" s="1"/>
  <c r="G22" i="5"/>
  <c r="I22" i="5" s="1"/>
  <c r="J22" i="5" s="1"/>
  <c r="G21" i="5"/>
  <c r="I21" i="5" s="1"/>
  <c r="J21" i="5" s="1"/>
  <c r="G27" i="5"/>
  <c r="Q19" i="5"/>
  <c r="R19" i="5" s="1"/>
  <c r="I19" i="5"/>
  <c r="J19" i="5" s="1"/>
  <c r="I20" i="5"/>
  <c r="J20" i="5" s="1"/>
  <c r="S20" i="5" s="1"/>
  <c r="I24" i="5"/>
  <c r="J24" i="5" s="1"/>
  <c r="I25" i="5"/>
  <c r="J25" i="5" s="1"/>
  <c r="I26" i="5"/>
  <c r="J26" i="5" s="1"/>
  <c r="I27" i="5"/>
  <c r="J27" i="5" s="1"/>
  <c r="P8" i="5"/>
  <c r="P9" i="5"/>
  <c r="Q9" i="5" s="1"/>
  <c r="R9" i="5" s="1"/>
  <c r="O7" i="5"/>
  <c r="P11" i="5"/>
  <c r="Q11" i="5" s="1"/>
  <c r="R11" i="5" s="1"/>
  <c r="F10" i="5"/>
  <c r="H10" i="5" s="1"/>
  <c r="F9" i="5"/>
  <c r="H9" i="5" s="1"/>
  <c r="I9" i="5" s="1"/>
  <c r="I13" i="5"/>
  <c r="H12" i="5"/>
  <c r="G11" i="5"/>
  <c r="G12" i="5"/>
  <c r="G5" i="5"/>
  <c r="P4" i="5"/>
  <c r="H11" i="5"/>
  <c r="H5" i="5"/>
  <c r="G8" i="5"/>
  <c r="I8" i="5" s="1"/>
  <c r="J8" i="5" s="1"/>
  <c r="P6" i="5"/>
  <c r="O5" i="5"/>
  <c r="Q5" i="5" s="1"/>
  <c r="R5" i="5" s="1"/>
  <c r="P12" i="5"/>
  <c r="Q12" i="5" s="1"/>
  <c r="R12" i="5" s="1"/>
  <c r="O6" i="5"/>
  <c r="Q6" i="5" s="1"/>
  <c r="R6" i="5" s="1"/>
  <c r="I10" i="5"/>
  <c r="J10" i="5" s="1"/>
  <c r="G7" i="5"/>
  <c r="I7" i="5" s="1"/>
  <c r="J7" i="5" s="1"/>
  <c r="Q13" i="5"/>
  <c r="R13" i="5" s="1"/>
  <c r="G6" i="5"/>
  <c r="I6" i="5" s="1"/>
  <c r="J6" i="5" s="1"/>
  <c r="P7" i="5"/>
  <c r="Q7" i="5" s="1"/>
  <c r="R7" i="5" s="1"/>
  <c r="G4" i="5"/>
  <c r="I4" i="5" s="1"/>
  <c r="J4" i="5" s="1"/>
  <c r="L69" i="4"/>
  <c r="L66" i="4"/>
  <c r="K41" i="4"/>
  <c r="K40" i="4"/>
  <c r="K45" i="4"/>
  <c r="L41" i="4"/>
  <c r="L40" i="4"/>
  <c r="L67" i="4"/>
  <c r="F54" i="4"/>
  <c r="J21" i="4"/>
  <c r="L44" i="4"/>
  <c r="B71" i="4"/>
  <c r="C70" i="4"/>
  <c r="D69" i="4"/>
  <c r="E68" i="4"/>
  <c r="I68" i="4" s="1"/>
  <c r="L20" i="4"/>
  <c r="J43" i="4"/>
  <c r="J18" i="4"/>
  <c r="B44" i="4"/>
  <c r="C43" i="4"/>
  <c r="D42" i="4"/>
  <c r="E41" i="4"/>
  <c r="I41" i="4" s="1"/>
  <c r="I60" i="4"/>
  <c r="B70" i="4"/>
  <c r="C69" i="4"/>
  <c r="D68" i="4"/>
  <c r="E67" i="4"/>
  <c r="I67" i="4" s="1"/>
  <c r="J11" i="4"/>
  <c r="G54" i="4"/>
  <c r="L56" i="4" s="1"/>
  <c r="J19" i="4"/>
  <c r="E66" i="4"/>
  <c r="I66" i="4" s="1"/>
  <c r="L18" i="4"/>
  <c r="J22" i="4"/>
  <c r="E44" i="4"/>
  <c r="I44" i="4" s="1"/>
  <c r="E69" i="4"/>
  <c r="I69" i="4" s="1"/>
  <c r="B43" i="4"/>
  <c r="C42" i="4"/>
  <c r="D41" i="4"/>
  <c r="I59" i="4"/>
  <c r="B69" i="4"/>
  <c r="C68" i="4"/>
  <c r="D67" i="4"/>
  <c r="B42" i="4"/>
  <c r="C41" i="4"/>
  <c r="B68" i="4"/>
  <c r="C67" i="4"/>
  <c r="L19" i="4"/>
  <c r="K42" i="4"/>
  <c r="L42" i="4"/>
  <c r="L68" i="4"/>
  <c r="K68" i="4"/>
  <c r="K43" i="4"/>
  <c r="L43" i="4"/>
  <c r="L70" i="4"/>
  <c r="K70" i="4"/>
  <c r="L71" i="4"/>
  <c r="K71" i="4"/>
  <c r="L46" i="4"/>
  <c r="K46" i="4"/>
  <c r="L65" i="4"/>
  <c r="K65" i="4"/>
  <c r="L17" i="4"/>
  <c r="K69" i="4"/>
  <c r="K44" i="4"/>
  <c r="K67" i="4"/>
  <c r="L45" i="4"/>
  <c r="K20" i="4"/>
  <c r="K66" i="4"/>
  <c r="K56" i="4"/>
  <c r="L58" i="4"/>
  <c r="R58" i="4" s="1"/>
  <c r="K58" i="4"/>
  <c r="Q58" i="4" s="1"/>
  <c r="A60" i="4"/>
  <c r="J60" i="4" s="1"/>
  <c r="A9" i="4"/>
  <c r="J9" i="4" s="1"/>
  <c r="A31" i="4"/>
  <c r="J31" i="4" s="1"/>
  <c r="A59" i="4"/>
  <c r="J59" i="4" s="1"/>
  <c r="A30" i="4"/>
  <c r="J30" i="4" s="1"/>
  <c r="A10" i="4"/>
  <c r="J10" i="4" s="1"/>
  <c r="A33" i="4"/>
  <c r="J33" i="4" s="1"/>
  <c r="A8" i="4"/>
  <c r="J8" i="4" s="1"/>
  <c r="A35" i="4"/>
  <c r="J35" i="4" s="1"/>
  <c r="A55" i="4"/>
  <c r="J55" i="4" s="1"/>
  <c r="A7" i="4"/>
  <c r="J7" i="4" s="1"/>
  <c r="A57" i="4"/>
  <c r="J57" i="4" s="1"/>
  <c r="A6" i="4"/>
  <c r="J6" i="4" s="1"/>
  <c r="A5" i="4"/>
  <c r="J5" i="4" s="1"/>
  <c r="A54" i="4"/>
  <c r="J54" i="4" s="1"/>
  <c r="A29" i="4"/>
  <c r="J29" i="4" s="1"/>
  <c r="A32" i="4"/>
  <c r="J32" i="4" s="1"/>
  <c r="A34" i="4"/>
  <c r="J34" i="4" s="1"/>
  <c r="I6" i="4"/>
  <c r="E22" i="4"/>
  <c r="I22" i="4" s="1"/>
  <c r="C20" i="4"/>
  <c r="C19" i="4"/>
  <c r="F5" i="4"/>
  <c r="B18" i="4"/>
  <c r="D18" i="4"/>
  <c r="B17" i="4"/>
  <c r="D17" i="4"/>
  <c r="D16" i="4"/>
  <c r="H16" i="4" s="1"/>
  <c r="E16" i="4"/>
  <c r="I16" i="4" s="1"/>
  <c r="B20" i="4"/>
  <c r="C18" i="4"/>
  <c r="E18" i="4"/>
  <c r="I18" i="4" s="1"/>
  <c r="B21" i="4"/>
  <c r="C17" i="4"/>
  <c r="E17" i="4"/>
  <c r="I17" i="4" s="1"/>
  <c r="B19" i="4"/>
  <c r="D19" i="4"/>
  <c r="H5" i="4"/>
  <c r="C16" i="4"/>
  <c r="G16" i="4" s="1"/>
  <c r="L22" i="4" s="1"/>
  <c r="D22" i="4"/>
  <c r="E21" i="4"/>
  <c r="I21" i="4" s="1"/>
  <c r="I5" i="4"/>
  <c r="B16" i="4"/>
  <c r="F16" i="4" s="1"/>
  <c r="K16" i="4" s="1"/>
  <c r="C22" i="4"/>
  <c r="D21" i="4"/>
  <c r="E20" i="4"/>
  <c r="I20" i="4" s="1"/>
  <c r="B22" i="4"/>
  <c r="C21" i="4"/>
  <c r="D20" i="4"/>
  <c r="E19" i="4"/>
  <c r="I19" i="4" s="1"/>
  <c r="G5" i="4"/>
  <c r="I11" i="4"/>
  <c r="I10" i="4"/>
  <c r="I9" i="4"/>
  <c r="I8" i="4"/>
  <c r="I7" i="4"/>
  <c r="L10" i="3"/>
  <c r="Q4" i="2"/>
  <c r="Q11" i="2"/>
  <c r="Q9" i="2"/>
  <c r="N5" i="2"/>
  <c r="Q5" i="2" s="1"/>
  <c r="H10" i="2"/>
  <c r="L29" i="8" l="1"/>
  <c r="M29" i="8" s="1"/>
  <c r="N29" i="8" s="1"/>
  <c r="N3" i="8"/>
  <c r="N4" i="8"/>
  <c r="N5" i="8"/>
  <c r="N6" i="8"/>
  <c r="N7" i="8"/>
  <c r="N8" i="8"/>
  <c r="N9" i="8"/>
  <c r="N10" i="8"/>
  <c r="S12" i="6"/>
  <c r="S8" i="6"/>
  <c r="S45" i="6"/>
  <c r="S42" i="6"/>
  <c r="S44" i="6"/>
  <c r="S43" i="6"/>
  <c r="S11" i="6"/>
  <c r="S13" i="6"/>
  <c r="S7" i="6"/>
  <c r="S9" i="6"/>
  <c r="S5" i="6"/>
  <c r="S6" i="6"/>
  <c r="S10" i="6"/>
  <c r="S22" i="6"/>
  <c r="S23" i="6"/>
  <c r="S28" i="6"/>
  <c r="S27" i="6"/>
  <c r="S24" i="6"/>
  <c r="S29" i="6"/>
  <c r="S26" i="6"/>
  <c r="S25" i="6"/>
  <c r="Q34" i="5"/>
  <c r="R34" i="5" s="1"/>
  <c r="S34" i="5" s="1"/>
  <c r="Q38" i="5"/>
  <c r="R38" i="5" s="1"/>
  <c r="S38" i="5" s="1"/>
  <c r="S43" i="5"/>
  <c r="I42" i="5"/>
  <c r="J42" i="5" s="1"/>
  <c r="Q35" i="5"/>
  <c r="R35" i="5" s="1"/>
  <c r="S35" i="5" s="1"/>
  <c r="S36" i="5"/>
  <c r="S37" i="5"/>
  <c r="S39" i="5"/>
  <c r="S40" i="5"/>
  <c r="Q42" i="5"/>
  <c r="R42" i="5" s="1"/>
  <c r="S25" i="5"/>
  <c r="S28" i="5"/>
  <c r="S27" i="5"/>
  <c r="S24" i="5"/>
  <c r="S23" i="5"/>
  <c r="S22" i="5"/>
  <c r="S21" i="5"/>
  <c r="S26" i="5"/>
  <c r="S19" i="5"/>
  <c r="J9" i="5"/>
  <c r="S9" i="5" s="1"/>
  <c r="J13" i="5"/>
  <c r="S13" i="5" s="1"/>
  <c r="I12" i="5"/>
  <c r="J12" i="5" s="1"/>
  <c r="S12" i="5" s="1"/>
  <c r="Q4" i="5"/>
  <c r="R4" i="5" s="1"/>
  <c r="I11" i="5"/>
  <c r="S6" i="5"/>
  <c r="S8" i="5"/>
  <c r="I5" i="5"/>
  <c r="J5" i="5" s="1"/>
  <c r="S7" i="5"/>
  <c r="S10" i="5"/>
  <c r="L21" i="4"/>
  <c r="K19" i="4"/>
  <c r="K22" i="4"/>
  <c r="K18" i="4"/>
  <c r="K21" i="4"/>
  <c r="L16" i="4"/>
  <c r="K17" i="4"/>
  <c r="Q56" i="4"/>
  <c r="L30" i="4"/>
  <c r="R30" i="4" s="1"/>
  <c r="K30" i="4"/>
  <c r="Q30" i="4" s="1"/>
  <c r="K57" i="4"/>
  <c r="Q57" i="4" s="1"/>
  <c r="L57" i="4"/>
  <c r="R57" i="4" s="1"/>
  <c r="L59" i="4"/>
  <c r="R59" i="4" s="1"/>
  <c r="K59" i="4"/>
  <c r="Q59" i="4" s="1"/>
  <c r="K31" i="4"/>
  <c r="Q31" i="4" s="1"/>
  <c r="L31" i="4"/>
  <c r="R31" i="4" s="1"/>
  <c r="K34" i="4"/>
  <c r="Q34" i="4" s="1"/>
  <c r="L34" i="4"/>
  <c r="R34" i="4" s="1"/>
  <c r="L55" i="4"/>
  <c r="R55" i="4" s="1"/>
  <c r="K55" i="4"/>
  <c r="Q55" i="4" s="1"/>
  <c r="K32" i="4"/>
  <c r="Q32" i="4" s="1"/>
  <c r="L32" i="4"/>
  <c r="R32" i="4" s="1"/>
  <c r="K35" i="4"/>
  <c r="Q35" i="4" s="1"/>
  <c r="L35" i="4"/>
  <c r="R35" i="4" s="1"/>
  <c r="K60" i="4"/>
  <c r="Q60" i="4" s="1"/>
  <c r="L60" i="4"/>
  <c r="R60" i="4" s="1"/>
  <c r="K29" i="4"/>
  <c r="Q29" i="4" s="1"/>
  <c r="L29" i="4"/>
  <c r="R29" i="4" s="1"/>
  <c r="L54" i="4"/>
  <c r="R54" i="4" s="1"/>
  <c r="K54" i="4"/>
  <c r="Q54" i="4" s="1"/>
  <c r="L33" i="4"/>
  <c r="R33" i="4" s="1"/>
  <c r="K33" i="4"/>
  <c r="Q33" i="4" s="1"/>
  <c r="R56" i="4"/>
  <c r="L7" i="4"/>
  <c r="L9" i="4"/>
  <c r="L10" i="4"/>
  <c r="L6" i="4"/>
  <c r="R6" i="4" s="1"/>
  <c r="L8" i="4"/>
  <c r="R8" i="4" s="1"/>
  <c r="R15" i="4" s="1"/>
  <c r="L11" i="4"/>
  <c r="K6" i="4"/>
  <c r="K7" i="4"/>
  <c r="K8" i="4"/>
  <c r="K9" i="4"/>
  <c r="K10" i="4"/>
  <c r="K11" i="4"/>
  <c r="K5" i="4"/>
  <c r="L5" i="4"/>
  <c r="R5" i="4" s="1"/>
  <c r="N10" i="2"/>
  <c r="Q10" i="2"/>
  <c r="B24" i="2" s="1"/>
  <c r="S42" i="5" l="1"/>
  <c r="J11" i="5"/>
  <c r="S11" i="5" s="1"/>
  <c r="S4" i="5"/>
  <c r="S5" i="5"/>
  <c r="R10" i="4"/>
  <c r="Q10" i="4"/>
  <c r="Q9" i="4"/>
  <c r="Q7" i="4"/>
  <c r="Q6" i="4"/>
  <c r="R9" i="4"/>
  <c r="Q11" i="4"/>
  <c r="R7" i="4"/>
  <c r="Q5" i="4"/>
  <c r="R11" i="4"/>
  <c r="Q8" i="4"/>
  <c r="C24" i="2"/>
  <c r="B25" i="2"/>
  <c r="B26" i="2" l="1"/>
  <c r="C26" i="2" s="1"/>
  <c r="C25" i="2"/>
  <c r="B27" i="2"/>
  <c r="C27" i="2" s="1"/>
</calcChain>
</file>

<file path=xl/sharedStrings.xml><?xml version="1.0" encoding="utf-8"?>
<sst xmlns="http://schemas.openxmlformats.org/spreadsheetml/2006/main" count="425" uniqueCount="147">
  <si>
    <t>V1 - a faire pour le 26/05/2025</t>
  </si>
  <si>
    <t>V1a</t>
  </si>
  <si>
    <t>V1b</t>
  </si>
  <si>
    <t>V2 - pour le 11/06</t>
  </si>
  <si>
    <t>Variables :  
- Nombre d'emetteur/récepteur (taille d'exploitation  + maillage)
- 1 concentrateur
Faire plusieurs scénarios de consommation
- nombre d'échantillon par jour 
- temps de com ON - I_on
- temp de veille OFF - I_off</t>
  </si>
  <si>
    <t>Ajout  Nombre de capteurs</t>
  </si>
  <si>
    <t>Synchrone</t>
  </si>
  <si>
    <t>Protocol CSMA</t>
  </si>
  <si>
    <t>Station</t>
  </si>
  <si>
    <t>Element</t>
  </si>
  <si>
    <t>Alimentation [V]</t>
  </si>
  <si>
    <t>conso active[A]</t>
  </si>
  <si>
    <t>temps actif [s] sur 12H</t>
  </si>
  <si>
    <t>conso veille[A]</t>
  </si>
  <si>
    <t>temps veille [s] sur 12H</t>
  </si>
  <si>
    <t>Consommation [W/h]</t>
  </si>
  <si>
    <t>prix [€]</t>
  </si>
  <si>
    <t>Référence</t>
  </si>
  <si>
    <t>min</t>
  </si>
  <si>
    <t>typ</t>
  </si>
  <si>
    <t>max</t>
  </si>
  <si>
    <t>Station Zigbee</t>
  </si>
  <si>
    <t>Microcontroleur</t>
  </si>
  <si>
    <t>N/A</t>
  </si>
  <si>
    <t>https://www.espressif.com/en/products/socs/esp32</t>
  </si>
  <si>
    <t>Puce Zigbee</t>
  </si>
  <si>
    <t xml:space="preserve">Capteurs Humidité et temperature </t>
  </si>
  <si>
    <t>https://www.mouser.fr/datasheet/2/682/Datasheet_SHT3x_DIS-3539332.pdf</t>
  </si>
  <si>
    <t>Capteur Ph</t>
  </si>
  <si>
    <t>https://www.es-france.com/19742-capteur-ph-conductivite-temperature-sans-calibration-oc300-oc1250.html</t>
  </si>
  <si>
    <t>Capteur NPK</t>
  </si>
  <si>
    <t>https://fr.aliexpress.com/i/1005005684119688.html#nav-moretolove</t>
  </si>
  <si>
    <t>Station Centrale</t>
  </si>
  <si>
    <t>Unité centrale</t>
  </si>
  <si>
    <t>https://www.raspberrypi.org/products/raspberry-pi-4-model-b/</t>
  </si>
  <si>
    <t>Puce zigbee</t>
  </si>
  <si>
    <t>Ecran</t>
  </si>
  <si>
    <t>https://fr.aliexpress.com/item/1005006495532523.html?UTABTest=aliabtest115807_13024&amp;src=google&amp;albch=shopping&amp;acnt=248-630-5778&amp;slnk=&amp;plac=&amp;mtctp=&amp;albbt=Google_7_shopping&amp;gclsrc=aw.ds&amp;albagn=888888&amp;ds_e_adid=&amp;ds_e_matchtype=&amp;ds_e_device=c&amp;ds_e_network=x&amp;ds_e_product_group_id=&amp;ds_e_product_id=fr1005006495532523&amp;ds_e_product_merchant_id=5326656560&amp;ds_e_product_country=FR&amp;ds_e_product_language=fr&amp;ds_e_product_channel=online&amp;ds_e_product_store_id=&amp;ds_url_v=2&amp;albcp=20180143335&amp;albag=&amp;isSmbAutoCall=false&amp;needSmbHouyi=false&amp;gad_source=1&amp;gad_campaignid=20180156550&amp;gbraid=0AAAAACWaBweTLLMTdbvzkMPC6LBTI4M7o&amp;gclid=Cj0KCQjwucDBBhDxARIsANqFdr2YwRVDq2pbSN_u75zC_vGZ50Rkx7IpCUrg20ruxGHJUUNsw2ZbaPsaAu8eEALw_wcB&amp;aff_fcid=cc530f75d1b74587a5ad5987082c38bd-1747989002757-07642-UneMJZVf&amp;aff_fsk=UneMJZVf&amp;aff_platform=aaf&amp;sk=UneMJZVf&amp;aff_trace_key=cc530f75d1b74587a5ad5987082c38bd-1747989002757-07642-UneMJZVf&amp;terminal_id=d5a559f27b7e4dbb96e6f70137948c32&amp;OLP=1107900108_f_group2&amp;o_s_id=1107900108&amp;afSmartRedirect=n&amp;gatewayAdapt=glo2fra</t>
  </si>
  <si>
    <t>BILAN</t>
  </si>
  <si>
    <t>N capteurs / stations</t>
  </si>
  <si>
    <t>N Stations</t>
  </si>
  <si>
    <t>Taille du champs [Ha]</t>
  </si>
  <si>
    <t>Prix du kW\h</t>
  </si>
  <si>
    <t>Prix d'achat</t>
  </si>
  <si>
    <t>Stations</t>
  </si>
  <si>
    <t>Centrale</t>
  </si>
  <si>
    <t>Total</t>
  </si>
  <si>
    <t>Consommation</t>
  </si>
  <si>
    <t>Temps</t>
  </si>
  <si>
    <t>n [kW/h]</t>
  </si>
  <si>
    <t>prix consomation[€]</t>
  </si>
  <si>
    <t>24H</t>
  </si>
  <si>
    <t>1 semaine</t>
  </si>
  <si>
    <t>1 mois</t>
  </si>
  <si>
    <t>1 an</t>
  </si>
  <si>
    <t>Synchronisation</t>
  </si>
  <si>
    <t>Transmission/réception</t>
  </si>
  <si>
    <t>CSMA-CA</t>
  </si>
  <si>
    <t>Acknowledge</t>
  </si>
  <si>
    <t>Requête</t>
  </si>
  <si>
    <t>temps [s]</t>
  </si>
  <si>
    <t>Conso Blocs</t>
  </si>
  <si>
    <t>LNA</t>
  </si>
  <si>
    <t>Mixer</t>
  </si>
  <si>
    <t>PLL</t>
  </si>
  <si>
    <t>PA</t>
  </si>
  <si>
    <t>Baseband circuits</t>
  </si>
  <si>
    <t>Blocs</t>
  </si>
  <si>
    <t>Consumption [mW]</t>
  </si>
  <si>
    <t>[V]</t>
  </si>
  <si>
    <t>[mA]</t>
  </si>
  <si>
    <t>Pout_PA [dBm]</t>
  </si>
  <si>
    <t>Pout_PA [mW]</t>
  </si>
  <si>
    <t>η (%)</t>
  </si>
  <si>
    <t>P_PA conso [mW]</t>
  </si>
  <si>
    <t>Total ZigBee [mW]</t>
  </si>
  <si>
    <t>https://ieeexplore-ieee-org.sid2nomade-2.grenet.fr/document/6482820</t>
  </si>
  <si>
    <t>Conso des blocs</t>
  </si>
  <si>
    <t>nombre stations</t>
  </si>
  <si>
    <t>Nombre de stations en attente</t>
  </si>
  <si>
    <t>Temps Station Primaire [s]</t>
  </si>
  <si>
    <t>Min</t>
  </si>
  <si>
    <t>Max</t>
  </si>
  <si>
    <t>Temps Station Secondaire [s]</t>
  </si>
  <si>
    <t>Temps Actif [s]</t>
  </si>
  <si>
    <t>Temps Passif [s]</t>
  </si>
  <si>
    <t>Conso passif [mW]</t>
  </si>
  <si>
    <t>Conso [mW]</t>
  </si>
  <si>
    <t>conso secondaire [mW/h]</t>
  </si>
  <si>
    <t>Conso primaire [mW/h]</t>
  </si>
  <si>
    <t>Nombre de relevé</t>
  </si>
  <si>
    <t>Temps entre chaque relevé</t>
  </si>
  <si>
    <t>somme active</t>
  </si>
  <si>
    <t>Offset station</t>
  </si>
  <si>
    <t>Conso offset 1 station</t>
  </si>
  <si>
    <t>Actif</t>
  </si>
  <si>
    <t>Passif</t>
  </si>
  <si>
    <t>Conso offset</t>
  </si>
  <si>
    <t>Conso tot active</t>
  </si>
  <si>
    <t>Conso tot passive</t>
  </si>
  <si>
    <t>Conso tot</t>
  </si>
  <si>
    <t>SCENARIO 1 - 2 measurements/day</t>
  </si>
  <si>
    <t>SCENARIO 2 - 4 measurements/day</t>
  </si>
  <si>
    <t>SCENARIO 3 - 1 measurements/day</t>
  </si>
  <si>
    <t>Actif [W]</t>
  </si>
  <si>
    <t>Passif [W]</t>
  </si>
  <si>
    <t>Somme passive</t>
  </si>
  <si>
    <t>Consommation active</t>
  </si>
  <si>
    <t>Consommation passive</t>
  </si>
  <si>
    <t>Temps passif [h]</t>
  </si>
  <si>
    <t>Temps actif [h]</t>
  </si>
  <si>
    <t>Consommation totale / 12h</t>
  </si>
  <si>
    <t>Nombre de station</t>
  </si>
  <si>
    <t>Consommation primaire</t>
  </si>
  <si>
    <t>Secondaire</t>
  </si>
  <si>
    <t>Primaire</t>
  </si>
  <si>
    <t>Consommation secondaire</t>
  </si>
  <si>
    <t>Consommation totale</t>
  </si>
  <si>
    <t>Relevé / jour</t>
  </si>
  <si>
    <t>Consommation totale / 24h</t>
  </si>
  <si>
    <t>Conso actif [mW]</t>
  </si>
  <si>
    <t>ZigBee</t>
  </si>
  <si>
    <t>Nombre de stations</t>
  </si>
  <si>
    <t>Nombre de relevé par jour</t>
  </si>
  <si>
    <t>Station Primaire</t>
  </si>
  <si>
    <t>Station Secondaire</t>
  </si>
  <si>
    <t>Temps [s] /24h</t>
  </si>
  <si>
    <t>Conso [mW] /24h</t>
  </si>
  <si>
    <t>Conso sur 1jour [mW]</t>
  </si>
  <si>
    <t>SCENARIO 1 - 2 Measurements/day</t>
  </si>
  <si>
    <t>SCENARIO 1 - 4 Measurements/day</t>
  </si>
  <si>
    <t>Conso total sur 1jour [mW]</t>
  </si>
  <si>
    <t>SCENARIO 1 - 1 Measurement/day</t>
  </si>
  <si>
    <t>a</t>
  </si>
  <si>
    <t>c</t>
  </si>
  <si>
    <t>b²</t>
  </si>
  <si>
    <t>b</t>
  </si>
  <si>
    <t>Alimentation</t>
  </si>
  <si>
    <t>Courrant actif</t>
  </si>
  <si>
    <t>Courrant Passif</t>
  </si>
  <si>
    <t>Consommation (%)</t>
  </si>
  <si>
    <t>Zigbee Chip</t>
  </si>
  <si>
    <t>Temperature and humidity sensor</t>
  </si>
  <si>
    <t>Ph sensor</t>
  </si>
  <si>
    <t>NPK sensor</t>
  </si>
  <si>
    <t>Central unit</t>
  </si>
  <si>
    <t>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</si>
</sst>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,##0.00\ &quot;€&quot;"/>
    <numFmt numFmtId="166" formatCode="##0E+0"/>
    <numFmt numFmtId="167" formatCode="##0.00E+0"/>
    <numFmt numFmtId="168" formatCode="0.00000"/>
    <numFmt numFmtId="169" formatCode="0.0000"/>
    <numFmt numFmtId="170" formatCode="0.000000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18"/>
      <color theme="5" tint="-0.499984740745262"/>
      <name val="Calibri"/>
      <family val="2"/>
      <scheme val="minor"/>
    </font>
    <font>
      <sz val="11"/>
      <color theme="1"/>
      <name val="Aptos Narrow"/>
      <family val="2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9" fontId="21" fillId="0" borderId="0" applyFont="0" applyFill="0" applyBorder="0" applyAlignment="0" applyProtection="0"/>
  </cellStyleXfs>
  <cellXfs count="262">
    <xf numFmtId="0" fontId="0" fillId="0" borderId="0" xfId="0"/>
    <xf numFmtId="0" fontId="0" fillId="0" borderId="0" xfId="0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1" fontId="0" fillId="0" borderId="13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16" fontId="0" fillId="0" borderId="15" xfId="0" applyNumberFormat="1" applyBorder="1" applyAlignment="1">
      <alignment horizontal="center"/>
    </xf>
    <xf numFmtId="11" fontId="0" fillId="0" borderId="26" xfId="0" applyNumberFormat="1" applyBorder="1" applyAlignment="1">
      <alignment horizontal="center"/>
    </xf>
    <xf numFmtId="11" fontId="0" fillId="0" borderId="18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5" fillId="3" borderId="9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11" fontId="0" fillId="0" borderId="21" xfId="0" applyNumberFormat="1" applyBorder="1" applyAlignment="1">
      <alignment horizontal="center"/>
    </xf>
    <xf numFmtId="11" fontId="0" fillId="0" borderId="27" xfId="0" applyNumberFormat="1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1" fontId="0" fillId="0" borderId="46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6" xfId="0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7" fillId="0" borderId="0" xfId="0" applyFont="1" applyAlignment="1">
      <alignment wrapText="1"/>
    </xf>
    <xf numFmtId="11" fontId="0" fillId="0" borderId="43" xfId="0" applyNumberFormat="1" applyBorder="1" applyAlignment="1">
      <alignment horizontal="center"/>
    </xf>
    <xf numFmtId="11" fontId="0" fillId="0" borderId="20" xfId="0" applyNumberFormat="1" applyBorder="1" applyAlignment="1">
      <alignment horizontal="center"/>
    </xf>
    <xf numFmtId="0" fontId="0" fillId="0" borderId="17" xfId="0" applyBorder="1"/>
    <xf numFmtId="0" fontId="0" fillId="0" borderId="19" xfId="0" applyBorder="1"/>
    <xf numFmtId="0" fontId="0" fillId="0" borderId="22" xfId="0" applyBorder="1"/>
    <xf numFmtId="0" fontId="0" fillId="0" borderId="37" xfId="0" applyBorder="1"/>
    <xf numFmtId="11" fontId="0" fillId="0" borderId="14" xfId="0" applyNumberFormat="1" applyBorder="1" applyAlignment="1">
      <alignment horizontal="center"/>
    </xf>
    <xf numFmtId="0" fontId="0" fillId="0" borderId="44" xfId="0" applyBorder="1"/>
    <xf numFmtId="0" fontId="10" fillId="0" borderId="0" xfId="0" applyFont="1" applyAlignment="1">
      <alignment wrapText="1"/>
    </xf>
    <xf numFmtId="0" fontId="1" fillId="4" borderId="4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4" borderId="23" xfId="0" applyFill="1" applyBorder="1" applyAlignment="1">
      <alignment horizontal="right"/>
    </xf>
    <xf numFmtId="0" fontId="0" fillId="4" borderId="24" xfId="0" applyFill="1" applyBorder="1"/>
    <xf numFmtId="11" fontId="12" fillId="0" borderId="0" xfId="0" applyNumberFormat="1" applyFont="1" applyAlignment="1">
      <alignment wrapText="1"/>
    </xf>
    <xf numFmtId="165" fontId="0" fillId="0" borderId="38" xfId="0" applyNumberFormat="1" applyBorder="1" applyAlignment="1">
      <alignment horizontal="left"/>
    </xf>
    <xf numFmtId="0" fontId="0" fillId="0" borderId="31" xfId="0" applyBorder="1" applyAlignment="1">
      <alignment horizontal="left"/>
    </xf>
    <xf numFmtId="165" fontId="0" fillId="0" borderId="31" xfId="0" applyNumberFormat="1" applyBorder="1" applyAlignment="1">
      <alignment horizontal="left"/>
    </xf>
    <xf numFmtId="165" fontId="0" fillId="0" borderId="6" xfId="0" applyNumberFormat="1" applyBorder="1" applyAlignment="1">
      <alignment horizontal="left"/>
    </xf>
    <xf numFmtId="0" fontId="0" fillId="0" borderId="36" xfId="0" applyBorder="1"/>
    <xf numFmtId="0" fontId="0" fillId="0" borderId="43" xfId="0" applyBorder="1"/>
    <xf numFmtId="0" fontId="13" fillId="6" borderId="10" xfId="0" applyFont="1" applyFill="1" applyBorder="1" applyAlignment="1">
      <alignment horizontal="center" wrapText="1"/>
    </xf>
    <xf numFmtId="0" fontId="6" fillId="5" borderId="5" xfId="0" applyFont="1" applyFill="1" applyBorder="1" applyAlignment="1">
      <alignment wrapText="1"/>
    </xf>
    <xf numFmtId="0" fontId="13" fillId="6" borderId="8" xfId="0" applyFont="1" applyFill="1" applyBorder="1" applyAlignment="1">
      <alignment horizontal="center" wrapText="1"/>
    </xf>
    <xf numFmtId="0" fontId="6" fillId="5" borderId="4" xfId="0" applyFont="1" applyFill="1" applyBorder="1" applyAlignment="1">
      <alignment wrapText="1"/>
    </xf>
    <xf numFmtId="0" fontId="13" fillId="6" borderId="3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wrapText="1"/>
    </xf>
    <xf numFmtId="0" fontId="0" fillId="0" borderId="40" xfId="0" applyBorder="1" applyAlignment="1">
      <alignment horizontal="center" wrapText="1"/>
    </xf>
    <xf numFmtId="0" fontId="9" fillId="0" borderId="17" xfId="1" applyBorder="1" applyAlignment="1">
      <alignment horizontal="center"/>
    </xf>
    <xf numFmtId="0" fontId="9" fillId="0" borderId="19" xfId="1" applyBorder="1"/>
    <xf numFmtId="0" fontId="9" fillId="0" borderId="19" xfId="1" applyBorder="1" applyAlignment="1">
      <alignment horizontal="center"/>
    </xf>
    <xf numFmtId="0" fontId="9" fillId="0" borderId="44" xfId="1" applyBorder="1" applyAlignment="1">
      <alignment wrapText="1"/>
    </xf>
    <xf numFmtId="0" fontId="1" fillId="0" borderId="19" xfId="0" applyFont="1" applyBorder="1" applyAlignment="1">
      <alignment horizontal="center"/>
    </xf>
    <xf numFmtId="0" fontId="9" fillId="0" borderId="22" xfId="1" applyBorder="1" applyAlignment="1">
      <alignment horizontal="center"/>
    </xf>
    <xf numFmtId="0" fontId="0" fillId="0" borderId="42" xfId="0" applyBorder="1" applyAlignment="1">
      <alignment horizontal="center" vertical="center"/>
    </xf>
    <xf numFmtId="1" fontId="0" fillId="0" borderId="32" xfId="0" applyNumberFormat="1" applyBorder="1" applyAlignment="1">
      <alignment horizontal="center"/>
    </xf>
    <xf numFmtId="0" fontId="0" fillId="0" borderId="26" xfId="0" applyBorder="1"/>
    <xf numFmtId="0" fontId="5" fillId="3" borderId="46" xfId="0" applyFont="1" applyFill="1" applyBorder="1" applyAlignment="1">
      <alignment horizontal="center" vertical="center"/>
    </xf>
    <xf numFmtId="164" fontId="0" fillId="0" borderId="31" xfId="0" applyNumberFormat="1" applyBorder="1" applyAlignment="1">
      <alignment horizontal="left"/>
    </xf>
    <xf numFmtId="164" fontId="0" fillId="0" borderId="38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0" fontId="3" fillId="4" borderId="4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48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68" fontId="0" fillId="0" borderId="0" xfId="0" applyNumberFormat="1"/>
    <xf numFmtId="2" fontId="0" fillId="0" borderId="0" xfId="0" applyNumberFormat="1"/>
    <xf numFmtId="0" fontId="14" fillId="0" borderId="0" xfId="0" applyFont="1" applyAlignment="1">
      <alignment horizontal="center"/>
    </xf>
    <xf numFmtId="164" fontId="0" fillId="0" borderId="50" xfId="0" applyNumberFormat="1" applyBorder="1" applyAlignment="1">
      <alignment horizontal="center"/>
    </xf>
    <xf numFmtId="0" fontId="9" fillId="0" borderId="0" xfId="1"/>
    <xf numFmtId="0" fontId="0" fillId="0" borderId="52" xfId="0" applyBorder="1" applyAlignment="1">
      <alignment horizontal="center"/>
    </xf>
    <xf numFmtId="0" fontId="0" fillId="0" borderId="13" xfId="0" applyBorder="1"/>
    <xf numFmtId="164" fontId="0" fillId="0" borderId="0" xfId="0" applyNumberFormat="1"/>
    <xf numFmtId="0" fontId="0" fillId="0" borderId="53" xfId="0" applyBorder="1"/>
    <xf numFmtId="0" fontId="0" fillId="0" borderId="29" xfId="0" applyBorder="1"/>
    <xf numFmtId="0" fontId="0" fillId="0" borderId="54" xfId="0" applyBorder="1"/>
    <xf numFmtId="11" fontId="0" fillId="0" borderId="13" xfId="0" applyNumberFormat="1" applyBorder="1"/>
    <xf numFmtId="11" fontId="0" fillId="0" borderId="0" xfId="0" applyNumberFormat="1"/>
    <xf numFmtId="0" fontId="0" fillId="0" borderId="18" xfId="0" applyBorder="1"/>
    <xf numFmtId="0" fontId="15" fillId="9" borderId="18" xfId="0" applyFont="1" applyFill="1" applyBorder="1"/>
    <xf numFmtId="0" fontId="15" fillId="9" borderId="19" xfId="0" applyFont="1" applyFill="1" applyBorder="1"/>
    <xf numFmtId="11" fontId="15" fillId="9" borderId="18" xfId="0" applyNumberFormat="1" applyFont="1" applyFill="1" applyBorder="1"/>
    <xf numFmtId="11" fontId="15" fillId="9" borderId="19" xfId="0" applyNumberFormat="1" applyFont="1" applyFill="1" applyBorder="1"/>
    <xf numFmtId="11" fontId="15" fillId="9" borderId="20" xfId="0" applyNumberFormat="1" applyFont="1" applyFill="1" applyBorder="1"/>
    <xf numFmtId="11" fontId="15" fillId="9" borderId="22" xfId="0" applyNumberFormat="1" applyFont="1" applyFill="1" applyBorder="1"/>
    <xf numFmtId="11" fontId="0" fillId="0" borderId="26" xfId="0" applyNumberFormat="1" applyBorder="1"/>
    <xf numFmtId="0" fontId="15" fillId="9" borderId="31" xfId="0" applyFont="1" applyFill="1" applyBorder="1"/>
    <xf numFmtId="0" fontId="15" fillId="9" borderId="38" xfId="0" applyFont="1" applyFill="1" applyBorder="1"/>
    <xf numFmtId="0" fontId="15" fillId="9" borderId="6" xfId="0" applyFont="1" applyFill="1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57" xfId="0" applyBorder="1"/>
    <xf numFmtId="0" fontId="0" fillId="0" borderId="3" xfId="0" applyBorder="1"/>
    <xf numFmtId="11" fontId="0" fillId="0" borderId="12" xfId="0" applyNumberFormat="1" applyBorder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69" fontId="0" fillId="0" borderId="38" xfId="0" applyNumberFormat="1" applyBorder="1" applyAlignment="1">
      <alignment horizontal="center" vertical="center"/>
    </xf>
    <xf numFmtId="169" fontId="0" fillId="0" borderId="6" xfId="0" applyNumberForma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38" xfId="0" applyNumberFormat="1" applyBorder="1" applyAlignment="1">
      <alignment horizontal="center"/>
    </xf>
    <xf numFmtId="11" fontId="0" fillId="0" borderId="38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2" xfId="0" applyNumberFormat="1" applyBorder="1" applyAlignment="1">
      <alignment horizontal="center" vertical="center"/>
    </xf>
    <xf numFmtId="11" fontId="0" fillId="0" borderId="57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0" fontId="0" fillId="0" borderId="38" xfId="2" applyNumberFormat="1" applyFont="1" applyBorder="1"/>
    <xf numFmtId="170" fontId="0" fillId="0" borderId="6" xfId="2" applyNumberFormat="1" applyFont="1" applyBorder="1"/>
    <xf numFmtId="0" fontId="0" fillId="11" borderId="38" xfId="0" applyFill="1" applyBorder="1" applyAlignment="1">
      <alignment horizontal="center"/>
    </xf>
    <xf numFmtId="11" fontId="0" fillId="11" borderId="38" xfId="0" applyNumberFormat="1" applyFill="1" applyBorder="1" applyAlignment="1">
      <alignment horizontal="center"/>
    </xf>
    <xf numFmtId="11" fontId="0" fillId="11" borderId="11" xfId="0" applyNumberFormat="1" applyFill="1" applyBorder="1" applyAlignment="1">
      <alignment horizontal="center" vertical="center"/>
    </xf>
    <xf numFmtId="11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69" fontId="0" fillId="11" borderId="38" xfId="0" applyNumberFormat="1" applyFill="1" applyBorder="1" applyAlignment="1">
      <alignment horizontal="center" vertical="center"/>
    </xf>
    <xf numFmtId="170" fontId="0" fillId="11" borderId="31" xfId="2" applyNumberFormat="1" applyFont="1" applyFill="1" applyBorder="1"/>
    <xf numFmtId="170" fontId="0" fillId="11" borderId="38" xfId="2" applyNumberFormat="1" applyFont="1" applyFill="1" applyBorder="1"/>
    <xf numFmtId="0" fontId="0" fillId="11" borderId="38" xfId="0" applyFill="1" applyBorder="1" applyAlignment="1">
      <alignment horizontal="center" wrapText="1"/>
    </xf>
    <xf numFmtId="11" fontId="0" fillId="11" borderId="8" xfId="0" applyNumberFormat="1" applyFill="1" applyBorder="1" applyAlignment="1">
      <alignment horizontal="center" vertical="center"/>
    </xf>
    <xf numFmtId="11" fontId="0" fillId="11" borderId="9" xfId="0" applyNumberForma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170" fontId="0" fillId="12" borderId="38" xfId="2" applyNumberFormat="1" applyFont="1" applyFill="1" applyBorder="1"/>
    <xf numFmtId="0" fontId="0" fillId="0" borderId="0" xfId="0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wrapText="1"/>
    </xf>
    <xf numFmtId="0" fontId="13" fillId="6" borderId="9" xfId="0" applyFont="1" applyFill="1" applyBorder="1" applyAlignment="1">
      <alignment horizontal="center" wrapText="1"/>
    </xf>
    <xf numFmtId="0" fontId="13" fillId="6" borderId="10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 wrapText="1"/>
    </xf>
    <xf numFmtId="0" fontId="10" fillId="2" borderId="5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0" fillId="7" borderId="47" xfId="0" applyFill="1" applyBorder="1" applyAlignment="1">
      <alignment horizontal="center"/>
    </xf>
    <xf numFmtId="0" fontId="0" fillId="7" borderId="48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3" xfId="0" applyBorder="1" applyAlignment="1">
      <alignment horizontal="center"/>
    </xf>
    <xf numFmtId="0" fontId="15" fillId="9" borderId="15" xfId="0" applyFont="1" applyFill="1" applyBorder="1" applyAlignment="1">
      <alignment horizontal="center"/>
    </xf>
    <xf numFmtId="0" fontId="15" fillId="9" borderId="17" xfId="0" applyFont="1" applyFill="1" applyBorder="1" applyAlignment="1">
      <alignment horizontal="center"/>
    </xf>
    <xf numFmtId="48" fontId="0" fillId="8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8" borderId="15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7" fillId="2" borderId="31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5547158190117"/>
          <c:y val="7.3988470840683024E-2"/>
          <c:w val="0.82581505826648471"/>
          <c:h val="0.713393778417944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Feuil2!$A$1</c:f>
              <c:strCache>
                <c:ptCount val="1"/>
                <c:pt idx="0">
                  <c:v>SCENARIO 1 - 2 measurements/day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Feuil2!$M$5:$M$11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</c:numCache>
            </c:numRef>
          </c:xVal>
          <c:yVal>
            <c:numRef>
              <c:f>Feuil2!$R$5:$R$11</c:f>
              <c:numCache>
                <c:formatCode>0.00E+00</c:formatCode>
                <c:ptCount val="7"/>
                <c:pt idx="0">
                  <c:v>0.18553202810987268</c:v>
                </c:pt>
                <c:pt idx="1">
                  <c:v>0.24273110218394675</c:v>
                </c:pt>
                <c:pt idx="2">
                  <c:v>0.29993017625802082</c:v>
                </c:pt>
                <c:pt idx="3">
                  <c:v>0.35712925033209492</c:v>
                </c:pt>
                <c:pt idx="4">
                  <c:v>0.41432832440616896</c:v>
                </c:pt>
                <c:pt idx="5">
                  <c:v>0.47152739848024305</c:v>
                </c:pt>
                <c:pt idx="6">
                  <c:v>0.52872647255431715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10E-4313-8BC2-2AF15AB832C4}"/>
            </c:ext>
          </c:extLst>
        </c:ser>
        <c:ser>
          <c:idx val="1"/>
          <c:order val="1"/>
          <c:tx>
            <c:strRef>
              <c:f>Feuil2!$A$25</c:f>
              <c:strCache>
                <c:ptCount val="1"/>
                <c:pt idx="0">
                  <c:v>SCENARIO 2 - 4 measurements/day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Feuil2!$M$29:$M$35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</c:numCache>
            </c:numRef>
          </c:xVal>
          <c:yVal>
            <c:numRef>
              <c:f>Feuil2!$R$29:$R$35</c:f>
              <c:numCache>
                <c:formatCode>0.00E+00</c:formatCode>
                <c:ptCount val="7"/>
                <c:pt idx="0">
                  <c:v>0.36506405621974536</c:v>
                </c:pt>
                <c:pt idx="1">
                  <c:v>0.4794622043678935</c:v>
                </c:pt>
                <c:pt idx="2">
                  <c:v>0.59386035251604163</c:v>
                </c:pt>
                <c:pt idx="3">
                  <c:v>0.70825850066418983</c:v>
                </c:pt>
                <c:pt idx="4">
                  <c:v>0.82265664881233791</c:v>
                </c:pt>
                <c:pt idx="5">
                  <c:v>0.9370547969604861</c:v>
                </c:pt>
                <c:pt idx="6">
                  <c:v>1.0514529451086343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10E-4313-8BC2-2AF15AB832C4}"/>
            </c:ext>
          </c:extLst>
        </c:ser>
        <c:ser>
          <c:idx val="2"/>
          <c:order val="2"/>
          <c:tx>
            <c:strRef>
              <c:f>Feuil2!$A$50</c:f>
              <c:strCache>
                <c:ptCount val="1"/>
                <c:pt idx="0">
                  <c:v>SCENARIO 3 - 1 measurements/day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Feuil2!$M$54:$M$60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</c:numCache>
            </c:numRef>
          </c:xVal>
          <c:yVal>
            <c:numRef>
              <c:f>Feuil2!$R$54:$R$60</c:f>
              <c:numCache>
                <c:formatCode>0.00E+00</c:formatCode>
                <c:ptCount val="7"/>
                <c:pt idx="0">
                  <c:v>9.5766014054936344E-2</c:v>
                </c:pt>
                <c:pt idx="1">
                  <c:v>0.12436555109197338</c:v>
                </c:pt>
                <c:pt idx="2">
                  <c:v>0.15296508812901041</c:v>
                </c:pt>
                <c:pt idx="3">
                  <c:v>0.18156462516604746</c:v>
                </c:pt>
                <c:pt idx="4">
                  <c:v>0.21016416220308448</c:v>
                </c:pt>
                <c:pt idx="5">
                  <c:v>0.23876369924012153</c:v>
                </c:pt>
                <c:pt idx="6">
                  <c:v>0.26736323627715858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10E-4313-8BC2-2AF15AB83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639216"/>
        <c:axId val="481633456"/>
      </c:scatterChart>
      <c:valAx>
        <c:axId val="481639216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633456"/>
        <c:crosses val="autoZero"/>
        <c:crossBetween val="midCat"/>
      </c:valAx>
      <c:valAx>
        <c:axId val="48163345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Consumption [mW/24H]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63921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414588343821038E-2"/>
          <c:y val="5.2138499560722876E-2"/>
          <c:w val="0.88503311040094879"/>
          <c:h val="0.74889308323275117"/>
        </c:manualLayout>
      </c:layout>
      <c:scatterChart>
        <c:scatterStyle val="smoothMarker"/>
        <c:varyColors val="0"/>
        <c:ser>
          <c:idx val="0"/>
          <c:order val="0"/>
          <c:tx>
            <c:v>Scenario 1 - 1 measurement/day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'Modèle consoZigBee'!$B$8:$B$17</c:f>
              <c:numCache>
                <c:formatCode>General</c:formatCode>
                <c:ptCount val="1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'Modèle consoZigBee'!$S$5:$S$14</c:f>
              <c:numCache>
                <c:formatCode>General</c:formatCode>
                <c:ptCount val="10"/>
                <c:pt idx="0">
                  <c:v>0.79366847174748623</c:v>
                </c:pt>
                <c:pt idx="1">
                  <c:v>0.95203904693165609</c:v>
                </c:pt>
                <c:pt idx="2">
                  <c:v>1.1104096221158257</c:v>
                </c:pt>
                <c:pt idx="3">
                  <c:v>1.2706844527130317</c:v>
                </c:pt>
                <c:pt idx="4">
                  <c:v>1.4315940351145831</c:v>
                </c:pt>
                <c:pt idx="5">
                  <c:v>1.5905993621030983</c:v>
                </c:pt>
                <c:pt idx="6">
                  <c:v>1.7496046890916135</c:v>
                </c:pt>
                <c:pt idx="7">
                  <c:v>1.9086100160801287</c:v>
                </c:pt>
                <c:pt idx="8">
                  <c:v>2.0676153430686437</c:v>
                </c:pt>
                <c:pt idx="9">
                  <c:v>2.2266206700571587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F-42A6-965E-AF61B8362C72}"/>
            </c:ext>
          </c:extLst>
        </c:ser>
        <c:ser>
          <c:idx val="1"/>
          <c:order val="1"/>
          <c:tx>
            <c:v>Scenario 2 - 2 measurement/day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'Modèle consoZigBee'!$B$8:$B$17</c:f>
              <c:numCache>
                <c:formatCode>General</c:formatCode>
                <c:ptCount val="1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'Modèle consoZigBee'!$S$21:$S$30</c:f>
              <c:numCache>
                <c:formatCode>General</c:formatCode>
                <c:ptCount val="10"/>
                <c:pt idx="0">
                  <c:v>1.4433369434949723</c:v>
                </c:pt>
                <c:pt idx="1">
                  <c:v>1.760078093863312</c:v>
                </c:pt>
                <c:pt idx="2">
                  <c:v>2.0768192442316513</c:v>
                </c:pt>
                <c:pt idx="3">
                  <c:v>2.3973689054260636</c:v>
                </c:pt>
                <c:pt idx="4">
                  <c:v>2.7191880702291664</c:v>
                </c:pt>
                <c:pt idx="5">
                  <c:v>3.0371987242061964</c:v>
                </c:pt>
                <c:pt idx="6">
                  <c:v>3.3552093781832268</c:v>
                </c:pt>
                <c:pt idx="7">
                  <c:v>3.6732200321602573</c:v>
                </c:pt>
                <c:pt idx="8">
                  <c:v>3.9912306861372877</c:v>
                </c:pt>
                <c:pt idx="9">
                  <c:v>4.3092413401143173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F-42A6-965E-AF61B8362C72}"/>
            </c:ext>
          </c:extLst>
        </c:ser>
        <c:ser>
          <c:idx val="2"/>
          <c:order val="2"/>
          <c:tx>
            <c:v>Scenario 3 - 4 measurement/day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'Modèle consoZigBee'!$B$8:$B$17</c:f>
              <c:numCache>
                <c:formatCode>General</c:formatCode>
                <c:ptCount val="1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'Modèle consoZigBee'!$S$37:$S$46</c:f>
              <c:numCache>
                <c:formatCode>General</c:formatCode>
                <c:ptCount val="10"/>
                <c:pt idx="0">
                  <c:v>2.742673886989945</c:v>
                </c:pt>
                <c:pt idx="1">
                  <c:v>3.376156187726624</c:v>
                </c:pt>
                <c:pt idx="2">
                  <c:v>4.0096384884633034</c:v>
                </c:pt>
                <c:pt idx="3">
                  <c:v>4.6507378108521271</c:v>
                </c:pt>
                <c:pt idx="4">
                  <c:v>5.2943761404583327</c:v>
                </c:pt>
                <c:pt idx="5">
                  <c:v>5.9303974484123936</c:v>
                </c:pt>
                <c:pt idx="6">
                  <c:v>6.5664187563664536</c:v>
                </c:pt>
                <c:pt idx="7">
                  <c:v>7.2024400643205144</c:v>
                </c:pt>
                <c:pt idx="8">
                  <c:v>7.8384613722745753</c:v>
                </c:pt>
                <c:pt idx="9">
                  <c:v>8.4744826802286362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AF-42A6-965E-AF61B8362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767952"/>
        <c:axId val="754766512"/>
      </c:scatterChart>
      <c:valAx>
        <c:axId val="754767952"/>
        <c:scaling>
          <c:orientation val="minMax"/>
          <c:max val="24"/>
          <c:min val="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766512"/>
        <c:crosses val="autoZero"/>
        <c:crossBetween val="midCat"/>
      </c:valAx>
      <c:valAx>
        <c:axId val="7547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Consumption [mW/24h]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7679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173360129147035E-2"/>
          <c:y val="0.83131097587443248"/>
          <c:w val="0.90106511353680507"/>
          <c:h val="0.14222816414761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843754473827643E-2"/>
          <c:y val="3.8595102891883469E-2"/>
          <c:w val="0.88493164619275688"/>
          <c:h val="0.792345236311180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'Modèle-conso-complete'!$A$1</c:f>
              <c:strCache>
                <c:ptCount val="1"/>
                <c:pt idx="0">
                  <c:v>SCENARIO 1 - 1 Measurement/day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'Modèle-conso-complete'!$B$4:$B$13</c:f>
              <c:numCache>
                <c:formatCode>General</c:formatCode>
                <c:ptCount val="1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'Modèle-conso-complete'!$S$4:$S$13</c:f>
              <c:numCache>
                <c:formatCode>General</c:formatCode>
                <c:ptCount val="10"/>
                <c:pt idx="0">
                  <c:v>6.2517514930555551</c:v>
                </c:pt>
                <c:pt idx="1">
                  <c:v>6.251844895833333</c:v>
                </c:pt>
                <c:pt idx="2">
                  <c:v>6.2519382986111109</c:v>
                </c:pt>
                <c:pt idx="3">
                  <c:v>6.252031701388888</c:v>
                </c:pt>
                <c:pt idx="4">
                  <c:v>6.2521251041666659</c:v>
                </c:pt>
                <c:pt idx="5">
                  <c:v>6.2522185069444438</c:v>
                </c:pt>
                <c:pt idx="6">
                  <c:v>6.2523119097222217</c:v>
                </c:pt>
                <c:pt idx="7">
                  <c:v>6.2524053124999996</c:v>
                </c:pt>
                <c:pt idx="8">
                  <c:v>6.2524987152777776</c:v>
                </c:pt>
                <c:pt idx="9">
                  <c:v>6.2525921180555555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55-40E0-AF2E-42C8910014BD}"/>
            </c:ext>
          </c:extLst>
        </c:ser>
        <c:ser>
          <c:idx val="1"/>
          <c:order val="1"/>
          <c:tx>
            <c:strRef>
              <c:f>'Modèle-conso-complete'!$A$16</c:f>
              <c:strCache>
                <c:ptCount val="1"/>
                <c:pt idx="0">
                  <c:v>SCENARIO 1 - 2 Measurements/day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'Modèle-conso-complete'!$B$19:$B$28</c:f>
              <c:numCache>
                <c:formatCode>General</c:formatCode>
                <c:ptCount val="1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'Modèle-conso-complete'!$S$19:$S$28</c:f>
              <c:numCache>
                <c:formatCode>General</c:formatCode>
                <c:ptCount val="10"/>
                <c:pt idx="0">
                  <c:v>6.2535029861111111</c:v>
                </c:pt>
                <c:pt idx="1">
                  <c:v>6.2536897916666669</c:v>
                </c:pt>
                <c:pt idx="2">
                  <c:v>6.2538765972222219</c:v>
                </c:pt>
                <c:pt idx="3">
                  <c:v>6.2540634027777777</c:v>
                </c:pt>
                <c:pt idx="4">
                  <c:v>6.2542502083333336</c:v>
                </c:pt>
                <c:pt idx="5">
                  <c:v>6.2544370138888885</c:v>
                </c:pt>
                <c:pt idx="6">
                  <c:v>6.2546238194444443</c:v>
                </c:pt>
                <c:pt idx="7">
                  <c:v>6.2548106250000002</c:v>
                </c:pt>
                <c:pt idx="8">
                  <c:v>6.2549974305555551</c:v>
                </c:pt>
                <c:pt idx="9">
                  <c:v>6.255184236111111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55-40E0-AF2E-42C8910014BD}"/>
            </c:ext>
          </c:extLst>
        </c:ser>
        <c:ser>
          <c:idx val="2"/>
          <c:order val="2"/>
          <c:tx>
            <c:strRef>
              <c:f>'Modèle-conso-complete'!$A$31</c:f>
              <c:strCache>
                <c:ptCount val="1"/>
                <c:pt idx="0">
                  <c:v>SCENARIO 1 - 4 Measurements/day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'Modèle-conso-complete'!$B$34:$B$43</c:f>
              <c:numCache>
                <c:formatCode>General</c:formatCode>
                <c:ptCount val="1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'Modèle-conso-complete'!$S$34:$S$43</c:f>
              <c:numCache>
                <c:formatCode>General</c:formatCode>
                <c:ptCount val="10"/>
                <c:pt idx="0">
                  <c:v>6.2570059722222213</c:v>
                </c:pt>
                <c:pt idx="1">
                  <c:v>6.2573795833333321</c:v>
                </c:pt>
                <c:pt idx="2">
                  <c:v>6.2577531944444438</c:v>
                </c:pt>
                <c:pt idx="3">
                  <c:v>6.2581268055555546</c:v>
                </c:pt>
                <c:pt idx="4">
                  <c:v>6.2585004166666653</c:v>
                </c:pt>
                <c:pt idx="5">
                  <c:v>6.258874027777777</c:v>
                </c:pt>
                <c:pt idx="6">
                  <c:v>6.2592476388888878</c:v>
                </c:pt>
                <c:pt idx="7">
                  <c:v>6.2596212499999986</c:v>
                </c:pt>
                <c:pt idx="8">
                  <c:v>6.2599948611111103</c:v>
                </c:pt>
                <c:pt idx="9">
                  <c:v>6.260368472222221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55-40E0-AF2E-42C891001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67952"/>
        <c:axId val="1633824832"/>
      </c:scatterChart>
      <c:valAx>
        <c:axId val="2116867952"/>
        <c:scaling>
          <c:orientation val="minMax"/>
          <c:max val="24"/>
          <c:min val="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3824832"/>
        <c:crosses val="autoZero"/>
        <c:crossBetween val="midCat"/>
      </c:valAx>
      <c:valAx>
        <c:axId val="16338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 consumption [W/h]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8679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'Model-conso-complet-v2'!$B$4</c:f>
              <c:strCache>
                <c:ptCount val="1"/>
                <c:pt idx="0">
                  <c:v>Zigbee Chip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('Model-conso-complet-v2'!$A$3,'Model-conso-complet-v2'!$A$11,'Model-conso-complet-v2'!$A$19,'Model-conso-complet-v2'!$A$27)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</c:numCache>
            </c:numRef>
          </c:cat>
          <c:val>
            <c:numRef>
              <c:f>('Model-conso-complet-v2'!$N$4,'Model-conso-complet-v2'!$N$12,'Model-conso-complet-v2'!$N$28,'Model-conso-complet-v2'!$N$20)</c:f>
              <c:numCache>
                <c:formatCode>0.000000%</c:formatCode>
                <c:ptCount val="4"/>
                <c:pt idx="0">
                  <c:v>9.364131394338246E-4</c:v>
                </c:pt>
                <c:pt idx="1">
                  <c:v>9.4795005696278348E-4</c:v>
                </c:pt>
                <c:pt idx="2">
                  <c:v>9.7102389202070101E-4</c:v>
                </c:pt>
                <c:pt idx="3">
                  <c:v>9.5948697449174225E-4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4F-4883-B75C-FB394199303F}"/>
            </c:ext>
          </c:extLst>
        </c:ser>
        <c:ser>
          <c:idx val="2"/>
          <c:order val="2"/>
          <c:tx>
            <c:strRef>
              <c:f>'Model-conso-complet-v2'!$B$5</c:f>
              <c:strCache>
                <c:ptCount val="1"/>
                <c:pt idx="0">
                  <c:v>Temperature and humidity sensor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('Model-conso-complet-v2'!$A$3,'Model-conso-complet-v2'!$A$11,'Model-conso-complet-v2'!$A$19,'Model-conso-complet-v2'!$A$27)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</c:numCache>
            </c:numRef>
          </c:cat>
          <c:val>
            <c:numRef>
              <c:f>('Model-conso-complet-v2'!$N$5,'Model-conso-complet-v2'!$N$13,'Model-conso-complet-v2'!$N$21,'Model-conso-complet-v2'!$N$29)</c:f>
              <c:numCache>
                <c:formatCode>0.000000%</c:formatCode>
                <c:ptCount val="4"/>
                <c:pt idx="0">
                  <c:v>2.68854332059728E-6</c:v>
                </c:pt>
                <c:pt idx="1">
                  <c:v>3.1998424137510623E-6</c:v>
                </c:pt>
                <c:pt idx="2">
                  <c:v>3.7111415069048454E-6</c:v>
                </c:pt>
                <c:pt idx="3">
                  <c:v>4.2224406000586277E-6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4F-4883-B75C-FB394199303F}"/>
            </c:ext>
          </c:extLst>
        </c:ser>
        <c:ser>
          <c:idx val="3"/>
          <c:order val="3"/>
          <c:tx>
            <c:strRef>
              <c:f>'Model-conso-complet-v2'!$B$6</c:f>
              <c:strCache>
                <c:ptCount val="1"/>
                <c:pt idx="0">
                  <c:v>Ph sensor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('Model-conso-complet-v2'!$A$3,'Model-conso-complet-v2'!$A$11,'Model-conso-complet-v2'!$A$19,'Model-conso-complet-v2'!$A$27)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</c:numCache>
            </c:numRef>
          </c:cat>
          <c:val>
            <c:numRef>
              <c:f>('Model-conso-complet-v2'!$N$6,'Model-conso-complet-v2'!$N$14,'Model-conso-complet-v2'!$N$22,'Model-conso-complet-v2'!$N$30)</c:f>
              <c:numCache>
                <c:formatCode>0.000000%</c:formatCode>
                <c:ptCount val="4"/>
                <c:pt idx="0">
                  <c:v>1.4842564870936889E-3</c:v>
                </c:pt>
                <c:pt idx="1">
                  <c:v>1.5698219587668004E-3</c:v>
                </c:pt>
                <c:pt idx="2">
                  <c:v>1.6553874304399117E-3</c:v>
                </c:pt>
                <c:pt idx="3">
                  <c:v>1.740952902113023E-3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4F-4883-B75C-FB394199303F}"/>
            </c:ext>
          </c:extLst>
        </c:ser>
        <c:ser>
          <c:idx val="4"/>
          <c:order val="4"/>
          <c:tx>
            <c:strRef>
              <c:f>'Model-conso-complet-v2'!$B$7</c:f>
              <c:strCache>
                <c:ptCount val="1"/>
                <c:pt idx="0">
                  <c:v>NPK sensor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('Model-conso-complet-v2'!$A$3,'Model-conso-complet-v2'!$A$11,'Model-conso-complet-v2'!$A$19,'Model-conso-complet-v2'!$A$27)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</c:numCache>
            </c:numRef>
          </c:cat>
          <c:val>
            <c:numRef>
              <c:f>('Model-conso-complet-v2'!$N$7,'Model-conso-complet-v2'!$N$15,'Model-conso-complet-v2'!$N$23,'Model-conso-complet-v2'!$N$31)</c:f>
              <c:numCache>
                <c:formatCode>0.000000%</c:formatCode>
                <c:ptCount val="4"/>
                <c:pt idx="0">
                  <c:v>1.1216447597598858E-5</c:v>
                </c:pt>
                <c:pt idx="1">
                  <c:v>2.0830545538397875E-5</c:v>
                </c:pt>
                <c:pt idx="2">
                  <c:v>3.04446434791969E-5</c:v>
                </c:pt>
                <c:pt idx="3">
                  <c:v>4.0058741419995922E-5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4F-4883-B75C-FB394199303F}"/>
            </c:ext>
          </c:extLst>
        </c:ser>
        <c:ser>
          <c:idx val="6"/>
          <c:order val="6"/>
          <c:tx>
            <c:strRef>
              <c:f>'Model-conso-complet-v2'!$B$10</c:f>
              <c:strCache>
                <c:ptCount val="1"/>
                <c:pt idx="0">
                  <c:v>Screen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('Model-conso-complet-v2'!$A$3,'Model-conso-complet-v2'!$A$11,'Model-conso-complet-v2'!$A$19,'Model-conso-complet-v2'!$A$27)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</c:numCache>
            </c:numRef>
          </c:cat>
          <c:val>
            <c:numRef>
              <c:f>('Model-conso-complet-v2'!$N$10,'Model-conso-complet-v2'!$N$18,'Model-conso-complet-v2'!$N$26,'Model-conso-complet-v2'!$N$34)</c:f>
              <c:numCache>
                <c:formatCode>0.000000%</c:formatCode>
                <c:ptCount val="4"/>
                <c:pt idx="0">
                  <c:v>1.0468684424425601E-3</c:v>
                </c:pt>
                <c:pt idx="1">
                  <c:v>1.9441842502504686E-3</c:v>
                </c:pt>
                <c:pt idx="2">
                  <c:v>2.8415000580583774E-3</c:v>
                </c:pt>
                <c:pt idx="3">
                  <c:v>3.7388158658662862E-3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44F-4883-B75C-FB394199303F}"/>
            </c:ext>
          </c:extLst>
        </c:ser>
        <c:ser>
          <c:idx val="7"/>
          <c:order val="7"/>
          <c:tx>
            <c:strRef>
              <c:f>'Model-conso-complet-v2'!$A$1:$A$2</c:f>
              <c:strCache>
                <c:ptCount val="2"/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('Model-conso-complet-v2'!$A$3,'Model-conso-complet-v2'!$A$11,'Model-conso-complet-v2'!$A$19,'Model-conso-complet-v2'!$A$27)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544F-4883-B75C-FB39419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029663"/>
        <c:axId val="1158036863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'Model-conso-complet-v2'!$B$3</c15:sqref>
                        </c15:formulaRef>
                      </c:ext>
                    </c:extLst>
                    <c:strCache>
                      <c:ptCount val="1"/>
                      <c:pt idx="0">
                        <c:v>Microcontroleur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('Model-conso-complet-v2'!$A$3,'Model-conso-complet-v2'!$A$11,'Model-conso-complet-v2'!$A$19,'Model-conso-complet-v2'!$A$27)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12</c:v>
                      </c:pt>
                      <c:pt idx="2">
                        <c:v>18</c:v>
                      </c:pt>
                      <c:pt idx="3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('Model-conso-complet-v2'!$N$3,'Model-conso-complet-v2'!$N$11,'Model-conso-complet-v2'!$N$19,'Model-conso-complet-v2'!$N$27)</c15:sqref>
                        </c15:formulaRef>
                      </c:ext>
                    </c:extLst>
                    <c:numCache>
                      <c:formatCode>0.000000%</c:formatCode>
                      <c:ptCount val="4"/>
                      <c:pt idx="0">
                        <c:v>7.1133215137625605E-2</c:v>
                      </c:pt>
                      <c:pt idx="1">
                        <c:v>7.1189617845544964E-2</c:v>
                      </c:pt>
                      <c:pt idx="2">
                        <c:v>7.1246020553464323E-2</c:v>
                      </c:pt>
                      <c:pt idx="3">
                        <c:v>7.1302423261383682E-2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44F-4883-B75C-FB394199303F}"/>
                  </c:ext>
                </c:extLst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'Model-conso-complet-v2'!$B$8</c15:sqref>
                        </c15:formulaRef>
                      </c:ext>
                    </c:extLst>
                    <c:strCache>
                      <c:ptCount val="1"/>
                      <c:pt idx="0">
                        <c:v>Central unit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('Model-conso-complet-v2'!$A$3,'Model-conso-complet-v2'!$A$11,'Model-conso-complet-v2'!$A$19,'Model-conso-complet-v2'!$A$27)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12</c:v>
                      </c:pt>
                      <c:pt idx="2">
                        <c:v>18</c:v>
                      </c:pt>
                      <c:pt idx="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('Model-conso-complet-v2'!$N$8,'Model-conso-complet-v2'!$N$16,'Model-conso-complet-v2'!$N$24,'Model-conso-complet-v2'!$N$32)</c15:sqref>
                        </c15:formulaRef>
                      </c:ext>
                    </c:extLst>
                    <c:numCache>
                      <c:formatCode>0.000000%</c:formatCode>
                      <c:ptCount val="4"/>
                      <c:pt idx="0">
                        <c:v>0.9244489286630525</c:v>
                      </c:pt>
                      <c:pt idx="1">
                        <c:v>0.92573080838849242</c:v>
                      </c:pt>
                      <c:pt idx="2">
                        <c:v>0.92701268811393223</c:v>
                      </c:pt>
                      <c:pt idx="3">
                        <c:v>0.92829456783937214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44F-4883-B75C-FB394199303F}"/>
                  </c:ext>
                </c:extLst>
              </c15:ser>
            </c15:filteredAreaSeries>
          </c:ext>
        </c:extLst>
      </c:areaChart>
      <c:catAx>
        <c:axId val="1158029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8036863"/>
        <c:crosses val="autoZero"/>
        <c:auto val="1"/>
        <c:lblAlgn val="ctr"/>
        <c:lblOffset val="100"/>
        <c:noMultiLvlLbl val="0"/>
      </c:catAx>
      <c:valAx>
        <c:axId val="1158036863"/>
        <c:scaling>
          <c:orientation val="minMax"/>
          <c:max val="7.0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Consumption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802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656291</xdr:colOff>
      <xdr:row>23</xdr:row>
      <xdr:rowOff>168089</xdr:rowOff>
    </xdr:from>
    <xdr:to>
      <xdr:col>17</xdr:col>
      <xdr:colOff>1616820</xdr:colOff>
      <xdr:row>44</xdr:row>
      <xdr:rowOff>97679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8CA2E551-1B39-971C-140C-DF48F343A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1120775</xdr:colOff>
      <xdr:row>13</xdr:row>
      <xdr:rowOff>47625</xdr:rowOff>
    </xdr:from>
    <xdr:to>
      <xdr:col>7</xdr:col>
      <xdr:colOff>533400</xdr:colOff>
      <xdr:row>33</xdr:row>
      <xdr:rowOff>125412</xdr:rowOff>
    </xdr:to>
    <xdr:graphicFrame macro="">
      <xdr:nvGraphicFramePr>
        <xdr:cNvPr id="60" name="Graphique 2">
          <a:extLst>
            <a:ext uri="{FF2B5EF4-FFF2-40B4-BE49-F238E27FC236}">
              <a16:creationId xmlns:a16="http://schemas.microsoft.com/office/drawing/2014/main" id="{CEBF79D7-CE03-261B-4249-8752109D1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408616</xdr:colOff>
      <xdr:row>3</xdr:row>
      <xdr:rowOff>169689</xdr:rowOff>
    </xdr:from>
    <xdr:to>
      <xdr:col>27</xdr:col>
      <xdr:colOff>224919</xdr:colOff>
      <xdr:row>27</xdr:row>
      <xdr:rowOff>33618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CC5A1E7-C6FD-4720-F081-2880E1A76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34</xdr:row>
      <xdr:rowOff>152400</xdr:rowOff>
    </xdr:from>
    <xdr:to>
      <xdr:col>11</xdr:col>
      <xdr:colOff>314325</xdr:colOff>
      <xdr:row>58</xdr:row>
      <xdr:rowOff>19050</xdr:rowOff>
    </xdr:to>
    <xdr:graphicFrame macro="">
      <xdr:nvGraphicFramePr>
        <xdr:cNvPr id="9" name="Graphique 9">
          <a:extLst>
            <a:ext uri="{FF2B5EF4-FFF2-40B4-BE49-F238E27FC236}">
              <a16:creationId xmlns:a16="http://schemas.microsoft.com/office/drawing/2014/main" id="{0924D5F9-5BF3-9211-E71E-9D9B4EFE7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938" TargetMode="External"/><Relationship Id="rId2" Type="http://schemas.openxmlformats.org/officeDocument/2006/relationships/hyperlink" Target="https://www.mouser.fr/datasheet/2/682/Datasheet_SHT3x_DIS-3539332.pdf" TargetMode="External"/><Relationship Id="rId1" Type="http://schemas.openxmlformats.org/officeDocument/2006/relationships/hyperlink" Target="https://fr.aliexpress.com/i/1005005684119688.html" TargetMode="External"/><Relationship Id="rId6" Type="http://schemas.openxmlformats.org/officeDocument/2006/relationships/hyperlink" Target="https://www.es-france.com/19742-capteur-ph-conductivite-temperature-sans-calibration-oc300-oc1250.html" TargetMode="External"/><Relationship Id="rId5" Type="http://schemas.openxmlformats.org/officeDocument/2006/relationships/hyperlink" Target="https://www.raspberrypi.org/products/raspberry-pi-4-model-b/" TargetMode="External"/><Relationship Id="rId4" Type="http://schemas.openxmlformats.org/officeDocument/2006/relationships/hyperlink" Target="https://www.espressif.com/en/products/socs/esp3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eeexplore-ieee-org.sid2nomade-2.grenet.fr/document/648282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zoomScale="145" zoomScaleNormal="145" workbookViewId="0">
      <selection activeCell="B5" sqref="B5"/>
    </sheetView>
  </sheetViews>
  <sheetFormatPr baseColWidth="10" defaultColWidth="9.1796875" defaultRowHeight="14.5" x14ac:dyDescent="0.35"/>
  <cols>
    <col min="1" max="1" width="15.7265625" customWidth="1"/>
    <col min="2" max="2" width="62.26953125" customWidth="1"/>
    <col min="3" max="3" width="25" bestFit="1" customWidth="1"/>
    <col min="4" max="4" width="14.26953125" customWidth="1"/>
    <col min="5" max="5" width="16.54296875" bestFit="1" customWidth="1"/>
  </cols>
  <sheetData>
    <row r="1" spans="1:5" ht="15" thickBot="1" x14ac:dyDescent="0.4">
      <c r="A1" s="1"/>
    </row>
    <row r="2" spans="1:5" ht="15" thickBot="1" x14ac:dyDescent="0.4">
      <c r="B2" s="4" t="s">
        <v>0</v>
      </c>
      <c r="C2" s="4" t="s">
        <v>1</v>
      </c>
      <c r="D2" s="6" t="s">
        <v>2</v>
      </c>
      <c r="E2" s="5" t="s">
        <v>3</v>
      </c>
    </row>
    <row r="3" spans="1:5" ht="116.5" thickBot="1" x14ac:dyDescent="0.4">
      <c r="B3" s="3" t="s">
        <v>4</v>
      </c>
      <c r="C3" s="3" t="s">
        <v>5</v>
      </c>
      <c r="D3" s="7" t="s">
        <v>6</v>
      </c>
      <c r="E3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246C-CC93-4EC5-ABE2-013139E09C73}">
  <dimension ref="A1:AF30"/>
  <sheetViews>
    <sheetView zoomScale="40" zoomScaleNormal="40" workbookViewId="0">
      <selection activeCell="K3" sqref="K3:K11"/>
    </sheetView>
  </sheetViews>
  <sheetFormatPr baseColWidth="10" defaultColWidth="9.1796875" defaultRowHeight="14.5" x14ac:dyDescent="0.35"/>
  <cols>
    <col min="1" max="1" width="35.453125" customWidth="1"/>
    <col min="2" max="2" width="34.7265625" customWidth="1"/>
    <col min="3" max="3" width="32.7265625" customWidth="1"/>
    <col min="4" max="6" width="7.81640625" bestFit="1" customWidth="1"/>
    <col min="7" max="9" width="11.26953125" customWidth="1"/>
    <col min="10" max="10" width="7.453125" bestFit="1" customWidth="1"/>
    <col min="11" max="12" width="7.81640625" bestFit="1" customWidth="1"/>
    <col min="13" max="15" width="12.1796875" customWidth="1"/>
    <col min="16" max="18" width="14.1796875" customWidth="1"/>
    <col min="19" max="19" width="11" bestFit="1" customWidth="1"/>
    <col min="20" max="20" width="120.453125" customWidth="1"/>
    <col min="21" max="21" width="18" bestFit="1" customWidth="1"/>
  </cols>
  <sheetData>
    <row r="1" spans="1:32" ht="24" thickBot="1" x14ac:dyDescent="0.4">
      <c r="A1" s="190" t="s">
        <v>8</v>
      </c>
      <c r="B1" s="186" t="s">
        <v>9</v>
      </c>
      <c r="C1" s="188" t="s">
        <v>10</v>
      </c>
      <c r="D1" s="192" t="s">
        <v>11</v>
      </c>
      <c r="E1" s="193"/>
      <c r="F1" s="193"/>
      <c r="G1" s="192" t="s">
        <v>12</v>
      </c>
      <c r="H1" s="193"/>
      <c r="I1" s="193"/>
      <c r="J1" s="192" t="s">
        <v>13</v>
      </c>
      <c r="K1" s="193"/>
      <c r="L1" s="193"/>
      <c r="M1" s="194" t="s">
        <v>14</v>
      </c>
      <c r="N1" s="195"/>
      <c r="O1" s="196"/>
      <c r="P1" s="197" t="s">
        <v>15</v>
      </c>
      <c r="Q1" s="198"/>
      <c r="R1" s="199"/>
      <c r="S1" s="184" t="s">
        <v>16</v>
      </c>
      <c r="T1" s="184" t="s">
        <v>17</v>
      </c>
    </row>
    <row r="2" spans="1:32" ht="26.5" thickBot="1" x14ac:dyDescent="0.4">
      <c r="A2" s="191"/>
      <c r="B2" s="187"/>
      <c r="C2" s="189"/>
      <c r="D2" s="35" t="s">
        <v>18</v>
      </c>
      <c r="E2" s="34" t="s">
        <v>19</v>
      </c>
      <c r="F2" s="34" t="s">
        <v>20</v>
      </c>
      <c r="G2" s="35" t="s">
        <v>18</v>
      </c>
      <c r="H2" s="34" t="s">
        <v>19</v>
      </c>
      <c r="I2" s="34" t="s">
        <v>20</v>
      </c>
      <c r="J2" s="35" t="s">
        <v>18</v>
      </c>
      <c r="K2" s="34" t="s">
        <v>19</v>
      </c>
      <c r="L2" s="34" t="s">
        <v>20</v>
      </c>
      <c r="M2" s="36" t="s">
        <v>18</v>
      </c>
      <c r="N2" s="37" t="s">
        <v>19</v>
      </c>
      <c r="O2" s="86" t="s">
        <v>20</v>
      </c>
      <c r="P2" s="35" t="s">
        <v>18</v>
      </c>
      <c r="Q2" s="34" t="s">
        <v>19</v>
      </c>
      <c r="R2" s="38" t="s">
        <v>20</v>
      </c>
      <c r="S2" s="185"/>
      <c r="T2" s="185"/>
    </row>
    <row r="3" spans="1:32" x14ac:dyDescent="0.35">
      <c r="A3" s="180" t="s">
        <v>21</v>
      </c>
      <c r="B3" s="27" t="s">
        <v>22</v>
      </c>
      <c r="C3" s="23">
        <v>3.3</v>
      </c>
      <c r="D3" s="10" t="s">
        <v>23</v>
      </c>
      <c r="E3" s="41">
        <v>0.15</v>
      </c>
      <c r="F3" s="17" t="s">
        <v>23</v>
      </c>
      <c r="G3" s="10">
        <v>5</v>
      </c>
      <c r="H3" s="11">
        <v>10</v>
      </c>
      <c r="I3" s="17">
        <v>20</v>
      </c>
      <c r="J3" s="10"/>
      <c r="K3" s="41">
        <v>7.0000000000000007E-2</v>
      </c>
      <c r="L3" s="17"/>
      <c r="M3" s="10"/>
      <c r="N3" s="41">
        <f>(12*3600)-H3</f>
        <v>43190</v>
      </c>
      <c r="O3" s="17"/>
      <c r="P3" s="10"/>
      <c r="Q3" s="41">
        <f>C3*(E3*H3+K3*N3)/3600</f>
        <v>2.7727333333333335</v>
      </c>
      <c r="R3" s="50"/>
      <c r="S3" s="20">
        <v>3.59</v>
      </c>
      <c r="T3" s="77" t="s">
        <v>24</v>
      </c>
    </row>
    <row r="4" spans="1:32" ht="15" thickBot="1" x14ac:dyDescent="0.4">
      <c r="A4" s="181"/>
      <c r="B4" s="28" t="s">
        <v>25</v>
      </c>
      <c r="C4" s="24">
        <v>1.2</v>
      </c>
      <c r="D4" s="12" t="s">
        <v>23</v>
      </c>
      <c r="E4" s="16">
        <v>5.7000000000000002E-2</v>
      </c>
      <c r="F4" s="18" t="s">
        <v>23</v>
      </c>
      <c r="G4" s="12"/>
      <c r="H4" s="16">
        <f>0.007796+A15*(1.1*10^-3)</f>
        <v>8.8959999999999994E-3</v>
      </c>
      <c r="I4" s="18"/>
      <c r="J4" s="12"/>
      <c r="K4" s="16">
        <v>2.5000000000000002E-6</v>
      </c>
      <c r="L4" s="18"/>
      <c r="M4" s="12"/>
      <c r="N4" s="16">
        <f>(12*3600)-H4</f>
        <v>43199.991104000001</v>
      </c>
      <c r="O4" s="18"/>
      <c r="P4" s="12"/>
      <c r="Q4" s="16">
        <f>C4*(E4*H4+K4*N4)/3600</f>
        <v>3.6169016586666664E-5</v>
      </c>
      <c r="R4" s="51"/>
      <c r="S4" s="21"/>
      <c r="T4" s="13"/>
    </row>
    <row r="5" spans="1:32" ht="15" thickBot="1" x14ac:dyDescent="0.4">
      <c r="A5" s="182"/>
      <c r="B5" s="76" t="s">
        <v>26</v>
      </c>
      <c r="C5" s="24">
        <v>4</v>
      </c>
      <c r="D5" s="12" t="s">
        <v>23</v>
      </c>
      <c r="E5" s="16">
        <v>5.9999999999999995E-4</v>
      </c>
      <c r="F5" s="31">
        <v>1.5E-3</v>
      </c>
      <c r="G5" s="32">
        <v>2.5000000000000001E-3</v>
      </c>
      <c r="H5" s="16">
        <f>(I5-G5)/2</f>
        <v>5.0000000000000001E-3</v>
      </c>
      <c r="I5" s="31">
        <v>1.2500000000000001E-2</v>
      </c>
      <c r="J5" s="12"/>
      <c r="K5" s="16">
        <v>1.7E-6</v>
      </c>
      <c r="L5" s="85"/>
      <c r="M5" s="12"/>
      <c r="N5" s="16">
        <f>(12*3600)-H5</f>
        <v>43199.995000000003</v>
      </c>
      <c r="O5" s="18"/>
      <c r="P5" s="12"/>
      <c r="Q5" s="16">
        <f>C5*(E5*H5+K5*N5)/3600</f>
        <v>8.1603323888888906E-5</v>
      </c>
      <c r="R5" s="51"/>
      <c r="S5" s="21">
        <v>3.24</v>
      </c>
      <c r="T5" s="78" t="s">
        <v>27</v>
      </c>
    </row>
    <row r="6" spans="1:32" x14ac:dyDescent="0.35">
      <c r="A6" s="180"/>
      <c r="B6" s="28" t="s">
        <v>28</v>
      </c>
      <c r="C6" s="24">
        <v>4.5</v>
      </c>
      <c r="D6" s="12" t="s">
        <v>23</v>
      </c>
      <c r="E6" s="16">
        <v>0.09</v>
      </c>
      <c r="F6" s="18" t="s">
        <v>23</v>
      </c>
      <c r="G6" s="12"/>
      <c r="H6" s="8">
        <v>1</v>
      </c>
      <c r="I6" s="85"/>
      <c r="J6" s="12"/>
      <c r="K6" s="16">
        <v>1E-3</v>
      </c>
      <c r="L6" s="18"/>
      <c r="M6" s="12"/>
      <c r="N6" s="16">
        <f>(12*3600)-H6</f>
        <v>43199</v>
      </c>
      <c r="O6" s="18"/>
      <c r="P6" s="12"/>
      <c r="Q6" s="16">
        <f>C6*(E6*H6+K6*N6)/3600</f>
        <v>5.411125E-2</v>
      </c>
      <c r="R6" s="51"/>
      <c r="S6" s="21"/>
      <c r="T6" s="79" t="s">
        <v>29</v>
      </c>
    </row>
    <row r="7" spans="1:32" ht="14.25" customHeight="1" thickBot="1" x14ac:dyDescent="0.4">
      <c r="A7" s="183"/>
      <c r="B7" s="33" t="s">
        <v>30</v>
      </c>
      <c r="C7" s="83">
        <v>4.5</v>
      </c>
      <c r="D7" s="48">
        <v>4.0000000000000001E-3</v>
      </c>
      <c r="E7" s="54">
        <v>0.01</v>
      </c>
      <c r="F7" s="42">
        <v>0.02</v>
      </c>
      <c r="G7" s="43"/>
      <c r="H7" s="9">
        <v>1</v>
      </c>
      <c r="I7" s="44"/>
      <c r="J7" s="43"/>
      <c r="K7" s="9"/>
      <c r="L7" s="44"/>
      <c r="M7" s="43"/>
      <c r="N7" s="54">
        <f>(12*3600)-H7</f>
        <v>43199</v>
      </c>
      <c r="O7" s="44"/>
      <c r="P7" s="43"/>
      <c r="Q7" s="54">
        <f>C7*(E7*H7+K7*N7)/3600</f>
        <v>1.2499999999999999E-5</v>
      </c>
      <c r="R7" s="55"/>
      <c r="S7" s="26">
        <v>17.79</v>
      </c>
      <c r="T7" s="80" t="s">
        <v>31</v>
      </c>
    </row>
    <row r="8" spans="1:32" ht="9.75" customHeight="1" thickBot="1" x14ac:dyDescent="0.4">
      <c r="A8" s="90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2"/>
    </row>
    <row r="9" spans="1:32" x14ac:dyDescent="0.35">
      <c r="A9" s="180" t="s">
        <v>32</v>
      </c>
      <c r="B9" s="27" t="s">
        <v>33</v>
      </c>
      <c r="C9" s="84">
        <v>5</v>
      </c>
      <c r="D9" s="30"/>
      <c r="E9" s="11">
        <v>1.8</v>
      </c>
      <c r="F9" s="17"/>
      <c r="G9" s="10"/>
      <c r="H9" s="11">
        <f>3600/2</f>
        <v>1800</v>
      </c>
      <c r="I9" s="17"/>
      <c r="J9" s="10"/>
      <c r="K9" s="11">
        <v>0.6</v>
      </c>
      <c r="L9" s="17"/>
      <c r="M9" s="10"/>
      <c r="N9" s="41">
        <f>(12*3600)-H9</f>
        <v>41400</v>
      </c>
      <c r="O9" s="17"/>
      <c r="P9" s="10"/>
      <c r="Q9" s="41">
        <f>C9*(E9*H9+K9*N9)/3600</f>
        <v>39</v>
      </c>
      <c r="R9" s="50"/>
      <c r="S9" s="20">
        <v>55.56</v>
      </c>
      <c r="T9" s="77" t="s">
        <v>34</v>
      </c>
    </row>
    <row r="10" spans="1:32" x14ac:dyDescent="0.35">
      <c r="A10" s="183"/>
      <c r="B10" s="28" t="s">
        <v>35</v>
      </c>
      <c r="C10" s="24">
        <v>0</v>
      </c>
      <c r="D10" s="32"/>
      <c r="E10" s="16">
        <v>7.0000000000000007E-2</v>
      </c>
      <c r="F10" s="31"/>
      <c r="G10" s="12"/>
      <c r="H10" s="16">
        <f>H4+(0.18*10^-3)+(B15*1.1*10^-3)</f>
        <v>2.2276000000000001E-2</v>
      </c>
      <c r="I10" s="18"/>
      <c r="J10" s="12"/>
      <c r="K10" s="16">
        <v>2.5000000000000002E-6</v>
      </c>
      <c r="L10" s="85"/>
      <c r="M10" s="32"/>
      <c r="N10" s="16">
        <f>(12*3600)-H10</f>
        <v>43199.977723999997</v>
      </c>
      <c r="O10" s="18"/>
      <c r="P10" s="12"/>
      <c r="Q10" s="16">
        <f>C10*(E10*H10+K10*N10)/3600</f>
        <v>0</v>
      </c>
      <c r="R10" s="51"/>
      <c r="S10" s="21"/>
      <c r="T10" s="81"/>
    </row>
    <row r="11" spans="1:32" ht="15" thickBot="1" x14ac:dyDescent="0.4">
      <c r="A11" s="181"/>
      <c r="B11" s="29" t="s">
        <v>36</v>
      </c>
      <c r="C11" s="25">
        <v>5</v>
      </c>
      <c r="D11" s="49"/>
      <c r="E11" s="39">
        <v>0.84</v>
      </c>
      <c r="F11" s="40"/>
      <c r="G11" s="14"/>
      <c r="H11" s="15">
        <f>3600/2</f>
        <v>1800</v>
      </c>
      <c r="I11" s="19"/>
      <c r="J11" s="14"/>
      <c r="K11" s="15">
        <v>0</v>
      </c>
      <c r="L11" s="19"/>
      <c r="M11" s="14"/>
      <c r="N11" s="39">
        <f>(12*3600)-H11</f>
        <v>41400</v>
      </c>
      <c r="O11" s="19"/>
      <c r="P11" s="14"/>
      <c r="Q11" s="15">
        <f>C11*(E11*H11+K11*N11)/3600</f>
        <v>2.1</v>
      </c>
      <c r="R11" s="52"/>
      <c r="S11" s="22">
        <v>19.95</v>
      </c>
      <c r="T11" s="82" t="s">
        <v>37</v>
      </c>
    </row>
    <row r="12" spans="1:32" ht="15" thickBot="1" x14ac:dyDescent="0.4">
      <c r="B12" s="1"/>
    </row>
    <row r="13" spans="1:32" ht="46.5" thickBot="1" x14ac:dyDescent="1.05">
      <c r="A13" s="209" t="s">
        <v>38</v>
      </c>
      <c r="B13" s="210"/>
      <c r="C13" s="210"/>
      <c r="D13" s="210"/>
      <c r="E13" s="210"/>
      <c r="F13" s="211"/>
      <c r="G13" s="56"/>
      <c r="H13" s="56"/>
      <c r="I13" s="56"/>
      <c r="J13" s="56"/>
      <c r="K13" s="56"/>
      <c r="L13" s="56"/>
      <c r="M13" s="56"/>
      <c r="N13" s="56"/>
      <c r="O13" s="56"/>
      <c r="P13" s="63"/>
      <c r="Q13" s="56"/>
      <c r="R13" s="56"/>
      <c r="S13" s="56"/>
      <c r="T13" s="56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</row>
    <row r="14" spans="1:32" ht="28.5" customHeight="1" thickBot="1" x14ac:dyDescent="0.6">
      <c r="A14" s="72" t="s">
        <v>39</v>
      </c>
      <c r="B14" s="74" t="s">
        <v>40</v>
      </c>
      <c r="C14" s="70" t="s">
        <v>41</v>
      </c>
      <c r="D14" s="200" t="s">
        <v>42</v>
      </c>
      <c r="E14" s="201"/>
      <c r="F14" s="202"/>
    </row>
    <row r="15" spans="1:32" ht="21.5" thickBot="1" x14ac:dyDescent="0.55000000000000004">
      <c r="A15" s="73">
        <v>1</v>
      </c>
      <c r="B15" s="75">
        <f>12*C15</f>
        <v>12</v>
      </c>
      <c r="C15" s="71">
        <v>1</v>
      </c>
      <c r="D15" s="203">
        <v>0.2016</v>
      </c>
      <c r="E15" s="204"/>
      <c r="F15" s="205"/>
    </row>
    <row r="16" spans="1:32" ht="16" thickBot="1" x14ac:dyDescent="0.4">
      <c r="B16" s="45"/>
    </row>
    <row r="17" spans="1:14" ht="31.5" thickBot="1" x14ac:dyDescent="0.75">
      <c r="A17" s="212" t="s">
        <v>43</v>
      </c>
      <c r="B17" s="213"/>
    </row>
    <row r="18" spans="1:14" x14ac:dyDescent="0.35">
      <c r="A18" s="68" t="s">
        <v>44</v>
      </c>
      <c r="B18" s="53">
        <f>SUM(S3:S7)*B15</f>
        <v>295.43999999999994</v>
      </c>
      <c r="I18" s="179" t="s">
        <v>114</v>
      </c>
      <c r="J18" s="179"/>
      <c r="M18" s="179" t="s">
        <v>115</v>
      </c>
      <c r="N18" s="179"/>
    </row>
    <row r="19" spans="1:14" ht="15" thickBot="1" x14ac:dyDescent="0.4">
      <c r="A19" s="69" t="s">
        <v>45</v>
      </c>
      <c r="B19" s="55">
        <f>SUM(S9:S11)</f>
        <v>75.510000000000005</v>
      </c>
      <c r="I19" t="s">
        <v>92</v>
      </c>
      <c r="J19" s="102">
        <f>SUMPRODUCT(C3:C7,E3:E7)</f>
        <v>1.0157999999999998</v>
      </c>
      <c r="M19" t="s">
        <v>92</v>
      </c>
      <c r="N19" s="102">
        <f>SUMPRODUCT(C9:C11,E9:E11)</f>
        <v>13.2</v>
      </c>
    </row>
    <row r="20" spans="1:14" ht="15" thickBot="1" x14ac:dyDescent="0.4">
      <c r="A20" s="61" t="s">
        <v>46</v>
      </c>
      <c r="B20" s="62">
        <f>SUM(B18:B19)</f>
        <v>370.94999999999993</v>
      </c>
      <c r="I20" t="s">
        <v>106</v>
      </c>
      <c r="J20" s="102">
        <f>SUMPRODUCT(C3:C7,K3:K7)</f>
        <v>0.23550980000000002</v>
      </c>
      <c r="M20" t="s">
        <v>106</v>
      </c>
      <c r="N20" s="102">
        <f>SUMPRODUCT(C9:C11,K9:K11)</f>
        <v>3</v>
      </c>
    </row>
    <row r="21" spans="1:14" ht="15" thickBot="1" x14ac:dyDescent="0.4"/>
    <row r="22" spans="1:14" ht="31.5" thickBot="1" x14ac:dyDescent="0.75">
      <c r="A22" s="206" t="s">
        <v>47</v>
      </c>
      <c r="B22" s="207"/>
      <c r="C22" s="208"/>
      <c r="N22">
        <v>0.55964999999999998</v>
      </c>
    </row>
    <row r="23" spans="1:14" ht="15" thickBot="1" x14ac:dyDescent="0.4">
      <c r="A23" s="57" t="s">
        <v>48</v>
      </c>
      <c r="B23" s="57" t="s">
        <v>49</v>
      </c>
      <c r="C23" s="58" t="s">
        <v>50</v>
      </c>
    </row>
    <row r="24" spans="1:14" x14ac:dyDescent="0.35">
      <c r="A24" s="65" t="s">
        <v>51</v>
      </c>
      <c r="B24" s="87">
        <f>SUM(Q3:Q11)*24/1000</f>
        <v>1.0542473965361714</v>
      </c>
      <c r="C24" s="66">
        <f>B24*$D$15</f>
        <v>0.21253627514169215</v>
      </c>
    </row>
    <row r="25" spans="1:14" x14ac:dyDescent="0.35">
      <c r="A25" s="59" t="s">
        <v>52</v>
      </c>
      <c r="B25" s="88">
        <f>B24*7</f>
        <v>7.3797317757531999</v>
      </c>
      <c r="C25" s="64">
        <f>B25*$D$15</f>
        <v>1.4877539259918451</v>
      </c>
    </row>
    <row r="26" spans="1:14" x14ac:dyDescent="0.35">
      <c r="A26" s="59" t="s">
        <v>53</v>
      </c>
      <c r="B26" s="88">
        <f>B25*4</f>
        <v>29.5189271030128</v>
      </c>
      <c r="C26" s="64">
        <f>B26*$D$15</f>
        <v>5.9510157039673803</v>
      </c>
    </row>
    <row r="27" spans="1:14" ht="15" thickBot="1" x14ac:dyDescent="0.4">
      <c r="A27" s="60" t="s">
        <v>54</v>
      </c>
      <c r="B27" s="89">
        <f>B25*52</f>
        <v>383.7460523391664</v>
      </c>
      <c r="C27" s="67">
        <f>B27*$D$15</f>
        <v>77.363204151575943</v>
      </c>
    </row>
    <row r="28" spans="1:14" ht="15.5" x14ac:dyDescent="0.35">
      <c r="B28" s="45"/>
    </row>
    <row r="29" spans="1:14" ht="15.5" x14ac:dyDescent="0.35">
      <c r="B29" s="45"/>
    </row>
    <row r="30" spans="1:14" ht="15.5" x14ac:dyDescent="0.35">
      <c r="B30" s="46"/>
    </row>
  </sheetData>
  <mergeCells count="19">
    <mergeCell ref="A22:C22"/>
    <mergeCell ref="A13:F13"/>
    <mergeCell ref="A17:B17"/>
    <mergeCell ref="I18:J18"/>
    <mergeCell ref="M18:N18"/>
    <mergeCell ref="A3:A7"/>
    <mergeCell ref="T1:T2"/>
    <mergeCell ref="B1:B2"/>
    <mergeCell ref="C1:C2"/>
    <mergeCell ref="S1:S2"/>
    <mergeCell ref="A1:A2"/>
    <mergeCell ref="D1:F1"/>
    <mergeCell ref="G1:I1"/>
    <mergeCell ref="J1:L1"/>
    <mergeCell ref="M1:O1"/>
    <mergeCell ref="P1:R1"/>
    <mergeCell ref="A9:A11"/>
    <mergeCell ref="D14:F14"/>
    <mergeCell ref="D15:F15"/>
  </mergeCells>
  <hyperlinks>
    <hyperlink ref="T7" r:id="rId1" location="nav-moretolove" xr:uid="{8D6A8102-72D6-4370-B0A6-C45F0740D61B}"/>
    <hyperlink ref="T5" r:id="rId2" xr:uid="{92231E73-01D0-4A84-B4C1-9E2E002401C0}"/>
    <hyperlink ref="T11" r:id="rId3" display="https://www.adafruit.com/product/938" xr:uid="{6662B5A6-FBD1-4D7B-BD93-83CF45A743FF}"/>
    <hyperlink ref="T3" r:id="rId4" xr:uid="{128D4918-4496-4487-BD05-547A691ED5D0}"/>
    <hyperlink ref="T9" r:id="rId5" xr:uid="{105C474E-83C9-4752-AFB0-373D29150C72}"/>
    <hyperlink ref="T6" r:id="rId6" xr:uid="{9822A96C-80B2-4563-ACB8-DE0FC6BF37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97DB7-25FF-43DD-8DD3-90B6D9F6B404}">
  <dimension ref="F1:P24"/>
  <sheetViews>
    <sheetView topLeftCell="D1" workbookViewId="0">
      <selection activeCell="L9" sqref="L9:M9"/>
    </sheetView>
  </sheetViews>
  <sheetFormatPr baseColWidth="10" defaultRowHeight="14.5" x14ac:dyDescent="0.35"/>
  <cols>
    <col min="6" max="6" width="21.26953125" bestFit="1" customWidth="1"/>
    <col min="12" max="12" width="20" customWidth="1"/>
    <col min="13" max="13" width="17" bestFit="1" customWidth="1"/>
    <col min="14" max="14" width="13.453125" bestFit="1" customWidth="1"/>
    <col min="15" max="15" width="15.81640625" bestFit="1" customWidth="1"/>
  </cols>
  <sheetData>
    <row r="1" spans="6:16" ht="15" thickBot="1" x14ac:dyDescent="0.4"/>
    <row r="2" spans="6:16" ht="15" thickBot="1" x14ac:dyDescent="0.4">
      <c r="L2" s="214" t="s">
        <v>61</v>
      </c>
      <c r="M2" s="215"/>
      <c r="O2" s="214" t="s">
        <v>77</v>
      </c>
      <c r="P2" s="215"/>
    </row>
    <row r="3" spans="6:16" ht="15" thickBot="1" x14ac:dyDescent="0.4">
      <c r="G3" t="s">
        <v>60</v>
      </c>
      <c r="L3" s="100" t="s">
        <v>67</v>
      </c>
      <c r="M3" s="101" t="s">
        <v>68</v>
      </c>
      <c r="O3" s="100" t="s">
        <v>70</v>
      </c>
      <c r="P3" s="101" t="s">
        <v>69</v>
      </c>
    </row>
    <row r="4" spans="6:16" x14ac:dyDescent="0.35">
      <c r="F4" t="s">
        <v>55</v>
      </c>
      <c r="G4" s="95">
        <v>1.2800000000000001E-3</v>
      </c>
      <c r="L4" s="27" t="s">
        <v>62</v>
      </c>
      <c r="M4" s="97">
        <f>O4*P4</f>
        <v>1.56</v>
      </c>
      <c r="O4" s="27">
        <v>1.3</v>
      </c>
      <c r="P4" s="107">
        <v>1.2</v>
      </c>
    </row>
    <row r="5" spans="6:16" x14ac:dyDescent="0.35">
      <c r="F5" t="s">
        <v>56</v>
      </c>
      <c r="G5" s="93">
        <v>3.2000000000000002E-3</v>
      </c>
      <c r="L5" s="28" t="s">
        <v>63</v>
      </c>
      <c r="M5" s="98">
        <f>O5*P5</f>
        <v>1.7999999999999998</v>
      </c>
      <c r="O5" s="28">
        <v>1.5</v>
      </c>
      <c r="P5" s="98">
        <v>1.2</v>
      </c>
    </row>
    <row r="6" spans="6:16" ht="15" thickBot="1" x14ac:dyDescent="0.4">
      <c r="F6" t="s">
        <v>57</v>
      </c>
      <c r="G6" s="94">
        <v>4.1599999999999997E-4</v>
      </c>
      <c r="L6" s="28" t="s">
        <v>64</v>
      </c>
      <c r="M6" s="98">
        <f>O6*P6</f>
        <v>3.5999999999999996</v>
      </c>
      <c r="O6" s="29">
        <v>3</v>
      </c>
      <c r="P6" s="99">
        <v>1.2</v>
      </c>
    </row>
    <row r="7" spans="6:16" x14ac:dyDescent="0.35">
      <c r="F7" t="s">
        <v>58</v>
      </c>
      <c r="G7" s="94">
        <v>6.7199999999999996E-4</v>
      </c>
      <c r="L7" s="28" t="s">
        <v>65</v>
      </c>
      <c r="M7" s="105">
        <f>O24</f>
        <v>45.670662391083269</v>
      </c>
    </row>
    <row r="8" spans="6:16" ht="15" thickBot="1" x14ac:dyDescent="0.4">
      <c r="F8" t="s">
        <v>59</v>
      </c>
      <c r="G8" s="94">
        <v>3.2000000000000003E-4</v>
      </c>
      <c r="L8" s="29" t="s">
        <v>66</v>
      </c>
      <c r="M8" s="99">
        <v>4.5</v>
      </c>
      <c r="O8" s="106" t="s">
        <v>76</v>
      </c>
    </row>
    <row r="9" spans="6:16" ht="15" thickBot="1" x14ac:dyDescent="0.4">
      <c r="L9" s="216" t="s">
        <v>75</v>
      </c>
      <c r="M9" s="217"/>
    </row>
    <row r="10" spans="6:16" ht="15" thickBot="1" x14ac:dyDescent="0.4">
      <c r="L10" s="218">
        <f>SUM(M4:M8)</f>
        <v>57.13066239108327</v>
      </c>
      <c r="M10" s="219"/>
    </row>
    <row r="23" spans="12:15" x14ac:dyDescent="0.35">
      <c r="L23" s="104" t="s">
        <v>73</v>
      </c>
      <c r="M23" s="96" t="s">
        <v>71</v>
      </c>
      <c r="N23" s="96" t="s">
        <v>72</v>
      </c>
      <c r="O23" t="s">
        <v>74</v>
      </c>
    </row>
    <row r="24" spans="12:15" x14ac:dyDescent="0.35">
      <c r="L24">
        <v>55</v>
      </c>
      <c r="M24">
        <v>14</v>
      </c>
      <c r="N24" s="103">
        <f>10^(14/10)</f>
        <v>25.118864315095799</v>
      </c>
      <c r="O24" s="103">
        <f>N24/(L24/100)</f>
        <v>45.670662391083269</v>
      </c>
    </row>
  </sheetData>
  <mergeCells count="4">
    <mergeCell ref="L2:M2"/>
    <mergeCell ref="L9:M9"/>
    <mergeCell ref="L10:M10"/>
    <mergeCell ref="O2:P2"/>
  </mergeCells>
  <hyperlinks>
    <hyperlink ref="O8" r:id="rId1" xr:uid="{64CCBCF2-ABF2-4B3E-BDED-A2ECD22EBBC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276E-9784-4228-BC77-05875D0EF82C}">
  <dimension ref="A1:Z72"/>
  <sheetViews>
    <sheetView zoomScale="85" zoomScaleNormal="85" workbookViewId="0">
      <selection activeCell="B5" sqref="B5"/>
    </sheetView>
  </sheetViews>
  <sheetFormatPr baseColWidth="10" defaultRowHeight="14.5" x14ac:dyDescent="0.35"/>
  <cols>
    <col min="1" max="1" width="12.54296875" bestFit="1" customWidth="1"/>
    <col min="2" max="2" width="14.453125" customWidth="1"/>
    <col min="3" max="3" width="15" customWidth="1"/>
    <col min="4" max="4" width="13.81640625" customWidth="1"/>
    <col min="5" max="5" width="18.1796875" customWidth="1"/>
    <col min="6" max="6" width="13.26953125" customWidth="1"/>
    <col min="7" max="7" width="14.453125" customWidth="1"/>
    <col min="8" max="8" width="13.453125" customWidth="1"/>
    <col min="9" max="12" width="13.54296875" customWidth="1"/>
    <col min="13" max="13" width="14.7265625" bestFit="1" customWidth="1"/>
    <col min="14" max="14" width="27.26953125" bestFit="1" customWidth="1"/>
    <col min="16" max="16" width="25.1796875" bestFit="1" customWidth="1"/>
    <col min="17" max="17" width="24.26953125" bestFit="1" customWidth="1"/>
    <col min="18" max="18" width="24.26953125" customWidth="1"/>
    <col min="20" max="20" width="16.54296875" bestFit="1" customWidth="1"/>
    <col min="21" max="21" width="17.54296875" bestFit="1" customWidth="1"/>
    <col min="22" max="22" width="13.453125" bestFit="1" customWidth="1"/>
    <col min="23" max="23" width="15.81640625" bestFit="1" customWidth="1"/>
  </cols>
  <sheetData>
    <row r="1" spans="1:26" ht="34" thickBot="1" x14ac:dyDescent="0.8">
      <c r="A1" s="220" t="s">
        <v>101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2"/>
    </row>
    <row r="2" spans="1:26" ht="15" thickBot="1" x14ac:dyDescent="0.4">
      <c r="A2" s="126"/>
      <c r="B2" s="224" t="s">
        <v>84</v>
      </c>
      <c r="C2" s="224"/>
      <c r="D2" s="224"/>
      <c r="E2" s="224"/>
      <c r="F2" s="225" t="s">
        <v>87</v>
      </c>
      <c r="G2" s="226"/>
      <c r="H2" s="226"/>
      <c r="I2" s="226"/>
      <c r="J2" s="96"/>
      <c r="K2" s="96"/>
      <c r="L2" s="96"/>
      <c r="R2" s="127"/>
      <c r="W2" t="s">
        <v>73</v>
      </c>
      <c r="X2" t="s">
        <v>71</v>
      </c>
      <c r="Y2" t="s">
        <v>72</v>
      </c>
      <c r="Z2" t="s">
        <v>74</v>
      </c>
    </row>
    <row r="3" spans="1:26" ht="16" thickBot="1" x14ac:dyDescent="0.4">
      <c r="A3" s="115" t="s">
        <v>93</v>
      </c>
      <c r="B3" s="225" t="s">
        <v>80</v>
      </c>
      <c r="C3" s="227"/>
      <c r="D3" s="225" t="s">
        <v>83</v>
      </c>
      <c r="E3" s="227"/>
      <c r="F3" s="228" t="s">
        <v>89</v>
      </c>
      <c r="G3" s="229"/>
      <c r="H3" s="228" t="s">
        <v>88</v>
      </c>
      <c r="I3" s="230"/>
      <c r="J3" s="8" t="s">
        <v>97</v>
      </c>
      <c r="K3" s="223" t="s">
        <v>98</v>
      </c>
      <c r="L3" s="223"/>
      <c r="Q3" s="231" t="s">
        <v>100</v>
      </c>
      <c r="R3" s="232"/>
      <c r="W3">
        <v>55</v>
      </c>
      <c r="X3">
        <v>14</v>
      </c>
      <c r="Y3">
        <v>25.118864315095799</v>
      </c>
      <c r="Z3">
        <v>45.670662391083269</v>
      </c>
    </row>
    <row r="4" spans="1:26" ht="15.5" x14ac:dyDescent="0.35">
      <c r="A4" s="115"/>
      <c r="B4" s="8" t="s">
        <v>81</v>
      </c>
      <c r="C4" s="8" t="s">
        <v>82</v>
      </c>
      <c r="D4" s="8" t="s">
        <v>81</v>
      </c>
      <c r="E4" s="8" t="s">
        <v>82</v>
      </c>
      <c r="F4" s="8" t="s">
        <v>18</v>
      </c>
      <c r="G4" s="8" t="s">
        <v>20</v>
      </c>
      <c r="H4" s="8" t="s">
        <v>18</v>
      </c>
      <c r="I4" s="18" t="s">
        <v>20</v>
      </c>
      <c r="J4" s="8"/>
      <c r="K4" s="8" t="s">
        <v>81</v>
      </c>
      <c r="L4" s="18" t="s">
        <v>82</v>
      </c>
      <c r="M4" s="123" t="s">
        <v>78</v>
      </c>
      <c r="N4" t="s">
        <v>79</v>
      </c>
      <c r="O4" t="s">
        <v>90</v>
      </c>
      <c r="P4" t="s">
        <v>91</v>
      </c>
      <c r="Q4" s="116" t="s">
        <v>81</v>
      </c>
      <c r="R4" s="117" t="s">
        <v>82</v>
      </c>
      <c r="T4" t="s">
        <v>61</v>
      </c>
    </row>
    <row r="5" spans="1:26" ht="15.5" x14ac:dyDescent="0.35">
      <c r="A5" s="115">
        <f t="shared" ref="A5:A11" si="0">$T$19*M5</f>
        <v>6000</v>
      </c>
      <c r="B5" s="108">
        <f>M5*0.01</f>
        <v>0.06</v>
      </c>
      <c r="C5" s="108">
        <f>6-M5*0.01</f>
        <v>5.94</v>
      </c>
      <c r="D5" s="108">
        <v>0.01</v>
      </c>
      <c r="E5" s="108">
        <f t="shared" ref="E5:E11" si="1">0.01+N5*0.01</f>
        <v>6.0000000000000005E-2</v>
      </c>
      <c r="F5" s="114">
        <f>B5*$T$12/(3600*$P$5)</f>
        <v>7.9348142209837873E-5</v>
      </c>
      <c r="G5" s="114">
        <f>C5*$T$12/(3600*$P$5)</f>
        <v>7.8554660787739511E-3</v>
      </c>
      <c r="H5" s="114">
        <f>D5*$T$12/(3600*$P$5)</f>
        <v>1.3224690368306314E-5</v>
      </c>
      <c r="I5" s="114">
        <f>E5*$T$12/(3600*$P$5)</f>
        <v>7.9348142209837873E-5</v>
      </c>
      <c r="J5" s="113">
        <f t="shared" ref="J5:J11" si="2">A5/(3600*$P$5)</f>
        <v>0.1388888888888889</v>
      </c>
      <c r="K5" s="113">
        <f>$F$5+$H$5+J5</f>
        <v>0.13898146172146703</v>
      </c>
      <c r="L5" s="122">
        <f>$G$5+$I$5+J5</f>
        <v>0.14682370310987269</v>
      </c>
      <c r="M5" s="124">
        <v>6</v>
      </c>
      <c r="N5">
        <f t="shared" ref="N5:N11" si="3">M5-1</f>
        <v>5</v>
      </c>
      <c r="O5">
        <v>2</v>
      </c>
      <c r="P5">
        <f>24/O5</f>
        <v>12</v>
      </c>
      <c r="Q5" s="118">
        <f>K5+K16</f>
        <v>0.1776893818603559</v>
      </c>
      <c r="R5" s="119">
        <f>L5+L16</f>
        <v>0.18553202810987268</v>
      </c>
      <c r="T5" t="s">
        <v>67</v>
      </c>
      <c r="U5" t="s">
        <v>68</v>
      </c>
    </row>
    <row r="6" spans="1:26" ht="15.5" x14ac:dyDescent="0.35">
      <c r="A6" s="115">
        <f t="shared" si="0"/>
        <v>8000</v>
      </c>
      <c r="B6" s="108">
        <f t="shared" ref="B6:B11" si="4">M6*0.01</f>
        <v>0.08</v>
      </c>
      <c r="C6" s="108">
        <f t="shared" ref="C6:C7" si="5">6-M6*0.01</f>
        <v>5.92</v>
      </c>
      <c r="D6" s="108">
        <v>0.01</v>
      </c>
      <c r="E6" s="108">
        <f t="shared" si="1"/>
        <v>0.08</v>
      </c>
      <c r="I6" s="114">
        <f t="shared" ref="I6:I11" si="6">E6*$T$12/(3600*$P$5)</f>
        <v>1.0579752294645051E-4</v>
      </c>
      <c r="J6" s="113">
        <f t="shared" si="2"/>
        <v>0.18518518518518517</v>
      </c>
      <c r="K6" s="113">
        <f t="shared" ref="K6:K11" si="7">$F$5+$H$5+J6</f>
        <v>0.18527775801776331</v>
      </c>
      <c r="L6" s="122">
        <f t="shared" ref="L6:L11" si="8">$G$5+$I$5+J6</f>
        <v>0.19311999940616897</v>
      </c>
      <c r="M6" s="124">
        <v>8</v>
      </c>
      <c r="N6">
        <f t="shared" si="3"/>
        <v>7</v>
      </c>
      <c r="Q6" s="118">
        <f t="shared" ref="Q6:Q11" si="9">K6+K17</f>
        <v>0.23488845593442997</v>
      </c>
      <c r="R6" s="119">
        <f t="shared" ref="R6:R11" si="10">L6+L17</f>
        <v>0.24273110218394675</v>
      </c>
      <c r="T6" t="s">
        <v>62</v>
      </c>
      <c r="U6">
        <v>1.56</v>
      </c>
    </row>
    <row r="7" spans="1:26" ht="15.5" x14ac:dyDescent="0.35">
      <c r="A7" s="115">
        <f t="shared" si="0"/>
        <v>10000</v>
      </c>
      <c r="B7" s="108">
        <f t="shared" si="4"/>
        <v>0.1</v>
      </c>
      <c r="C7" s="108">
        <f t="shared" si="5"/>
        <v>5.9</v>
      </c>
      <c r="D7" s="108">
        <v>0.01</v>
      </c>
      <c r="E7" s="108">
        <f t="shared" si="1"/>
        <v>9.9999999999999992E-2</v>
      </c>
      <c r="I7" s="114">
        <f t="shared" si="6"/>
        <v>1.3224690368306312E-4</v>
      </c>
      <c r="J7" s="113">
        <f t="shared" si="2"/>
        <v>0.23148148148148148</v>
      </c>
      <c r="K7" s="113">
        <f t="shared" si="7"/>
        <v>0.23157405431405961</v>
      </c>
      <c r="L7" s="122">
        <f t="shared" si="8"/>
        <v>0.23941629570246528</v>
      </c>
      <c r="M7" s="124">
        <v>10</v>
      </c>
      <c r="N7">
        <f t="shared" si="3"/>
        <v>9</v>
      </c>
      <c r="Q7" s="118">
        <f t="shared" si="9"/>
        <v>0.29208753000850407</v>
      </c>
      <c r="R7" s="119">
        <f t="shared" si="10"/>
        <v>0.29993017625802082</v>
      </c>
      <c r="T7" t="s">
        <v>63</v>
      </c>
      <c r="U7">
        <v>1.7999999999999998</v>
      </c>
    </row>
    <row r="8" spans="1:26" ht="15.5" x14ac:dyDescent="0.35">
      <c r="A8" s="115">
        <f t="shared" si="0"/>
        <v>12000</v>
      </c>
      <c r="B8" s="108">
        <f t="shared" si="4"/>
        <v>0.12</v>
      </c>
      <c r="C8" s="108">
        <v>6</v>
      </c>
      <c r="D8" s="108">
        <v>0.01</v>
      </c>
      <c r="E8" s="108">
        <f t="shared" si="1"/>
        <v>0.12</v>
      </c>
      <c r="I8" s="114">
        <f t="shared" si="6"/>
        <v>1.5869628441967575E-4</v>
      </c>
      <c r="J8" s="113">
        <f t="shared" si="2"/>
        <v>0.27777777777777779</v>
      </c>
      <c r="K8" s="113">
        <f t="shared" si="7"/>
        <v>0.27787035061035592</v>
      </c>
      <c r="L8" s="122">
        <f t="shared" si="8"/>
        <v>0.28571259199876159</v>
      </c>
      <c r="M8" s="124">
        <v>12</v>
      </c>
      <c r="N8">
        <f t="shared" si="3"/>
        <v>11</v>
      </c>
      <c r="Q8" s="118">
        <f t="shared" si="9"/>
        <v>0.34928660408257817</v>
      </c>
      <c r="R8" s="119">
        <f>L8+L19</f>
        <v>0.35712925033209492</v>
      </c>
      <c r="T8" t="s">
        <v>64</v>
      </c>
      <c r="U8">
        <v>3.5999999999999996</v>
      </c>
    </row>
    <row r="9" spans="1:26" ht="15.5" x14ac:dyDescent="0.35">
      <c r="A9" s="115">
        <f t="shared" si="0"/>
        <v>14000</v>
      </c>
      <c r="B9" s="108">
        <f t="shared" si="4"/>
        <v>0.14000000000000001</v>
      </c>
      <c r="C9" s="108">
        <f>6+M9*0.01</f>
        <v>6.14</v>
      </c>
      <c r="D9" s="108">
        <v>0.01</v>
      </c>
      <c r="E9" s="108">
        <f t="shared" si="1"/>
        <v>0.14000000000000001</v>
      </c>
      <c r="I9" s="114">
        <f t="shared" si="6"/>
        <v>1.851456651562884E-4</v>
      </c>
      <c r="J9" s="113">
        <f t="shared" si="2"/>
        <v>0.32407407407407407</v>
      </c>
      <c r="K9" s="113">
        <f t="shared" si="7"/>
        <v>0.3241666469066522</v>
      </c>
      <c r="L9" s="122">
        <f t="shared" si="8"/>
        <v>0.33200888829505787</v>
      </c>
      <c r="M9" s="124">
        <v>14</v>
      </c>
      <c r="N9">
        <f t="shared" si="3"/>
        <v>13</v>
      </c>
      <c r="Q9" s="118">
        <f t="shared" si="9"/>
        <v>0.40648567815665221</v>
      </c>
      <c r="R9" s="119">
        <f t="shared" si="10"/>
        <v>0.41432832440616896</v>
      </c>
      <c r="T9" t="s">
        <v>65</v>
      </c>
      <c r="U9" s="109">
        <v>45.670662391083269</v>
      </c>
    </row>
    <row r="10" spans="1:26" ht="15.5" x14ac:dyDescent="0.35">
      <c r="A10" s="115">
        <f t="shared" si="0"/>
        <v>16000</v>
      </c>
      <c r="B10" s="108">
        <f t="shared" si="4"/>
        <v>0.16</v>
      </c>
      <c r="C10" s="108">
        <f t="shared" ref="C10:C11" si="11">6+M10*0.01</f>
        <v>6.16</v>
      </c>
      <c r="D10" s="108">
        <v>0.01</v>
      </c>
      <c r="E10" s="108">
        <f t="shared" si="1"/>
        <v>0.16</v>
      </c>
      <c r="I10" s="114">
        <f t="shared" si="6"/>
        <v>2.1159504589290102E-4</v>
      </c>
      <c r="J10" s="113">
        <f t="shared" si="2"/>
        <v>0.37037037037037035</v>
      </c>
      <c r="K10" s="113">
        <f t="shared" si="7"/>
        <v>0.37046294320294848</v>
      </c>
      <c r="L10" s="122">
        <f t="shared" si="8"/>
        <v>0.37830518459135415</v>
      </c>
      <c r="M10" s="124">
        <v>16</v>
      </c>
      <c r="N10">
        <f t="shared" si="3"/>
        <v>15</v>
      </c>
      <c r="Q10" s="118">
        <f t="shared" si="9"/>
        <v>0.46368475223072625</v>
      </c>
      <c r="R10" s="119">
        <f t="shared" si="10"/>
        <v>0.47152739848024305</v>
      </c>
      <c r="T10" t="s">
        <v>66</v>
      </c>
      <c r="U10">
        <v>4.5</v>
      </c>
    </row>
    <row r="11" spans="1:26" ht="16" thickBot="1" x14ac:dyDescent="0.4">
      <c r="A11" s="115">
        <f t="shared" si="0"/>
        <v>18000</v>
      </c>
      <c r="B11" s="108">
        <f t="shared" si="4"/>
        <v>0.18</v>
      </c>
      <c r="C11" s="108">
        <f t="shared" si="11"/>
        <v>6.18</v>
      </c>
      <c r="D11" s="108">
        <v>0.01</v>
      </c>
      <c r="E11" s="108">
        <f t="shared" si="1"/>
        <v>0.18000000000000002</v>
      </c>
      <c r="I11" s="114">
        <f t="shared" si="6"/>
        <v>2.3804442662951367E-4</v>
      </c>
      <c r="J11" s="113">
        <f t="shared" si="2"/>
        <v>0.41666666666666669</v>
      </c>
      <c r="K11" s="113">
        <f t="shared" si="7"/>
        <v>0.41675923949924482</v>
      </c>
      <c r="L11" s="122">
        <f t="shared" si="8"/>
        <v>0.42460148088765048</v>
      </c>
      <c r="M11" s="125">
        <v>18</v>
      </c>
      <c r="N11">
        <f t="shared" si="3"/>
        <v>17</v>
      </c>
      <c r="Q11" s="120">
        <f t="shared" si="9"/>
        <v>0.52088382630480035</v>
      </c>
      <c r="R11" s="121">
        <f t="shared" si="10"/>
        <v>0.52872647255431715</v>
      </c>
      <c r="T11" t="s">
        <v>75</v>
      </c>
    </row>
    <row r="12" spans="1:26" x14ac:dyDescent="0.35">
      <c r="A12" s="126"/>
      <c r="R12" s="127"/>
      <c r="T12" s="234">
        <v>57.13066239108327</v>
      </c>
      <c r="U12" s="234"/>
    </row>
    <row r="13" spans="1:26" x14ac:dyDescent="0.35">
      <c r="A13" s="126"/>
      <c r="B13" t="s">
        <v>85</v>
      </c>
      <c r="F13" s="112" t="s">
        <v>87</v>
      </c>
      <c r="G13" s="110"/>
      <c r="H13" s="110"/>
      <c r="I13" s="110"/>
      <c r="R13" s="127"/>
    </row>
    <row r="14" spans="1:26" x14ac:dyDescent="0.35">
      <c r="A14" s="115"/>
      <c r="B14" s="108" t="s">
        <v>80</v>
      </c>
      <c r="C14" s="108"/>
      <c r="D14" s="108" t="s">
        <v>83</v>
      </c>
      <c r="E14" s="108"/>
      <c r="F14" s="85" t="s">
        <v>89</v>
      </c>
      <c r="G14" s="111"/>
      <c r="H14" s="85" t="s">
        <v>88</v>
      </c>
      <c r="I14" s="111"/>
      <c r="J14" s="8" t="s">
        <v>97</v>
      </c>
      <c r="K14" s="223" t="s">
        <v>99</v>
      </c>
      <c r="L14" s="223"/>
      <c r="R14" s="127"/>
      <c r="T14" s="179" t="s">
        <v>86</v>
      </c>
      <c r="U14" s="179"/>
    </row>
    <row r="15" spans="1:26" x14ac:dyDescent="0.35">
      <c r="A15" s="115"/>
      <c r="B15" s="8" t="s">
        <v>81</v>
      </c>
      <c r="C15" s="8" t="s">
        <v>82</v>
      </c>
      <c r="D15" s="8" t="s">
        <v>82</v>
      </c>
      <c r="E15" s="8" t="s">
        <v>81</v>
      </c>
      <c r="F15" s="108" t="s">
        <v>18</v>
      </c>
      <c r="G15" s="108" t="s">
        <v>20</v>
      </c>
      <c r="H15" s="108" t="s">
        <v>20</v>
      </c>
      <c r="I15" s="108" t="s">
        <v>18</v>
      </c>
      <c r="J15" s="8"/>
      <c r="K15" s="8" t="s">
        <v>81</v>
      </c>
      <c r="L15" s="8" t="s">
        <v>82</v>
      </c>
      <c r="R15" s="131">
        <f>R8*2</f>
        <v>0.71425850066418983</v>
      </c>
      <c r="T15" s="233">
        <f>0.0025*1.2</f>
        <v>3.0000000000000001E-3</v>
      </c>
      <c r="U15" s="233"/>
    </row>
    <row r="16" spans="1:26" x14ac:dyDescent="0.35">
      <c r="A16" s="115">
        <f>$U$19*M5</f>
        <v>1413</v>
      </c>
      <c r="B16" s="108">
        <f t="shared" ref="B16:B22" si="12">3600*$P$5-C5</f>
        <v>43194.06</v>
      </c>
      <c r="C16" s="108">
        <f t="shared" ref="C16:C22" si="13">3600*$P$5-B5</f>
        <v>43199.94</v>
      </c>
      <c r="D16" s="108">
        <f t="shared" ref="D16:E22" si="14">3600*$P$5-D5</f>
        <v>43199.99</v>
      </c>
      <c r="E16" s="108">
        <f t="shared" si="14"/>
        <v>43199.94</v>
      </c>
      <c r="F16" s="114">
        <f>B16*$T$15/(3600*$P$5)</f>
        <v>2.9995874999999999E-3</v>
      </c>
      <c r="G16" s="114">
        <f>C16*$T$15/(3600*$P$5)</f>
        <v>2.9999958333333339E-3</v>
      </c>
      <c r="H16" s="114">
        <f>D16*$T$15/(3600*$P$5)</f>
        <v>2.9999993055555554E-3</v>
      </c>
      <c r="I16" s="114">
        <f>E16*$T$15/(3600*$P$5)</f>
        <v>2.9999958333333339E-3</v>
      </c>
      <c r="J16" s="113">
        <f t="shared" ref="J16:J22" si="15">A16/(3600*$P$5)</f>
        <v>3.2708333333333332E-2</v>
      </c>
      <c r="K16" s="113">
        <f>$F$16+$H$16+J16</f>
        <v>3.8707920138888886E-2</v>
      </c>
      <c r="L16" s="113">
        <f>$G$16+$I$16+J16</f>
        <v>3.8708325000000002E-2</v>
      </c>
      <c r="R16" s="127"/>
    </row>
    <row r="17" spans="1:21" x14ac:dyDescent="0.35">
      <c r="A17" s="115">
        <f t="shared" ref="A17:A22" si="16">$U$19*M6</f>
        <v>1884</v>
      </c>
      <c r="B17" s="108">
        <f t="shared" si="12"/>
        <v>43194.080000000002</v>
      </c>
      <c r="C17" s="108">
        <f t="shared" si="13"/>
        <v>43199.92</v>
      </c>
      <c r="D17" s="108">
        <f t="shared" si="14"/>
        <v>43199.99</v>
      </c>
      <c r="E17" s="108">
        <f t="shared" si="14"/>
        <v>43199.92</v>
      </c>
      <c r="I17" s="114">
        <f t="shared" ref="I17:I22" si="17">E17*$T$15/(3600*$P$5)</f>
        <v>2.9999944444444445E-3</v>
      </c>
      <c r="J17" s="113">
        <f t="shared" si="15"/>
        <v>4.3611111111111114E-2</v>
      </c>
      <c r="K17" s="113">
        <f t="shared" ref="K17:K22" si="18">$F$16+$H$16+J17</f>
        <v>4.9610697916666668E-2</v>
      </c>
      <c r="L17" s="113">
        <f t="shared" ref="L17:L22" si="19">$G$16+$I$16+J17</f>
        <v>4.9611102777777784E-2</v>
      </c>
      <c r="R17" s="127"/>
      <c r="T17" t="s">
        <v>94</v>
      </c>
    </row>
    <row r="18" spans="1:21" x14ac:dyDescent="0.35">
      <c r="A18" s="115">
        <f t="shared" si="16"/>
        <v>2355</v>
      </c>
      <c r="B18" s="108">
        <f t="shared" si="12"/>
        <v>43194.1</v>
      </c>
      <c r="C18" s="108">
        <f t="shared" si="13"/>
        <v>43199.9</v>
      </c>
      <c r="D18" s="108">
        <f t="shared" si="14"/>
        <v>43199.99</v>
      </c>
      <c r="E18" s="108">
        <f t="shared" si="14"/>
        <v>43199.9</v>
      </c>
      <c r="I18" s="114">
        <f t="shared" si="17"/>
        <v>2.9999930555555557E-3</v>
      </c>
      <c r="J18" s="113">
        <f t="shared" si="15"/>
        <v>5.451388888888889E-2</v>
      </c>
      <c r="K18" s="113">
        <f t="shared" si="18"/>
        <v>6.0513475694444444E-2</v>
      </c>
      <c r="L18" s="113">
        <f t="shared" si="19"/>
        <v>6.0513880555555559E-2</v>
      </c>
      <c r="R18" s="127"/>
      <c r="T18" t="s">
        <v>95</v>
      </c>
      <c r="U18" t="s">
        <v>96</v>
      </c>
    </row>
    <row r="19" spans="1:21" x14ac:dyDescent="0.35">
      <c r="A19" s="115">
        <f t="shared" si="16"/>
        <v>2826</v>
      </c>
      <c r="B19" s="108">
        <f t="shared" si="12"/>
        <v>43194</v>
      </c>
      <c r="C19" s="108">
        <f t="shared" si="13"/>
        <v>43199.88</v>
      </c>
      <c r="D19" s="108">
        <f t="shared" si="14"/>
        <v>43199.99</v>
      </c>
      <c r="E19" s="108">
        <f t="shared" si="14"/>
        <v>43199.88</v>
      </c>
      <c r="I19" s="114">
        <f t="shared" si="17"/>
        <v>2.9999916666666663E-3</v>
      </c>
      <c r="J19" s="113">
        <f t="shared" si="15"/>
        <v>6.5416666666666665E-2</v>
      </c>
      <c r="K19" s="113">
        <f t="shared" si="18"/>
        <v>7.1416253472222219E-2</v>
      </c>
      <c r="L19" s="113">
        <f t="shared" si="19"/>
        <v>7.1416658333333327E-2</v>
      </c>
      <c r="R19" s="127"/>
      <c r="T19">
        <v>1000</v>
      </c>
      <c r="U19">
        <v>235.5</v>
      </c>
    </row>
    <row r="20" spans="1:21" x14ac:dyDescent="0.35">
      <c r="A20" s="115">
        <f>$U$19*M9</f>
        <v>3297</v>
      </c>
      <c r="B20" s="108">
        <f t="shared" si="12"/>
        <v>43193.86</v>
      </c>
      <c r="C20" s="108">
        <f t="shared" si="13"/>
        <v>43199.86</v>
      </c>
      <c r="D20" s="108">
        <f t="shared" si="14"/>
        <v>43199.99</v>
      </c>
      <c r="E20" s="108">
        <f t="shared" si="14"/>
        <v>43199.86</v>
      </c>
      <c r="I20" s="114">
        <f t="shared" si="17"/>
        <v>2.9999902777777779E-3</v>
      </c>
      <c r="J20" s="113">
        <f t="shared" si="15"/>
        <v>7.631944444444444E-2</v>
      </c>
      <c r="K20" s="113">
        <f t="shared" si="18"/>
        <v>8.2319031249999994E-2</v>
      </c>
      <c r="L20" s="113">
        <f t="shared" si="19"/>
        <v>8.2319436111111102E-2</v>
      </c>
      <c r="R20" s="127"/>
      <c r="T20">
        <v>559</v>
      </c>
    </row>
    <row r="21" spans="1:21" x14ac:dyDescent="0.35">
      <c r="A21" s="115">
        <f t="shared" si="16"/>
        <v>3768</v>
      </c>
      <c r="B21" s="108">
        <f t="shared" si="12"/>
        <v>43193.84</v>
      </c>
      <c r="C21" s="108">
        <f t="shared" si="13"/>
        <v>43199.839999999997</v>
      </c>
      <c r="D21" s="108">
        <f t="shared" si="14"/>
        <v>43199.99</v>
      </c>
      <c r="E21" s="108">
        <f t="shared" si="14"/>
        <v>43199.839999999997</v>
      </c>
      <c r="I21" s="114">
        <f t="shared" si="17"/>
        <v>2.9999888888888886E-3</v>
      </c>
      <c r="J21" s="113">
        <f t="shared" si="15"/>
        <v>8.7222222222222229E-2</v>
      </c>
      <c r="K21" s="113">
        <f t="shared" si="18"/>
        <v>9.3221809027777783E-2</v>
      </c>
      <c r="L21" s="113">
        <f t="shared" si="19"/>
        <v>9.3222213888888891E-2</v>
      </c>
      <c r="R21" s="127"/>
    </row>
    <row r="22" spans="1:21" x14ac:dyDescent="0.35">
      <c r="A22" s="115">
        <f t="shared" si="16"/>
        <v>4239</v>
      </c>
      <c r="B22" s="108">
        <f t="shared" si="12"/>
        <v>43193.82</v>
      </c>
      <c r="C22" s="108">
        <f t="shared" si="13"/>
        <v>43199.82</v>
      </c>
      <c r="D22" s="108">
        <f t="shared" si="14"/>
        <v>43199.99</v>
      </c>
      <c r="E22" s="108">
        <f t="shared" si="14"/>
        <v>43199.82</v>
      </c>
      <c r="I22" s="114">
        <f t="shared" si="17"/>
        <v>2.9999874999999997E-3</v>
      </c>
      <c r="J22" s="113">
        <f t="shared" si="15"/>
        <v>9.8125000000000004E-2</v>
      </c>
      <c r="K22" s="113">
        <f t="shared" si="18"/>
        <v>0.10412458680555556</v>
      </c>
      <c r="L22" s="113">
        <f t="shared" si="19"/>
        <v>0.10412499166666667</v>
      </c>
      <c r="R22" s="127"/>
    </row>
    <row r="23" spans="1:21" ht="15" thickBot="1" x14ac:dyDescent="0.4">
      <c r="A23" s="128"/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30"/>
    </row>
    <row r="24" spans="1:21" ht="15" thickBot="1" x14ac:dyDescent="0.4"/>
    <row r="25" spans="1:21" ht="34" thickBot="1" x14ac:dyDescent="0.8">
      <c r="A25" s="220" t="s">
        <v>102</v>
      </c>
      <c r="B25" s="221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2"/>
    </row>
    <row r="26" spans="1:21" ht="15" thickBot="1" x14ac:dyDescent="0.4">
      <c r="A26" s="126"/>
      <c r="B26" s="224" t="s">
        <v>84</v>
      </c>
      <c r="C26" s="224"/>
      <c r="D26" s="224"/>
      <c r="E26" s="224"/>
      <c r="F26" s="225" t="s">
        <v>87</v>
      </c>
      <c r="G26" s="226"/>
      <c r="H26" s="226"/>
      <c r="I26" s="226"/>
      <c r="J26" s="96"/>
      <c r="K26" s="96"/>
      <c r="L26" s="96"/>
      <c r="R26" s="127"/>
    </row>
    <row r="27" spans="1:21" ht="16" thickBot="1" x14ac:dyDescent="0.4">
      <c r="A27" s="115" t="s">
        <v>93</v>
      </c>
      <c r="B27" s="225" t="s">
        <v>80</v>
      </c>
      <c r="C27" s="227"/>
      <c r="D27" s="225" t="s">
        <v>83</v>
      </c>
      <c r="E27" s="227"/>
      <c r="F27" s="228" t="s">
        <v>89</v>
      </c>
      <c r="G27" s="229"/>
      <c r="H27" s="228" t="s">
        <v>88</v>
      </c>
      <c r="I27" s="230"/>
      <c r="J27" s="8" t="s">
        <v>97</v>
      </c>
      <c r="K27" s="223" t="s">
        <v>98</v>
      </c>
      <c r="L27" s="223"/>
      <c r="Q27" s="231" t="s">
        <v>100</v>
      </c>
      <c r="R27" s="232"/>
    </row>
    <row r="28" spans="1:21" ht="15.5" x14ac:dyDescent="0.35">
      <c r="A28" s="115"/>
      <c r="B28" s="8" t="s">
        <v>81</v>
      </c>
      <c r="C28" s="8" t="s">
        <v>82</v>
      </c>
      <c r="D28" s="8" t="s">
        <v>81</v>
      </c>
      <c r="E28" s="8" t="s">
        <v>82</v>
      </c>
      <c r="F28" s="8" t="s">
        <v>18</v>
      </c>
      <c r="G28" s="8" t="s">
        <v>20</v>
      </c>
      <c r="H28" s="8" t="s">
        <v>18</v>
      </c>
      <c r="I28" s="18" t="s">
        <v>20</v>
      </c>
      <c r="J28" s="8"/>
      <c r="K28" s="8" t="s">
        <v>81</v>
      </c>
      <c r="L28" s="18" t="s">
        <v>82</v>
      </c>
      <c r="M28" s="123" t="s">
        <v>78</v>
      </c>
      <c r="N28" t="s">
        <v>79</v>
      </c>
      <c r="O28" t="s">
        <v>90</v>
      </c>
      <c r="P28" t="s">
        <v>91</v>
      </c>
      <c r="Q28" s="116" t="s">
        <v>81</v>
      </c>
      <c r="R28" s="117" t="s">
        <v>82</v>
      </c>
    </row>
    <row r="29" spans="1:21" ht="15.5" x14ac:dyDescent="0.35">
      <c r="A29" s="115">
        <f t="shared" ref="A29:A35" si="20">$T$19*M29</f>
        <v>6000</v>
      </c>
      <c r="B29" s="108">
        <f>M29*0.01</f>
        <v>0.06</v>
      </c>
      <c r="C29" s="108">
        <f>6-M29*0.01</f>
        <v>5.94</v>
      </c>
      <c r="D29" s="108">
        <v>0.01</v>
      </c>
      <c r="E29" s="108">
        <f t="shared" ref="E29:E35" si="21">0.01+N29*0.01</f>
        <v>6.0000000000000005E-2</v>
      </c>
      <c r="F29" s="114">
        <f>B29*$T$12/(3600*$P$29)</f>
        <v>1.5869628441967575E-4</v>
      </c>
      <c r="G29" s="114">
        <f>C29*$T$12/(3600*$P$29)</f>
        <v>1.5710932157547902E-2</v>
      </c>
      <c r="H29" s="114">
        <f>D29*$T$12/(3600*$P$29)</f>
        <v>2.6449380736612628E-5</v>
      </c>
      <c r="I29" s="114">
        <f>E29*$T$12/(3600*$P$29)</f>
        <v>1.5869628441967575E-4</v>
      </c>
      <c r="J29" s="113">
        <f>A29/(3600*$P$29)</f>
        <v>0.27777777777777779</v>
      </c>
      <c r="K29" s="113">
        <f>$F$29+$H$29+J29</f>
        <v>0.27796292344293405</v>
      </c>
      <c r="L29" s="122">
        <f>$G$29+$I$29+J29</f>
        <v>0.29364740621974539</v>
      </c>
      <c r="M29" s="124">
        <v>6</v>
      </c>
      <c r="N29">
        <f t="shared" ref="N29:N35" si="22">M29-1</f>
        <v>5</v>
      </c>
      <c r="O29">
        <v>4</v>
      </c>
      <c r="P29">
        <f>24/O29</f>
        <v>6</v>
      </c>
      <c r="Q29" s="118">
        <f>K29+K40</f>
        <v>0.34937876372071186</v>
      </c>
      <c r="R29" s="119">
        <f>L29+L40</f>
        <v>0.36506405621974536</v>
      </c>
    </row>
    <row r="30" spans="1:21" ht="15.5" x14ac:dyDescent="0.35">
      <c r="A30" s="115">
        <f t="shared" si="20"/>
        <v>8000</v>
      </c>
      <c r="B30" s="108">
        <f t="shared" ref="B30:B35" si="23">M30*0.01</f>
        <v>0.08</v>
      </c>
      <c r="C30" s="108">
        <f t="shared" ref="C30:C31" si="24">6-M30*0.01</f>
        <v>5.92</v>
      </c>
      <c r="D30" s="108">
        <v>0.01</v>
      </c>
      <c r="E30" s="108">
        <f t="shared" si="21"/>
        <v>0.08</v>
      </c>
      <c r="I30" s="114">
        <f t="shared" ref="I30:I35" si="25">E30*$T$12/(3600*$P$29)</f>
        <v>2.1159504589290102E-4</v>
      </c>
      <c r="J30" s="113">
        <f t="shared" ref="J30:J35" si="26">A30/(3600*$P$29)</f>
        <v>0.37037037037037035</v>
      </c>
      <c r="K30" s="113">
        <f t="shared" ref="K30:K35" si="27">$F$29+$H$29+J30</f>
        <v>0.37055551603552661</v>
      </c>
      <c r="L30" s="122">
        <f t="shared" ref="L30:L35" si="28">$G$29+$I$29+J30</f>
        <v>0.38623999881233795</v>
      </c>
      <c r="M30" s="124">
        <v>8</v>
      </c>
      <c r="N30">
        <f t="shared" si="22"/>
        <v>7</v>
      </c>
      <c r="Q30" s="118">
        <f t="shared" ref="Q30:Q35" si="29">K30+K41</f>
        <v>0.46377691186885994</v>
      </c>
      <c r="R30" s="119">
        <f t="shared" ref="R30:R35" si="30">L30+L41</f>
        <v>0.4794622043678935</v>
      </c>
    </row>
    <row r="31" spans="1:21" ht="15.5" x14ac:dyDescent="0.35">
      <c r="A31" s="115">
        <f t="shared" si="20"/>
        <v>10000</v>
      </c>
      <c r="B31" s="108">
        <f t="shared" si="23"/>
        <v>0.1</v>
      </c>
      <c r="C31" s="108">
        <f t="shared" si="24"/>
        <v>5.9</v>
      </c>
      <c r="D31" s="108">
        <v>0.01</v>
      </c>
      <c r="E31" s="108">
        <f t="shared" si="21"/>
        <v>9.9999999999999992E-2</v>
      </c>
      <c r="I31" s="114">
        <f t="shared" si="25"/>
        <v>2.6449380736612624E-4</v>
      </c>
      <c r="J31" s="113">
        <f t="shared" si="26"/>
        <v>0.46296296296296297</v>
      </c>
      <c r="K31" s="113">
        <f t="shared" si="27"/>
        <v>0.46314810862811923</v>
      </c>
      <c r="L31" s="122">
        <f t="shared" si="28"/>
        <v>0.47883259140493056</v>
      </c>
      <c r="M31" s="124">
        <v>10</v>
      </c>
      <c r="N31">
        <f t="shared" si="22"/>
        <v>9</v>
      </c>
      <c r="Q31" s="118">
        <f t="shared" si="29"/>
        <v>0.57817506001700814</v>
      </c>
      <c r="R31" s="119">
        <f t="shared" si="30"/>
        <v>0.59386035251604163</v>
      </c>
    </row>
    <row r="32" spans="1:21" ht="15.5" x14ac:dyDescent="0.35">
      <c r="A32" s="115">
        <f t="shared" si="20"/>
        <v>12000</v>
      </c>
      <c r="B32" s="108">
        <f t="shared" si="23"/>
        <v>0.12</v>
      </c>
      <c r="C32" s="108">
        <v>6</v>
      </c>
      <c r="D32" s="108">
        <v>0.01</v>
      </c>
      <c r="E32" s="108">
        <f t="shared" si="21"/>
        <v>0.12</v>
      </c>
      <c r="I32" s="114">
        <f t="shared" si="25"/>
        <v>3.1739256883935149E-4</v>
      </c>
      <c r="J32" s="113">
        <f t="shared" si="26"/>
        <v>0.55555555555555558</v>
      </c>
      <c r="K32" s="113">
        <f t="shared" si="27"/>
        <v>0.55574070122071184</v>
      </c>
      <c r="L32" s="122">
        <f t="shared" si="28"/>
        <v>0.57142518399752318</v>
      </c>
      <c r="M32" s="124">
        <v>12</v>
      </c>
      <c r="N32">
        <f t="shared" si="22"/>
        <v>11</v>
      </c>
      <c r="Q32" s="118">
        <f t="shared" si="29"/>
        <v>0.69257320816515633</v>
      </c>
      <c r="R32" s="119">
        <f t="shared" si="30"/>
        <v>0.70825850066418983</v>
      </c>
    </row>
    <row r="33" spans="1:18" ht="15.5" x14ac:dyDescent="0.35">
      <c r="A33" s="115">
        <f t="shared" si="20"/>
        <v>14000</v>
      </c>
      <c r="B33" s="108">
        <f t="shared" si="23"/>
        <v>0.14000000000000001</v>
      </c>
      <c r="C33" s="108">
        <f>6+M33*0.01</f>
        <v>6.14</v>
      </c>
      <c r="D33" s="108">
        <v>0.01</v>
      </c>
      <c r="E33" s="108">
        <f t="shared" si="21"/>
        <v>0.14000000000000001</v>
      </c>
      <c r="I33" s="114">
        <f t="shared" si="25"/>
        <v>3.7029133031257679E-4</v>
      </c>
      <c r="J33" s="113">
        <f t="shared" si="26"/>
        <v>0.64814814814814814</v>
      </c>
      <c r="K33" s="113">
        <f t="shared" si="27"/>
        <v>0.6483332938133044</v>
      </c>
      <c r="L33" s="122">
        <f t="shared" si="28"/>
        <v>0.66401777659011574</v>
      </c>
      <c r="M33" s="124">
        <v>14</v>
      </c>
      <c r="N33">
        <f t="shared" si="22"/>
        <v>13</v>
      </c>
      <c r="Q33" s="118">
        <f t="shared" si="29"/>
        <v>0.80697135631330441</v>
      </c>
      <c r="R33" s="119">
        <f t="shared" si="30"/>
        <v>0.82265664881233791</v>
      </c>
    </row>
    <row r="34" spans="1:18" ht="15.5" x14ac:dyDescent="0.35">
      <c r="A34" s="115">
        <f t="shared" si="20"/>
        <v>16000</v>
      </c>
      <c r="B34" s="108">
        <f t="shared" si="23"/>
        <v>0.16</v>
      </c>
      <c r="C34" s="108">
        <f t="shared" ref="C34:C35" si="31">6+M34*0.01</f>
        <v>6.16</v>
      </c>
      <c r="D34" s="108">
        <v>0.01</v>
      </c>
      <c r="E34" s="108">
        <f t="shared" si="21"/>
        <v>0.16</v>
      </c>
      <c r="I34" s="114">
        <f t="shared" si="25"/>
        <v>4.2319009178580204E-4</v>
      </c>
      <c r="J34" s="113">
        <f t="shared" si="26"/>
        <v>0.7407407407407407</v>
      </c>
      <c r="K34" s="113">
        <f t="shared" si="27"/>
        <v>0.74092588640589696</v>
      </c>
      <c r="L34" s="122">
        <f t="shared" si="28"/>
        <v>0.7566103691827083</v>
      </c>
      <c r="M34" s="124">
        <v>16</v>
      </c>
      <c r="N34">
        <f t="shared" si="22"/>
        <v>15</v>
      </c>
      <c r="Q34" s="118">
        <f t="shared" si="29"/>
        <v>0.92136950446145249</v>
      </c>
      <c r="R34" s="119">
        <f t="shared" si="30"/>
        <v>0.9370547969604861</v>
      </c>
    </row>
    <row r="35" spans="1:18" ht="16" thickBot="1" x14ac:dyDescent="0.4">
      <c r="A35" s="115">
        <f t="shared" si="20"/>
        <v>18000</v>
      </c>
      <c r="B35" s="108">
        <f t="shared" si="23"/>
        <v>0.18</v>
      </c>
      <c r="C35" s="108">
        <f t="shared" si="31"/>
        <v>6.18</v>
      </c>
      <c r="D35" s="108">
        <v>0.01</v>
      </c>
      <c r="E35" s="108">
        <f t="shared" si="21"/>
        <v>0.18000000000000002</v>
      </c>
      <c r="I35" s="114">
        <f t="shared" si="25"/>
        <v>4.7608885325902734E-4</v>
      </c>
      <c r="J35" s="113">
        <f t="shared" si="26"/>
        <v>0.83333333333333337</v>
      </c>
      <c r="K35" s="113">
        <f t="shared" si="27"/>
        <v>0.83351847899848963</v>
      </c>
      <c r="L35" s="122">
        <f t="shared" si="28"/>
        <v>0.84920296177530097</v>
      </c>
      <c r="M35" s="125">
        <v>18</v>
      </c>
      <c r="N35">
        <f t="shared" si="22"/>
        <v>17</v>
      </c>
      <c r="Q35" s="120">
        <f t="shared" si="29"/>
        <v>1.0357676526096007</v>
      </c>
      <c r="R35" s="121">
        <f t="shared" si="30"/>
        <v>1.0514529451086343</v>
      </c>
    </row>
    <row r="36" spans="1:18" x14ac:dyDescent="0.35">
      <c r="A36" s="126"/>
      <c r="R36" s="127"/>
    </row>
    <row r="37" spans="1:18" x14ac:dyDescent="0.35">
      <c r="A37" s="126"/>
      <c r="B37" t="s">
        <v>85</v>
      </c>
      <c r="F37" s="112" t="s">
        <v>87</v>
      </c>
      <c r="G37" s="110"/>
      <c r="H37" s="110"/>
      <c r="I37" s="110"/>
      <c r="R37" s="127"/>
    </row>
    <row r="38" spans="1:18" x14ac:dyDescent="0.35">
      <c r="A38" s="115"/>
      <c r="B38" s="108" t="s">
        <v>80</v>
      </c>
      <c r="C38" s="108"/>
      <c r="D38" s="108" t="s">
        <v>83</v>
      </c>
      <c r="E38" s="108"/>
      <c r="F38" s="85" t="s">
        <v>89</v>
      </c>
      <c r="G38" s="111"/>
      <c r="H38" s="85" t="s">
        <v>88</v>
      </c>
      <c r="I38" s="111"/>
      <c r="J38" s="8" t="s">
        <v>97</v>
      </c>
      <c r="K38" s="223" t="s">
        <v>99</v>
      </c>
      <c r="L38" s="223"/>
      <c r="R38" s="127"/>
    </row>
    <row r="39" spans="1:18" x14ac:dyDescent="0.35">
      <c r="A39" s="115"/>
      <c r="B39" s="8" t="s">
        <v>81</v>
      </c>
      <c r="C39" s="8" t="s">
        <v>82</v>
      </c>
      <c r="D39" s="8" t="s">
        <v>82</v>
      </c>
      <c r="E39" s="8" t="s">
        <v>81</v>
      </c>
      <c r="F39" s="108" t="s">
        <v>18</v>
      </c>
      <c r="G39" s="108" t="s">
        <v>20</v>
      </c>
      <c r="H39" s="108" t="s">
        <v>20</v>
      </c>
      <c r="I39" s="108" t="s">
        <v>18</v>
      </c>
      <c r="J39" s="8"/>
      <c r="K39" s="8" t="s">
        <v>81</v>
      </c>
      <c r="L39" s="8" t="s">
        <v>82</v>
      </c>
      <c r="R39" s="127"/>
    </row>
    <row r="40" spans="1:18" x14ac:dyDescent="0.35">
      <c r="A40" s="115">
        <f>$U$19*M29</f>
        <v>1413</v>
      </c>
      <c r="B40" s="108">
        <f>3600*$P$29-C29</f>
        <v>21594.06</v>
      </c>
      <c r="C40" s="108">
        <f>3600*$P$29-B29</f>
        <v>21599.94</v>
      </c>
      <c r="D40" s="108">
        <f>3600*$P$29-D29</f>
        <v>21599.99</v>
      </c>
      <c r="E40" s="108">
        <f>3600*$P$29-E29</f>
        <v>21599.94</v>
      </c>
      <c r="F40" s="114">
        <f>B40*$T$15/(3600*$P$29)</f>
        <v>2.9991750000000006E-3</v>
      </c>
      <c r="G40" s="114">
        <f>C40*$T$15/(3600*$P$29)</f>
        <v>2.9999916666666663E-3</v>
      </c>
      <c r="H40" s="114">
        <f>D40*$T$15/(3600*$P$29)</f>
        <v>2.9999986111111112E-3</v>
      </c>
      <c r="I40" s="114">
        <f>E40*$T$15/(3600*$P$29)</f>
        <v>2.9999916666666663E-3</v>
      </c>
      <c r="J40" s="113">
        <f>A40/(3600*$P$29)</f>
        <v>6.5416666666666665E-2</v>
      </c>
      <c r="K40" s="113">
        <f>$F$40+$H$40+J40</f>
        <v>7.1415840277777781E-2</v>
      </c>
      <c r="L40" s="113">
        <f>$G$40+$I$40+J40</f>
        <v>7.1416649999999998E-2</v>
      </c>
      <c r="R40" s="127"/>
    </row>
    <row r="41" spans="1:18" x14ac:dyDescent="0.35">
      <c r="A41" s="115">
        <f t="shared" ref="A41:A43" si="32">$U$19*M30</f>
        <v>1884</v>
      </c>
      <c r="B41" s="108">
        <f t="shared" ref="B41:B46" si="33">3600*$P$29-C30</f>
        <v>21594.080000000002</v>
      </c>
      <c r="C41" s="108">
        <f t="shared" ref="C41:C46" si="34">3600*$P$29-B30</f>
        <v>21599.919999999998</v>
      </c>
      <c r="D41" s="108">
        <f t="shared" ref="D41:E46" si="35">3600*$P$29-D30</f>
        <v>21599.99</v>
      </c>
      <c r="E41" s="108">
        <f t="shared" si="35"/>
        <v>21599.919999999998</v>
      </c>
      <c r="I41" s="114">
        <f t="shared" ref="I41:I46" si="36">E41*$T$15/(3600*$P$29)</f>
        <v>2.9999888888888886E-3</v>
      </c>
      <c r="J41" s="113">
        <f t="shared" ref="J41:J46" si="37">A41/(3600*$P$29)</f>
        <v>8.7222222222222229E-2</v>
      </c>
      <c r="K41" s="113">
        <f t="shared" ref="K41:K46" si="38">$F$40+$H$40+J41</f>
        <v>9.3221395833333345E-2</v>
      </c>
      <c r="L41" s="113">
        <f t="shared" ref="L41:L46" si="39">$G$40+$I$40+J41</f>
        <v>9.3222205555555562E-2</v>
      </c>
      <c r="R41" s="127"/>
    </row>
    <row r="42" spans="1:18" x14ac:dyDescent="0.35">
      <c r="A42" s="115">
        <f t="shared" si="32"/>
        <v>2355</v>
      </c>
      <c r="B42" s="108">
        <f t="shared" si="33"/>
        <v>21594.1</v>
      </c>
      <c r="C42" s="108">
        <f t="shared" si="34"/>
        <v>21599.9</v>
      </c>
      <c r="D42" s="108">
        <f t="shared" si="35"/>
        <v>21599.99</v>
      </c>
      <c r="E42" s="108">
        <f t="shared" si="35"/>
        <v>21599.9</v>
      </c>
      <c r="I42" s="114">
        <f t="shared" si="36"/>
        <v>2.9999861111111113E-3</v>
      </c>
      <c r="J42" s="113">
        <f t="shared" si="37"/>
        <v>0.10902777777777778</v>
      </c>
      <c r="K42" s="113">
        <f t="shared" si="38"/>
        <v>0.1150269513888889</v>
      </c>
      <c r="L42" s="113">
        <f t="shared" si="39"/>
        <v>0.11502776111111111</v>
      </c>
      <c r="R42" s="127"/>
    </row>
    <row r="43" spans="1:18" x14ac:dyDescent="0.35">
      <c r="A43" s="115">
        <f t="shared" si="32"/>
        <v>2826</v>
      </c>
      <c r="B43" s="108">
        <f t="shared" si="33"/>
        <v>21594</v>
      </c>
      <c r="C43" s="108">
        <f t="shared" si="34"/>
        <v>21599.88</v>
      </c>
      <c r="D43" s="108">
        <f t="shared" si="35"/>
        <v>21599.99</v>
      </c>
      <c r="E43" s="108">
        <f t="shared" si="35"/>
        <v>21599.88</v>
      </c>
      <c r="I43" s="114">
        <f t="shared" si="36"/>
        <v>2.9999833333333339E-3</v>
      </c>
      <c r="J43" s="113">
        <f t="shared" si="37"/>
        <v>0.13083333333333333</v>
      </c>
      <c r="K43" s="113">
        <f t="shared" si="38"/>
        <v>0.13683250694444443</v>
      </c>
      <c r="L43" s="113">
        <f t="shared" si="39"/>
        <v>0.13683331666666665</v>
      </c>
      <c r="R43" s="127"/>
    </row>
    <row r="44" spans="1:18" x14ac:dyDescent="0.35">
      <c r="A44" s="115">
        <f>$U$19*M33</f>
        <v>3297</v>
      </c>
      <c r="B44" s="108">
        <f t="shared" si="33"/>
        <v>21593.86</v>
      </c>
      <c r="C44" s="108">
        <f t="shared" si="34"/>
        <v>21599.86</v>
      </c>
      <c r="D44" s="108">
        <f t="shared" si="35"/>
        <v>21599.99</v>
      </c>
      <c r="E44" s="108">
        <f t="shared" si="35"/>
        <v>21599.86</v>
      </c>
      <c r="I44" s="114">
        <f t="shared" si="36"/>
        <v>2.9999805555555557E-3</v>
      </c>
      <c r="J44" s="113">
        <f t="shared" si="37"/>
        <v>0.15263888888888888</v>
      </c>
      <c r="K44" s="113">
        <f t="shared" si="38"/>
        <v>0.15863806249999998</v>
      </c>
      <c r="L44" s="113">
        <f t="shared" si="39"/>
        <v>0.1586388722222222</v>
      </c>
      <c r="R44" s="127"/>
    </row>
    <row r="45" spans="1:18" x14ac:dyDescent="0.35">
      <c r="A45" s="115">
        <f t="shared" ref="A45:A46" si="40">$U$19*M34</f>
        <v>3768</v>
      </c>
      <c r="B45" s="108">
        <f t="shared" si="33"/>
        <v>21593.84</v>
      </c>
      <c r="C45" s="108">
        <f t="shared" si="34"/>
        <v>21599.84</v>
      </c>
      <c r="D45" s="108">
        <f t="shared" si="35"/>
        <v>21599.99</v>
      </c>
      <c r="E45" s="108">
        <f t="shared" si="35"/>
        <v>21599.84</v>
      </c>
      <c r="I45" s="114">
        <f t="shared" si="36"/>
        <v>2.999977777777778E-3</v>
      </c>
      <c r="J45" s="113">
        <f t="shared" si="37"/>
        <v>0.17444444444444446</v>
      </c>
      <c r="K45" s="113">
        <f t="shared" si="38"/>
        <v>0.18044361805555556</v>
      </c>
      <c r="L45" s="113">
        <f t="shared" si="39"/>
        <v>0.18044442777777778</v>
      </c>
      <c r="R45" s="127"/>
    </row>
    <row r="46" spans="1:18" x14ac:dyDescent="0.35">
      <c r="A46" s="115">
        <f t="shared" si="40"/>
        <v>4239</v>
      </c>
      <c r="B46" s="108">
        <f t="shared" si="33"/>
        <v>21593.82</v>
      </c>
      <c r="C46" s="108">
        <f t="shared" si="34"/>
        <v>21599.82</v>
      </c>
      <c r="D46" s="108">
        <f t="shared" si="35"/>
        <v>21599.99</v>
      </c>
      <c r="E46" s="108">
        <f t="shared" si="35"/>
        <v>21599.82</v>
      </c>
      <c r="I46" s="114">
        <f t="shared" si="36"/>
        <v>2.9999749999999998E-3</v>
      </c>
      <c r="J46" s="113">
        <f t="shared" si="37"/>
        <v>0.19625000000000001</v>
      </c>
      <c r="K46" s="113">
        <f t="shared" si="38"/>
        <v>0.20224917361111111</v>
      </c>
      <c r="L46" s="113">
        <f t="shared" si="39"/>
        <v>0.20224998333333333</v>
      </c>
      <c r="R46" s="127"/>
    </row>
    <row r="47" spans="1:18" ht="15" thickBot="1" x14ac:dyDescent="0.4">
      <c r="A47" s="128"/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30"/>
    </row>
    <row r="49" spans="1:18" ht="15" thickBot="1" x14ac:dyDescent="0.4"/>
    <row r="50" spans="1:18" ht="34" thickBot="1" x14ac:dyDescent="0.8">
      <c r="A50" s="220" t="s">
        <v>103</v>
      </c>
      <c r="B50" s="221"/>
      <c r="C50" s="221"/>
      <c r="D50" s="221"/>
      <c r="E50" s="221"/>
      <c r="F50" s="221"/>
      <c r="G50" s="221"/>
      <c r="H50" s="221"/>
      <c r="I50" s="221"/>
      <c r="J50" s="221"/>
      <c r="K50" s="221"/>
      <c r="L50" s="221"/>
      <c r="M50" s="221"/>
      <c r="N50" s="221"/>
      <c r="O50" s="221"/>
      <c r="P50" s="221"/>
      <c r="Q50" s="221"/>
      <c r="R50" s="222"/>
    </row>
    <row r="51" spans="1:18" ht="15" thickBot="1" x14ac:dyDescent="0.4">
      <c r="A51" s="126"/>
      <c r="B51" s="224" t="s">
        <v>84</v>
      </c>
      <c r="C51" s="224"/>
      <c r="D51" s="224"/>
      <c r="E51" s="224"/>
      <c r="F51" s="225" t="s">
        <v>87</v>
      </c>
      <c r="G51" s="226"/>
      <c r="H51" s="226"/>
      <c r="I51" s="226"/>
      <c r="J51" s="96"/>
      <c r="K51" s="96"/>
      <c r="L51" s="96"/>
      <c r="R51" s="127"/>
    </row>
    <row r="52" spans="1:18" ht="16" thickBot="1" x14ac:dyDescent="0.4">
      <c r="A52" s="115" t="s">
        <v>93</v>
      </c>
      <c r="B52" s="225" t="s">
        <v>80</v>
      </c>
      <c r="C52" s="227"/>
      <c r="D52" s="225" t="s">
        <v>83</v>
      </c>
      <c r="E52" s="227"/>
      <c r="F52" s="228" t="s">
        <v>89</v>
      </c>
      <c r="G52" s="229"/>
      <c r="H52" s="228" t="s">
        <v>88</v>
      </c>
      <c r="I52" s="230"/>
      <c r="J52" s="8" t="s">
        <v>97</v>
      </c>
      <c r="K52" s="223" t="s">
        <v>98</v>
      </c>
      <c r="L52" s="223"/>
      <c r="Q52" s="231" t="s">
        <v>100</v>
      </c>
      <c r="R52" s="232"/>
    </row>
    <row r="53" spans="1:18" ht="15.5" x14ac:dyDescent="0.35">
      <c r="A53" s="115"/>
      <c r="B53" s="8" t="s">
        <v>81</v>
      </c>
      <c r="C53" s="8" t="s">
        <v>82</v>
      </c>
      <c r="D53" s="8" t="s">
        <v>81</v>
      </c>
      <c r="E53" s="8" t="s">
        <v>82</v>
      </c>
      <c r="F53" s="8" t="s">
        <v>18</v>
      </c>
      <c r="G53" s="8" t="s">
        <v>20</v>
      </c>
      <c r="H53" s="8" t="s">
        <v>18</v>
      </c>
      <c r="I53" s="18" t="s">
        <v>20</v>
      </c>
      <c r="J53" s="8"/>
      <c r="K53" s="8" t="s">
        <v>81</v>
      </c>
      <c r="L53" s="18" t="s">
        <v>82</v>
      </c>
      <c r="M53" s="123" t="s">
        <v>78</v>
      </c>
      <c r="N53" t="s">
        <v>79</v>
      </c>
      <c r="O53" t="s">
        <v>90</v>
      </c>
      <c r="P53" t="s">
        <v>91</v>
      </c>
      <c r="Q53" s="116" t="s">
        <v>81</v>
      </c>
      <c r="R53" s="117" t="s">
        <v>82</v>
      </c>
    </row>
    <row r="54" spans="1:18" ht="15.5" x14ac:dyDescent="0.35">
      <c r="A54" s="115">
        <f t="shared" ref="A54:A60" si="41">$T$19*M54</f>
        <v>6000</v>
      </c>
      <c r="B54" s="108">
        <f>M54*0.01</f>
        <v>0.06</v>
      </c>
      <c r="C54" s="108">
        <f>6-M54*0.01</f>
        <v>5.94</v>
      </c>
      <c r="D54" s="108">
        <v>0.01</v>
      </c>
      <c r="E54" s="108">
        <f t="shared" ref="E54:E60" si="42">0.01+N54*0.01</f>
        <v>6.0000000000000005E-2</v>
      </c>
      <c r="F54" s="114">
        <f>B54*$T$12/(3600*$P$54)</f>
        <v>3.9674071104918936E-5</v>
      </c>
      <c r="G54" s="114">
        <f>C54*$T$12/(3600*$P$54)</f>
        <v>3.9277330393869755E-3</v>
      </c>
      <c r="H54" s="114">
        <f>D54*$T$12/(3600*$P$54)</f>
        <v>6.6123451841531569E-6</v>
      </c>
      <c r="I54" s="114">
        <f>E54*$T$12/(3600*$P$54)</f>
        <v>3.9674071104918936E-5</v>
      </c>
      <c r="J54" s="113">
        <f>A54/(3600*$P$54)</f>
        <v>6.9444444444444448E-2</v>
      </c>
      <c r="K54" s="113">
        <f>$F$54+$H$54+J54</f>
        <v>6.9490730860733513E-2</v>
      </c>
      <c r="L54" s="122">
        <f>$G$54+$I$54+J54</f>
        <v>7.3411851554936347E-2</v>
      </c>
      <c r="M54" s="124">
        <v>6</v>
      </c>
      <c r="N54">
        <f t="shared" ref="N54:N60" si="43">M54-1</f>
        <v>5</v>
      </c>
      <c r="O54">
        <v>1</v>
      </c>
      <c r="P54">
        <f>24/O54</f>
        <v>24</v>
      </c>
      <c r="Q54" s="118">
        <f>K54+K65</f>
        <v>9.1844690930177955E-2</v>
      </c>
      <c r="R54" s="119">
        <f>L54+L65</f>
        <v>9.5766014054936344E-2</v>
      </c>
    </row>
    <row r="55" spans="1:18" ht="15.5" x14ac:dyDescent="0.35">
      <c r="A55" s="115">
        <f t="shared" si="41"/>
        <v>8000</v>
      </c>
      <c r="B55" s="108">
        <f t="shared" ref="B55:B60" si="44">M55*0.01</f>
        <v>0.08</v>
      </c>
      <c r="C55" s="108">
        <f t="shared" ref="C55:C56" si="45">6-M55*0.01</f>
        <v>5.92</v>
      </c>
      <c r="D55" s="108">
        <v>0.01</v>
      </c>
      <c r="E55" s="108">
        <f t="shared" si="42"/>
        <v>0.08</v>
      </c>
      <c r="I55" s="114">
        <f t="shared" ref="I55:I60" si="46">E55*$T$12/(3600*$P$54)</f>
        <v>5.2898761473225255E-5</v>
      </c>
      <c r="J55" s="113">
        <f t="shared" ref="J55:J60" si="47">A55/(3600*$P$54)</f>
        <v>9.2592592592592587E-2</v>
      </c>
      <c r="K55" s="113">
        <f t="shared" ref="K55:K60" si="48">$F$54+$H$54+J55</f>
        <v>9.2638879008881653E-2</v>
      </c>
      <c r="L55" s="122">
        <f t="shared" ref="L55:L60" si="49">$G$54+$I$54+J55</f>
        <v>9.6559999703084487E-2</v>
      </c>
      <c r="M55" s="124">
        <v>8</v>
      </c>
      <c r="N55">
        <f t="shared" si="43"/>
        <v>7</v>
      </c>
      <c r="Q55" s="118">
        <f t="shared" ref="Q55:Q60" si="50">K55+K66</f>
        <v>0.12044422796721499</v>
      </c>
      <c r="R55" s="119">
        <f t="shared" ref="R55:R60" si="51">L55+L66</f>
        <v>0.12436555109197338</v>
      </c>
    </row>
    <row r="56" spans="1:18" ht="15.5" x14ac:dyDescent="0.35">
      <c r="A56" s="115">
        <f t="shared" si="41"/>
        <v>10000</v>
      </c>
      <c r="B56" s="108">
        <f t="shared" si="44"/>
        <v>0.1</v>
      </c>
      <c r="C56" s="108">
        <f t="shared" si="45"/>
        <v>5.9</v>
      </c>
      <c r="D56" s="108">
        <v>0.01</v>
      </c>
      <c r="E56" s="108">
        <f t="shared" si="42"/>
        <v>9.9999999999999992E-2</v>
      </c>
      <c r="I56" s="114">
        <f t="shared" si="46"/>
        <v>6.612345184153156E-5</v>
      </c>
      <c r="J56" s="113">
        <f t="shared" si="47"/>
        <v>0.11574074074074074</v>
      </c>
      <c r="K56" s="113">
        <f t="shared" si="48"/>
        <v>0.11578702715702981</v>
      </c>
      <c r="L56" s="122">
        <f t="shared" si="49"/>
        <v>0.11970814785123264</v>
      </c>
      <c r="M56" s="124">
        <v>10</v>
      </c>
      <c r="N56">
        <f t="shared" si="43"/>
        <v>9</v>
      </c>
      <c r="Q56" s="118">
        <f t="shared" si="50"/>
        <v>0.14904376500425204</v>
      </c>
      <c r="R56" s="119">
        <f t="shared" si="51"/>
        <v>0.15296508812901041</v>
      </c>
    </row>
    <row r="57" spans="1:18" ht="15.5" x14ac:dyDescent="0.35">
      <c r="A57" s="115">
        <f t="shared" si="41"/>
        <v>12000</v>
      </c>
      <c r="B57" s="108">
        <f t="shared" si="44"/>
        <v>0.12</v>
      </c>
      <c r="C57" s="108">
        <v>6</v>
      </c>
      <c r="D57" s="108">
        <v>0.01</v>
      </c>
      <c r="E57" s="108">
        <f t="shared" si="42"/>
        <v>0.12</v>
      </c>
      <c r="I57" s="114">
        <f t="shared" si="46"/>
        <v>7.9348142209837873E-5</v>
      </c>
      <c r="J57" s="113">
        <f t="shared" si="47"/>
        <v>0.1388888888888889</v>
      </c>
      <c r="K57" s="113">
        <f t="shared" si="48"/>
        <v>0.13893517530517796</v>
      </c>
      <c r="L57" s="122">
        <f t="shared" si="49"/>
        <v>0.14285629599938079</v>
      </c>
      <c r="M57" s="124">
        <v>12</v>
      </c>
      <c r="N57">
        <f t="shared" si="43"/>
        <v>11</v>
      </c>
      <c r="Q57" s="118">
        <f t="shared" si="50"/>
        <v>0.17764330204128909</v>
      </c>
      <c r="R57" s="119">
        <f t="shared" si="51"/>
        <v>0.18156462516604746</v>
      </c>
    </row>
    <row r="58" spans="1:18" ht="15.5" x14ac:dyDescent="0.35">
      <c r="A58" s="115">
        <f t="shared" si="41"/>
        <v>14000</v>
      </c>
      <c r="B58" s="108">
        <f t="shared" si="44"/>
        <v>0.14000000000000001</v>
      </c>
      <c r="C58" s="108">
        <f>6+M58*0.01</f>
        <v>6.14</v>
      </c>
      <c r="D58" s="108">
        <v>0.01</v>
      </c>
      <c r="E58" s="108">
        <f t="shared" si="42"/>
        <v>0.14000000000000001</v>
      </c>
      <c r="I58" s="114">
        <f t="shared" si="46"/>
        <v>9.2572832578144198E-5</v>
      </c>
      <c r="J58" s="113">
        <f t="shared" si="47"/>
        <v>0.16203703703703703</v>
      </c>
      <c r="K58" s="113">
        <f t="shared" si="48"/>
        <v>0.1620833234533261</v>
      </c>
      <c r="L58" s="122">
        <f t="shared" si="49"/>
        <v>0.16600444414752893</v>
      </c>
      <c r="M58" s="124">
        <v>14</v>
      </c>
      <c r="N58">
        <f t="shared" si="43"/>
        <v>13</v>
      </c>
      <c r="Q58" s="118">
        <f t="shared" si="50"/>
        <v>0.20624283907832611</v>
      </c>
      <c r="R58" s="119">
        <f t="shared" si="51"/>
        <v>0.21016416220308448</v>
      </c>
    </row>
    <row r="59" spans="1:18" ht="15.5" x14ac:dyDescent="0.35">
      <c r="A59" s="115">
        <f t="shared" si="41"/>
        <v>16000</v>
      </c>
      <c r="B59" s="108">
        <f t="shared" si="44"/>
        <v>0.16</v>
      </c>
      <c r="C59" s="108">
        <f t="shared" ref="C59:C60" si="52">6+M59*0.01</f>
        <v>6.16</v>
      </c>
      <c r="D59" s="108">
        <v>0.01</v>
      </c>
      <c r="E59" s="108">
        <f t="shared" si="42"/>
        <v>0.16</v>
      </c>
      <c r="I59" s="114">
        <f t="shared" si="46"/>
        <v>1.0579752294645051E-4</v>
      </c>
      <c r="J59" s="113">
        <f t="shared" si="47"/>
        <v>0.18518518518518517</v>
      </c>
      <c r="K59" s="113">
        <f t="shared" si="48"/>
        <v>0.18523147160147424</v>
      </c>
      <c r="L59" s="122">
        <f t="shared" si="49"/>
        <v>0.18915259229567707</v>
      </c>
      <c r="M59" s="124">
        <v>16</v>
      </c>
      <c r="N59">
        <f t="shared" si="43"/>
        <v>15</v>
      </c>
      <c r="Q59" s="118">
        <f t="shared" si="50"/>
        <v>0.23484237611536313</v>
      </c>
      <c r="R59" s="119">
        <f t="shared" si="51"/>
        <v>0.23876369924012153</v>
      </c>
    </row>
    <row r="60" spans="1:18" ht="16" thickBot="1" x14ac:dyDescent="0.4">
      <c r="A60" s="115">
        <f t="shared" si="41"/>
        <v>18000</v>
      </c>
      <c r="B60" s="108">
        <f t="shared" si="44"/>
        <v>0.18</v>
      </c>
      <c r="C60" s="108">
        <f t="shared" si="52"/>
        <v>6.18</v>
      </c>
      <c r="D60" s="108">
        <v>0.01</v>
      </c>
      <c r="E60" s="108">
        <f t="shared" si="42"/>
        <v>0.18000000000000002</v>
      </c>
      <c r="I60" s="114">
        <f t="shared" si="46"/>
        <v>1.1902221331475684E-4</v>
      </c>
      <c r="J60" s="113">
        <f t="shared" si="47"/>
        <v>0.20833333333333334</v>
      </c>
      <c r="K60" s="113">
        <f t="shared" si="48"/>
        <v>0.20837961974962241</v>
      </c>
      <c r="L60" s="122">
        <f t="shared" si="49"/>
        <v>0.21230074044382524</v>
      </c>
      <c r="M60" s="125">
        <v>18</v>
      </c>
      <c r="N60">
        <f t="shared" si="43"/>
        <v>17</v>
      </c>
      <c r="Q60" s="120">
        <f t="shared" si="50"/>
        <v>0.26344191315240018</v>
      </c>
      <c r="R60" s="121">
        <f t="shared" si="51"/>
        <v>0.26736323627715858</v>
      </c>
    </row>
    <row r="61" spans="1:18" x14ac:dyDescent="0.35">
      <c r="A61" s="126"/>
      <c r="R61" s="127"/>
    </row>
    <row r="62" spans="1:18" x14ac:dyDescent="0.35">
      <c r="A62" s="126"/>
      <c r="B62" t="s">
        <v>85</v>
      </c>
      <c r="F62" s="112" t="s">
        <v>87</v>
      </c>
      <c r="G62" s="110"/>
      <c r="H62" s="110"/>
      <c r="I62" s="110"/>
      <c r="R62" s="127"/>
    </row>
    <row r="63" spans="1:18" x14ac:dyDescent="0.35">
      <c r="A63" s="115"/>
      <c r="B63" s="108" t="s">
        <v>80</v>
      </c>
      <c r="C63" s="108"/>
      <c r="D63" s="108" t="s">
        <v>83</v>
      </c>
      <c r="E63" s="108"/>
      <c r="F63" s="85" t="s">
        <v>89</v>
      </c>
      <c r="G63" s="111"/>
      <c r="H63" s="85" t="s">
        <v>88</v>
      </c>
      <c r="I63" s="111"/>
      <c r="J63" s="8" t="s">
        <v>97</v>
      </c>
      <c r="K63" s="223" t="s">
        <v>99</v>
      </c>
      <c r="L63" s="223"/>
      <c r="R63" s="127"/>
    </row>
    <row r="64" spans="1:18" x14ac:dyDescent="0.35">
      <c r="A64" s="115"/>
      <c r="B64" s="8" t="s">
        <v>81</v>
      </c>
      <c r="C64" s="8" t="s">
        <v>82</v>
      </c>
      <c r="D64" s="8" t="s">
        <v>82</v>
      </c>
      <c r="E64" s="8" t="s">
        <v>81</v>
      </c>
      <c r="F64" s="108" t="s">
        <v>18</v>
      </c>
      <c r="G64" s="108" t="s">
        <v>20</v>
      </c>
      <c r="H64" s="108" t="s">
        <v>20</v>
      </c>
      <c r="I64" s="108" t="s">
        <v>18</v>
      </c>
      <c r="J64" s="8"/>
      <c r="K64" s="8" t="s">
        <v>81</v>
      </c>
      <c r="L64" s="8" t="s">
        <v>82</v>
      </c>
      <c r="R64" s="127"/>
    </row>
    <row r="65" spans="1:18" x14ac:dyDescent="0.35">
      <c r="A65" s="115">
        <f>$U$19*M54</f>
        <v>1413</v>
      </c>
      <c r="B65" s="108">
        <f>3600*$P$54-C54</f>
        <v>86394.06</v>
      </c>
      <c r="C65" s="108">
        <f>3600*$P$54-B54</f>
        <v>86399.94</v>
      </c>
      <c r="D65" s="108">
        <f>3600*$P$54-D54</f>
        <v>86399.99</v>
      </c>
      <c r="E65" s="108">
        <f>3600*$P$54-E54</f>
        <v>86399.94</v>
      </c>
      <c r="F65" s="114">
        <f>B65*$T$15/(3600*$P$54)</f>
        <v>2.9997937500000002E-3</v>
      </c>
      <c r="G65" s="114">
        <f>C65*$T$15/(3600*$P$54)</f>
        <v>2.9999979166666665E-3</v>
      </c>
      <c r="H65" s="114">
        <f>D65*$T$15/(3600*$P$54)</f>
        <v>2.9999996527777777E-3</v>
      </c>
      <c r="I65" s="114">
        <f>E65*$T$15/(3600*$P$54)</f>
        <v>2.9999979166666665E-3</v>
      </c>
      <c r="J65" s="113">
        <f>A65/(3600*$P$54)</f>
        <v>1.6354166666666666E-2</v>
      </c>
      <c r="K65" s="113">
        <f>$F$65+$H$65+J65</f>
        <v>2.2353960069444442E-2</v>
      </c>
      <c r="L65" s="113">
        <f>$G$65+$I$65+J65</f>
        <v>2.23541625E-2</v>
      </c>
      <c r="R65" s="127"/>
    </row>
    <row r="66" spans="1:18" x14ac:dyDescent="0.35">
      <c r="A66" s="115">
        <f t="shared" ref="A66:A68" si="53">$U$19*M55</f>
        <v>1884</v>
      </c>
      <c r="B66" s="108">
        <f t="shared" ref="B66:B71" si="54">3600*$P$54-C55</f>
        <v>86394.08</v>
      </c>
      <c r="C66" s="108">
        <f t="shared" ref="C66:C71" si="55">3600*$P$54-B55</f>
        <v>86399.92</v>
      </c>
      <c r="D66" s="108">
        <f t="shared" ref="D66:E71" si="56">3600*$P$54-D55</f>
        <v>86399.99</v>
      </c>
      <c r="E66" s="108">
        <f t="shared" si="56"/>
        <v>86399.92</v>
      </c>
      <c r="I66" s="114">
        <f t="shared" ref="I66:I71" si="57">E66*$T$15/(3600*$P$54)</f>
        <v>2.9999972222222227E-3</v>
      </c>
      <c r="J66" s="113">
        <f t="shared" ref="J66:J71" si="58">A66/(3600*$P$54)</f>
        <v>2.1805555555555557E-2</v>
      </c>
      <c r="K66" s="113">
        <f t="shared" ref="K66:K71" si="59">$F$65+$H$65+J66</f>
        <v>2.7805348958333337E-2</v>
      </c>
      <c r="L66" s="113">
        <f t="shared" ref="L66:L71" si="60">$G$65+$I$65+J66</f>
        <v>2.7805551388888891E-2</v>
      </c>
      <c r="R66" s="127"/>
    </row>
    <row r="67" spans="1:18" x14ac:dyDescent="0.35">
      <c r="A67" s="115">
        <f t="shared" si="53"/>
        <v>2355</v>
      </c>
      <c r="B67" s="108">
        <f t="shared" si="54"/>
        <v>86394.1</v>
      </c>
      <c r="C67" s="108">
        <f t="shared" si="55"/>
        <v>86399.9</v>
      </c>
      <c r="D67" s="108">
        <f t="shared" si="56"/>
        <v>86399.99</v>
      </c>
      <c r="E67" s="108">
        <f t="shared" si="56"/>
        <v>86399.9</v>
      </c>
      <c r="I67" s="114">
        <f t="shared" si="57"/>
        <v>2.9999965277777776E-3</v>
      </c>
      <c r="J67" s="113">
        <f t="shared" si="58"/>
        <v>2.7256944444444445E-2</v>
      </c>
      <c r="K67" s="113">
        <f t="shared" si="59"/>
        <v>3.3256737847222224E-2</v>
      </c>
      <c r="L67" s="113">
        <f t="shared" si="60"/>
        <v>3.3256940277777779E-2</v>
      </c>
      <c r="R67" s="127"/>
    </row>
    <row r="68" spans="1:18" x14ac:dyDescent="0.35">
      <c r="A68" s="115">
        <f t="shared" si="53"/>
        <v>2826</v>
      </c>
      <c r="B68" s="108">
        <f t="shared" si="54"/>
        <v>86394</v>
      </c>
      <c r="C68" s="108">
        <f t="shared" si="55"/>
        <v>86399.88</v>
      </c>
      <c r="D68" s="108">
        <f t="shared" si="56"/>
        <v>86399.99</v>
      </c>
      <c r="E68" s="108">
        <f t="shared" si="56"/>
        <v>86399.88</v>
      </c>
      <c r="I68" s="114">
        <f t="shared" si="57"/>
        <v>2.9999958333333339E-3</v>
      </c>
      <c r="J68" s="113">
        <f t="shared" si="58"/>
        <v>3.2708333333333332E-2</v>
      </c>
      <c r="K68" s="113">
        <f t="shared" si="59"/>
        <v>3.8708126736111112E-2</v>
      </c>
      <c r="L68" s="113">
        <f t="shared" si="60"/>
        <v>3.8708329166666666E-2</v>
      </c>
      <c r="R68" s="127"/>
    </row>
    <row r="69" spans="1:18" x14ac:dyDescent="0.35">
      <c r="A69" s="115">
        <f>$U$19*M58</f>
        <v>3297</v>
      </c>
      <c r="B69" s="108">
        <f t="shared" si="54"/>
        <v>86393.86</v>
      </c>
      <c r="C69" s="108">
        <f t="shared" si="55"/>
        <v>86399.86</v>
      </c>
      <c r="D69" s="108">
        <f t="shared" si="56"/>
        <v>86399.99</v>
      </c>
      <c r="E69" s="108">
        <f t="shared" si="56"/>
        <v>86399.86</v>
      </c>
      <c r="I69" s="114">
        <f t="shared" si="57"/>
        <v>2.9999951388888892E-3</v>
      </c>
      <c r="J69" s="113">
        <f t="shared" si="58"/>
        <v>3.815972222222222E-2</v>
      </c>
      <c r="K69" s="113">
        <f t="shared" si="59"/>
        <v>4.4159515625E-2</v>
      </c>
      <c r="L69" s="113">
        <f t="shared" si="60"/>
        <v>4.4159718055555554E-2</v>
      </c>
      <c r="R69" s="127"/>
    </row>
    <row r="70" spans="1:18" x14ac:dyDescent="0.35">
      <c r="A70" s="115">
        <f t="shared" ref="A70:A71" si="61">$U$19*M59</f>
        <v>3768</v>
      </c>
      <c r="B70" s="108">
        <f t="shared" si="54"/>
        <v>86393.84</v>
      </c>
      <c r="C70" s="108">
        <f t="shared" si="55"/>
        <v>86399.84</v>
      </c>
      <c r="D70" s="108">
        <f t="shared" si="56"/>
        <v>86399.99</v>
      </c>
      <c r="E70" s="108">
        <f t="shared" si="56"/>
        <v>86399.84</v>
      </c>
      <c r="I70" s="114">
        <f t="shared" si="57"/>
        <v>2.9999944444444445E-3</v>
      </c>
      <c r="J70" s="113">
        <f t="shared" si="58"/>
        <v>4.3611111111111114E-2</v>
      </c>
      <c r="K70" s="113">
        <f t="shared" si="59"/>
        <v>4.9610904513888894E-2</v>
      </c>
      <c r="L70" s="113">
        <f t="shared" si="60"/>
        <v>4.9611106944444448E-2</v>
      </c>
      <c r="R70" s="127"/>
    </row>
    <row r="71" spans="1:18" x14ac:dyDescent="0.35">
      <c r="A71" s="115">
        <f t="shared" si="61"/>
        <v>4239</v>
      </c>
      <c r="B71" s="108">
        <f t="shared" si="54"/>
        <v>86393.82</v>
      </c>
      <c r="C71" s="108">
        <f t="shared" si="55"/>
        <v>86399.82</v>
      </c>
      <c r="D71" s="108">
        <f t="shared" si="56"/>
        <v>86399.99</v>
      </c>
      <c r="E71" s="108">
        <f t="shared" si="56"/>
        <v>86399.82</v>
      </c>
      <c r="I71" s="114">
        <f t="shared" si="57"/>
        <v>2.9999937500000003E-3</v>
      </c>
      <c r="J71" s="113">
        <f t="shared" si="58"/>
        <v>4.9062500000000002E-2</v>
      </c>
      <c r="K71" s="113">
        <f t="shared" si="59"/>
        <v>5.5062293402777782E-2</v>
      </c>
      <c r="L71" s="113">
        <f t="shared" si="60"/>
        <v>5.5062495833333336E-2</v>
      </c>
      <c r="R71" s="127"/>
    </row>
    <row r="72" spans="1:18" ht="15" thickBot="1" x14ac:dyDescent="0.4">
      <c r="A72" s="128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30"/>
    </row>
  </sheetData>
  <mergeCells count="33">
    <mergeCell ref="T14:U14"/>
    <mergeCell ref="T15:U15"/>
    <mergeCell ref="B2:E2"/>
    <mergeCell ref="B3:C3"/>
    <mergeCell ref="D3:E3"/>
    <mergeCell ref="T12:U12"/>
    <mergeCell ref="F3:G3"/>
    <mergeCell ref="H3:I3"/>
    <mergeCell ref="F2:I2"/>
    <mergeCell ref="K3:L3"/>
    <mergeCell ref="K14:L14"/>
    <mergeCell ref="Q3:R3"/>
    <mergeCell ref="F26:I26"/>
    <mergeCell ref="B27:C27"/>
    <mergeCell ref="D27:E27"/>
    <mergeCell ref="F27:G27"/>
    <mergeCell ref="H27:I27"/>
    <mergeCell ref="A1:R1"/>
    <mergeCell ref="A25:R25"/>
    <mergeCell ref="K63:L63"/>
    <mergeCell ref="A50:R50"/>
    <mergeCell ref="B51:E51"/>
    <mergeCell ref="F51:I51"/>
    <mergeCell ref="B52:C52"/>
    <mergeCell ref="D52:E52"/>
    <mergeCell ref="F52:G52"/>
    <mergeCell ref="H52:I52"/>
    <mergeCell ref="K52:L52"/>
    <mergeCell ref="Q52:R52"/>
    <mergeCell ref="K27:L27"/>
    <mergeCell ref="Q27:R27"/>
    <mergeCell ref="K38:L38"/>
    <mergeCell ref="B26:E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D12E-6ED8-44F8-A181-EFBEC819D4F7}">
  <dimension ref="A1:S46"/>
  <sheetViews>
    <sheetView workbookViewId="0">
      <selection activeCell="B2" sqref="B2:C2"/>
    </sheetView>
  </sheetViews>
  <sheetFormatPr baseColWidth="10" defaultColWidth="11.453125" defaultRowHeight="14.5" x14ac:dyDescent="0.35"/>
  <cols>
    <col min="1" max="1" width="24.7265625" style="96" bestFit="1" customWidth="1"/>
    <col min="2" max="2" width="18.54296875" style="96" bestFit="1" customWidth="1"/>
    <col min="3" max="3" width="10.81640625" style="96" bestFit="1" customWidth="1"/>
    <col min="4" max="7" width="11.453125" style="96"/>
    <col min="8" max="8" width="9" style="96" bestFit="1" customWidth="1"/>
    <col min="9" max="10" width="11.453125" style="96"/>
    <col min="11" max="11" width="20.1796875" style="96" bestFit="1" customWidth="1"/>
    <col min="12" max="13" width="11.453125" style="96"/>
    <col min="14" max="14" width="10.81640625" style="96" bestFit="1" customWidth="1"/>
    <col min="15" max="15" width="11.453125" style="96"/>
    <col min="16" max="16" width="9.54296875" style="96" bestFit="1" customWidth="1"/>
    <col min="17" max="17" width="20.1796875" style="96" bestFit="1" customWidth="1"/>
    <col min="18" max="18" width="11.453125" style="96"/>
    <col min="19" max="19" width="24.81640625" style="96" bestFit="1" customWidth="1"/>
    <col min="20" max="16384" width="11.453125" style="96"/>
  </cols>
  <sheetData>
    <row r="1" spans="1:19" x14ac:dyDescent="0.35">
      <c r="A1" s="238" t="s">
        <v>121</v>
      </c>
      <c r="B1" s="241" t="s">
        <v>120</v>
      </c>
      <c r="C1" s="242"/>
    </row>
    <row r="2" spans="1:19" ht="15" thickBot="1" x14ac:dyDescent="0.4">
      <c r="A2" s="239"/>
      <c r="B2" s="243">
        <v>57.130662391083298</v>
      </c>
      <c r="C2" s="244"/>
      <c r="G2" s="179" t="s">
        <v>124</v>
      </c>
      <c r="H2" s="179"/>
      <c r="I2" s="179"/>
      <c r="J2" s="179"/>
      <c r="K2" s="179"/>
      <c r="M2" s="179" t="s">
        <v>125</v>
      </c>
      <c r="N2" s="179"/>
      <c r="O2" s="179"/>
      <c r="P2" s="179"/>
      <c r="Q2" s="179"/>
      <c r="S2" s="235" t="s">
        <v>131</v>
      </c>
    </row>
    <row r="3" spans="1:19" x14ac:dyDescent="0.35">
      <c r="A3" s="239"/>
      <c r="B3" s="236" t="s">
        <v>86</v>
      </c>
      <c r="C3" s="237"/>
      <c r="G3" s="179" t="s">
        <v>126</v>
      </c>
      <c r="H3" s="179"/>
      <c r="I3" s="179" t="s">
        <v>127</v>
      </c>
      <c r="J3" s="179"/>
      <c r="K3" s="235" t="s">
        <v>128</v>
      </c>
      <c r="M3" s="179" t="s">
        <v>126</v>
      </c>
      <c r="N3" s="179"/>
      <c r="O3" s="179" t="s">
        <v>127</v>
      </c>
      <c r="P3" s="179"/>
      <c r="Q3" s="235" t="s">
        <v>128</v>
      </c>
      <c r="S3" s="235"/>
    </row>
    <row r="4" spans="1:19" ht="15" thickBot="1" x14ac:dyDescent="0.4">
      <c r="A4" s="240"/>
      <c r="B4" s="243">
        <f>0.0025*1.2</f>
        <v>3.0000000000000001E-3</v>
      </c>
      <c r="C4" s="244"/>
      <c r="G4" s="96" t="s">
        <v>95</v>
      </c>
      <c r="H4" s="96" t="s">
        <v>96</v>
      </c>
      <c r="I4" s="96" t="s">
        <v>95</v>
      </c>
      <c r="J4" s="96" t="s">
        <v>96</v>
      </c>
      <c r="K4" s="235"/>
      <c r="M4" s="96" t="s">
        <v>95</v>
      </c>
      <c r="N4" s="96" t="s">
        <v>96</v>
      </c>
      <c r="O4" s="96" t="s">
        <v>95</v>
      </c>
      <c r="P4" s="96" t="s">
        <v>96</v>
      </c>
      <c r="Q4" s="235"/>
      <c r="S4" s="235"/>
    </row>
    <row r="5" spans="1:19" x14ac:dyDescent="0.35">
      <c r="G5" s="96">
        <f>(6-B8*0.01)*$A$8</f>
        <v>5.94</v>
      </c>
      <c r="H5" s="96">
        <f t="shared" ref="H5:H14" si="0">3600*24-G5</f>
        <v>86394.06</v>
      </c>
      <c r="I5" s="96">
        <f t="shared" ref="I5:I14" si="1">G5*$B$2/3600</f>
        <v>9.4265592945287455E-2</v>
      </c>
      <c r="J5" s="96">
        <f t="shared" ref="J5:J14" si="2">$B$4*H5/3600</f>
        <v>7.1995050000000005E-2</v>
      </c>
      <c r="K5" s="96">
        <f t="shared" ref="K5:K14" si="3">I5+J5</f>
        <v>0.16626064294528747</v>
      </c>
      <c r="M5" s="96">
        <f t="shared" ref="M5:M14" si="4">$A$8*((B8*(B8+1))/2)*10/B8</f>
        <v>35</v>
      </c>
      <c r="N5" s="96">
        <f t="shared" ref="N5:N14" si="5">3600*24-M5</f>
        <v>86365</v>
      </c>
      <c r="O5" s="96">
        <f t="shared" ref="O5:O14" si="6">M5*$B$2/3600</f>
        <v>0.55543699546886538</v>
      </c>
      <c r="P5" s="96">
        <f t="shared" ref="P5:P14" si="7">N5*$B$4/3600</f>
        <v>7.1970833333333345E-2</v>
      </c>
      <c r="Q5" s="96">
        <f t="shared" ref="Q5:Q14" si="8">O5+P5</f>
        <v>0.6274078288021987</v>
      </c>
      <c r="S5" s="96">
        <f t="shared" ref="S5:S14" si="9">K5+Q5</f>
        <v>0.79366847174748623</v>
      </c>
    </row>
    <row r="6" spans="1:19" ht="15" thickBot="1" x14ac:dyDescent="0.4">
      <c r="G6" s="96">
        <f>(6-B9*0.01)*$A$8</f>
        <v>5.92</v>
      </c>
      <c r="H6" s="96">
        <f t="shared" si="0"/>
        <v>86394.08</v>
      </c>
      <c r="I6" s="96">
        <f t="shared" si="1"/>
        <v>9.3948200376448091E-2</v>
      </c>
      <c r="J6" s="96">
        <f t="shared" si="2"/>
        <v>7.1995066666666677E-2</v>
      </c>
      <c r="K6" s="96">
        <f t="shared" si="3"/>
        <v>0.16594326704311477</v>
      </c>
      <c r="M6" s="96">
        <f t="shared" si="4"/>
        <v>45</v>
      </c>
      <c r="N6" s="96">
        <f t="shared" si="5"/>
        <v>86355</v>
      </c>
      <c r="O6" s="96">
        <f t="shared" si="6"/>
        <v>0.71413327988854125</v>
      </c>
      <c r="P6" s="96">
        <f t="shared" si="7"/>
        <v>7.1962499999999999E-2</v>
      </c>
      <c r="Q6" s="96">
        <f t="shared" si="8"/>
        <v>0.78609577988854129</v>
      </c>
      <c r="S6" s="96">
        <f t="shared" si="9"/>
        <v>0.95203904693165609</v>
      </c>
    </row>
    <row r="7" spans="1:19" ht="15" thickBot="1" x14ac:dyDescent="0.4">
      <c r="A7" s="136" t="s">
        <v>123</v>
      </c>
      <c r="B7" s="139" t="s">
        <v>122</v>
      </c>
      <c r="G7" s="96">
        <f>(6-B10*0.01)*$A$8</f>
        <v>5.9</v>
      </c>
      <c r="H7" s="96">
        <f t="shared" si="0"/>
        <v>86394.1</v>
      </c>
      <c r="I7" s="96">
        <f t="shared" si="1"/>
        <v>9.363080780760874E-2</v>
      </c>
      <c r="J7" s="96">
        <f t="shared" si="2"/>
        <v>7.1995083333333335E-2</v>
      </c>
      <c r="K7" s="96">
        <f t="shared" si="3"/>
        <v>0.16562589114094206</v>
      </c>
      <c r="M7" s="96">
        <f t="shared" si="4"/>
        <v>55</v>
      </c>
      <c r="N7" s="96">
        <f t="shared" si="5"/>
        <v>86345</v>
      </c>
      <c r="O7" s="96">
        <f t="shared" si="6"/>
        <v>0.87282956430821701</v>
      </c>
      <c r="P7" s="96">
        <f t="shared" si="7"/>
        <v>7.195416666666668E-2</v>
      </c>
      <c r="Q7" s="96">
        <f t="shared" si="8"/>
        <v>0.94478373097488366</v>
      </c>
      <c r="S7" s="96">
        <f t="shared" si="9"/>
        <v>1.1104096221158257</v>
      </c>
    </row>
    <row r="8" spans="1:19" x14ac:dyDescent="0.35">
      <c r="A8" s="135">
        <v>1</v>
      </c>
      <c r="B8" s="97">
        <v>6</v>
      </c>
      <c r="G8" s="96">
        <f>6*$A$8</f>
        <v>6</v>
      </c>
      <c r="H8" s="96">
        <f t="shared" si="0"/>
        <v>86394</v>
      </c>
      <c r="I8" s="96">
        <f t="shared" si="1"/>
        <v>9.5217770651805506E-2</v>
      </c>
      <c r="J8" s="96">
        <f t="shared" si="2"/>
        <v>7.1995000000000003E-2</v>
      </c>
      <c r="K8" s="96">
        <f t="shared" si="3"/>
        <v>0.16721277065180551</v>
      </c>
      <c r="M8" s="96">
        <f t="shared" si="4"/>
        <v>65</v>
      </c>
      <c r="N8" s="96">
        <f t="shared" si="5"/>
        <v>86335</v>
      </c>
      <c r="O8" s="96">
        <f t="shared" si="6"/>
        <v>1.0315258487278929</v>
      </c>
      <c r="P8" s="96">
        <f t="shared" si="7"/>
        <v>7.1945833333333334E-2</v>
      </c>
      <c r="Q8" s="96">
        <f t="shared" si="8"/>
        <v>1.1034716820612263</v>
      </c>
      <c r="S8" s="96">
        <f t="shared" si="9"/>
        <v>1.2706844527130317</v>
      </c>
    </row>
    <row r="9" spans="1:19" x14ac:dyDescent="0.35">
      <c r="A9" s="28">
        <v>2</v>
      </c>
      <c r="B9" s="98">
        <v>8</v>
      </c>
      <c r="G9" s="96">
        <f t="shared" ref="G9:G14" si="10">(6+B12*0.01)*$A$8</f>
        <v>6.14</v>
      </c>
      <c r="H9" s="96">
        <f t="shared" si="0"/>
        <v>86393.86</v>
      </c>
      <c r="I9" s="96">
        <f t="shared" si="1"/>
        <v>9.7439518633680944E-2</v>
      </c>
      <c r="J9" s="96">
        <f t="shared" si="2"/>
        <v>7.1994883333333329E-2</v>
      </c>
      <c r="K9" s="96">
        <f t="shared" si="3"/>
        <v>0.16943440196701426</v>
      </c>
      <c r="M9" s="96">
        <f t="shared" si="4"/>
        <v>75</v>
      </c>
      <c r="N9" s="96">
        <f t="shared" si="5"/>
        <v>86325</v>
      </c>
      <c r="O9" s="96">
        <f t="shared" si="6"/>
        <v>1.1902221331475689</v>
      </c>
      <c r="P9" s="96">
        <f t="shared" si="7"/>
        <v>7.1937500000000001E-2</v>
      </c>
      <c r="Q9" s="96">
        <f t="shared" si="8"/>
        <v>1.2621596331475688</v>
      </c>
      <c r="S9" s="96">
        <f t="shared" si="9"/>
        <v>1.4315940351145831</v>
      </c>
    </row>
    <row r="10" spans="1:19" ht="15" thickBot="1" x14ac:dyDescent="0.4">
      <c r="A10" s="29">
        <v>4</v>
      </c>
      <c r="B10" s="98">
        <v>10</v>
      </c>
      <c r="G10" s="96">
        <f t="shared" si="10"/>
        <v>6.16</v>
      </c>
      <c r="H10" s="96">
        <f t="shared" si="0"/>
        <v>86393.84</v>
      </c>
      <c r="I10" s="96">
        <f t="shared" si="1"/>
        <v>9.7756911202520308E-2</v>
      </c>
      <c r="J10" s="96">
        <f t="shared" si="2"/>
        <v>7.1994866666666657E-2</v>
      </c>
      <c r="K10" s="96">
        <f t="shared" si="3"/>
        <v>0.16975177786918696</v>
      </c>
      <c r="M10" s="96">
        <f t="shared" si="4"/>
        <v>85</v>
      </c>
      <c r="N10" s="96">
        <f t="shared" si="5"/>
        <v>86315</v>
      </c>
      <c r="O10" s="96">
        <f t="shared" si="6"/>
        <v>1.3489184175672446</v>
      </c>
      <c r="P10" s="96">
        <f t="shared" si="7"/>
        <v>7.1929166666666669E-2</v>
      </c>
      <c r="Q10" s="96">
        <f t="shared" si="8"/>
        <v>1.4208475842339112</v>
      </c>
      <c r="S10" s="96">
        <f t="shared" si="9"/>
        <v>1.5905993621030983</v>
      </c>
    </row>
    <row r="11" spans="1:19" x14ac:dyDescent="0.35">
      <c r="B11" s="28">
        <v>12</v>
      </c>
      <c r="G11" s="96">
        <f t="shared" si="10"/>
        <v>6.18</v>
      </c>
      <c r="H11" s="96">
        <f t="shared" si="0"/>
        <v>86393.82</v>
      </c>
      <c r="I11" s="96">
        <f t="shared" si="1"/>
        <v>9.8074303771359658E-2</v>
      </c>
      <c r="J11" s="96">
        <f t="shared" si="2"/>
        <v>7.1994849999999999E-2</v>
      </c>
      <c r="K11" s="96">
        <f t="shared" si="3"/>
        <v>0.17006915377135967</v>
      </c>
      <c r="M11" s="96">
        <f t="shared" si="4"/>
        <v>95</v>
      </c>
      <c r="N11" s="96">
        <f t="shared" si="5"/>
        <v>86305</v>
      </c>
      <c r="O11" s="96">
        <f t="shared" si="6"/>
        <v>1.5076147019869204</v>
      </c>
      <c r="P11" s="96">
        <f t="shared" si="7"/>
        <v>7.1920833333333337E-2</v>
      </c>
      <c r="Q11" s="96">
        <f t="shared" si="8"/>
        <v>1.5795355353202538</v>
      </c>
      <c r="S11" s="96">
        <f t="shared" si="9"/>
        <v>1.7496046890916135</v>
      </c>
    </row>
    <row r="12" spans="1:19" x14ac:dyDescent="0.35">
      <c r="B12" s="28">
        <v>14</v>
      </c>
      <c r="G12" s="96">
        <f t="shared" si="10"/>
        <v>6.2</v>
      </c>
      <c r="H12" s="96">
        <f t="shared" si="0"/>
        <v>86393.8</v>
      </c>
      <c r="I12" s="96">
        <f t="shared" si="1"/>
        <v>9.8391696340199009E-2</v>
      </c>
      <c r="J12" s="96">
        <f t="shared" si="2"/>
        <v>7.1994833333333327E-2</v>
      </c>
      <c r="K12" s="96">
        <f t="shared" si="3"/>
        <v>0.17038652967353235</v>
      </c>
      <c r="M12" s="96">
        <f t="shared" si="4"/>
        <v>105</v>
      </c>
      <c r="N12" s="96">
        <f t="shared" si="5"/>
        <v>86295</v>
      </c>
      <c r="O12" s="96">
        <f t="shared" si="6"/>
        <v>1.6663109864065964</v>
      </c>
      <c r="P12" s="96">
        <f t="shared" si="7"/>
        <v>7.1912500000000004E-2</v>
      </c>
      <c r="Q12" s="96">
        <f t="shared" si="8"/>
        <v>1.7382234864065964</v>
      </c>
      <c r="S12" s="96">
        <f t="shared" si="9"/>
        <v>1.9086100160801287</v>
      </c>
    </row>
    <row r="13" spans="1:19" x14ac:dyDescent="0.35">
      <c r="B13" s="28">
        <v>16</v>
      </c>
      <c r="G13" s="96">
        <f t="shared" si="10"/>
        <v>6.22</v>
      </c>
      <c r="H13" s="96">
        <f t="shared" si="0"/>
        <v>86393.78</v>
      </c>
      <c r="I13" s="96">
        <f t="shared" si="1"/>
        <v>9.8709088909038359E-2</v>
      </c>
      <c r="J13" s="96">
        <f t="shared" si="2"/>
        <v>7.1994816666666656E-2</v>
      </c>
      <c r="K13" s="96">
        <f t="shared" si="3"/>
        <v>0.17070390557570503</v>
      </c>
      <c r="M13" s="96">
        <f t="shared" si="4"/>
        <v>115</v>
      </c>
      <c r="N13" s="96">
        <f t="shared" si="5"/>
        <v>86285</v>
      </c>
      <c r="O13" s="96">
        <f t="shared" si="6"/>
        <v>1.8250072708262721</v>
      </c>
      <c r="P13" s="96">
        <f t="shared" si="7"/>
        <v>7.1904166666666672E-2</v>
      </c>
      <c r="Q13" s="96">
        <f t="shared" si="8"/>
        <v>1.8969114374929388</v>
      </c>
      <c r="S13" s="96">
        <f t="shared" si="9"/>
        <v>2.0676153430686437</v>
      </c>
    </row>
    <row r="14" spans="1:19" x14ac:dyDescent="0.35">
      <c r="B14" s="28">
        <v>18</v>
      </c>
      <c r="G14" s="96">
        <f t="shared" si="10"/>
        <v>6.24</v>
      </c>
      <c r="H14" s="96">
        <f t="shared" si="0"/>
        <v>86393.76</v>
      </c>
      <c r="I14" s="96">
        <f t="shared" si="1"/>
        <v>9.9026481477877723E-2</v>
      </c>
      <c r="J14" s="96">
        <f t="shared" si="2"/>
        <v>7.1994799999999998E-2</v>
      </c>
      <c r="K14" s="96">
        <f t="shared" si="3"/>
        <v>0.17102128147787771</v>
      </c>
      <c r="M14" s="96">
        <f t="shared" si="4"/>
        <v>125</v>
      </c>
      <c r="N14" s="96">
        <f t="shared" si="5"/>
        <v>86275</v>
      </c>
      <c r="O14" s="96">
        <f t="shared" si="6"/>
        <v>1.9837035552459479</v>
      </c>
      <c r="P14" s="96">
        <f t="shared" si="7"/>
        <v>7.1895833333333325E-2</v>
      </c>
      <c r="Q14" s="96">
        <f t="shared" si="8"/>
        <v>2.0555993885792812</v>
      </c>
      <c r="S14" s="96">
        <f t="shared" si="9"/>
        <v>2.2266206700571587</v>
      </c>
    </row>
    <row r="15" spans="1:19" x14ac:dyDescent="0.35">
      <c r="B15" s="28">
        <v>20</v>
      </c>
    </row>
    <row r="16" spans="1:19" x14ac:dyDescent="0.35">
      <c r="B16" s="28">
        <v>22</v>
      </c>
    </row>
    <row r="17" spans="2:19" ht="15" thickBot="1" x14ac:dyDescent="0.4">
      <c r="B17" s="29">
        <v>24</v>
      </c>
    </row>
    <row r="18" spans="2:19" x14ac:dyDescent="0.35">
      <c r="G18" s="179" t="s">
        <v>124</v>
      </c>
      <c r="H18" s="179"/>
      <c r="I18" s="179"/>
      <c r="J18" s="179"/>
      <c r="K18" s="179"/>
      <c r="M18" s="179" t="s">
        <v>125</v>
      </c>
      <c r="N18" s="179"/>
      <c r="O18" s="179"/>
      <c r="P18" s="179"/>
      <c r="Q18" s="179"/>
      <c r="S18" s="235" t="s">
        <v>131</v>
      </c>
    </row>
    <row r="19" spans="2:19" x14ac:dyDescent="0.35">
      <c r="G19" s="179" t="s">
        <v>126</v>
      </c>
      <c r="H19" s="179"/>
      <c r="I19" s="179" t="s">
        <v>127</v>
      </c>
      <c r="J19" s="179"/>
      <c r="K19" s="235" t="s">
        <v>128</v>
      </c>
      <c r="M19" s="179" t="s">
        <v>126</v>
      </c>
      <c r="N19" s="179"/>
      <c r="O19" s="179" t="s">
        <v>127</v>
      </c>
      <c r="P19" s="179"/>
      <c r="Q19" s="235" t="s">
        <v>128</v>
      </c>
      <c r="S19" s="235"/>
    </row>
    <row r="20" spans="2:19" x14ac:dyDescent="0.35">
      <c r="G20" s="96" t="s">
        <v>95</v>
      </c>
      <c r="H20" s="96" t="s">
        <v>96</v>
      </c>
      <c r="I20" s="96" t="s">
        <v>95</v>
      </c>
      <c r="J20" s="96" t="s">
        <v>96</v>
      </c>
      <c r="K20" s="235"/>
      <c r="M20" s="96" t="s">
        <v>95</v>
      </c>
      <c r="N20" s="96" t="s">
        <v>96</v>
      </c>
      <c r="O20" s="96" t="s">
        <v>95</v>
      </c>
      <c r="P20" s="96" t="s">
        <v>96</v>
      </c>
      <c r="Q20" s="235"/>
      <c r="S20" s="235"/>
    </row>
    <row r="21" spans="2:19" x14ac:dyDescent="0.35">
      <c r="G21" s="96">
        <f>(6-B8*0.01)*$A$9</f>
        <v>11.88</v>
      </c>
      <c r="H21" s="96">
        <f t="shared" ref="H21:H30" si="11">3600*24-G21</f>
        <v>86388.12</v>
      </c>
      <c r="I21" s="96">
        <f t="shared" ref="I21:I30" si="12">G21*$B$2/3600</f>
        <v>0.18853118589057491</v>
      </c>
      <c r="J21" s="96">
        <f t="shared" ref="J21:J30" si="13">$B$4*H21/3600</f>
        <v>7.1990100000000001E-2</v>
      </c>
      <c r="K21" s="96">
        <f t="shared" ref="K21:K30" si="14">I21+J21</f>
        <v>0.26052128589057488</v>
      </c>
      <c r="M21" s="96">
        <f t="shared" ref="M21:M30" si="15">$A$9*((B8*(B8+1))/2)*10/B8</f>
        <v>70</v>
      </c>
      <c r="N21" s="96">
        <f t="shared" ref="N21:N30" si="16">3600*24-M21</f>
        <v>86330</v>
      </c>
      <c r="O21" s="96">
        <f t="shared" ref="O21:O30" si="17">M21*$B$2/3600</f>
        <v>1.1108739909377308</v>
      </c>
      <c r="P21" s="96">
        <f t="shared" ref="P21:P30" si="18">N21*$B$4/3600</f>
        <v>7.1941666666666668E-2</v>
      </c>
      <c r="Q21" s="96">
        <f t="shared" ref="Q21:Q30" si="19">O21+P21</f>
        <v>1.1828156576043973</v>
      </c>
      <c r="S21" s="96">
        <f t="shared" ref="S21:S30" si="20">K21+Q21</f>
        <v>1.4433369434949723</v>
      </c>
    </row>
    <row r="22" spans="2:19" x14ac:dyDescent="0.35">
      <c r="G22" s="96">
        <f>(6-B9*0.01)*$A$9</f>
        <v>11.84</v>
      </c>
      <c r="H22" s="96">
        <f t="shared" si="11"/>
        <v>86388.160000000003</v>
      </c>
      <c r="I22" s="96">
        <f t="shared" si="12"/>
        <v>0.18789640075289618</v>
      </c>
      <c r="J22" s="96">
        <f t="shared" si="13"/>
        <v>7.1990133333333345E-2</v>
      </c>
      <c r="K22" s="96">
        <f t="shared" si="14"/>
        <v>0.25988653408622953</v>
      </c>
      <c r="M22" s="96">
        <f t="shared" si="15"/>
        <v>90</v>
      </c>
      <c r="N22" s="96">
        <f t="shared" si="16"/>
        <v>86310</v>
      </c>
      <c r="O22" s="96">
        <f t="shared" si="17"/>
        <v>1.4282665597770825</v>
      </c>
      <c r="P22" s="96">
        <f t="shared" si="18"/>
        <v>7.1925000000000003E-2</v>
      </c>
      <c r="Q22" s="96">
        <f t="shared" si="19"/>
        <v>1.5001915597770825</v>
      </c>
      <c r="S22" s="96">
        <f t="shared" si="20"/>
        <v>1.760078093863312</v>
      </c>
    </row>
    <row r="23" spans="2:19" x14ac:dyDescent="0.35">
      <c r="G23" s="96">
        <f>(6-B10*0.01)*$A$9</f>
        <v>11.8</v>
      </c>
      <c r="H23" s="96">
        <f t="shared" si="11"/>
        <v>86388.2</v>
      </c>
      <c r="I23" s="96">
        <f t="shared" si="12"/>
        <v>0.18726161561521748</v>
      </c>
      <c r="J23" s="96">
        <f t="shared" si="13"/>
        <v>7.1990166666666675E-2</v>
      </c>
      <c r="K23" s="96">
        <f t="shared" si="14"/>
        <v>0.25925178228188417</v>
      </c>
      <c r="M23" s="96">
        <f t="shared" si="15"/>
        <v>110</v>
      </c>
      <c r="N23" s="96">
        <f t="shared" si="16"/>
        <v>86290</v>
      </c>
      <c r="O23" s="96">
        <f t="shared" si="17"/>
        <v>1.745659128616434</v>
      </c>
      <c r="P23" s="96">
        <f t="shared" si="18"/>
        <v>7.1908333333333338E-2</v>
      </c>
      <c r="Q23" s="96">
        <f t="shared" si="19"/>
        <v>1.8175674619497673</v>
      </c>
      <c r="S23" s="96">
        <f t="shared" si="20"/>
        <v>2.0768192442316513</v>
      </c>
    </row>
    <row r="24" spans="2:19" x14ac:dyDescent="0.35">
      <c r="G24" s="96">
        <f>6*$A$9</f>
        <v>12</v>
      </c>
      <c r="H24" s="96">
        <f t="shared" si="11"/>
        <v>86388</v>
      </c>
      <c r="I24" s="96">
        <f t="shared" si="12"/>
        <v>0.19043554130361101</v>
      </c>
      <c r="J24" s="96">
        <f t="shared" si="13"/>
        <v>7.1989999999999998E-2</v>
      </c>
      <c r="K24" s="96">
        <f t="shared" si="14"/>
        <v>0.26242554130361101</v>
      </c>
      <c r="M24" s="96">
        <f t="shared" si="15"/>
        <v>130</v>
      </c>
      <c r="N24" s="96">
        <f t="shared" si="16"/>
        <v>86270</v>
      </c>
      <c r="O24" s="96">
        <f t="shared" si="17"/>
        <v>2.0630516974557858</v>
      </c>
      <c r="P24" s="96">
        <f t="shared" si="18"/>
        <v>7.1891666666666673E-2</v>
      </c>
      <c r="Q24" s="96">
        <f t="shared" si="19"/>
        <v>2.1349433641224524</v>
      </c>
      <c r="S24" s="96">
        <f t="shared" si="20"/>
        <v>2.3973689054260636</v>
      </c>
    </row>
    <row r="25" spans="2:19" x14ac:dyDescent="0.35">
      <c r="G25" s="96">
        <f t="shared" ref="G25:G30" si="21">(6+B12*0.01)*$A$9</f>
        <v>12.28</v>
      </c>
      <c r="H25" s="96">
        <f t="shared" si="11"/>
        <v>86387.72</v>
      </c>
      <c r="I25" s="96">
        <f t="shared" si="12"/>
        <v>0.19487903726736189</v>
      </c>
      <c r="J25" s="96">
        <f t="shared" si="13"/>
        <v>7.1989766666666663E-2</v>
      </c>
      <c r="K25" s="96">
        <f t="shared" si="14"/>
        <v>0.26686880393402856</v>
      </c>
      <c r="M25" s="96">
        <f t="shared" si="15"/>
        <v>150</v>
      </c>
      <c r="N25" s="96">
        <f t="shared" si="16"/>
        <v>86250</v>
      </c>
      <c r="O25" s="96">
        <f t="shared" si="17"/>
        <v>2.3804442662951377</v>
      </c>
      <c r="P25" s="96">
        <f t="shared" si="18"/>
        <v>7.1874999999999994E-2</v>
      </c>
      <c r="Q25" s="96">
        <f t="shared" si="19"/>
        <v>2.4523192662951376</v>
      </c>
      <c r="S25" s="96">
        <f t="shared" si="20"/>
        <v>2.7191880702291664</v>
      </c>
    </row>
    <row r="26" spans="2:19" x14ac:dyDescent="0.35">
      <c r="G26" s="96">
        <f t="shared" si="21"/>
        <v>12.32</v>
      </c>
      <c r="H26" s="96">
        <f t="shared" si="11"/>
        <v>86387.68</v>
      </c>
      <c r="I26" s="96">
        <f t="shared" si="12"/>
        <v>0.19551382240504062</v>
      </c>
      <c r="J26" s="96">
        <f t="shared" si="13"/>
        <v>7.1989733333333319E-2</v>
      </c>
      <c r="K26" s="96">
        <f t="shared" si="14"/>
        <v>0.26750355573837392</v>
      </c>
      <c r="M26" s="96">
        <f t="shared" si="15"/>
        <v>170</v>
      </c>
      <c r="N26" s="96">
        <f t="shared" si="16"/>
        <v>86230</v>
      </c>
      <c r="O26" s="96">
        <f t="shared" si="17"/>
        <v>2.6978368351344892</v>
      </c>
      <c r="P26" s="96">
        <f t="shared" si="18"/>
        <v>7.185833333333333E-2</v>
      </c>
      <c r="Q26" s="96">
        <f t="shared" si="19"/>
        <v>2.7696951684678224</v>
      </c>
      <c r="S26" s="96">
        <f t="shared" si="20"/>
        <v>3.0371987242061964</v>
      </c>
    </row>
    <row r="27" spans="2:19" x14ac:dyDescent="0.35">
      <c r="G27" s="96">
        <f t="shared" si="21"/>
        <v>12.36</v>
      </c>
      <c r="H27" s="96">
        <f t="shared" si="11"/>
        <v>86387.64</v>
      </c>
      <c r="I27" s="96">
        <f t="shared" si="12"/>
        <v>0.19614860754271932</v>
      </c>
      <c r="J27" s="96">
        <f t="shared" si="13"/>
        <v>7.198969999999999E-2</v>
      </c>
      <c r="K27" s="96">
        <f t="shared" si="14"/>
        <v>0.26813830754271928</v>
      </c>
      <c r="M27" s="96">
        <f t="shared" si="15"/>
        <v>190</v>
      </c>
      <c r="N27" s="96">
        <f t="shared" si="16"/>
        <v>86210</v>
      </c>
      <c r="O27" s="96">
        <f t="shared" si="17"/>
        <v>3.0152294039738408</v>
      </c>
      <c r="P27" s="96">
        <f t="shared" si="18"/>
        <v>7.1841666666666665E-2</v>
      </c>
      <c r="Q27" s="96">
        <f t="shared" si="19"/>
        <v>3.0870710706405076</v>
      </c>
      <c r="S27" s="96">
        <f t="shared" si="20"/>
        <v>3.3552093781832268</v>
      </c>
    </row>
    <row r="28" spans="2:19" x14ac:dyDescent="0.35">
      <c r="G28" s="96">
        <f t="shared" si="21"/>
        <v>12.4</v>
      </c>
      <c r="H28" s="96">
        <f t="shared" si="11"/>
        <v>86387.6</v>
      </c>
      <c r="I28" s="96">
        <f t="shared" si="12"/>
        <v>0.19678339268039802</v>
      </c>
      <c r="J28" s="96">
        <f t="shared" si="13"/>
        <v>7.1989666666666674E-2</v>
      </c>
      <c r="K28" s="96">
        <f t="shared" si="14"/>
        <v>0.26877305934706469</v>
      </c>
      <c r="M28" s="96">
        <f t="shared" si="15"/>
        <v>210</v>
      </c>
      <c r="N28" s="96">
        <f t="shared" si="16"/>
        <v>86190</v>
      </c>
      <c r="O28" s="96">
        <f t="shared" si="17"/>
        <v>3.3326219728131927</v>
      </c>
      <c r="P28" s="96">
        <f t="shared" si="18"/>
        <v>7.1825E-2</v>
      </c>
      <c r="Q28" s="96">
        <f t="shared" si="19"/>
        <v>3.4044469728131928</v>
      </c>
      <c r="S28" s="96">
        <f t="shared" si="20"/>
        <v>3.6732200321602573</v>
      </c>
    </row>
    <row r="29" spans="2:19" x14ac:dyDescent="0.35">
      <c r="G29" s="96">
        <f t="shared" si="21"/>
        <v>12.44</v>
      </c>
      <c r="H29" s="96">
        <f t="shared" si="11"/>
        <v>86387.56</v>
      </c>
      <c r="I29" s="96">
        <f t="shared" si="12"/>
        <v>0.19741817781807672</v>
      </c>
      <c r="J29" s="96">
        <f t="shared" si="13"/>
        <v>7.1989633333333344E-2</v>
      </c>
      <c r="K29" s="96">
        <f t="shared" si="14"/>
        <v>0.26940781115141005</v>
      </c>
      <c r="M29" s="96">
        <f t="shared" si="15"/>
        <v>230</v>
      </c>
      <c r="N29" s="96">
        <f t="shared" si="16"/>
        <v>86170</v>
      </c>
      <c r="O29" s="96">
        <f t="shared" si="17"/>
        <v>3.6500145416525442</v>
      </c>
      <c r="P29" s="96">
        <f t="shared" si="18"/>
        <v>7.1808333333333335E-2</v>
      </c>
      <c r="Q29" s="96">
        <f t="shared" si="19"/>
        <v>3.7218228749858775</v>
      </c>
      <c r="S29" s="96">
        <f t="shared" si="20"/>
        <v>3.9912306861372877</v>
      </c>
    </row>
    <row r="30" spans="2:19" x14ac:dyDescent="0.35">
      <c r="G30" s="96">
        <f t="shared" si="21"/>
        <v>12.48</v>
      </c>
      <c r="H30" s="96">
        <f t="shared" si="11"/>
        <v>86387.520000000004</v>
      </c>
      <c r="I30" s="96">
        <f t="shared" si="12"/>
        <v>0.19805296295575545</v>
      </c>
      <c r="J30" s="96">
        <f t="shared" si="13"/>
        <v>7.1989600000000015E-2</v>
      </c>
      <c r="K30" s="96">
        <f t="shared" si="14"/>
        <v>0.27004256295575546</v>
      </c>
      <c r="M30" s="96">
        <f t="shared" si="15"/>
        <v>250</v>
      </c>
      <c r="N30" s="96">
        <f t="shared" si="16"/>
        <v>86150</v>
      </c>
      <c r="O30" s="96">
        <f t="shared" si="17"/>
        <v>3.9674071104918958</v>
      </c>
      <c r="P30" s="96">
        <f t="shared" si="18"/>
        <v>7.179166666666667E-2</v>
      </c>
      <c r="Q30" s="96">
        <f t="shared" si="19"/>
        <v>4.0391987771585622</v>
      </c>
      <c r="S30" s="96">
        <f t="shared" si="20"/>
        <v>4.3092413401143173</v>
      </c>
    </row>
    <row r="34" spans="7:19" x14ac:dyDescent="0.35">
      <c r="G34" s="179" t="s">
        <v>124</v>
      </c>
      <c r="H34" s="179"/>
      <c r="I34" s="179"/>
      <c r="J34" s="179"/>
      <c r="K34" s="179"/>
      <c r="M34" s="179" t="s">
        <v>125</v>
      </c>
      <c r="N34" s="179"/>
      <c r="O34" s="179"/>
      <c r="P34" s="179"/>
      <c r="Q34" s="179"/>
      <c r="S34" s="235" t="s">
        <v>131</v>
      </c>
    </row>
    <row r="35" spans="7:19" x14ac:dyDescent="0.35">
      <c r="G35" s="179" t="s">
        <v>126</v>
      </c>
      <c r="H35" s="179"/>
      <c r="I35" s="179" t="s">
        <v>127</v>
      </c>
      <c r="J35" s="179"/>
      <c r="K35" s="235" t="s">
        <v>128</v>
      </c>
      <c r="M35" s="179" t="s">
        <v>126</v>
      </c>
      <c r="N35" s="179"/>
      <c r="O35" s="179" t="s">
        <v>127</v>
      </c>
      <c r="P35" s="179"/>
      <c r="Q35" s="235" t="s">
        <v>128</v>
      </c>
      <c r="S35" s="235"/>
    </row>
    <row r="36" spans="7:19" x14ac:dyDescent="0.35">
      <c r="G36" s="96" t="s">
        <v>95</v>
      </c>
      <c r="H36" s="96" t="s">
        <v>96</v>
      </c>
      <c r="I36" s="96" t="s">
        <v>95</v>
      </c>
      <c r="J36" s="96" t="s">
        <v>96</v>
      </c>
      <c r="K36" s="235"/>
      <c r="M36" s="96" t="s">
        <v>95</v>
      </c>
      <c r="N36" s="96" t="s">
        <v>96</v>
      </c>
      <c r="O36" s="96" t="s">
        <v>95</v>
      </c>
      <c r="P36" s="96" t="s">
        <v>96</v>
      </c>
      <c r="Q36" s="235"/>
      <c r="S36" s="235"/>
    </row>
    <row r="37" spans="7:19" x14ac:dyDescent="0.35">
      <c r="G37" s="96">
        <f>(6-B8*0.01)*$A$10</f>
        <v>23.76</v>
      </c>
      <c r="H37" s="96">
        <f t="shared" ref="H37:H46" si="22">3600*24-G37</f>
        <v>86376.24</v>
      </c>
      <c r="I37" s="96">
        <f t="shared" ref="I37:I46" si="23">G37*$B$2/3600</f>
        <v>0.37706237178114982</v>
      </c>
      <c r="J37" s="96">
        <f t="shared" ref="J37:J46" si="24">$B$4*H37/3600</f>
        <v>7.1980200000000008E-2</v>
      </c>
      <c r="K37" s="96">
        <f t="shared" ref="K37:K46" si="25">I37+J37</f>
        <v>0.44904257178114981</v>
      </c>
      <c r="M37" s="96">
        <f t="shared" ref="M37:M46" si="26">$A$10*((B8*(B8+1))/2)*10/B8</f>
        <v>140</v>
      </c>
      <c r="N37" s="96">
        <f t="shared" ref="N37:N46" si="27">3600*24-M37</f>
        <v>86260</v>
      </c>
      <c r="O37" s="96">
        <f t="shared" ref="O37:O46" si="28">M37*$B$2/3600</f>
        <v>2.2217479818754615</v>
      </c>
      <c r="P37" s="96">
        <f t="shared" ref="P37:P46" si="29">N37*$B$4/3600</f>
        <v>7.1883333333333341E-2</v>
      </c>
      <c r="Q37" s="96">
        <f t="shared" ref="Q37:Q46" si="30">O37+P37</f>
        <v>2.293631315208795</v>
      </c>
      <c r="S37" s="96">
        <f t="shared" ref="S37:S46" si="31">K37+Q37</f>
        <v>2.742673886989945</v>
      </c>
    </row>
    <row r="38" spans="7:19" x14ac:dyDescent="0.35">
      <c r="G38" s="96">
        <f>(6-B9*0.01)*$A$10</f>
        <v>23.68</v>
      </c>
      <c r="H38" s="96">
        <f t="shared" si="22"/>
        <v>86376.320000000007</v>
      </c>
      <c r="I38" s="96">
        <f t="shared" si="23"/>
        <v>0.37579280150579236</v>
      </c>
      <c r="J38" s="96">
        <f t="shared" si="24"/>
        <v>7.1980266666666667E-2</v>
      </c>
      <c r="K38" s="96">
        <f t="shared" si="25"/>
        <v>0.44777306817245904</v>
      </c>
      <c r="M38" s="96">
        <f t="shared" si="26"/>
        <v>180</v>
      </c>
      <c r="N38" s="96">
        <f t="shared" si="27"/>
        <v>86220</v>
      </c>
      <c r="O38" s="96">
        <f t="shared" si="28"/>
        <v>2.856533119554165</v>
      </c>
      <c r="P38" s="96">
        <f t="shared" si="29"/>
        <v>7.1850000000000011E-2</v>
      </c>
      <c r="Q38" s="96">
        <f t="shared" si="30"/>
        <v>2.928383119554165</v>
      </c>
      <c r="S38" s="96">
        <f t="shared" si="31"/>
        <v>3.376156187726624</v>
      </c>
    </row>
    <row r="39" spans="7:19" x14ac:dyDescent="0.35">
      <c r="G39" s="96">
        <f>(6-B10*0.01)*$A$10</f>
        <v>23.6</v>
      </c>
      <c r="H39" s="96">
        <f t="shared" si="22"/>
        <v>86376.4</v>
      </c>
      <c r="I39" s="96">
        <f t="shared" si="23"/>
        <v>0.37452323123043496</v>
      </c>
      <c r="J39" s="96">
        <f t="shared" si="24"/>
        <v>7.1980333333333327E-2</v>
      </c>
      <c r="K39" s="96">
        <f t="shared" si="25"/>
        <v>0.44650356456376827</v>
      </c>
      <c r="M39" s="96">
        <f t="shared" si="26"/>
        <v>220</v>
      </c>
      <c r="N39" s="96">
        <f t="shared" si="27"/>
        <v>86180</v>
      </c>
      <c r="O39" s="96">
        <f t="shared" si="28"/>
        <v>3.491318257232868</v>
      </c>
      <c r="P39" s="96">
        <f t="shared" si="29"/>
        <v>7.1816666666666668E-2</v>
      </c>
      <c r="Q39" s="96">
        <f t="shared" si="30"/>
        <v>3.5631349238995349</v>
      </c>
      <c r="S39" s="96">
        <f t="shared" si="31"/>
        <v>4.0096384884633034</v>
      </c>
    </row>
    <row r="40" spans="7:19" x14ac:dyDescent="0.35">
      <c r="G40" s="96">
        <f>6*$A$10</f>
        <v>24</v>
      </c>
      <c r="H40" s="96">
        <f t="shared" si="22"/>
        <v>86376</v>
      </c>
      <c r="I40" s="96">
        <f t="shared" si="23"/>
        <v>0.38087108260722202</v>
      </c>
      <c r="J40" s="96">
        <f t="shared" si="24"/>
        <v>7.1980000000000002E-2</v>
      </c>
      <c r="K40" s="96">
        <f t="shared" si="25"/>
        <v>0.45285108260722201</v>
      </c>
      <c r="M40" s="96">
        <f t="shared" si="26"/>
        <v>260</v>
      </c>
      <c r="N40" s="96">
        <f t="shared" si="27"/>
        <v>86140</v>
      </c>
      <c r="O40" s="96">
        <f t="shared" si="28"/>
        <v>4.1261033949115715</v>
      </c>
      <c r="P40" s="96">
        <f t="shared" si="29"/>
        <v>7.1783333333333338E-2</v>
      </c>
      <c r="Q40" s="96">
        <f t="shared" si="30"/>
        <v>4.1978867282449048</v>
      </c>
      <c r="S40" s="96">
        <f t="shared" si="31"/>
        <v>4.6507378108521271</v>
      </c>
    </row>
    <row r="41" spans="7:19" x14ac:dyDescent="0.35">
      <c r="G41" s="96">
        <f t="shared" ref="G41:G46" si="32">(6+B12*0.01)*$A$10</f>
        <v>24.56</v>
      </c>
      <c r="H41" s="96">
        <f t="shared" si="22"/>
        <v>86375.44</v>
      </c>
      <c r="I41" s="96">
        <f t="shared" si="23"/>
        <v>0.38975807453472378</v>
      </c>
      <c r="J41" s="96">
        <f t="shared" si="24"/>
        <v>7.1979533333333345E-2</v>
      </c>
      <c r="K41" s="96">
        <f t="shared" si="25"/>
        <v>0.46173760786805712</v>
      </c>
      <c r="M41" s="96">
        <f t="shared" si="26"/>
        <v>300</v>
      </c>
      <c r="N41" s="96">
        <f t="shared" si="27"/>
        <v>86100</v>
      </c>
      <c r="O41" s="96">
        <f t="shared" si="28"/>
        <v>4.7608885325902754</v>
      </c>
      <c r="P41" s="96">
        <f t="shared" si="29"/>
        <v>7.1750000000000008E-2</v>
      </c>
      <c r="Q41" s="96">
        <f t="shared" si="30"/>
        <v>4.8326385325902752</v>
      </c>
      <c r="S41" s="96">
        <f t="shared" si="31"/>
        <v>5.2943761404583327</v>
      </c>
    </row>
    <row r="42" spans="7:19" x14ac:dyDescent="0.35">
      <c r="G42" s="96">
        <f t="shared" si="32"/>
        <v>24.64</v>
      </c>
      <c r="H42" s="96">
        <f t="shared" si="22"/>
        <v>86375.360000000001</v>
      </c>
      <c r="I42" s="96">
        <f t="shared" si="23"/>
        <v>0.39102764481008123</v>
      </c>
      <c r="J42" s="96">
        <f t="shared" si="24"/>
        <v>7.1979466666666672E-2</v>
      </c>
      <c r="K42" s="96">
        <f t="shared" si="25"/>
        <v>0.46300711147674789</v>
      </c>
      <c r="M42" s="96">
        <f t="shared" si="26"/>
        <v>340</v>
      </c>
      <c r="N42" s="96">
        <f t="shared" si="27"/>
        <v>86060</v>
      </c>
      <c r="O42" s="96">
        <f t="shared" si="28"/>
        <v>5.3956736702689785</v>
      </c>
      <c r="P42" s="96">
        <f t="shared" si="29"/>
        <v>7.1716666666666665E-2</v>
      </c>
      <c r="Q42" s="96">
        <f t="shared" si="30"/>
        <v>5.4673903369356456</v>
      </c>
      <c r="S42" s="96">
        <f t="shared" si="31"/>
        <v>5.9303974484123936</v>
      </c>
    </row>
    <row r="43" spans="7:19" x14ac:dyDescent="0.35">
      <c r="G43" s="96">
        <f t="shared" si="32"/>
        <v>24.72</v>
      </c>
      <c r="H43" s="96">
        <f t="shared" si="22"/>
        <v>86375.28</v>
      </c>
      <c r="I43" s="96">
        <f t="shared" si="23"/>
        <v>0.39229721508543863</v>
      </c>
      <c r="J43" s="96">
        <f t="shared" si="24"/>
        <v>7.1979399999999999E-2</v>
      </c>
      <c r="K43" s="96">
        <f t="shared" si="25"/>
        <v>0.4642766150854386</v>
      </c>
      <c r="M43" s="96">
        <f t="shared" si="26"/>
        <v>380</v>
      </c>
      <c r="N43" s="96">
        <f t="shared" si="27"/>
        <v>86020</v>
      </c>
      <c r="O43" s="96">
        <f t="shared" si="28"/>
        <v>6.0304588079476815</v>
      </c>
      <c r="P43" s="96">
        <f t="shared" si="29"/>
        <v>7.1683333333333335E-2</v>
      </c>
      <c r="Q43" s="96">
        <f t="shared" si="30"/>
        <v>6.1021421412810151</v>
      </c>
      <c r="S43" s="96">
        <f t="shared" si="31"/>
        <v>6.5664187563664536</v>
      </c>
    </row>
    <row r="44" spans="7:19" x14ac:dyDescent="0.35">
      <c r="G44" s="96">
        <f t="shared" si="32"/>
        <v>24.8</v>
      </c>
      <c r="H44" s="96">
        <f t="shared" si="22"/>
        <v>86375.2</v>
      </c>
      <c r="I44" s="96">
        <f t="shared" si="23"/>
        <v>0.39356678536079603</v>
      </c>
      <c r="J44" s="96">
        <f t="shared" si="24"/>
        <v>7.197933333333334E-2</v>
      </c>
      <c r="K44" s="96">
        <f t="shared" si="25"/>
        <v>0.46554611869412937</v>
      </c>
      <c r="M44" s="96">
        <f t="shared" si="26"/>
        <v>420</v>
      </c>
      <c r="N44" s="96">
        <f t="shared" si="27"/>
        <v>85980</v>
      </c>
      <c r="O44" s="96">
        <f t="shared" si="28"/>
        <v>6.6652439456263854</v>
      </c>
      <c r="P44" s="96">
        <f t="shared" si="29"/>
        <v>7.1650000000000005E-2</v>
      </c>
      <c r="Q44" s="96">
        <f t="shared" si="30"/>
        <v>6.7368939456263854</v>
      </c>
      <c r="S44" s="96">
        <f t="shared" si="31"/>
        <v>7.2024400643205144</v>
      </c>
    </row>
    <row r="45" spans="7:19" x14ac:dyDescent="0.35">
      <c r="G45" s="96">
        <f t="shared" si="32"/>
        <v>24.88</v>
      </c>
      <c r="H45" s="96">
        <f t="shared" si="22"/>
        <v>86375.12</v>
      </c>
      <c r="I45" s="96">
        <f t="shared" si="23"/>
        <v>0.39483635563615344</v>
      </c>
      <c r="J45" s="96">
        <f t="shared" si="24"/>
        <v>7.1979266666666666E-2</v>
      </c>
      <c r="K45" s="96">
        <f t="shared" si="25"/>
        <v>0.46681562230282009</v>
      </c>
      <c r="M45" s="96">
        <f t="shared" si="26"/>
        <v>460</v>
      </c>
      <c r="N45" s="96">
        <f t="shared" si="27"/>
        <v>85940</v>
      </c>
      <c r="O45" s="96">
        <f t="shared" si="28"/>
        <v>7.3000290833050885</v>
      </c>
      <c r="P45" s="96">
        <f t="shared" si="29"/>
        <v>7.1616666666666662E-2</v>
      </c>
      <c r="Q45" s="96">
        <f t="shared" si="30"/>
        <v>7.3716457499717549</v>
      </c>
      <c r="S45" s="96">
        <f t="shared" si="31"/>
        <v>7.8384613722745753</v>
      </c>
    </row>
    <row r="46" spans="7:19" x14ac:dyDescent="0.35">
      <c r="G46" s="96">
        <f t="shared" si="32"/>
        <v>24.96</v>
      </c>
      <c r="H46" s="96">
        <f t="shared" si="22"/>
        <v>86375.039999999994</v>
      </c>
      <c r="I46" s="96">
        <f t="shared" si="23"/>
        <v>0.39610592591151089</v>
      </c>
      <c r="J46" s="96">
        <f t="shared" si="24"/>
        <v>7.1979199999999993E-2</v>
      </c>
      <c r="K46" s="96">
        <f t="shared" si="25"/>
        <v>0.46808512591151086</v>
      </c>
      <c r="M46" s="96">
        <f t="shared" si="26"/>
        <v>500</v>
      </c>
      <c r="N46" s="96">
        <f t="shared" si="27"/>
        <v>85900</v>
      </c>
      <c r="O46" s="96">
        <f t="shared" si="28"/>
        <v>7.9348142209837915</v>
      </c>
      <c r="P46" s="96">
        <f t="shared" si="29"/>
        <v>7.1583333333333332E-2</v>
      </c>
      <c r="Q46" s="96">
        <f t="shared" si="30"/>
        <v>8.0063975543171253</v>
      </c>
      <c r="S46" s="96">
        <f t="shared" si="31"/>
        <v>8.4744826802286362</v>
      </c>
    </row>
  </sheetData>
  <mergeCells count="32">
    <mergeCell ref="B3:C3"/>
    <mergeCell ref="A1:A4"/>
    <mergeCell ref="G3:H3"/>
    <mergeCell ref="M3:N3"/>
    <mergeCell ref="I3:J3"/>
    <mergeCell ref="G2:K2"/>
    <mergeCell ref="B1:C1"/>
    <mergeCell ref="B2:C2"/>
    <mergeCell ref="B4:C4"/>
    <mergeCell ref="M2:Q2"/>
    <mergeCell ref="O3:P3"/>
    <mergeCell ref="K3:K4"/>
    <mergeCell ref="Q3:Q4"/>
    <mergeCell ref="S2:S4"/>
    <mergeCell ref="K19:K20"/>
    <mergeCell ref="M19:N19"/>
    <mergeCell ref="O19:P19"/>
    <mergeCell ref="Q19:Q20"/>
    <mergeCell ref="G18:K18"/>
    <mergeCell ref="M18:Q18"/>
    <mergeCell ref="S18:S20"/>
    <mergeCell ref="G19:H19"/>
    <mergeCell ref="I19:J19"/>
    <mergeCell ref="G34:K34"/>
    <mergeCell ref="M34:Q34"/>
    <mergeCell ref="S34:S36"/>
    <mergeCell ref="G35:H35"/>
    <mergeCell ref="I35:J35"/>
    <mergeCell ref="K35:K36"/>
    <mergeCell ref="M35:N35"/>
    <mergeCell ref="O35:P35"/>
    <mergeCell ref="Q35:Q3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60791-2A78-4D43-8DD1-F167117C04BC}">
  <dimension ref="G8:J9"/>
  <sheetViews>
    <sheetView workbookViewId="0"/>
  </sheetViews>
  <sheetFormatPr baseColWidth="10" defaultRowHeight="14.5" x14ac:dyDescent="0.35"/>
  <sheetData>
    <row r="8" spans="7:10" x14ac:dyDescent="0.35">
      <c r="G8" t="s">
        <v>133</v>
      </c>
      <c r="H8" t="s">
        <v>134</v>
      </c>
      <c r="I8" t="s">
        <v>135</v>
      </c>
      <c r="J8" t="s">
        <v>136</v>
      </c>
    </row>
    <row r="9" spans="7:10" x14ac:dyDescent="0.35">
      <c r="G9">
        <v>0.14000000000000001</v>
      </c>
      <c r="H9">
        <v>0.2</v>
      </c>
      <c r="I9">
        <f>H9^2-G9^2</f>
        <v>2.0400000000000005E-2</v>
      </c>
      <c r="J9">
        <f>SQRT(I9)</f>
        <v>0.14282856857085702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5F364-B36F-4428-865C-316E4E0A28C4}">
  <dimension ref="A1:S43"/>
  <sheetViews>
    <sheetView showGridLines="0" zoomScale="55" zoomScaleNormal="55" workbookViewId="0">
      <selection activeCell="B2" sqref="B2:J4"/>
    </sheetView>
  </sheetViews>
  <sheetFormatPr baseColWidth="10" defaultColWidth="11.453125" defaultRowHeight="14.5" outlineLevelCol="1" x14ac:dyDescent="0.35"/>
  <cols>
    <col min="1" max="1" width="15.453125" style="132" bestFit="1" customWidth="1"/>
    <col min="2" max="2" width="19.453125" style="132" bestFit="1" customWidth="1"/>
    <col min="3" max="3" width="28.1796875" style="132" customWidth="1" outlineLevel="1"/>
    <col min="4" max="4" width="14.453125" style="132" customWidth="1" outlineLevel="1"/>
    <col min="5" max="5" width="13.81640625" style="132" customWidth="1" outlineLevel="1"/>
    <col min="6" max="6" width="16.453125" style="132" customWidth="1" outlineLevel="1"/>
    <col min="7" max="7" width="20" style="132" customWidth="1" outlineLevel="1"/>
    <col min="8" max="8" width="21.81640625" style="132" customWidth="1" outlineLevel="1"/>
    <col min="9" max="9" width="25.453125" style="132" customWidth="1" outlineLevel="1"/>
    <col min="10" max="10" width="31.81640625" style="132" customWidth="1"/>
    <col min="11" max="14" width="13.54296875" style="132" customWidth="1" outlineLevel="1"/>
    <col min="15" max="15" width="21.7265625" style="132" customWidth="1" outlineLevel="1"/>
    <col min="16" max="16" width="27.26953125" style="132" customWidth="1" outlineLevel="1"/>
    <col min="17" max="17" width="25.1796875" style="132" customWidth="1" outlineLevel="1"/>
    <col min="18" max="18" width="35" style="132" customWidth="1"/>
    <col min="19" max="19" width="27.81640625" style="132" bestFit="1" customWidth="1"/>
    <col min="20" max="20" width="24.26953125" style="132" customWidth="1"/>
    <col min="21" max="21" width="11.453125" style="132"/>
    <col min="22" max="22" width="16.54296875" style="132" bestFit="1" customWidth="1"/>
    <col min="23" max="23" width="17.54296875" style="132" bestFit="1" customWidth="1"/>
    <col min="24" max="24" width="13.453125" style="132" bestFit="1" customWidth="1"/>
    <col min="25" max="25" width="15.81640625" style="132" bestFit="1" customWidth="1"/>
    <col min="26" max="16384" width="11.453125" style="132"/>
  </cols>
  <sheetData>
    <row r="1" spans="1:19" ht="26.5" thickBot="1" x14ac:dyDescent="0.4">
      <c r="A1" s="248" t="s">
        <v>132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50"/>
    </row>
    <row r="2" spans="1:19" ht="15.75" customHeight="1" thickBot="1" x14ac:dyDescent="0.4">
      <c r="A2" s="251">
        <v>3</v>
      </c>
      <c r="B2" s="253" t="s">
        <v>112</v>
      </c>
      <c r="C2" s="255" t="s">
        <v>116</v>
      </c>
      <c r="D2" s="256"/>
      <c r="E2" s="256"/>
      <c r="F2" s="256"/>
      <c r="G2" s="256"/>
      <c r="H2" s="256"/>
      <c r="I2" s="256"/>
      <c r="J2" s="257"/>
      <c r="K2" s="255" t="s">
        <v>113</v>
      </c>
      <c r="L2" s="256"/>
      <c r="M2" s="256"/>
      <c r="N2" s="256"/>
      <c r="O2" s="256"/>
      <c r="P2" s="256"/>
      <c r="Q2" s="256"/>
      <c r="R2" s="257"/>
      <c r="S2" s="258" t="s">
        <v>117</v>
      </c>
    </row>
    <row r="3" spans="1:19" ht="15.75" customHeight="1" thickBot="1" x14ac:dyDescent="0.4">
      <c r="A3" s="252"/>
      <c r="B3" s="254"/>
      <c r="C3" s="140" t="s">
        <v>104</v>
      </c>
      <c r="D3" s="141" t="s">
        <v>105</v>
      </c>
      <c r="E3" s="141" t="s">
        <v>110</v>
      </c>
      <c r="F3" s="141" t="s">
        <v>109</v>
      </c>
      <c r="G3" s="141" t="s">
        <v>107</v>
      </c>
      <c r="H3" s="141" t="s">
        <v>108</v>
      </c>
      <c r="I3" s="141" t="s">
        <v>119</v>
      </c>
      <c r="J3" s="142" t="s">
        <v>15</v>
      </c>
      <c r="K3" s="138" t="s">
        <v>104</v>
      </c>
      <c r="L3" s="143" t="s">
        <v>105</v>
      </c>
      <c r="M3" s="143" t="s">
        <v>110</v>
      </c>
      <c r="N3" s="143" t="s">
        <v>109</v>
      </c>
      <c r="O3" s="143" t="s">
        <v>107</v>
      </c>
      <c r="P3" s="143" t="s">
        <v>108</v>
      </c>
      <c r="Q3" s="143" t="s">
        <v>111</v>
      </c>
      <c r="R3" s="142" t="s">
        <v>15</v>
      </c>
      <c r="S3" s="259"/>
    </row>
    <row r="4" spans="1:19" x14ac:dyDescent="0.35">
      <c r="A4" s="245">
        <v>1</v>
      </c>
      <c r="B4" s="134">
        <v>6</v>
      </c>
      <c r="C4" s="133">
        <f>1+0.057</f>
        <v>1.0569999999999999</v>
      </c>
      <c r="D4" s="132">
        <v>0.25</v>
      </c>
      <c r="E4" s="132">
        <f>$A$4*((B4*(B4+1)/2)*(10/B4))/3600</f>
        <v>9.7222222222222224E-3</v>
      </c>
      <c r="F4" s="132">
        <f>24-E4</f>
        <v>23.990277777777777</v>
      </c>
      <c r="G4" s="132">
        <f>C4*E4</f>
        <v>1.0276388888888889E-2</v>
      </c>
      <c r="H4" s="132">
        <f>D4*F4</f>
        <v>5.9975694444444443</v>
      </c>
      <c r="I4" s="132">
        <f>G4+H4</f>
        <v>6.0078458333333336</v>
      </c>
      <c r="J4" s="144">
        <f>I4/24</f>
        <v>0.25032690972222221</v>
      </c>
      <c r="K4" s="133">
        <f>13.2+0.057</f>
        <v>13.257</v>
      </c>
      <c r="L4" s="132">
        <f>3</f>
        <v>3</v>
      </c>
      <c r="M4" s="132">
        <f>6*$A$4/3600</f>
        <v>1.6666666666666668E-3</v>
      </c>
      <c r="N4" s="132">
        <f>24-M4</f>
        <v>23.998333333333335</v>
      </c>
      <c r="O4" s="132">
        <f>K4*M4</f>
        <v>2.2095E-2</v>
      </c>
      <c r="P4" s="132">
        <f>L4*N4</f>
        <v>71.995000000000005</v>
      </c>
      <c r="Q4" s="132">
        <f>O4+P4</f>
        <v>72.017094999999998</v>
      </c>
      <c r="R4" s="134">
        <f>Q4/12</f>
        <v>6.0014245833333328</v>
      </c>
      <c r="S4" s="134">
        <f>SUM(J4+R4)</f>
        <v>6.2517514930555551</v>
      </c>
    </row>
    <row r="5" spans="1:19" x14ac:dyDescent="0.35">
      <c r="A5" s="246"/>
      <c r="B5" s="134">
        <v>8</v>
      </c>
      <c r="C5" s="133">
        <f t="shared" ref="C5:C28" si="0">1+0.057</f>
        <v>1.0569999999999999</v>
      </c>
      <c r="D5" s="132">
        <v>0.25</v>
      </c>
      <c r="E5" s="132">
        <f t="shared" ref="E5:E13" si="1">$A$4*((B5*(B5+1)/2)*(10/B5))/3600</f>
        <v>1.2500000000000001E-2</v>
      </c>
      <c r="F5" s="132">
        <f t="shared" ref="F5:F13" si="2">24-E5</f>
        <v>23.987500000000001</v>
      </c>
      <c r="G5" s="132">
        <f t="shared" ref="G5:G13" si="3">C5*E5</f>
        <v>1.32125E-2</v>
      </c>
      <c r="H5" s="132">
        <f t="shared" ref="H5:H13" si="4">D5*F5</f>
        <v>5.9968750000000002</v>
      </c>
      <c r="I5" s="132">
        <f t="shared" ref="I5:I13" si="5">G5+H5</f>
        <v>6.0100875</v>
      </c>
      <c r="J5" s="144">
        <f t="shared" ref="J5:J13" si="6">I5/24</f>
        <v>0.25042031250000002</v>
      </c>
      <c r="K5" s="133">
        <f t="shared" ref="K5:K28" si="7">13.2+0.057</f>
        <v>13.257</v>
      </c>
      <c r="L5" s="132">
        <f>3</f>
        <v>3</v>
      </c>
      <c r="M5" s="132">
        <f t="shared" ref="M5:M13" si="8">6*$A$4/3600</f>
        <v>1.6666666666666668E-3</v>
      </c>
      <c r="N5" s="132">
        <f t="shared" ref="N5:N13" si="9">24-M5</f>
        <v>23.998333333333335</v>
      </c>
      <c r="O5" s="132">
        <f t="shared" ref="O5:O13" si="10">K5*M5</f>
        <v>2.2095E-2</v>
      </c>
      <c r="P5" s="132">
        <f t="shared" ref="P5:P13" si="11">L5*N5</f>
        <v>71.995000000000005</v>
      </c>
      <c r="Q5" s="132">
        <f t="shared" ref="Q5:Q13" si="12">O5+P5</f>
        <v>72.017094999999998</v>
      </c>
      <c r="R5" s="134">
        <f t="shared" ref="R5:R13" si="13">Q5/12</f>
        <v>6.0014245833333328</v>
      </c>
      <c r="S5" s="134">
        <f t="shared" ref="S5:S13" si="14">SUM(J5+R5)</f>
        <v>6.251844895833333</v>
      </c>
    </row>
    <row r="6" spans="1:19" x14ac:dyDescent="0.35">
      <c r="A6" s="246"/>
      <c r="B6" s="134">
        <v>10</v>
      </c>
      <c r="C6" s="133">
        <f t="shared" si="0"/>
        <v>1.0569999999999999</v>
      </c>
      <c r="D6" s="132">
        <v>0.25</v>
      </c>
      <c r="E6" s="132">
        <f t="shared" si="1"/>
        <v>1.5277777777777777E-2</v>
      </c>
      <c r="F6" s="132">
        <f t="shared" si="2"/>
        <v>23.984722222222221</v>
      </c>
      <c r="G6" s="132">
        <f t="shared" si="3"/>
        <v>1.614861111111111E-2</v>
      </c>
      <c r="H6" s="132">
        <f t="shared" si="4"/>
        <v>5.9961805555555552</v>
      </c>
      <c r="I6" s="132">
        <f t="shared" si="5"/>
        <v>6.0123291666666665</v>
      </c>
      <c r="J6" s="144">
        <f t="shared" si="6"/>
        <v>0.25051371527777777</v>
      </c>
      <c r="K6" s="133">
        <f t="shared" si="7"/>
        <v>13.257</v>
      </c>
      <c r="L6" s="132">
        <f>3</f>
        <v>3</v>
      </c>
      <c r="M6" s="132">
        <f t="shared" si="8"/>
        <v>1.6666666666666668E-3</v>
      </c>
      <c r="N6" s="132">
        <f t="shared" si="9"/>
        <v>23.998333333333335</v>
      </c>
      <c r="O6" s="132">
        <f t="shared" si="10"/>
        <v>2.2095E-2</v>
      </c>
      <c r="P6" s="132">
        <f t="shared" si="11"/>
        <v>71.995000000000005</v>
      </c>
      <c r="Q6" s="132">
        <f t="shared" si="12"/>
        <v>72.017094999999998</v>
      </c>
      <c r="R6" s="134">
        <f t="shared" si="13"/>
        <v>6.0014245833333328</v>
      </c>
      <c r="S6" s="134">
        <f t="shared" si="14"/>
        <v>6.2519382986111109</v>
      </c>
    </row>
    <row r="7" spans="1:19" x14ac:dyDescent="0.35">
      <c r="A7" s="246"/>
      <c r="B7" s="134">
        <v>12</v>
      </c>
      <c r="C7" s="133">
        <f t="shared" si="0"/>
        <v>1.0569999999999999</v>
      </c>
      <c r="D7" s="132">
        <v>0.25</v>
      </c>
      <c r="E7" s="132">
        <f t="shared" si="1"/>
        <v>1.8055555555555554E-2</v>
      </c>
      <c r="F7" s="132">
        <f t="shared" si="2"/>
        <v>23.981944444444444</v>
      </c>
      <c r="G7" s="132">
        <f t="shared" si="3"/>
        <v>1.9084722222222218E-2</v>
      </c>
      <c r="H7" s="132">
        <f t="shared" si="4"/>
        <v>5.9954861111111111</v>
      </c>
      <c r="I7" s="132">
        <f t="shared" si="5"/>
        <v>6.014570833333333</v>
      </c>
      <c r="J7" s="144">
        <f t="shared" si="6"/>
        <v>0.25060711805555552</v>
      </c>
      <c r="K7" s="133">
        <f t="shared" si="7"/>
        <v>13.257</v>
      </c>
      <c r="L7" s="132">
        <f>3</f>
        <v>3</v>
      </c>
      <c r="M7" s="132">
        <f t="shared" si="8"/>
        <v>1.6666666666666668E-3</v>
      </c>
      <c r="N7" s="132">
        <f t="shared" si="9"/>
        <v>23.998333333333335</v>
      </c>
      <c r="O7" s="132">
        <f t="shared" si="10"/>
        <v>2.2095E-2</v>
      </c>
      <c r="P7" s="132">
        <f t="shared" si="11"/>
        <v>71.995000000000005</v>
      </c>
      <c r="Q7" s="132">
        <f t="shared" si="12"/>
        <v>72.017094999999998</v>
      </c>
      <c r="R7" s="134">
        <f t="shared" si="13"/>
        <v>6.0014245833333328</v>
      </c>
      <c r="S7" s="134">
        <f t="shared" si="14"/>
        <v>6.252031701388888</v>
      </c>
    </row>
    <row r="8" spans="1:19" x14ac:dyDescent="0.35">
      <c r="A8" s="246"/>
      <c r="B8" s="134">
        <v>14</v>
      </c>
      <c r="C8" s="133">
        <f t="shared" si="0"/>
        <v>1.0569999999999999</v>
      </c>
      <c r="D8" s="132">
        <v>0.25</v>
      </c>
      <c r="E8" s="132">
        <f t="shared" si="1"/>
        <v>2.0833333333333332E-2</v>
      </c>
      <c r="F8" s="132">
        <f t="shared" si="2"/>
        <v>23.979166666666668</v>
      </c>
      <c r="G8" s="132">
        <f t="shared" si="3"/>
        <v>2.202083333333333E-2</v>
      </c>
      <c r="H8" s="132">
        <f t="shared" si="4"/>
        <v>5.994791666666667</v>
      </c>
      <c r="I8" s="132">
        <f t="shared" si="5"/>
        <v>6.0168125000000003</v>
      </c>
      <c r="J8" s="144">
        <f t="shared" si="6"/>
        <v>0.25070052083333333</v>
      </c>
      <c r="K8" s="133">
        <f t="shared" si="7"/>
        <v>13.257</v>
      </c>
      <c r="L8" s="132">
        <f>3</f>
        <v>3</v>
      </c>
      <c r="M8" s="132">
        <f t="shared" si="8"/>
        <v>1.6666666666666668E-3</v>
      </c>
      <c r="N8" s="132">
        <f t="shared" si="9"/>
        <v>23.998333333333335</v>
      </c>
      <c r="O8" s="132">
        <f t="shared" si="10"/>
        <v>2.2095E-2</v>
      </c>
      <c r="P8" s="132">
        <f t="shared" si="11"/>
        <v>71.995000000000005</v>
      </c>
      <c r="Q8" s="132">
        <f t="shared" si="12"/>
        <v>72.017094999999998</v>
      </c>
      <c r="R8" s="134">
        <f t="shared" si="13"/>
        <v>6.0014245833333328</v>
      </c>
      <c r="S8" s="134">
        <f t="shared" si="14"/>
        <v>6.2521251041666659</v>
      </c>
    </row>
    <row r="9" spans="1:19" x14ac:dyDescent="0.35">
      <c r="A9" s="246"/>
      <c r="B9" s="134">
        <v>16</v>
      </c>
      <c r="C9" s="133">
        <f t="shared" si="0"/>
        <v>1.0569999999999999</v>
      </c>
      <c r="D9" s="132">
        <v>0.25</v>
      </c>
      <c r="E9" s="132">
        <f t="shared" si="1"/>
        <v>2.361111111111111E-2</v>
      </c>
      <c r="F9" s="132">
        <f t="shared" si="2"/>
        <v>23.976388888888888</v>
      </c>
      <c r="G9" s="132">
        <f t="shared" si="3"/>
        <v>2.4956944444444441E-2</v>
      </c>
      <c r="H9" s="132">
        <f t="shared" si="4"/>
        <v>5.994097222222222</v>
      </c>
      <c r="I9" s="132">
        <f t="shared" si="5"/>
        <v>6.0190541666666668</v>
      </c>
      <c r="J9" s="144">
        <f t="shared" si="6"/>
        <v>0.25079392361111114</v>
      </c>
      <c r="K9" s="133">
        <f t="shared" si="7"/>
        <v>13.257</v>
      </c>
      <c r="L9" s="132">
        <f>3</f>
        <v>3</v>
      </c>
      <c r="M9" s="132">
        <f t="shared" si="8"/>
        <v>1.6666666666666668E-3</v>
      </c>
      <c r="N9" s="132">
        <f t="shared" si="9"/>
        <v>23.998333333333335</v>
      </c>
      <c r="O9" s="132">
        <f t="shared" si="10"/>
        <v>2.2095E-2</v>
      </c>
      <c r="P9" s="132">
        <f t="shared" si="11"/>
        <v>71.995000000000005</v>
      </c>
      <c r="Q9" s="132">
        <f t="shared" si="12"/>
        <v>72.017094999999998</v>
      </c>
      <c r="R9" s="134">
        <f t="shared" si="13"/>
        <v>6.0014245833333328</v>
      </c>
      <c r="S9" s="134">
        <f t="shared" si="14"/>
        <v>6.2522185069444438</v>
      </c>
    </row>
    <row r="10" spans="1:19" x14ac:dyDescent="0.35">
      <c r="A10" s="246"/>
      <c r="B10" s="134">
        <v>18</v>
      </c>
      <c r="C10" s="133">
        <f t="shared" si="0"/>
        <v>1.0569999999999999</v>
      </c>
      <c r="D10" s="132">
        <v>0.25</v>
      </c>
      <c r="E10" s="132">
        <f t="shared" si="1"/>
        <v>2.6388888888888889E-2</v>
      </c>
      <c r="F10" s="132">
        <f t="shared" si="2"/>
        <v>23.973611111111111</v>
      </c>
      <c r="G10" s="132">
        <f t="shared" si="3"/>
        <v>2.7893055555555553E-2</v>
      </c>
      <c r="H10" s="132">
        <f t="shared" si="4"/>
        <v>5.9934027777777779</v>
      </c>
      <c r="I10" s="132">
        <f t="shared" si="5"/>
        <v>6.0212958333333333</v>
      </c>
      <c r="J10" s="144">
        <f t="shared" si="6"/>
        <v>0.25088732638888889</v>
      </c>
      <c r="K10" s="133">
        <f t="shared" si="7"/>
        <v>13.257</v>
      </c>
      <c r="L10" s="132">
        <f>3</f>
        <v>3</v>
      </c>
      <c r="M10" s="132">
        <f t="shared" si="8"/>
        <v>1.6666666666666668E-3</v>
      </c>
      <c r="N10" s="132">
        <f t="shared" si="9"/>
        <v>23.998333333333335</v>
      </c>
      <c r="O10" s="132">
        <f t="shared" si="10"/>
        <v>2.2095E-2</v>
      </c>
      <c r="P10" s="132">
        <f t="shared" si="11"/>
        <v>71.995000000000005</v>
      </c>
      <c r="Q10" s="132">
        <f t="shared" si="12"/>
        <v>72.017094999999998</v>
      </c>
      <c r="R10" s="134">
        <f t="shared" si="13"/>
        <v>6.0014245833333328</v>
      </c>
      <c r="S10" s="134">
        <f t="shared" si="14"/>
        <v>6.2523119097222217</v>
      </c>
    </row>
    <row r="11" spans="1:19" x14ac:dyDescent="0.35">
      <c r="A11" s="246"/>
      <c r="B11" s="134">
        <v>20</v>
      </c>
      <c r="C11" s="133">
        <f t="shared" si="0"/>
        <v>1.0569999999999999</v>
      </c>
      <c r="D11" s="132">
        <v>0.25</v>
      </c>
      <c r="E11" s="132">
        <f t="shared" si="1"/>
        <v>2.9166666666666667E-2</v>
      </c>
      <c r="F11" s="132">
        <f t="shared" si="2"/>
        <v>23.970833333333335</v>
      </c>
      <c r="G11" s="132">
        <f t="shared" si="3"/>
        <v>3.0829166666666664E-2</v>
      </c>
      <c r="H11" s="132">
        <f t="shared" si="4"/>
        <v>5.9927083333333337</v>
      </c>
      <c r="I11" s="132">
        <f t="shared" si="5"/>
        <v>6.0235375000000007</v>
      </c>
      <c r="J11" s="144">
        <f t="shared" si="6"/>
        <v>0.25098072916666669</v>
      </c>
      <c r="K11" s="133">
        <f t="shared" si="7"/>
        <v>13.257</v>
      </c>
      <c r="L11" s="132">
        <f>3</f>
        <v>3</v>
      </c>
      <c r="M11" s="132">
        <f t="shared" si="8"/>
        <v>1.6666666666666668E-3</v>
      </c>
      <c r="N11" s="132">
        <f t="shared" si="9"/>
        <v>23.998333333333335</v>
      </c>
      <c r="O11" s="132">
        <f t="shared" si="10"/>
        <v>2.2095E-2</v>
      </c>
      <c r="P11" s="132">
        <f t="shared" si="11"/>
        <v>71.995000000000005</v>
      </c>
      <c r="Q11" s="132">
        <f t="shared" si="12"/>
        <v>72.017094999999998</v>
      </c>
      <c r="R11" s="134">
        <f t="shared" si="13"/>
        <v>6.0014245833333328</v>
      </c>
      <c r="S11" s="134">
        <f t="shared" si="14"/>
        <v>6.2524053124999996</v>
      </c>
    </row>
    <row r="12" spans="1:19" x14ac:dyDescent="0.35">
      <c r="A12" s="246"/>
      <c r="B12" s="134">
        <v>22</v>
      </c>
      <c r="C12" s="133">
        <f t="shared" si="0"/>
        <v>1.0569999999999999</v>
      </c>
      <c r="D12" s="132">
        <v>0.25</v>
      </c>
      <c r="E12" s="132">
        <f t="shared" si="1"/>
        <v>3.1944444444444442E-2</v>
      </c>
      <c r="F12" s="132">
        <f t="shared" si="2"/>
        <v>23.968055555555555</v>
      </c>
      <c r="G12" s="132">
        <f t="shared" si="3"/>
        <v>3.3765277777777776E-2</v>
      </c>
      <c r="H12" s="132">
        <f t="shared" si="4"/>
        <v>5.9920138888888888</v>
      </c>
      <c r="I12" s="132">
        <f t="shared" si="5"/>
        <v>6.0257791666666662</v>
      </c>
      <c r="J12" s="144">
        <f t="shared" si="6"/>
        <v>0.25107413194444445</v>
      </c>
      <c r="K12" s="133">
        <f t="shared" si="7"/>
        <v>13.257</v>
      </c>
      <c r="L12" s="132">
        <f>3</f>
        <v>3</v>
      </c>
      <c r="M12" s="132">
        <f t="shared" si="8"/>
        <v>1.6666666666666668E-3</v>
      </c>
      <c r="N12" s="132">
        <f t="shared" si="9"/>
        <v>23.998333333333335</v>
      </c>
      <c r="O12" s="132">
        <f t="shared" si="10"/>
        <v>2.2095E-2</v>
      </c>
      <c r="P12" s="132">
        <f t="shared" si="11"/>
        <v>71.995000000000005</v>
      </c>
      <c r="Q12" s="132">
        <f t="shared" si="12"/>
        <v>72.017094999999998</v>
      </c>
      <c r="R12" s="134">
        <f t="shared" si="13"/>
        <v>6.0014245833333328</v>
      </c>
      <c r="S12" s="134">
        <f t="shared" si="14"/>
        <v>6.2524987152777776</v>
      </c>
    </row>
    <row r="13" spans="1:19" ht="15" thickBot="1" x14ac:dyDescent="0.4">
      <c r="A13" s="247"/>
      <c r="B13" s="7">
        <v>24</v>
      </c>
      <c r="C13" s="138">
        <f t="shared" si="0"/>
        <v>1.0569999999999999</v>
      </c>
      <c r="D13" s="143">
        <v>0.25</v>
      </c>
      <c r="E13" s="143">
        <f t="shared" si="1"/>
        <v>3.4722222222222224E-2</v>
      </c>
      <c r="F13" s="143">
        <f t="shared" si="2"/>
        <v>23.965277777777779</v>
      </c>
      <c r="G13" s="143">
        <f t="shared" si="3"/>
        <v>3.6701388888888888E-2</v>
      </c>
      <c r="H13" s="143">
        <f t="shared" si="4"/>
        <v>5.9913194444444446</v>
      </c>
      <c r="I13" s="143">
        <f t="shared" si="5"/>
        <v>6.0280208333333336</v>
      </c>
      <c r="J13" s="145">
        <f t="shared" si="6"/>
        <v>0.25116753472222225</v>
      </c>
      <c r="K13" s="138">
        <f t="shared" si="7"/>
        <v>13.257</v>
      </c>
      <c r="L13" s="143">
        <f>3</f>
        <v>3</v>
      </c>
      <c r="M13" s="143">
        <f t="shared" si="8"/>
        <v>1.6666666666666668E-3</v>
      </c>
      <c r="N13" s="143">
        <f t="shared" si="9"/>
        <v>23.998333333333335</v>
      </c>
      <c r="O13" s="143">
        <f t="shared" si="10"/>
        <v>2.2095E-2</v>
      </c>
      <c r="P13" s="143">
        <f t="shared" si="11"/>
        <v>71.995000000000005</v>
      </c>
      <c r="Q13" s="143">
        <f t="shared" si="12"/>
        <v>72.017094999999998</v>
      </c>
      <c r="R13" s="7">
        <f t="shared" si="13"/>
        <v>6.0014245833333328</v>
      </c>
      <c r="S13" s="7">
        <f t="shared" si="14"/>
        <v>6.2525921180555555</v>
      </c>
    </row>
    <row r="14" spans="1:19" x14ac:dyDescent="0.35">
      <c r="J14" s="146"/>
    </row>
    <row r="15" spans="1:19" ht="15" thickBot="1" x14ac:dyDescent="0.4">
      <c r="J15" s="146"/>
    </row>
    <row r="16" spans="1:19" ht="26.5" thickBot="1" x14ac:dyDescent="0.4">
      <c r="A16" s="248" t="s">
        <v>129</v>
      </c>
      <c r="B16" s="249"/>
      <c r="C16" s="249"/>
      <c r="D16" s="249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50"/>
    </row>
    <row r="17" spans="1:19" ht="15" thickBot="1" x14ac:dyDescent="0.4">
      <c r="A17" s="251" t="s">
        <v>118</v>
      </c>
      <c r="B17" s="253" t="s">
        <v>112</v>
      </c>
      <c r="C17" s="255" t="s">
        <v>116</v>
      </c>
      <c r="D17" s="256"/>
      <c r="E17" s="256"/>
      <c r="F17" s="256"/>
      <c r="G17" s="256"/>
      <c r="H17" s="256"/>
      <c r="I17" s="256"/>
      <c r="J17" s="257"/>
      <c r="K17" s="255" t="s">
        <v>113</v>
      </c>
      <c r="L17" s="256"/>
      <c r="M17" s="256"/>
      <c r="N17" s="256"/>
      <c r="O17" s="256"/>
      <c r="P17" s="256"/>
      <c r="Q17" s="256"/>
      <c r="R17" s="257"/>
      <c r="S17" s="258" t="s">
        <v>117</v>
      </c>
    </row>
    <row r="18" spans="1:19" ht="15" thickBot="1" x14ac:dyDescent="0.4">
      <c r="A18" s="252"/>
      <c r="B18" s="254"/>
      <c r="C18" s="140" t="s">
        <v>104</v>
      </c>
      <c r="D18" s="141" t="s">
        <v>105</v>
      </c>
      <c r="E18" s="141" t="s">
        <v>110</v>
      </c>
      <c r="F18" s="141" t="s">
        <v>109</v>
      </c>
      <c r="G18" s="141" t="s">
        <v>107</v>
      </c>
      <c r="H18" s="141" t="s">
        <v>108</v>
      </c>
      <c r="I18" s="141" t="s">
        <v>119</v>
      </c>
      <c r="J18" s="142" t="s">
        <v>15</v>
      </c>
      <c r="K18" s="138" t="s">
        <v>104</v>
      </c>
      <c r="L18" s="143" t="s">
        <v>105</v>
      </c>
      <c r="M18" s="143" t="s">
        <v>110</v>
      </c>
      <c r="N18" s="143" t="s">
        <v>109</v>
      </c>
      <c r="O18" s="143" t="s">
        <v>107</v>
      </c>
      <c r="P18" s="143" t="s">
        <v>108</v>
      </c>
      <c r="Q18" s="143" t="s">
        <v>111</v>
      </c>
      <c r="R18" s="142" t="s">
        <v>15</v>
      </c>
      <c r="S18" s="259"/>
    </row>
    <row r="19" spans="1:19" x14ac:dyDescent="0.35">
      <c r="A19" s="245">
        <v>2</v>
      </c>
      <c r="B19" s="134">
        <v>6</v>
      </c>
      <c r="C19" s="137">
        <f>1+0.057</f>
        <v>1.0569999999999999</v>
      </c>
      <c r="D19" s="147">
        <v>0.25</v>
      </c>
      <c r="E19" s="147">
        <f>$A$19*((B19*(B19+1)/2)*(10/B19))/3600</f>
        <v>1.9444444444444445E-2</v>
      </c>
      <c r="F19" s="147">
        <f>24-E19</f>
        <v>23.980555555555554</v>
      </c>
      <c r="G19" s="147">
        <f>C19*E19</f>
        <v>2.0552777777777777E-2</v>
      </c>
      <c r="H19" s="147">
        <f>D19*F19</f>
        <v>5.9951388888888886</v>
      </c>
      <c r="I19" s="148">
        <f>G19+H19</f>
        <v>6.0156916666666662</v>
      </c>
      <c r="J19" s="144">
        <f>I19/24</f>
        <v>0.25065381944444443</v>
      </c>
      <c r="K19" s="137">
        <f>13.2+0.057</f>
        <v>13.257</v>
      </c>
      <c r="L19" s="147">
        <f>3</f>
        <v>3</v>
      </c>
      <c r="M19" s="147">
        <f>6*$A$19/3600</f>
        <v>3.3333333333333335E-3</v>
      </c>
      <c r="N19" s="147">
        <f>24-M19</f>
        <v>23.996666666666666</v>
      </c>
      <c r="O19" s="147">
        <f>K19*M19</f>
        <v>4.419E-2</v>
      </c>
      <c r="P19" s="147">
        <f>L19*N19</f>
        <v>71.989999999999995</v>
      </c>
      <c r="Q19" s="148">
        <f>O19+P19</f>
        <v>72.034189999999995</v>
      </c>
      <c r="R19" s="134">
        <f>Q19/12</f>
        <v>6.0028491666666666</v>
      </c>
      <c r="S19" s="134">
        <f>SUM(J19+R19)</f>
        <v>6.2535029861111111</v>
      </c>
    </row>
    <row r="20" spans="1:19" x14ac:dyDescent="0.35">
      <c r="A20" s="246"/>
      <c r="B20" s="134">
        <v>8</v>
      </c>
      <c r="C20" s="133">
        <f t="shared" si="0"/>
        <v>1.0569999999999999</v>
      </c>
      <c r="D20" s="132">
        <v>0.25</v>
      </c>
      <c r="E20" s="132">
        <f t="shared" ref="E20:E28" si="15">$A$19*((B20*(B20+1)/2)*(10/B20))/3600</f>
        <v>2.5000000000000001E-2</v>
      </c>
      <c r="F20" s="132">
        <f t="shared" ref="F20:F28" si="16">24-E20</f>
        <v>23.975000000000001</v>
      </c>
      <c r="G20" s="132">
        <f t="shared" ref="G20:G28" si="17">C20*E20</f>
        <v>2.6425000000000001E-2</v>
      </c>
      <c r="H20" s="132">
        <f t="shared" ref="H20:H28" si="18">D20*F20</f>
        <v>5.9937500000000004</v>
      </c>
      <c r="I20" s="149">
        <f t="shared" ref="I20:I28" si="19">G20+H20</f>
        <v>6.0201750000000001</v>
      </c>
      <c r="J20" s="144">
        <f t="shared" ref="J20:J28" si="20">I20/24</f>
        <v>0.25084062499999998</v>
      </c>
      <c r="K20" s="133">
        <f t="shared" si="7"/>
        <v>13.257</v>
      </c>
      <c r="L20" s="132">
        <f>3</f>
        <v>3</v>
      </c>
      <c r="M20" s="132">
        <f t="shared" ref="M20:M28" si="21">6*$A$19/3600</f>
        <v>3.3333333333333335E-3</v>
      </c>
      <c r="N20" s="132">
        <f t="shared" ref="N20:N28" si="22">24-M20</f>
        <v>23.996666666666666</v>
      </c>
      <c r="O20" s="132">
        <f t="shared" ref="O20:O28" si="23">K20*M20</f>
        <v>4.419E-2</v>
      </c>
      <c r="P20" s="132">
        <f t="shared" ref="P20:P28" si="24">L20*N20</f>
        <v>71.989999999999995</v>
      </c>
      <c r="Q20" s="149">
        <f t="shared" ref="Q20:Q28" si="25">O20+P20</f>
        <v>72.034189999999995</v>
      </c>
      <c r="R20" s="134">
        <f t="shared" ref="R20:R28" si="26">Q20/12</f>
        <v>6.0028491666666666</v>
      </c>
      <c r="S20" s="134">
        <f t="shared" ref="S20:S28" si="27">SUM(J20+R20)</f>
        <v>6.2536897916666669</v>
      </c>
    </row>
    <row r="21" spans="1:19" x14ac:dyDescent="0.35">
      <c r="A21" s="246"/>
      <c r="B21" s="134">
        <v>10</v>
      </c>
      <c r="C21" s="133">
        <f t="shared" si="0"/>
        <v>1.0569999999999999</v>
      </c>
      <c r="D21" s="132">
        <v>0.25</v>
      </c>
      <c r="E21" s="132">
        <f t="shared" si="15"/>
        <v>3.0555555555555555E-2</v>
      </c>
      <c r="F21" s="132">
        <f t="shared" si="16"/>
        <v>23.969444444444445</v>
      </c>
      <c r="G21" s="132">
        <f t="shared" si="17"/>
        <v>3.229722222222222E-2</v>
      </c>
      <c r="H21" s="132">
        <f t="shared" si="18"/>
        <v>5.9923611111111112</v>
      </c>
      <c r="I21" s="149">
        <f t="shared" si="19"/>
        <v>6.0246583333333339</v>
      </c>
      <c r="J21" s="144">
        <f t="shared" si="20"/>
        <v>0.2510274305555556</v>
      </c>
      <c r="K21" s="133">
        <f t="shared" si="7"/>
        <v>13.257</v>
      </c>
      <c r="L21" s="132">
        <f>3</f>
        <v>3</v>
      </c>
      <c r="M21" s="132">
        <f t="shared" si="21"/>
        <v>3.3333333333333335E-3</v>
      </c>
      <c r="N21" s="132">
        <f t="shared" si="22"/>
        <v>23.996666666666666</v>
      </c>
      <c r="O21" s="132">
        <f t="shared" si="23"/>
        <v>4.419E-2</v>
      </c>
      <c r="P21" s="132">
        <f t="shared" si="24"/>
        <v>71.989999999999995</v>
      </c>
      <c r="Q21" s="149">
        <f t="shared" si="25"/>
        <v>72.034189999999995</v>
      </c>
      <c r="R21" s="134">
        <f t="shared" si="26"/>
        <v>6.0028491666666666</v>
      </c>
      <c r="S21" s="134">
        <f t="shared" si="27"/>
        <v>6.2538765972222219</v>
      </c>
    </row>
    <row r="22" spans="1:19" x14ac:dyDescent="0.35">
      <c r="A22" s="246"/>
      <c r="B22" s="134">
        <v>12</v>
      </c>
      <c r="C22" s="133">
        <f t="shared" si="0"/>
        <v>1.0569999999999999</v>
      </c>
      <c r="D22" s="132">
        <v>0.25</v>
      </c>
      <c r="E22" s="132">
        <f t="shared" si="15"/>
        <v>3.6111111111111108E-2</v>
      </c>
      <c r="F22" s="132">
        <f t="shared" si="16"/>
        <v>23.963888888888889</v>
      </c>
      <c r="G22" s="132">
        <f t="shared" si="17"/>
        <v>3.8169444444444436E-2</v>
      </c>
      <c r="H22" s="132">
        <f t="shared" si="18"/>
        <v>5.9909722222222221</v>
      </c>
      <c r="I22" s="149">
        <f t="shared" si="19"/>
        <v>6.0291416666666668</v>
      </c>
      <c r="J22" s="144">
        <f t="shared" si="20"/>
        <v>0.2512142361111111</v>
      </c>
      <c r="K22" s="133">
        <f t="shared" si="7"/>
        <v>13.257</v>
      </c>
      <c r="L22" s="132">
        <f>3</f>
        <v>3</v>
      </c>
      <c r="M22" s="132">
        <f t="shared" si="21"/>
        <v>3.3333333333333335E-3</v>
      </c>
      <c r="N22" s="132">
        <f t="shared" si="22"/>
        <v>23.996666666666666</v>
      </c>
      <c r="O22" s="132">
        <f t="shared" si="23"/>
        <v>4.419E-2</v>
      </c>
      <c r="P22" s="132">
        <f t="shared" si="24"/>
        <v>71.989999999999995</v>
      </c>
      <c r="Q22" s="149">
        <f t="shared" si="25"/>
        <v>72.034189999999995</v>
      </c>
      <c r="R22" s="134">
        <f t="shared" si="26"/>
        <v>6.0028491666666666</v>
      </c>
      <c r="S22" s="134">
        <f t="shared" si="27"/>
        <v>6.2540634027777777</v>
      </c>
    </row>
    <row r="23" spans="1:19" x14ac:dyDescent="0.35">
      <c r="A23" s="246"/>
      <c r="B23" s="134">
        <v>14</v>
      </c>
      <c r="C23" s="133">
        <f t="shared" si="0"/>
        <v>1.0569999999999999</v>
      </c>
      <c r="D23" s="132">
        <v>0.25</v>
      </c>
      <c r="E23" s="132">
        <f t="shared" si="15"/>
        <v>4.1666666666666664E-2</v>
      </c>
      <c r="F23" s="132">
        <f t="shared" si="16"/>
        <v>23.958333333333332</v>
      </c>
      <c r="G23" s="132">
        <f t="shared" si="17"/>
        <v>4.404166666666666E-2</v>
      </c>
      <c r="H23" s="132">
        <f t="shared" si="18"/>
        <v>5.989583333333333</v>
      </c>
      <c r="I23" s="149">
        <f t="shared" si="19"/>
        <v>6.0336249999999998</v>
      </c>
      <c r="J23" s="144">
        <f t="shared" si="20"/>
        <v>0.25140104166666666</v>
      </c>
      <c r="K23" s="133">
        <f t="shared" si="7"/>
        <v>13.257</v>
      </c>
      <c r="L23" s="132">
        <f>3</f>
        <v>3</v>
      </c>
      <c r="M23" s="132">
        <f t="shared" si="21"/>
        <v>3.3333333333333335E-3</v>
      </c>
      <c r="N23" s="132">
        <f t="shared" si="22"/>
        <v>23.996666666666666</v>
      </c>
      <c r="O23" s="132">
        <f t="shared" si="23"/>
        <v>4.419E-2</v>
      </c>
      <c r="P23" s="132">
        <f t="shared" si="24"/>
        <v>71.989999999999995</v>
      </c>
      <c r="Q23" s="149">
        <f t="shared" si="25"/>
        <v>72.034189999999995</v>
      </c>
      <c r="R23" s="134">
        <f t="shared" si="26"/>
        <v>6.0028491666666666</v>
      </c>
      <c r="S23" s="134">
        <f t="shared" si="27"/>
        <v>6.2542502083333336</v>
      </c>
    </row>
    <row r="24" spans="1:19" x14ac:dyDescent="0.35">
      <c r="A24" s="246"/>
      <c r="B24" s="134">
        <v>16</v>
      </c>
      <c r="C24" s="133">
        <f t="shared" si="0"/>
        <v>1.0569999999999999</v>
      </c>
      <c r="D24" s="132">
        <v>0.25</v>
      </c>
      <c r="E24" s="132">
        <f t="shared" si="15"/>
        <v>4.7222222222222221E-2</v>
      </c>
      <c r="F24" s="132">
        <f t="shared" si="16"/>
        <v>23.952777777777779</v>
      </c>
      <c r="G24" s="132">
        <f t="shared" si="17"/>
        <v>4.9913888888888883E-2</v>
      </c>
      <c r="H24" s="132">
        <f t="shared" si="18"/>
        <v>5.9881944444444448</v>
      </c>
      <c r="I24" s="149">
        <f t="shared" si="19"/>
        <v>6.0381083333333336</v>
      </c>
      <c r="J24" s="144">
        <f t="shared" si="20"/>
        <v>0.25158784722222222</v>
      </c>
      <c r="K24" s="133">
        <f t="shared" si="7"/>
        <v>13.257</v>
      </c>
      <c r="L24" s="132">
        <f>3</f>
        <v>3</v>
      </c>
      <c r="M24" s="132">
        <f t="shared" si="21"/>
        <v>3.3333333333333335E-3</v>
      </c>
      <c r="N24" s="132">
        <f t="shared" si="22"/>
        <v>23.996666666666666</v>
      </c>
      <c r="O24" s="132">
        <f t="shared" si="23"/>
        <v>4.419E-2</v>
      </c>
      <c r="P24" s="132">
        <f t="shared" si="24"/>
        <v>71.989999999999995</v>
      </c>
      <c r="Q24" s="149">
        <f t="shared" si="25"/>
        <v>72.034189999999995</v>
      </c>
      <c r="R24" s="134">
        <f t="shared" si="26"/>
        <v>6.0028491666666666</v>
      </c>
      <c r="S24" s="134">
        <f t="shared" si="27"/>
        <v>6.2544370138888885</v>
      </c>
    </row>
    <row r="25" spans="1:19" x14ac:dyDescent="0.35">
      <c r="A25" s="246"/>
      <c r="B25" s="134">
        <v>18</v>
      </c>
      <c r="C25" s="133">
        <f t="shared" si="0"/>
        <v>1.0569999999999999</v>
      </c>
      <c r="D25" s="132">
        <v>0.25</v>
      </c>
      <c r="E25" s="132">
        <f t="shared" si="15"/>
        <v>5.2777777777777778E-2</v>
      </c>
      <c r="F25" s="132">
        <f t="shared" si="16"/>
        <v>23.947222222222223</v>
      </c>
      <c r="G25" s="132">
        <f t="shared" si="17"/>
        <v>5.5786111111111106E-2</v>
      </c>
      <c r="H25" s="132">
        <f t="shared" si="18"/>
        <v>5.9868055555555557</v>
      </c>
      <c r="I25" s="149">
        <f t="shared" si="19"/>
        <v>6.0425916666666666</v>
      </c>
      <c r="J25" s="144">
        <f t="shared" si="20"/>
        <v>0.25177465277777777</v>
      </c>
      <c r="K25" s="133">
        <f t="shared" si="7"/>
        <v>13.257</v>
      </c>
      <c r="L25" s="132">
        <f>3</f>
        <v>3</v>
      </c>
      <c r="M25" s="132">
        <f t="shared" si="21"/>
        <v>3.3333333333333335E-3</v>
      </c>
      <c r="N25" s="132">
        <f t="shared" si="22"/>
        <v>23.996666666666666</v>
      </c>
      <c r="O25" s="132">
        <f t="shared" si="23"/>
        <v>4.419E-2</v>
      </c>
      <c r="P25" s="132">
        <f t="shared" si="24"/>
        <v>71.989999999999995</v>
      </c>
      <c r="Q25" s="149">
        <f t="shared" si="25"/>
        <v>72.034189999999995</v>
      </c>
      <c r="R25" s="134">
        <f t="shared" si="26"/>
        <v>6.0028491666666666</v>
      </c>
      <c r="S25" s="134">
        <f t="shared" si="27"/>
        <v>6.2546238194444443</v>
      </c>
    </row>
    <row r="26" spans="1:19" x14ac:dyDescent="0.35">
      <c r="A26" s="246"/>
      <c r="B26" s="134">
        <v>20</v>
      </c>
      <c r="C26" s="133">
        <f t="shared" si="0"/>
        <v>1.0569999999999999</v>
      </c>
      <c r="D26" s="132">
        <v>0.25</v>
      </c>
      <c r="E26" s="132">
        <f t="shared" si="15"/>
        <v>5.8333333333333334E-2</v>
      </c>
      <c r="F26" s="132">
        <f t="shared" si="16"/>
        <v>23.941666666666666</v>
      </c>
      <c r="G26" s="132">
        <f t="shared" si="17"/>
        <v>6.1658333333333329E-2</v>
      </c>
      <c r="H26" s="132">
        <f t="shared" si="18"/>
        <v>5.9854166666666666</v>
      </c>
      <c r="I26" s="149">
        <f t="shared" si="19"/>
        <v>6.0470749999999995</v>
      </c>
      <c r="J26" s="144">
        <f t="shared" si="20"/>
        <v>0.25196145833333333</v>
      </c>
      <c r="K26" s="133">
        <f t="shared" si="7"/>
        <v>13.257</v>
      </c>
      <c r="L26" s="132">
        <f>3</f>
        <v>3</v>
      </c>
      <c r="M26" s="132">
        <f t="shared" si="21"/>
        <v>3.3333333333333335E-3</v>
      </c>
      <c r="N26" s="132">
        <f t="shared" si="22"/>
        <v>23.996666666666666</v>
      </c>
      <c r="O26" s="132">
        <f t="shared" si="23"/>
        <v>4.419E-2</v>
      </c>
      <c r="P26" s="132">
        <f t="shared" si="24"/>
        <v>71.989999999999995</v>
      </c>
      <c r="Q26" s="149">
        <f t="shared" si="25"/>
        <v>72.034189999999995</v>
      </c>
      <c r="R26" s="134">
        <f t="shared" si="26"/>
        <v>6.0028491666666666</v>
      </c>
      <c r="S26" s="134">
        <f t="shared" si="27"/>
        <v>6.2548106250000002</v>
      </c>
    </row>
    <row r="27" spans="1:19" x14ac:dyDescent="0.35">
      <c r="A27" s="246"/>
      <c r="B27" s="134">
        <v>22</v>
      </c>
      <c r="C27" s="133">
        <f t="shared" si="0"/>
        <v>1.0569999999999999</v>
      </c>
      <c r="D27" s="132">
        <v>0.25</v>
      </c>
      <c r="E27" s="132">
        <f t="shared" si="15"/>
        <v>6.3888888888888884E-2</v>
      </c>
      <c r="F27" s="132">
        <f t="shared" si="16"/>
        <v>23.93611111111111</v>
      </c>
      <c r="G27" s="132">
        <f t="shared" si="17"/>
        <v>6.7530555555555552E-2</v>
      </c>
      <c r="H27" s="132">
        <f t="shared" si="18"/>
        <v>5.9840277777777775</v>
      </c>
      <c r="I27" s="149">
        <f t="shared" si="19"/>
        <v>6.0515583333333334</v>
      </c>
      <c r="J27" s="144">
        <f t="shared" si="20"/>
        <v>0.25214826388888889</v>
      </c>
      <c r="K27" s="133">
        <f t="shared" si="7"/>
        <v>13.257</v>
      </c>
      <c r="L27" s="132">
        <f>3</f>
        <v>3</v>
      </c>
      <c r="M27" s="132">
        <f t="shared" si="21"/>
        <v>3.3333333333333335E-3</v>
      </c>
      <c r="N27" s="132">
        <f t="shared" si="22"/>
        <v>23.996666666666666</v>
      </c>
      <c r="O27" s="132">
        <f t="shared" si="23"/>
        <v>4.419E-2</v>
      </c>
      <c r="P27" s="132">
        <f t="shared" si="24"/>
        <v>71.989999999999995</v>
      </c>
      <c r="Q27" s="149">
        <f t="shared" si="25"/>
        <v>72.034189999999995</v>
      </c>
      <c r="R27" s="134">
        <f t="shared" si="26"/>
        <v>6.0028491666666666</v>
      </c>
      <c r="S27" s="134">
        <f t="shared" si="27"/>
        <v>6.2549974305555551</v>
      </c>
    </row>
    <row r="28" spans="1:19" ht="15" thickBot="1" x14ac:dyDescent="0.4">
      <c r="A28" s="247"/>
      <c r="B28" s="7">
        <v>24</v>
      </c>
      <c r="C28" s="138">
        <f t="shared" si="0"/>
        <v>1.0569999999999999</v>
      </c>
      <c r="D28" s="143">
        <v>0.25</v>
      </c>
      <c r="E28" s="143">
        <f t="shared" si="15"/>
        <v>6.9444444444444448E-2</v>
      </c>
      <c r="F28" s="143">
        <f t="shared" si="16"/>
        <v>23.930555555555557</v>
      </c>
      <c r="G28" s="143">
        <f t="shared" si="17"/>
        <v>7.3402777777777775E-2</v>
      </c>
      <c r="H28" s="143">
        <f t="shared" si="18"/>
        <v>5.9826388888888893</v>
      </c>
      <c r="I28" s="2">
        <f t="shared" si="19"/>
        <v>6.0560416666666672</v>
      </c>
      <c r="J28" s="145">
        <f t="shared" si="20"/>
        <v>0.25233506944444445</v>
      </c>
      <c r="K28" s="138">
        <f t="shared" si="7"/>
        <v>13.257</v>
      </c>
      <c r="L28" s="143">
        <f>3</f>
        <v>3</v>
      </c>
      <c r="M28" s="143">
        <f t="shared" si="21"/>
        <v>3.3333333333333335E-3</v>
      </c>
      <c r="N28" s="143">
        <f t="shared" si="22"/>
        <v>23.996666666666666</v>
      </c>
      <c r="O28" s="143">
        <f t="shared" si="23"/>
        <v>4.419E-2</v>
      </c>
      <c r="P28" s="143">
        <f t="shared" si="24"/>
        <v>71.989999999999995</v>
      </c>
      <c r="Q28" s="2">
        <f t="shared" si="25"/>
        <v>72.034189999999995</v>
      </c>
      <c r="R28" s="7">
        <f t="shared" si="26"/>
        <v>6.0028491666666666</v>
      </c>
      <c r="S28" s="7">
        <f t="shared" si="27"/>
        <v>6.255184236111111</v>
      </c>
    </row>
    <row r="30" spans="1:19" ht="15" thickBot="1" x14ac:dyDescent="0.4"/>
    <row r="31" spans="1:19" ht="26.5" thickBot="1" x14ac:dyDescent="0.4">
      <c r="A31" s="248" t="s">
        <v>130</v>
      </c>
      <c r="B31" s="249"/>
      <c r="C31" s="249"/>
      <c r="D31" s="249"/>
      <c r="E31" s="249"/>
      <c r="F31" s="249"/>
      <c r="G31" s="249"/>
      <c r="H31" s="249"/>
      <c r="I31" s="249"/>
      <c r="J31" s="249"/>
      <c r="K31" s="249"/>
      <c r="L31" s="249"/>
      <c r="M31" s="249"/>
      <c r="N31" s="249"/>
      <c r="O31" s="249"/>
      <c r="P31" s="249"/>
      <c r="Q31" s="249"/>
      <c r="R31" s="249"/>
      <c r="S31" s="250"/>
    </row>
    <row r="32" spans="1:19" ht="15" thickBot="1" x14ac:dyDescent="0.4">
      <c r="A32" s="251" t="s">
        <v>118</v>
      </c>
      <c r="B32" s="253" t="s">
        <v>112</v>
      </c>
      <c r="C32" s="255" t="s">
        <v>116</v>
      </c>
      <c r="D32" s="256"/>
      <c r="E32" s="256"/>
      <c r="F32" s="256"/>
      <c r="G32" s="256"/>
      <c r="H32" s="256"/>
      <c r="I32" s="256"/>
      <c r="J32" s="257"/>
      <c r="K32" s="255" t="s">
        <v>113</v>
      </c>
      <c r="L32" s="256"/>
      <c r="M32" s="256"/>
      <c r="N32" s="256"/>
      <c r="O32" s="256"/>
      <c r="P32" s="256"/>
      <c r="Q32" s="256"/>
      <c r="R32" s="257"/>
      <c r="S32" s="258" t="s">
        <v>117</v>
      </c>
    </row>
    <row r="33" spans="1:19" ht="15" thickBot="1" x14ac:dyDescent="0.4">
      <c r="A33" s="252"/>
      <c r="B33" s="254"/>
      <c r="C33" s="140" t="s">
        <v>104</v>
      </c>
      <c r="D33" s="141" t="s">
        <v>105</v>
      </c>
      <c r="E33" s="141" t="s">
        <v>110</v>
      </c>
      <c r="F33" s="141" t="s">
        <v>109</v>
      </c>
      <c r="G33" s="141" t="s">
        <v>107</v>
      </c>
      <c r="H33" s="141" t="s">
        <v>108</v>
      </c>
      <c r="I33" s="141" t="s">
        <v>119</v>
      </c>
      <c r="J33" s="142" t="s">
        <v>15</v>
      </c>
      <c r="K33" s="138" t="s">
        <v>104</v>
      </c>
      <c r="L33" s="143" t="s">
        <v>105</v>
      </c>
      <c r="M33" s="143" t="s">
        <v>110</v>
      </c>
      <c r="N33" s="143" t="s">
        <v>109</v>
      </c>
      <c r="O33" s="143" t="s">
        <v>107</v>
      </c>
      <c r="P33" s="143" t="s">
        <v>108</v>
      </c>
      <c r="Q33" s="143" t="s">
        <v>111</v>
      </c>
      <c r="R33" s="142" t="s">
        <v>15</v>
      </c>
      <c r="S33" s="259"/>
    </row>
    <row r="34" spans="1:19" x14ac:dyDescent="0.35">
      <c r="A34" s="245">
        <v>4</v>
      </c>
      <c r="B34" s="134">
        <v>6</v>
      </c>
      <c r="C34" s="137">
        <f>1+0.057</f>
        <v>1.0569999999999999</v>
      </c>
      <c r="D34" s="147">
        <v>0.25</v>
      </c>
      <c r="E34" s="147">
        <f>$A$34*((B34*(B34+1)/2)*(10/B34))/3600</f>
        <v>3.888888888888889E-2</v>
      </c>
      <c r="F34" s="147">
        <f>24-E34</f>
        <v>23.961111111111112</v>
      </c>
      <c r="G34" s="147">
        <f>C34*E34</f>
        <v>4.1105555555555555E-2</v>
      </c>
      <c r="H34" s="147">
        <f>D34*F34</f>
        <v>5.990277777777778</v>
      </c>
      <c r="I34" s="148">
        <f>G34+H34</f>
        <v>6.0313833333333333</v>
      </c>
      <c r="J34" s="144">
        <f>I34/24</f>
        <v>0.25130763888888891</v>
      </c>
      <c r="K34" s="137">
        <f>13.2+0.057</f>
        <v>13.257</v>
      </c>
      <c r="L34" s="147">
        <f>3</f>
        <v>3</v>
      </c>
      <c r="M34" s="147">
        <f>6*$A$34/3600</f>
        <v>6.6666666666666671E-3</v>
      </c>
      <c r="N34" s="147">
        <f>24-M34</f>
        <v>23.993333333333332</v>
      </c>
      <c r="O34" s="147">
        <f>K34*M34</f>
        <v>8.838E-2</v>
      </c>
      <c r="P34" s="147">
        <f>L34*N34</f>
        <v>71.97999999999999</v>
      </c>
      <c r="Q34" s="148">
        <f>O34+P34</f>
        <v>72.068379999999991</v>
      </c>
      <c r="R34" s="134">
        <f>Q34/12</f>
        <v>6.0056983333333323</v>
      </c>
      <c r="S34" s="134">
        <f>SUM(J34+R34)</f>
        <v>6.2570059722222213</v>
      </c>
    </row>
    <row r="35" spans="1:19" x14ac:dyDescent="0.35">
      <c r="A35" s="246"/>
      <c r="B35" s="134">
        <v>8</v>
      </c>
      <c r="C35" s="133">
        <f t="shared" ref="C35:C43" si="28">1+0.057</f>
        <v>1.0569999999999999</v>
      </c>
      <c r="D35" s="132">
        <v>0.25</v>
      </c>
      <c r="E35" s="132">
        <f t="shared" ref="E35:E43" si="29">$A$34*((B35*(B35+1)/2)*(10/B35))/3600</f>
        <v>0.05</v>
      </c>
      <c r="F35" s="132">
        <f t="shared" ref="F35:F43" si="30">24-E35</f>
        <v>23.95</v>
      </c>
      <c r="G35" s="132">
        <f t="shared" ref="G35:G43" si="31">C35*E35</f>
        <v>5.2850000000000001E-2</v>
      </c>
      <c r="H35" s="132">
        <f t="shared" ref="H35:H43" si="32">D35*F35</f>
        <v>5.9874999999999998</v>
      </c>
      <c r="I35" s="149">
        <f t="shared" ref="I35:I43" si="33">G35+H35</f>
        <v>6.0403500000000001</v>
      </c>
      <c r="J35" s="144">
        <f t="shared" ref="J35:J43" si="34">I35/24</f>
        <v>0.25168125000000002</v>
      </c>
      <c r="K35" s="133">
        <f t="shared" ref="K35:K43" si="35">13.2+0.057</f>
        <v>13.257</v>
      </c>
      <c r="L35" s="132">
        <f>3</f>
        <v>3</v>
      </c>
      <c r="M35" s="132">
        <f t="shared" ref="M35:M43" si="36">6*$A$34/3600</f>
        <v>6.6666666666666671E-3</v>
      </c>
      <c r="N35" s="132">
        <f t="shared" ref="N35:N43" si="37">24-M35</f>
        <v>23.993333333333332</v>
      </c>
      <c r="O35" s="132">
        <f t="shared" ref="O35:O43" si="38">K35*M35</f>
        <v>8.838E-2</v>
      </c>
      <c r="P35" s="132">
        <f t="shared" ref="P35:P43" si="39">L35*N35</f>
        <v>71.97999999999999</v>
      </c>
      <c r="Q35" s="149">
        <f t="shared" ref="Q35:Q43" si="40">O35+P35</f>
        <v>72.068379999999991</v>
      </c>
      <c r="R35" s="134">
        <f t="shared" ref="R35:R43" si="41">Q35/12</f>
        <v>6.0056983333333323</v>
      </c>
      <c r="S35" s="134">
        <f t="shared" ref="S35:S43" si="42">SUM(J35+R35)</f>
        <v>6.2573795833333321</v>
      </c>
    </row>
    <row r="36" spans="1:19" x14ac:dyDescent="0.35">
      <c r="A36" s="246"/>
      <c r="B36" s="134">
        <v>10</v>
      </c>
      <c r="C36" s="133">
        <f t="shared" si="28"/>
        <v>1.0569999999999999</v>
      </c>
      <c r="D36" s="132">
        <v>0.25</v>
      </c>
      <c r="E36" s="132">
        <f t="shared" si="29"/>
        <v>6.1111111111111109E-2</v>
      </c>
      <c r="F36" s="132">
        <f t="shared" si="30"/>
        <v>23.93888888888889</v>
      </c>
      <c r="G36" s="132">
        <f t="shared" si="31"/>
        <v>6.459444444444444E-2</v>
      </c>
      <c r="H36" s="132">
        <f t="shared" si="32"/>
        <v>5.9847222222222225</v>
      </c>
      <c r="I36" s="149">
        <f t="shared" si="33"/>
        <v>6.0493166666666669</v>
      </c>
      <c r="J36" s="144">
        <f t="shared" si="34"/>
        <v>0.25205486111111114</v>
      </c>
      <c r="K36" s="133">
        <f t="shared" si="35"/>
        <v>13.257</v>
      </c>
      <c r="L36" s="132">
        <f>3</f>
        <v>3</v>
      </c>
      <c r="M36" s="132">
        <f t="shared" si="36"/>
        <v>6.6666666666666671E-3</v>
      </c>
      <c r="N36" s="132">
        <f t="shared" si="37"/>
        <v>23.993333333333332</v>
      </c>
      <c r="O36" s="132">
        <f t="shared" si="38"/>
        <v>8.838E-2</v>
      </c>
      <c r="P36" s="132">
        <f t="shared" si="39"/>
        <v>71.97999999999999</v>
      </c>
      <c r="Q36" s="149">
        <f t="shared" si="40"/>
        <v>72.068379999999991</v>
      </c>
      <c r="R36" s="134">
        <f t="shared" si="41"/>
        <v>6.0056983333333323</v>
      </c>
      <c r="S36" s="134">
        <f t="shared" si="42"/>
        <v>6.2577531944444438</v>
      </c>
    </row>
    <row r="37" spans="1:19" x14ac:dyDescent="0.35">
      <c r="A37" s="246"/>
      <c r="B37" s="134">
        <v>12</v>
      </c>
      <c r="C37" s="133">
        <f t="shared" si="28"/>
        <v>1.0569999999999999</v>
      </c>
      <c r="D37" s="132">
        <v>0.25</v>
      </c>
      <c r="E37" s="132">
        <f t="shared" si="29"/>
        <v>7.2222222222222215E-2</v>
      </c>
      <c r="F37" s="132">
        <f t="shared" si="30"/>
        <v>23.927777777777777</v>
      </c>
      <c r="G37" s="132">
        <f t="shared" si="31"/>
        <v>7.6338888888888873E-2</v>
      </c>
      <c r="H37" s="132">
        <f t="shared" si="32"/>
        <v>5.9819444444444443</v>
      </c>
      <c r="I37" s="149">
        <f t="shared" si="33"/>
        <v>6.0582833333333328</v>
      </c>
      <c r="J37" s="144">
        <f t="shared" si="34"/>
        <v>0.2524284722222222</v>
      </c>
      <c r="K37" s="133">
        <f t="shared" si="35"/>
        <v>13.257</v>
      </c>
      <c r="L37" s="132">
        <f>3</f>
        <v>3</v>
      </c>
      <c r="M37" s="132">
        <f t="shared" si="36"/>
        <v>6.6666666666666671E-3</v>
      </c>
      <c r="N37" s="132">
        <f t="shared" si="37"/>
        <v>23.993333333333332</v>
      </c>
      <c r="O37" s="132">
        <f t="shared" si="38"/>
        <v>8.838E-2</v>
      </c>
      <c r="P37" s="132">
        <f t="shared" si="39"/>
        <v>71.97999999999999</v>
      </c>
      <c r="Q37" s="149">
        <f t="shared" si="40"/>
        <v>72.068379999999991</v>
      </c>
      <c r="R37" s="134">
        <f t="shared" si="41"/>
        <v>6.0056983333333323</v>
      </c>
      <c r="S37" s="134">
        <f t="shared" si="42"/>
        <v>6.2581268055555546</v>
      </c>
    </row>
    <row r="38" spans="1:19" x14ac:dyDescent="0.35">
      <c r="A38" s="246"/>
      <c r="B38" s="134">
        <v>14</v>
      </c>
      <c r="C38" s="133">
        <f t="shared" si="28"/>
        <v>1.0569999999999999</v>
      </c>
      <c r="D38" s="132">
        <v>0.25</v>
      </c>
      <c r="E38" s="132">
        <f t="shared" si="29"/>
        <v>8.3333333333333329E-2</v>
      </c>
      <c r="F38" s="132">
        <f t="shared" si="30"/>
        <v>23.916666666666668</v>
      </c>
      <c r="G38" s="132">
        <f t="shared" si="31"/>
        <v>8.8083333333333319E-2</v>
      </c>
      <c r="H38" s="132">
        <f t="shared" si="32"/>
        <v>5.979166666666667</v>
      </c>
      <c r="I38" s="149">
        <f t="shared" si="33"/>
        <v>6.0672500000000005</v>
      </c>
      <c r="J38" s="144">
        <f t="shared" si="34"/>
        <v>0.25280208333333337</v>
      </c>
      <c r="K38" s="133">
        <f t="shared" si="35"/>
        <v>13.257</v>
      </c>
      <c r="L38" s="132">
        <f>3</f>
        <v>3</v>
      </c>
      <c r="M38" s="132">
        <f t="shared" si="36"/>
        <v>6.6666666666666671E-3</v>
      </c>
      <c r="N38" s="132">
        <f t="shared" si="37"/>
        <v>23.993333333333332</v>
      </c>
      <c r="O38" s="132">
        <f t="shared" si="38"/>
        <v>8.838E-2</v>
      </c>
      <c r="P38" s="132">
        <f t="shared" si="39"/>
        <v>71.97999999999999</v>
      </c>
      <c r="Q38" s="149">
        <f t="shared" si="40"/>
        <v>72.068379999999991</v>
      </c>
      <c r="R38" s="134">
        <f t="shared" si="41"/>
        <v>6.0056983333333323</v>
      </c>
      <c r="S38" s="134">
        <f t="shared" si="42"/>
        <v>6.2585004166666653</v>
      </c>
    </row>
    <row r="39" spans="1:19" x14ac:dyDescent="0.35">
      <c r="A39" s="246"/>
      <c r="B39" s="134">
        <v>16</v>
      </c>
      <c r="C39" s="133">
        <f t="shared" si="28"/>
        <v>1.0569999999999999</v>
      </c>
      <c r="D39" s="132">
        <v>0.25</v>
      </c>
      <c r="E39" s="132">
        <f t="shared" si="29"/>
        <v>9.4444444444444442E-2</v>
      </c>
      <c r="F39" s="132">
        <f t="shared" si="30"/>
        <v>23.905555555555555</v>
      </c>
      <c r="G39" s="132">
        <f t="shared" si="31"/>
        <v>9.9827777777777765E-2</v>
      </c>
      <c r="H39" s="132">
        <f t="shared" si="32"/>
        <v>5.9763888888888888</v>
      </c>
      <c r="I39" s="149">
        <f t="shared" si="33"/>
        <v>6.0762166666666664</v>
      </c>
      <c r="J39" s="144">
        <f t="shared" si="34"/>
        <v>0.25317569444444443</v>
      </c>
      <c r="K39" s="133">
        <f t="shared" si="35"/>
        <v>13.257</v>
      </c>
      <c r="L39" s="132">
        <f>3</f>
        <v>3</v>
      </c>
      <c r="M39" s="132">
        <f t="shared" si="36"/>
        <v>6.6666666666666671E-3</v>
      </c>
      <c r="N39" s="132">
        <f t="shared" si="37"/>
        <v>23.993333333333332</v>
      </c>
      <c r="O39" s="132">
        <f t="shared" si="38"/>
        <v>8.838E-2</v>
      </c>
      <c r="P39" s="132">
        <f t="shared" si="39"/>
        <v>71.97999999999999</v>
      </c>
      <c r="Q39" s="149">
        <f t="shared" si="40"/>
        <v>72.068379999999991</v>
      </c>
      <c r="R39" s="134">
        <f t="shared" si="41"/>
        <v>6.0056983333333323</v>
      </c>
      <c r="S39" s="134">
        <f t="shared" si="42"/>
        <v>6.258874027777777</v>
      </c>
    </row>
    <row r="40" spans="1:19" x14ac:dyDescent="0.35">
      <c r="A40" s="246"/>
      <c r="B40" s="134">
        <v>18</v>
      </c>
      <c r="C40" s="133">
        <f t="shared" si="28"/>
        <v>1.0569999999999999</v>
      </c>
      <c r="D40" s="132">
        <v>0.25</v>
      </c>
      <c r="E40" s="132">
        <f t="shared" si="29"/>
        <v>0.10555555555555556</v>
      </c>
      <c r="F40" s="132">
        <f t="shared" si="30"/>
        <v>23.894444444444446</v>
      </c>
      <c r="G40" s="132">
        <f t="shared" si="31"/>
        <v>0.11157222222222221</v>
      </c>
      <c r="H40" s="132">
        <f t="shared" si="32"/>
        <v>5.9736111111111114</v>
      </c>
      <c r="I40" s="149">
        <f t="shared" si="33"/>
        <v>6.0851833333333341</v>
      </c>
      <c r="J40" s="144">
        <f t="shared" si="34"/>
        <v>0.2535493055555556</v>
      </c>
      <c r="K40" s="133">
        <f t="shared" si="35"/>
        <v>13.257</v>
      </c>
      <c r="L40" s="132">
        <f>3</f>
        <v>3</v>
      </c>
      <c r="M40" s="132">
        <f t="shared" si="36"/>
        <v>6.6666666666666671E-3</v>
      </c>
      <c r="N40" s="132">
        <f t="shared" si="37"/>
        <v>23.993333333333332</v>
      </c>
      <c r="O40" s="132">
        <f t="shared" si="38"/>
        <v>8.838E-2</v>
      </c>
      <c r="P40" s="132">
        <f t="shared" si="39"/>
        <v>71.97999999999999</v>
      </c>
      <c r="Q40" s="149">
        <f t="shared" si="40"/>
        <v>72.068379999999991</v>
      </c>
      <c r="R40" s="134">
        <f t="shared" si="41"/>
        <v>6.0056983333333323</v>
      </c>
      <c r="S40" s="134">
        <f t="shared" si="42"/>
        <v>6.2592476388888878</v>
      </c>
    </row>
    <row r="41" spans="1:19" x14ac:dyDescent="0.35">
      <c r="A41" s="246"/>
      <c r="B41" s="134">
        <v>20</v>
      </c>
      <c r="C41" s="133">
        <f t="shared" si="28"/>
        <v>1.0569999999999999</v>
      </c>
      <c r="D41" s="132">
        <v>0.25</v>
      </c>
      <c r="E41" s="132">
        <f t="shared" si="29"/>
        <v>0.11666666666666667</v>
      </c>
      <c r="F41" s="132">
        <f t="shared" si="30"/>
        <v>23.883333333333333</v>
      </c>
      <c r="G41" s="132">
        <f t="shared" si="31"/>
        <v>0.12331666666666666</v>
      </c>
      <c r="H41" s="132">
        <f t="shared" si="32"/>
        <v>5.9708333333333332</v>
      </c>
      <c r="I41" s="149">
        <f t="shared" si="33"/>
        <v>6.09415</v>
      </c>
      <c r="J41" s="144">
        <f t="shared" si="34"/>
        <v>0.25392291666666666</v>
      </c>
      <c r="K41" s="133">
        <f t="shared" si="35"/>
        <v>13.257</v>
      </c>
      <c r="L41" s="132">
        <f>3</f>
        <v>3</v>
      </c>
      <c r="M41" s="132">
        <f t="shared" si="36"/>
        <v>6.6666666666666671E-3</v>
      </c>
      <c r="N41" s="132">
        <f t="shared" si="37"/>
        <v>23.993333333333332</v>
      </c>
      <c r="O41" s="132">
        <f t="shared" si="38"/>
        <v>8.838E-2</v>
      </c>
      <c r="P41" s="132">
        <f t="shared" si="39"/>
        <v>71.97999999999999</v>
      </c>
      <c r="Q41" s="149">
        <f t="shared" si="40"/>
        <v>72.068379999999991</v>
      </c>
      <c r="R41" s="134">
        <f t="shared" si="41"/>
        <v>6.0056983333333323</v>
      </c>
      <c r="S41" s="134">
        <f t="shared" si="42"/>
        <v>6.2596212499999986</v>
      </c>
    </row>
    <row r="42" spans="1:19" x14ac:dyDescent="0.35">
      <c r="A42" s="246"/>
      <c r="B42" s="134">
        <v>22</v>
      </c>
      <c r="C42" s="133">
        <f t="shared" si="28"/>
        <v>1.0569999999999999</v>
      </c>
      <c r="D42" s="132">
        <v>0.25</v>
      </c>
      <c r="E42" s="132">
        <f t="shared" si="29"/>
        <v>0.12777777777777777</v>
      </c>
      <c r="F42" s="132">
        <f t="shared" si="30"/>
        <v>23.872222222222224</v>
      </c>
      <c r="G42" s="132">
        <f t="shared" si="31"/>
        <v>0.1350611111111111</v>
      </c>
      <c r="H42" s="132">
        <f t="shared" si="32"/>
        <v>5.9680555555555559</v>
      </c>
      <c r="I42" s="149">
        <f t="shared" si="33"/>
        <v>6.1031166666666667</v>
      </c>
      <c r="J42" s="144">
        <f t="shared" si="34"/>
        <v>0.25429652777777778</v>
      </c>
      <c r="K42" s="133">
        <f t="shared" si="35"/>
        <v>13.257</v>
      </c>
      <c r="L42" s="132">
        <f>3</f>
        <v>3</v>
      </c>
      <c r="M42" s="132">
        <f t="shared" si="36"/>
        <v>6.6666666666666671E-3</v>
      </c>
      <c r="N42" s="132">
        <f t="shared" si="37"/>
        <v>23.993333333333332</v>
      </c>
      <c r="O42" s="132">
        <f t="shared" si="38"/>
        <v>8.838E-2</v>
      </c>
      <c r="P42" s="132">
        <f t="shared" si="39"/>
        <v>71.97999999999999</v>
      </c>
      <c r="Q42" s="149">
        <f t="shared" si="40"/>
        <v>72.068379999999991</v>
      </c>
      <c r="R42" s="134">
        <f t="shared" si="41"/>
        <v>6.0056983333333323</v>
      </c>
      <c r="S42" s="134">
        <f t="shared" si="42"/>
        <v>6.2599948611111103</v>
      </c>
    </row>
    <row r="43" spans="1:19" ht="15" thickBot="1" x14ac:dyDescent="0.4">
      <c r="A43" s="247"/>
      <c r="B43" s="7">
        <v>24</v>
      </c>
      <c r="C43" s="138">
        <f t="shared" si="28"/>
        <v>1.0569999999999999</v>
      </c>
      <c r="D43" s="143">
        <v>0.25</v>
      </c>
      <c r="E43" s="143">
        <f t="shared" si="29"/>
        <v>0.1388888888888889</v>
      </c>
      <c r="F43" s="143">
        <f t="shared" si="30"/>
        <v>23.861111111111111</v>
      </c>
      <c r="G43" s="143">
        <f t="shared" si="31"/>
        <v>0.14680555555555555</v>
      </c>
      <c r="H43" s="143">
        <f t="shared" si="32"/>
        <v>5.9652777777777777</v>
      </c>
      <c r="I43" s="2">
        <f t="shared" si="33"/>
        <v>6.1120833333333335</v>
      </c>
      <c r="J43" s="145">
        <f t="shared" si="34"/>
        <v>0.2546701388888889</v>
      </c>
      <c r="K43" s="138">
        <f t="shared" si="35"/>
        <v>13.257</v>
      </c>
      <c r="L43" s="143">
        <f>3</f>
        <v>3</v>
      </c>
      <c r="M43" s="143">
        <f t="shared" si="36"/>
        <v>6.6666666666666671E-3</v>
      </c>
      <c r="N43" s="143">
        <f t="shared" si="37"/>
        <v>23.993333333333332</v>
      </c>
      <c r="O43" s="143">
        <f t="shared" si="38"/>
        <v>8.838E-2</v>
      </c>
      <c r="P43" s="143">
        <f t="shared" si="39"/>
        <v>71.97999999999999</v>
      </c>
      <c r="Q43" s="2">
        <f t="shared" si="40"/>
        <v>72.068379999999991</v>
      </c>
      <c r="R43" s="7">
        <f t="shared" si="41"/>
        <v>6.0056983333333323</v>
      </c>
      <c r="S43" s="7">
        <f t="shared" si="42"/>
        <v>6.260368472222221</v>
      </c>
    </row>
  </sheetData>
  <mergeCells count="21">
    <mergeCell ref="A1:S1"/>
    <mergeCell ref="A16:S16"/>
    <mergeCell ref="A17:A18"/>
    <mergeCell ref="B17:B18"/>
    <mergeCell ref="C17:J17"/>
    <mergeCell ref="K17:R17"/>
    <mergeCell ref="S17:S18"/>
    <mergeCell ref="C2:J2"/>
    <mergeCell ref="K2:R2"/>
    <mergeCell ref="B2:B3"/>
    <mergeCell ref="S2:S3"/>
    <mergeCell ref="A2:A3"/>
    <mergeCell ref="A19:A28"/>
    <mergeCell ref="A34:A43"/>
    <mergeCell ref="A4:A13"/>
    <mergeCell ref="A31:S31"/>
    <mergeCell ref="A32:A33"/>
    <mergeCell ref="B32:B33"/>
    <mergeCell ref="C32:J32"/>
    <mergeCell ref="K32:R32"/>
    <mergeCell ref="S32:S3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F20B-1BDF-4027-90AA-66BFF40D9B25}">
  <dimension ref="A1:N34"/>
  <sheetViews>
    <sheetView showGridLines="0" tabSelected="1" topLeftCell="B29" workbookViewId="0">
      <selection activeCell="D37" sqref="D37"/>
    </sheetView>
  </sheetViews>
  <sheetFormatPr baseColWidth="10" defaultRowHeight="14.5" x14ac:dyDescent="0.35"/>
  <cols>
    <col min="1" max="1" width="17.7265625" bestFit="1" customWidth="1"/>
    <col min="2" max="2" width="32.1796875" bestFit="1" customWidth="1"/>
    <col min="3" max="3" width="17.7265625" customWidth="1"/>
    <col min="4" max="4" width="13" style="96" bestFit="1" customWidth="1"/>
    <col min="5" max="5" width="14.26953125" style="96" bestFit="1" customWidth="1"/>
    <col min="7" max="7" width="9.81640625" bestFit="1" customWidth="1"/>
    <col min="8" max="8" width="14.1796875" bestFit="1" customWidth="1"/>
    <col min="9" max="9" width="15.453125" bestFit="1" customWidth="1"/>
    <col min="10" max="10" width="20.26953125" bestFit="1" customWidth="1"/>
    <col min="11" max="11" width="21.7265625" bestFit="1" customWidth="1"/>
    <col min="12" max="12" width="25.26953125" bestFit="1" customWidth="1"/>
    <col min="13" max="13" width="20.26953125" bestFit="1" customWidth="1"/>
    <col min="14" max="14" width="18" bestFit="1" customWidth="1"/>
  </cols>
  <sheetData>
    <row r="1" spans="1:14" ht="15" thickBot="1" x14ac:dyDescent="0.4">
      <c r="A1" s="238"/>
      <c r="B1" s="253" t="s">
        <v>9</v>
      </c>
      <c r="C1" s="253" t="s">
        <v>137</v>
      </c>
      <c r="D1" s="253" t="s">
        <v>138</v>
      </c>
      <c r="E1" s="253" t="s">
        <v>139</v>
      </c>
      <c r="F1" s="260" t="s">
        <v>47</v>
      </c>
      <c r="G1" s="261"/>
      <c r="H1" s="261"/>
      <c r="I1" s="261"/>
      <c r="J1" s="261"/>
      <c r="K1" s="261"/>
      <c r="L1" s="261"/>
      <c r="M1" s="261"/>
      <c r="N1" s="261"/>
    </row>
    <row r="2" spans="1:14" ht="15" thickBot="1" x14ac:dyDescent="0.4">
      <c r="A2" s="240"/>
      <c r="B2" s="254"/>
      <c r="C2" s="254"/>
      <c r="D2" s="254"/>
      <c r="E2" s="254"/>
      <c r="F2" s="140" t="s">
        <v>104</v>
      </c>
      <c r="G2" s="141" t="s">
        <v>105</v>
      </c>
      <c r="H2" s="141" t="s">
        <v>110</v>
      </c>
      <c r="I2" s="141" t="s">
        <v>109</v>
      </c>
      <c r="J2" s="141" t="s">
        <v>107</v>
      </c>
      <c r="K2" s="141" t="s">
        <v>108</v>
      </c>
      <c r="L2" s="141" t="s">
        <v>119</v>
      </c>
      <c r="M2" s="142" t="s">
        <v>15</v>
      </c>
      <c r="N2" s="159" t="s">
        <v>140</v>
      </c>
    </row>
    <row r="3" spans="1:14" x14ac:dyDescent="0.35">
      <c r="A3" s="176">
        <v>6</v>
      </c>
      <c r="B3" s="162" t="s">
        <v>22</v>
      </c>
      <c r="C3" s="162">
        <v>3.3</v>
      </c>
      <c r="D3" s="163">
        <v>0.15</v>
      </c>
      <c r="E3" s="163">
        <v>7.0000000000000007E-2</v>
      </c>
      <c r="F3" s="164">
        <f>C3*D3</f>
        <v>0.49499999999999994</v>
      </c>
      <c r="G3" s="165">
        <f>C3*E3</f>
        <v>0.23100000000000001</v>
      </c>
      <c r="H3" s="166">
        <f>2*(($A$3*($A$3+1)/2)*(10/$A$3))/3600</f>
        <v>1.9444444444444445E-2</v>
      </c>
      <c r="I3" s="166">
        <f>24-H3</f>
        <v>23.980555555555554</v>
      </c>
      <c r="J3" s="166">
        <f>F3*H3</f>
        <v>9.6249999999999981E-3</v>
      </c>
      <c r="K3" s="166">
        <f>G3*I3</f>
        <v>5.539508333333333</v>
      </c>
      <c r="L3" s="166">
        <f>J3+K3</f>
        <v>5.5491333333333328</v>
      </c>
      <c r="M3" s="167">
        <f>L3/24</f>
        <v>0.23121388888888886</v>
      </c>
      <c r="N3" s="168">
        <f>M3/SUM($M$3:$M$10)</f>
        <v>7.1133215137625605E-2</v>
      </c>
    </row>
    <row r="4" spans="1:14" x14ac:dyDescent="0.35">
      <c r="A4" s="177"/>
      <c r="B4" s="162" t="s">
        <v>141</v>
      </c>
      <c r="C4" s="162">
        <v>1.2</v>
      </c>
      <c r="D4" s="163">
        <f>0.0475</f>
        <v>4.7500000000000001E-2</v>
      </c>
      <c r="E4" s="163">
        <v>2.5000000000000001E-3</v>
      </c>
      <c r="F4" s="164">
        <f>C4*D4</f>
        <v>5.6999999999999995E-2</v>
      </c>
      <c r="G4" s="165">
        <f t="shared" ref="G4:G10" si="0">C4*E4</f>
        <v>3.0000000000000001E-3</v>
      </c>
      <c r="H4" s="166">
        <f t="shared" ref="H4:H10" si="1">2*(($A$3*($A$3+1)/2)*(10/$A$3))/3600</f>
        <v>1.9444444444444445E-2</v>
      </c>
      <c r="I4" s="166">
        <f t="shared" ref="I4:I34" si="2">24-H4</f>
        <v>23.980555555555554</v>
      </c>
      <c r="J4" s="166">
        <f t="shared" ref="J4:J10" si="3">F4*H4</f>
        <v>1.1083333333333333E-3</v>
      </c>
      <c r="K4" s="166">
        <f t="shared" ref="K4:K10" si="4">G4*I4</f>
        <v>7.1941666666666668E-2</v>
      </c>
      <c r="L4" s="166">
        <f t="shared" ref="L4:L10" si="5">J4+K4</f>
        <v>7.3050000000000004E-2</v>
      </c>
      <c r="M4" s="167">
        <f t="shared" ref="M4:M34" si="6">L4/24</f>
        <v>3.04375E-3</v>
      </c>
      <c r="N4" s="178">
        <f t="shared" ref="N4:N34" si="7">M4/SUM($M$3:$M$10)</f>
        <v>9.364131394338246E-4</v>
      </c>
    </row>
    <row r="5" spans="1:14" x14ac:dyDescent="0.35">
      <c r="A5" s="177"/>
      <c r="B5" s="170" t="s">
        <v>142</v>
      </c>
      <c r="C5" s="162">
        <v>4</v>
      </c>
      <c r="D5" s="163">
        <v>5.9999999999999995E-4</v>
      </c>
      <c r="E5" s="163">
        <v>1.7E-6</v>
      </c>
      <c r="F5" s="164">
        <f t="shared" ref="F5:F10" si="8">C5*D5</f>
        <v>2.3999999999999998E-3</v>
      </c>
      <c r="G5" s="165">
        <f t="shared" si="0"/>
        <v>6.8000000000000001E-6</v>
      </c>
      <c r="H5" s="166">
        <f t="shared" si="1"/>
        <v>1.9444444444444445E-2</v>
      </c>
      <c r="I5" s="166">
        <f t="shared" si="2"/>
        <v>23.980555555555554</v>
      </c>
      <c r="J5" s="166">
        <f t="shared" si="3"/>
        <v>4.6666666666666665E-5</v>
      </c>
      <c r="K5" s="166">
        <f t="shared" si="4"/>
        <v>1.6306777777777776E-4</v>
      </c>
      <c r="L5" s="166">
        <f t="shared" si="5"/>
        <v>2.0973444444444443E-4</v>
      </c>
      <c r="M5" s="167">
        <f t="shared" si="6"/>
        <v>8.7389351851851846E-6</v>
      </c>
      <c r="N5" s="169">
        <f t="shared" si="7"/>
        <v>2.68854332059728E-6</v>
      </c>
    </row>
    <row r="6" spans="1:14" x14ac:dyDescent="0.35">
      <c r="A6" s="177"/>
      <c r="B6" s="152" t="s">
        <v>143</v>
      </c>
      <c r="C6" s="152">
        <v>4.5</v>
      </c>
      <c r="D6" s="155">
        <v>0.09</v>
      </c>
      <c r="E6" s="155">
        <v>1E-3</v>
      </c>
      <c r="F6" s="150">
        <f t="shared" si="8"/>
        <v>0.40499999999999997</v>
      </c>
      <c r="G6" s="151">
        <f t="shared" si="0"/>
        <v>4.5000000000000005E-3</v>
      </c>
      <c r="H6" s="132">
        <f t="shared" si="1"/>
        <v>1.9444444444444445E-2</v>
      </c>
      <c r="I6" s="132">
        <f t="shared" si="2"/>
        <v>23.980555555555554</v>
      </c>
      <c r="J6" s="132">
        <f t="shared" si="3"/>
        <v>7.8750000000000001E-3</v>
      </c>
      <c r="K6" s="132">
        <f t="shared" si="4"/>
        <v>0.10791250000000001</v>
      </c>
      <c r="L6" s="132">
        <f t="shared" si="5"/>
        <v>0.11578750000000002</v>
      </c>
      <c r="M6" s="144">
        <f t="shared" si="6"/>
        <v>4.824479166666667E-3</v>
      </c>
      <c r="N6" s="160">
        <f t="shared" si="7"/>
        <v>1.4842564870936889E-3</v>
      </c>
    </row>
    <row r="7" spans="1:14" x14ac:dyDescent="0.35">
      <c r="A7" s="177"/>
      <c r="B7" s="152" t="s">
        <v>144</v>
      </c>
      <c r="C7" s="134">
        <v>4.5</v>
      </c>
      <c r="D7" s="155">
        <v>0.01</v>
      </c>
      <c r="E7" s="152">
        <v>0</v>
      </c>
      <c r="F7" s="150">
        <f t="shared" si="8"/>
        <v>4.4999999999999998E-2</v>
      </c>
      <c r="G7" s="151">
        <f t="shared" si="0"/>
        <v>0</v>
      </c>
      <c r="H7" s="132">
        <f t="shared" si="1"/>
        <v>1.9444444444444445E-2</v>
      </c>
      <c r="I7" s="132">
        <f t="shared" si="2"/>
        <v>23.980555555555554</v>
      </c>
      <c r="J7" s="132">
        <f t="shared" si="3"/>
        <v>8.7500000000000002E-4</v>
      </c>
      <c r="K7" s="132">
        <f t="shared" si="4"/>
        <v>0</v>
      </c>
      <c r="L7" s="132">
        <f t="shared" si="5"/>
        <v>8.7500000000000002E-4</v>
      </c>
      <c r="M7" s="144">
        <f t="shared" si="6"/>
        <v>3.6458333333333336E-5</v>
      </c>
      <c r="N7" s="160">
        <f t="shared" si="7"/>
        <v>1.1216447597598858E-5</v>
      </c>
    </row>
    <row r="8" spans="1:14" x14ac:dyDescent="0.35">
      <c r="A8" s="177"/>
      <c r="B8" s="152" t="s">
        <v>145</v>
      </c>
      <c r="C8" s="154">
        <v>5</v>
      </c>
      <c r="D8" s="152">
        <v>1.8</v>
      </c>
      <c r="E8" s="152">
        <v>0.6</v>
      </c>
      <c r="F8" s="150">
        <f t="shared" si="8"/>
        <v>9</v>
      </c>
      <c r="G8" s="151">
        <f t="shared" si="0"/>
        <v>3</v>
      </c>
      <c r="H8" s="132">
        <f t="shared" si="1"/>
        <v>1.9444444444444445E-2</v>
      </c>
      <c r="I8" s="132">
        <f t="shared" si="2"/>
        <v>23.980555555555554</v>
      </c>
      <c r="J8" s="132">
        <f t="shared" si="3"/>
        <v>0.17499999999999999</v>
      </c>
      <c r="K8" s="132">
        <f t="shared" si="4"/>
        <v>71.941666666666663</v>
      </c>
      <c r="L8" s="132">
        <f t="shared" si="5"/>
        <v>72.11666666666666</v>
      </c>
      <c r="M8" s="144">
        <f t="shared" si="6"/>
        <v>3.004861111111111</v>
      </c>
      <c r="N8" s="160">
        <f t="shared" si="7"/>
        <v>0.9244489286630525</v>
      </c>
    </row>
    <row r="9" spans="1:14" x14ac:dyDescent="0.35">
      <c r="A9" s="177"/>
      <c r="B9" s="162" t="s">
        <v>141</v>
      </c>
      <c r="C9" s="152">
        <v>1.2</v>
      </c>
      <c r="D9" s="155">
        <f>0.0475</f>
        <v>4.7500000000000001E-2</v>
      </c>
      <c r="E9" s="155">
        <v>2.5000000000000001E-3</v>
      </c>
      <c r="F9" s="150">
        <f t="shared" si="8"/>
        <v>5.6999999999999995E-2</v>
      </c>
      <c r="G9" s="151">
        <f t="shared" si="0"/>
        <v>3.0000000000000001E-3</v>
      </c>
      <c r="H9" s="132">
        <f t="shared" si="1"/>
        <v>1.9444444444444445E-2</v>
      </c>
      <c r="I9" s="132">
        <f t="shared" si="2"/>
        <v>23.980555555555554</v>
      </c>
      <c r="J9" s="132">
        <f t="shared" si="3"/>
        <v>1.1083333333333333E-3</v>
      </c>
      <c r="K9" s="132">
        <f t="shared" si="4"/>
        <v>7.1941666666666668E-2</v>
      </c>
      <c r="L9" s="132">
        <f t="shared" si="5"/>
        <v>7.3050000000000004E-2</v>
      </c>
      <c r="M9" s="144">
        <f t="shared" si="6"/>
        <v>3.04375E-3</v>
      </c>
      <c r="N9" s="160">
        <f t="shared" si="7"/>
        <v>9.364131394338246E-4</v>
      </c>
    </row>
    <row r="10" spans="1:14" ht="15" thickBot="1" x14ac:dyDescent="0.4">
      <c r="A10" s="177"/>
      <c r="B10" s="153" t="s">
        <v>146</v>
      </c>
      <c r="C10" s="153">
        <v>5</v>
      </c>
      <c r="D10" s="156">
        <v>0.84</v>
      </c>
      <c r="E10" s="153">
        <v>0</v>
      </c>
      <c r="F10" s="157">
        <f t="shared" si="8"/>
        <v>4.2</v>
      </c>
      <c r="G10" s="158">
        <f t="shared" si="0"/>
        <v>0</v>
      </c>
      <c r="H10" s="143">
        <f t="shared" si="1"/>
        <v>1.9444444444444445E-2</v>
      </c>
      <c r="I10" s="143">
        <f t="shared" si="2"/>
        <v>23.980555555555554</v>
      </c>
      <c r="J10" s="143">
        <f t="shared" si="3"/>
        <v>8.1666666666666665E-2</v>
      </c>
      <c r="K10" s="143">
        <f t="shared" si="4"/>
        <v>0</v>
      </c>
      <c r="L10" s="143">
        <f t="shared" si="5"/>
        <v>8.1666666666666665E-2</v>
      </c>
      <c r="M10" s="145">
        <f t="shared" si="6"/>
        <v>3.4027777777777776E-3</v>
      </c>
      <c r="N10" s="161">
        <f t="shared" si="7"/>
        <v>1.0468684424425601E-3</v>
      </c>
    </row>
    <row r="11" spans="1:14" x14ac:dyDescent="0.35">
      <c r="A11" s="176">
        <v>12</v>
      </c>
      <c r="B11" s="162" t="s">
        <v>22</v>
      </c>
      <c r="C11" s="162">
        <v>3.3</v>
      </c>
      <c r="D11" s="163">
        <v>0.15</v>
      </c>
      <c r="E11" s="163">
        <v>7.0000000000000007E-2</v>
      </c>
      <c r="F11" s="171">
        <f>C11*D11</f>
        <v>0.49499999999999994</v>
      </c>
      <c r="G11" s="172">
        <f>C11*E11</f>
        <v>0.23100000000000001</v>
      </c>
      <c r="H11" s="173">
        <f>2*(($A$11*($A$11+1)/2)*(10/$A$11))/3600</f>
        <v>3.6111111111111108E-2</v>
      </c>
      <c r="I11" s="173">
        <f>24-H11</f>
        <v>23.963888888888889</v>
      </c>
      <c r="J11" s="173">
        <f>F11*H11</f>
        <v>1.7874999999999995E-2</v>
      </c>
      <c r="K11" s="173">
        <f>G11*I11</f>
        <v>5.5356583333333331</v>
      </c>
      <c r="L11" s="174">
        <f>J11+K11</f>
        <v>5.5535333333333332</v>
      </c>
      <c r="M11" s="167">
        <f>L11/24</f>
        <v>0.23139722222222223</v>
      </c>
      <c r="N11" s="168">
        <f>M11/SUM($M$3:$M$10)</f>
        <v>7.1189617845544964E-2</v>
      </c>
    </row>
    <row r="12" spans="1:14" x14ac:dyDescent="0.35">
      <c r="A12" s="177"/>
      <c r="B12" s="162" t="s">
        <v>25</v>
      </c>
      <c r="C12" s="162">
        <v>1.2</v>
      </c>
      <c r="D12" s="163">
        <f>0.0475</f>
        <v>4.7500000000000001E-2</v>
      </c>
      <c r="E12" s="163">
        <v>2.5000000000000001E-3</v>
      </c>
      <c r="F12" s="164">
        <f>C12*D12</f>
        <v>5.6999999999999995E-2</v>
      </c>
      <c r="G12" s="165">
        <f t="shared" ref="G12:G18" si="9">C12*E12</f>
        <v>3.0000000000000001E-3</v>
      </c>
      <c r="H12" s="166">
        <f t="shared" ref="H12:H18" si="10">2*(($A$11*($A$11+1)/2)*(10/$A$11))/3600</f>
        <v>3.6111111111111108E-2</v>
      </c>
      <c r="I12" s="166">
        <f t="shared" si="2"/>
        <v>23.963888888888889</v>
      </c>
      <c r="J12" s="166">
        <f t="shared" ref="J12:J18" si="11">F12*H12</f>
        <v>2.058333333333333E-3</v>
      </c>
      <c r="K12" s="166">
        <f t="shared" ref="K12:K18" si="12">G12*I12</f>
        <v>7.1891666666666673E-2</v>
      </c>
      <c r="L12" s="175">
        <f t="shared" ref="L12:L18" si="13">J12+K12</f>
        <v>7.3950000000000002E-2</v>
      </c>
      <c r="M12" s="167">
        <f t="shared" si="6"/>
        <v>3.0812500000000002E-3</v>
      </c>
      <c r="N12" s="178">
        <f t="shared" si="7"/>
        <v>9.4795005696278348E-4</v>
      </c>
    </row>
    <row r="13" spans="1:14" x14ac:dyDescent="0.35">
      <c r="A13" s="177"/>
      <c r="B13" s="170" t="s">
        <v>26</v>
      </c>
      <c r="C13" s="162">
        <v>4</v>
      </c>
      <c r="D13" s="163">
        <v>5.9999999999999995E-4</v>
      </c>
      <c r="E13" s="163">
        <v>1.7E-6</v>
      </c>
      <c r="F13" s="164">
        <f t="shared" ref="F13:F18" si="14">C13*D13</f>
        <v>2.3999999999999998E-3</v>
      </c>
      <c r="G13" s="165">
        <f t="shared" si="9"/>
        <v>6.8000000000000001E-6</v>
      </c>
      <c r="H13" s="166">
        <f t="shared" si="10"/>
        <v>3.6111111111111108E-2</v>
      </c>
      <c r="I13" s="166">
        <f t="shared" si="2"/>
        <v>23.963888888888889</v>
      </c>
      <c r="J13" s="166">
        <f t="shared" si="11"/>
        <v>8.6666666666666655E-5</v>
      </c>
      <c r="K13" s="166">
        <f t="shared" si="12"/>
        <v>1.6295444444444445E-4</v>
      </c>
      <c r="L13" s="175">
        <f t="shared" si="13"/>
        <v>2.4962111111111109E-4</v>
      </c>
      <c r="M13" s="167">
        <f t="shared" si="6"/>
        <v>1.0400879629629629E-5</v>
      </c>
      <c r="N13" s="169">
        <f t="shared" si="7"/>
        <v>3.1998424137510623E-6</v>
      </c>
    </row>
    <row r="14" spans="1:14" x14ac:dyDescent="0.35">
      <c r="A14" s="177"/>
      <c r="B14" s="152" t="s">
        <v>28</v>
      </c>
      <c r="C14" s="152">
        <v>4.5</v>
      </c>
      <c r="D14" s="155">
        <v>0.09</v>
      </c>
      <c r="E14" s="155">
        <v>1E-3</v>
      </c>
      <c r="F14" s="150">
        <f t="shared" si="14"/>
        <v>0.40499999999999997</v>
      </c>
      <c r="G14" s="151">
        <f t="shared" si="9"/>
        <v>4.5000000000000005E-3</v>
      </c>
      <c r="H14" s="132">
        <f t="shared" si="10"/>
        <v>3.6111111111111108E-2</v>
      </c>
      <c r="I14" s="132">
        <f t="shared" si="2"/>
        <v>23.963888888888889</v>
      </c>
      <c r="J14" s="132">
        <f t="shared" si="11"/>
        <v>1.4624999999999997E-2</v>
      </c>
      <c r="K14" s="132">
        <f t="shared" si="12"/>
        <v>0.10783750000000002</v>
      </c>
      <c r="L14" s="149">
        <f t="shared" si="13"/>
        <v>0.12246250000000002</v>
      </c>
      <c r="M14" s="144">
        <f t="shared" si="6"/>
        <v>5.1026041666666676E-3</v>
      </c>
      <c r="N14" s="160">
        <f t="shared" si="7"/>
        <v>1.5698219587668004E-3</v>
      </c>
    </row>
    <row r="15" spans="1:14" x14ac:dyDescent="0.35">
      <c r="A15" s="177"/>
      <c r="B15" s="152" t="s">
        <v>30</v>
      </c>
      <c r="C15" s="134">
        <v>4.5</v>
      </c>
      <c r="D15" s="155">
        <v>0.01</v>
      </c>
      <c r="E15" s="152">
        <v>0</v>
      </c>
      <c r="F15" s="150">
        <f t="shared" si="14"/>
        <v>4.4999999999999998E-2</v>
      </c>
      <c r="G15" s="151">
        <f t="shared" si="9"/>
        <v>0</v>
      </c>
      <c r="H15" s="132">
        <f t="shared" si="10"/>
        <v>3.6111111111111108E-2</v>
      </c>
      <c r="I15" s="132">
        <f t="shared" si="2"/>
        <v>23.963888888888889</v>
      </c>
      <c r="J15" s="132">
        <f t="shared" si="11"/>
        <v>1.6249999999999997E-3</v>
      </c>
      <c r="K15" s="132">
        <f t="shared" si="12"/>
        <v>0</v>
      </c>
      <c r="L15" s="149">
        <f t="shared" si="13"/>
        <v>1.6249999999999997E-3</v>
      </c>
      <c r="M15" s="144">
        <f t="shared" si="6"/>
        <v>6.7708333333333317E-5</v>
      </c>
      <c r="N15" s="160">
        <f t="shared" si="7"/>
        <v>2.0830545538397875E-5</v>
      </c>
    </row>
    <row r="16" spans="1:14" x14ac:dyDescent="0.35">
      <c r="A16" s="177"/>
      <c r="B16" s="152" t="s">
        <v>33</v>
      </c>
      <c r="C16" s="154">
        <v>5</v>
      </c>
      <c r="D16" s="152">
        <v>1.8</v>
      </c>
      <c r="E16" s="152">
        <v>0.6</v>
      </c>
      <c r="F16" s="150">
        <f t="shared" si="14"/>
        <v>9</v>
      </c>
      <c r="G16" s="151">
        <f t="shared" si="9"/>
        <v>3</v>
      </c>
      <c r="H16" s="132">
        <f t="shared" si="10"/>
        <v>3.6111111111111108E-2</v>
      </c>
      <c r="I16" s="132">
        <f t="shared" si="2"/>
        <v>23.963888888888889</v>
      </c>
      <c r="J16" s="132">
        <f t="shared" si="11"/>
        <v>0.32499999999999996</v>
      </c>
      <c r="K16" s="132">
        <f t="shared" si="12"/>
        <v>71.891666666666666</v>
      </c>
      <c r="L16" s="149">
        <f t="shared" si="13"/>
        <v>72.216666666666669</v>
      </c>
      <c r="M16" s="144">
        <f t="shared" si="6"/>
        <v>3.0090277777777779</v>
      </c>
      <c r="N16" s="160">
        <f t="shared" si="7"/>
        <v>0.92573080838849242</v>
      </c>
    </row>
    <row r="17" spans="1:14" x14ac:dyDescent="0.35">
      <c r="A17" s="177"/>
      <c r="B17" s="152" t="s">
        <v>35</v>
      </c>
      <c r="C17" s="152">
        <v>1.2</v>
      </c>
      <c r="D17" s="155">
        <f>0.0475</f>
        <v>4.7500000000000001E-2</v>
      </c>
      <c r="E17" s="155">
        <v>2.5000000000000001E-3</v>
      </c>
      <c r="F17" s="150">
        <f t="shared" si="14"/>
        <v>5.6999999999999995E-2</v>
      </c>
      <c r="G17" s="151">
        <f t="shared" si="9"/>
        <v>3.0000000000000001E-3</v>
      </c>
      <c r="H17" s="132">
        <f t="shared" si="10"/>
        <v>3.6111111111111108E-2</v>
      </c>
      <c r="I17" s="132">
        <f t="shared" si="2"/>
        <v>23.963888888888889</v>
      </c>
      <c r="J17" s="132">
        <f t="shared" si="11"/>
        <v>2.058333333333333E-3</v>
      </c>
      <c r="K17" s="132">
        <f t="shared" si="12"/>
        <v>7.1891666666666673E-2</v>
      </c>
      <c r="L17" s="149">
        <f t="shared" si="13"/>
        <v>7.3950000000000002E-2</v>
      </c>
      <c r="M17" s="144">
        <f t="shared" si="6"/>
        <v>3.0812500000000002E-3</v>
      </c>
      <c r="N17" s="160">
        <f t="shared" si="7"/>
        <v>9.4795005696278348E-4</v>
      </c>
    </row>
    <row r="18" spans="1:14" ht="15" thickBot="1" x14ac:dyDescent="0.4">
      <c r="A18" s="177"/>
      <c r="B18" s="153" t="s">
        <v>36</v>
      </c>
      <c r="C18" s="153">
        <v>5</v>
      </c>
      <c r="D18" s="156">
        <v>0.84</v>
      </c>
      <c r="E18" s="153">
        <v>0</v>
      </c>
      <c r="F18" s="157">
        <f t="shared" si="14"/>
        <v>4.2</v>
      </c>
      <c r="G18" s="158">
        <f t="shared" si="9"/>
        <v>0</v>
      </c>
      <c r="H18" s="143">
        <f t="shared" si="10"/>
        <v>3.6111111111111108E-2</v>
      </c>
      <c r="I18" s="143">
        <f t="shared" si="2"/>
        <v>23.963888888888889</v>
      </c>
      <c r="J18" s="143">
        <f t="shared" si="11"/>
        <v>0.15166666666666667</v>
      </c>
      <c r="K18" s="143">
        <f t="shared" si="12"/>
        <v>0</v>
      </c>
      <c r="L18" s="2">
        <f t="shared" si="13"/>
        <v>0.15166666666666667</v>
      </c>
      <c r="M18" s="145">
        <f t="shared" si="6"/>
        <v>6.3194444444444444E-3</v>
      </c>
      <c r="N18" s="161">
        <f t="shared" si="7"/>
        <v>1.9441842502504686E-3</v>
      </c>
    </row>
    <row r="19" spans="1:14" x14ac:dyDescent="0.35">
      <c r="A19" s="176">
        <v>18</v>
      </c>
      <c r="B19" s="162" t="s">
        <v>22</v>
      </c>
      <c r="C19" s="162">
        <v>3.3</v>
      </c>
      <c r="D19" s="163">
        <v>0.15</v>
      </c>
      <c r="E19" s="163">
        <v>7.0000000000000007E-2</v>
      </c>
      <c r="F19" s="171">
        <f>C19*D19</f>
        <v>0.49499999999999994</v>
      </c>
      <c r="G19" s="172">
        <f>C19*E19</f>
        <v>0.23100000000000001</v>
      </c>
      <c r="H19" s="173">
        <f>2*(($A$19*($A$19+1)/2)*(10/$A$19))/3600</f>
        <v>5.2777777777777778E-2</v>
      </c>
      <c r="I19" s="173">
        <f>24-H19</f>
        <v>23.947222222222223</v>
      </c>
      <c r="J19" s="173">
        <f>F19*H19</f>
        <v>2.6124999999999995E-2</v>
      </c>
      <c r="K19" s="173">
        <f>G19*I19</f>
        <v>5.5318083333333341</v>
      </c>
      <c r="L19" s="174">
        <f>J19+K19</f>
        <v>5.5579333333333345</v>
      </c>
      <c r="M19" s="167">
        <f>L19/24</f>
        <v>0.2315805555555556</v>
      </c>
      <c r="N19" s="168">
        <f>M19/SUM($M$3:$M$10)</f>
        <v>7.1246020553464323E-2</v>
      </c>
    </row>
    <row r="20" spans="1:14" x14ac:dyDescent="0.35">
      <c r="A20" s="177"/>
      <c r="B20" s="162" t="s">
        <v>25</v>
      </c>
      <c r="C20" s="162">
        <v>1.2</v>
      </c>
      <c r="D20" s="163">
        <f>0.0475</f>
        <v>4.7500000000000001E-2</v>
      </c>
      <c r="E20" s="163">
        <v>2.5000000000000001E-3</v>
      </c>
      <c r="F20" s="164">
        <f>C20*D20</f>
        <v>5.6999999999999995E-2</v>
      </c>
      <c r="G20" s="165">
        <f t="shared" ref="G20:G26" si="15">C20*E20</f>
        <v>3.0000000000000001E-3</v>
      </c>
      <c r="H20" s="166">
        <f t="shared" ref="H20:H26" si="16">2*(($A$19*($A$19+1)/2)*(10/$A$19))/3600</f>
        <v>5.2777777777777778E-2</v>
      </c>
      <c r="I20" s="166">
        <f t="shared" si="2"/>
        <v>23.947222222222223</v>
      </c>
      <c r="J20" s="166">
        <f t="shared" ref="J20:J26" si="17">F20*H20</f>
        <v>3.0083333333333329E-3</v>
      </c>
      <c r="K20" s="166">
        <f t="shared" ref="K20:K26" si="18">G20*I20</f>
        <v>7.1841666666666665E-2</v>
      </c>
      <c r="L20" s="175">
        <f t="shared" ref="L20:L26" si="19">J20+K20</f>
        <v>7.485E-2</v>
      </c>
      <c r="M20" s="167">
        <f t="shared" si="6"/>
        <v>3.11875E-3</v>
      </c>
      <c r="N20" s="169">
        <f t="shared" si="7"/>
        <v>9.5948697449174225E-4</v>
      </c>
    </row>
    <row r="21" spans="1:14" x14ac:dyDescent="0.35">
      <c r="A21" s="177"/>
      <c r="B21" s="170" t="s">
        <v>26</v>
      </c>
      <c r="C21" s="162">
        <v>4</v>
      </c>
      <c r="D21" s="163">
        <v>5.9999999999999995E-4</v>
      </c>
      <c r="E21" s="163">
        <v>1.7E-6</v>
      </c>
      <c r="F21" s="164">
        <f t="shared" ref="F21:F26" si="20">C21*D21</f>
        <v>2.3999999999999998E-3</v>
      </c>
      <c r="G21" s="165">
        <f t="shared" si="15"/>
        <v>6.8000000000000001E-6</v>
      </c>
      <c r="H21" s="166">
        <f t="shared" si="16"/>
        <v>5.2777777777777778E-2</v>
      </c>
      <c r="I21" s="166">
        <f t="shared" si="2"/>
        <v>23.947222222222223</v>
      </c>
      <c r="J21" s="166">
        <f t="shared" si="17"/>
        <v>1.2666666666666666E-4</v>
      </c>
      <c r="K21" s="166">
        <f t="shared" si="18"/>
        <v>1.6284111111111111E-4</v>
      </c>
      <c r="L21" s="175">
        <f t="shared" si="19"/>
        <v>2.8950777777777778E-4</v>
      </c>
      <c r="M21" s="167">
        <f t="shared" si="6"/>
        <v>1.2062824074074075E-5</v>
      </c>
      <c r="N21" s="169">
        <f t="shared" si="7"/>
        <v>3.7111415069048454E-6</v>
      </c>
    </row>
    <row r="22" spans="1:14" x14ac:dyDescent="0.35">
      <c r="A22" s="177"/>
      <c r="B22" s="152" t="s">
        <v>28</v>
      </c>
      <c r="C22" s="152">
        <v>4.5</v>
      </c>
      <c r="D22" s="155">
        <v>0.09</v>
      </c>
      <c r="E22" s="155">
        <v>1E-3</v>
      </c>
      <c r="F22" s="150">
        <f t="shared" si="20"/>
        <v>0.40499999999999997</v>
      </c>
      <c r="G22" s="151">
        <f t="shared" si="15"/>
        <v>4.5000000000000005E-3</v>
      </c>
      <c r="H22" s="132">
        <f t="shared" si="16"/>
        <v>5.2777777777777778E-2</v>
      </c>
      <c r="I22" s="132">
        <f t="shared" si="2"/>
        <v>23.947222222222223</v>
      </c>
      <c r="J22" s="132">
        <f t="shared" si="17"/>
        <v>2.1374999999999998E-2</v>
      </c>
      <c r="K22" s="132">
        <f t="shared" si="18"/>
        <v>0.10776250000000001</v>
      </c>
      <c r="L22" s="149">
        <f t="shared" si="19"/>
        <v>0.12913750000000002</v>
      </c>
      <c r="M22" s="144">
        <f t="shared" si="6"/>
        <v>5.3807291666666673E-3</v>
      </c>
      <c r="N22" s="160">
        <f t="shared" si="7"/>
        <v>1.6553874304399117E-3</v>
      </c>
    </row>
    <row r="23" spans="1:14" x14ac:dyDescent="0.35">
      <c r="A23" s="177"/>
      <c r="B23" s="152" t="s">
        <v>30</v>
      </c>
      <c r="C23" s="134">
        <v>4.5</v>
      </c>
      <c r="D23" s="155">
        <v>0.01</v>
      </c>
      <c r="E23" s="152">
        <v>0</v>
      </c>
      <c r="F23" s="150">
        <f t="shared" si="20"/>
        <v>4.4999999999999998E-2</v>
      </c>
      <c r="G23" s="151">
        <f t="shared" si="15"/>
        <v>0</v>
      </c>
      <c r="H23" s="132">
        <f t="shared" si="16"/>
        <v>5.2777777777777778E-2</v>
      </c>
      <c r="I23" s="132">
        <f t="shared" si="2"/>
        <v>23.947222222222223</v>
      </c>
      <c r="J23" s="132">
        <f t="shared" si="17"/>
        <v>2.3749999999999999E-3</v>
      </c>
      <c r="K23" s="132">
        <f t="shared" si="18"/>
        <v>0</v>
      </c>
      <c r="L23" s="149">
        <f t="shared" si="19"/>
        <v>2.3749999999999999E-3</v>
      </c>
      <c r="M23" s="144">
        <f t="shared" si="6"/>
        <v>9.8958333333333331E-5</v>
      </c>
      <c r="N23" s="160">
        <f t="shared" si="7"/>
        <v>3.04446434791969E-5</v>
      </c>
    </row>
    <row r="24" spans="1:14" x14ac:dyDescent="0.35">
      <c r="A24" s="177"/>
      <c r="B24" s="152" t="s">
        <v>33</v>
      </c>
      <c r="C24" s="154">
        <v>5</v>
      </c>
      <c r="D24" s="152">
        <v>1.8</v>
      </c>
      <c r="E24" s="152">
        <v>0.6</v>
      </c>
      <c r="F24" s="150">
        <f t="shared" si="20"/>
        <v>9</v>
      </c>
      <c r="G24" s="151">
        <f t="shared" si="15"/>
        <v>3</v>
      </c>
      <c r="H24" s="132">
        <f t="shared" si="16"/>
        <v>5.2777777777777778E-2</v>
      </c>
      <c r="I24" s="132">
        <f t="shared" si="2"/>
        <v>23.947222222222223</v>
      </c>
      <c r="J24" s="132">
        <f t="shared" si="17"/>
        <v>0.47499999999999998</v>
      </c>
      <c r="K24" s="132">
        <f t="shared" si="18"/>
        <v>71.841666666666669</v>
      </c>
      <c r="L24" s="149">
        <f t="shared" si="19"/>
        <v>72.316666666666663</v>
      </c>
      <c r="M24" s="144">
        <f t="shared" si="6"/>
        <v>3.0131944444444443</v>
      </c>
      <c r="N24" s="160">
        <f t="shared" si="7"/>
        <v>0.92701268811393223</v>
      </c>
    </row>
    <row r="25" spans="1:14" x14ac:dyDescent="0.35">
      <c r="A25" s="177"/>
      <c r="B25" s="152" t="s">
        <v>35</v>
      </c>
      <c r="C25" s="152">
        <v>1.2</v>
      </c>
      <c r="D25" s="155">
        <f>0.0475</f>
        <v>4.7500000000000001E-2</v>
      </c>
      <c r="E25" s="155">
        <v>2.5000000000000001E-3</v>
      </c>
      <c r="F25" s="150">
        <f t="shared" si="20"/>
        <v>5.6999999999999995E-2</v>
      </c>
      <c r="G25" s="151">
        <f t="shared" si="15"/>
        <v>3.0000000000000001E-3</v>
      </c>
      <c r="H25" s="132">
        <f t="shared" si="16"/>
        <v>5.2777777777777778E-2</v>
      </c>
      <c r="I25" s="132">
        <f t="shared" si="2"/>
        <v>23.947222222222223</v>
      </c>
      <c r="J25" s="132">
        <f t="shared" si="17"/>
        <v>3.0083333333333329E-3</v>
      </c>
      <c r="K25" s="132">
        <f t="shared" si="18"/>
        <v>7.1841666666666665E-2</v>
      </c>
      <c r="L25" s="149">
        <f t="shared" si="19"/>
        <v>7.485E-2</v>
      </c>
      <c r="M25" s="144">
        <f t="shared" si="6"/>
        <v>3.11875E-3</v>
      </c>
      <c r="N25" s="160">
        <f t="shared" si="7"/>
        <v>9.5948697449174225E-4</v>
      </c>
    </row>
    <row r="26" spans="1:14" ht="15" thickBot="1" x14ac:dyDescent="0.4">
      <c r="A26" s="177"/>
      <c r="B26" s="153" t="s">
        <v>36</v>
      </c>
      <c r="C26" s="153">
        <v>5</v>
      </c>
      <c r="D26" s="156">
        <v>0.84</v>
      </c>
      <c r="E26" s="153">
        <v>0</v>
      </c>
      <c r="F26" s="157">
        <f t="shared" si="20"/>
        <v>4.2</v>
      </c>
      <c r="G26" s="158">
        <f t="shared" si="15"/>
        <v>0</v>
      </c>
      <c r="H26" s="143">
        <f t="shared" si="16"/>
        <v>5.2777777777777778E-2</v>
      </c>
      <c r="I26" s="143">
        <f t="shared" si="2"/>
        <v>23.947222222222223</v>
      </c>
      <c r="J26" s="143">
        <f t="shared" si="17"/>
        <v>0.22166666666666668</v>
      </c>
      <c r="K26" s="143">
        <f t="shared" si="18"/>
        <v>0</v>
      </c>
      <c r="L26" s="2">
        <f t="shared" si="19"/>
        <v>0.22166666666666668</v>
      </c>
      <c r="M26" s="145">
        <f t="shared" si="6"/>
        <v>9.2361111111111116E-3</v>
      </c>
      <c r="N26" s="161">
        <f t="shared" si="7"/>
        <v>2.8415000580583774E-3</v>
      </c>
    </row>
    <row r="27" spans="1:14" x14ac:dyDescent="0.35">
      <c r="A27" s="176">
        <v>24</v>
      </c>
      <c r="B27" s="162" t="s">
        <v>22</v>
      </c>
      <c r="C27" s="162">
        <v>3.3</v>
      </c>
      <c r="D27" s="163">
        <v>0.15</v>
      </c>
      <c r="E27" s="163">
        <v>7.0000000000000007E-2</v>
      </c>
      <c r="F27" s="171">
        <f>C27*D27</f>
        <v>0.49499999999999994</v>
      </c>
      <c r="G27" s="172">
        <f>C27*E27</f>
        <v>0.23100000000000001</v>
      </c>
      <c r="H27" s="173">
        <f>2*(($A$27*($A$27+1)/2)*(10/$A$27))/3600</f>
        <v>6.9444444444444448E-2</v>
      </c>
      <c r="I27" s="173">
        <f>24-H27</f>
        <v>23.930555555555557</v>
      </c>
      <c r="J27" s="173">
        <f>F27*H27</f>
        <v>3.4374999999999996E-2</v>
      </c>
      <c r="K27" s="173">
        <f>G27*I27</f>
        <v>5.5279583333333342</v>
      </c>
      <c r="L27" s="174">
        <f>J27+K27</f>
        <v>5.562333333333334</v>
      </c>
      <c r="M27" s="167">
        <f>L27/24</f>
        <v>0.23176388888888891</v>
      </c>
      <c r="N27" s="168">
        <f>M27/SUM($M$3:$M$10)</f>
        <v>7.1302423261383682E-2</v>
      </c>
    </row>
    <row r="28" spans="1:14" x14ac:dyDescent="0.35">
      <c r="A28" s="177"/>
      <c r="B28" s="162" t="s">
        <v>25</v>
      </c>
      <c r="C28" s="162">
        <v>1.2</v>
      </c>
      <c r="D28" s="163">
        <f>0.0475</f>
        <v>4.7500000000000001E-2</v>
      </c>
      <c r="E28" s="163">
        <v>2.5000000000000001E-3</v>
      </c>
      <c r="F28" s="164">
        <f>C28*D28</f>
        <v>5.6999999999999995E-2</v>
      </c>
      <c r="G28" s="165">
        <f t="shared" ref="G28:G34" si="21">C28*E28</f>
        <v>3.0000000000000001E-3</v>
      </c>
      <c r="H28" s="166">
        <f t="shared" ref="H28:H34" si="22">2*(($A$27*($A$27+1)/2)*(10/$A$27))/3600</f>
        <v>6.9444444444444448E-2</v>
      </c>
      <c r="I28" s="166">
        <f t="shared" si="2"/>
        <v>23.930555555555557</v>
      </c>
      <c r="J28" s="166">
        <f t="shared" ref="J28:J34" si="23">F28*H28</f>
        <v>3.9583333333333328E-3</v>
      </c>
      <c r="K28" s="166">
        <f t="shared" ref="K28:K34" si="24">G28*I28</f>
        <v>7.179166666666667E-2</v>
      </c>
      <c r="L28" s="175">
        <f t="shared" ref="L28:L34" si="25">J28+K28</f>
        <v>7.5749999999999998E-2</v>
      </c>
      <c r="M28" s="167">
        <f t="shared" si="6"/>
        <v>3.1562499999999998E-3</v>
      </c>
      <c r="N28" s="169">
        <f t="shared" si="7"/>
        <v>9.7102389202070101E-4</v>
      </c>
    </row>
    <row r="29" spans="1:14" x14ac:dyDescent="0.35">
      <c r="A29" s="177"/>
      <c r="B29" s="170" t="s">
        <v>26</v>
      </c>
      <c r="C29" s="162">
        <v>4</v>
      </c>
      <c r="D29" s="163">
        <v>5.9999999999999995E-4</v>
      </c>
      <c r="E29" s="163">
        <v>1.7E-6</v>
      </c>
      <c r="F29" s="164">
        <f t="shared" ref="F29:F34" si="26">C29*D29</f>
        <v>2.3999999999999998E-3</v>
      </c>
      <c r="G29" s="165">
        <f t="shared" si="21"/>
        <v>6.8000000000000001E-6</v>
      </c>
      <c r="H29" s="166">
        <f t="shared" si="22"/>
        <v>6.9444444444444448E-2</v>
      </c>
      <c r="I29" s="166">
        <f t="shared" si="2"/>
        <v>23.930555555555557</v>
      </c>
      <c r="J29" s="166">
        <f t="shared" si="23"/>
        <v>1.6666666666666666E-4</v>
      </c>
      <c r="K29" s="166">
        <f t="shared" si="24"/>
        <v>1.627277777777778E-4</v>
      </c>
      <c r="L29" s="175">
        <f t="shared" si="25"/>
        <v>3.2939444444444446E-4</v>
      </c>
      <c r="M29" s="167">
        <f t="shared" si="6"/>
        <v>1.3724768518518519E-5</v>
      </c>
      <c r="N29" s="169">
        <f t="shared" si="7"/>
        <v>4.2224406000586277E-6</v>
      </c>
    </row>
    <row r="30" spans="1:14" x14ac:dyDescent="0.35">
      <c r="A30" s="177"/>
      <c r="B30" s="152" t="s">
        <v>28</v>
      </c>
      <c r="C30" s="152">
        <v>4.5</v>
      </c>
      <c r="D30" s="155">
        <v>0.09</v>
      </c>
      <c r="E30" s="155">
        <v>1E-3</v>
      </c>
      <c r="F30" s="150">
        <f t="shared" si="26"/>
        <v>0.40499999999999997</v>
      </c>
      <c r="G30" s="151">
        <f t="shared" si="21"/>
        <v>4.5000000000000005E-3</v>
      </c>
      <c r="H30" s="132">
        <f t="shared" si="22"/>
        <v>6.9444444444444448E-2</v>
      </c>
      <c r="I30" s="132">
        <f t="shared" si="2"/>
        <v>23.930555555555557</v>
      </c>
      <c r="J30" s="132">
        <f t="shared" si="23"/>
        <v>2.8125000000000001E-2</v>
      </c>
      <c r="K30" s="132">
        <f t="shared" si="24"/>
        <v>0.10768750000000002</v>
      </c>
      <c r="L30" s="149">
        <f t="shared" si="25"/>
        <v>0.13581250000000003</v>
      </c>
      <c r="M30" s="144">
        <f t="shared" si="6"/>
        <v>5.6588541666666679E-3</v>
      </c>
      <c r="N30" s="160">
        <f t="shared" si="7"/>
        <v>1.740952902113023E-3</v>
      </c>
    </row>
    <row r="31" spans="1:14" x14ac:dyDescent="0.35">
      <c r="A31" s="177"/>
      <c r="B31" s="152" t="s">
        <v>30</v>
      </c>
      <c r="C31" s="134">
        <v>4.5</v>
      </c>
      <c r="D31" s="155">
        <v>0.01</v>
      </c>
      <c r="E31" s="152">
        <v>0</v>
      </c>
      <c r="F31" s="150">
        <f t="shared" si="26"/>
        <v>4.4999999999999998E-2</v>
      </c>
      <c r="G31" s="151">
        <f t="shared" si="21"/>
        <v>0</v>
      </c>
      <c r="H31" s="132">
        <f t="shared" si="22"/>
        <v>6.9444444444444448E-2</v>
      </c>
      <c r="I31" s="132">
        <f t="shared" si="2"/>
        <v>23.930555555555557</v>
      </c>
      <c r="J31" s="132">
        <f t="shared" si="23"/>
        <v>3.1250000000000002E-3</v>
      </c>
      <c r="K31" s="132">
        <f t="shared" si="24"/>
        <v>0</v>
      </c>
      <c r="L31" s="149">
        <f t="shared" si="25"/>
        <v>3.1250000000000002E-3</v>
      </c>
      <c r="M31" s="144">
        <f t="shared" si="6"/>
        <v>1.3020833333333333E-4</v>
      </c>
      <c r="N31" s="160">
        <f t="shared" si="7"/>
        <v>4.0058741419995922E-5</v>
      </c>
    </row>
    <row r="32" spans="1:14" x14ac:dyDescent="0.35">
      <c r="A32" s="177"/>
      <c r="B32" s="152" t="s">
        <v>33</v>
      </c>
      <c r="C32" s="154">
        <v>5</v>
      </c>
      <c r="D32" s="152">
        <v>1.8</v>
      </c>
      <c r="E32" s="152">
        <v>0.6</v>
      </c>
      <c r="F32" s="150">
        <f t="shared" si="26"/>
        <v>9</v>
      </c>
      <c r="G32" s="151">
        <f t="shared" si="21"/>
        <v>3</v>
      </c>
      <c r="H32" s="132">
        <f t="shared" si="22"/>
        <v>6.9444444444444448E-2</v>
      </c>
      <c r="I32" s="132">
        <f t="shared" si="2"/>
        <v>23.930555555555557</v>
      </c>
      <c r="J32" s="132">
        <f t="shared" si="23"/>
        <v>0.625</v>
      </c>
      <c r="K32" s="132">
        <f t="shared" si="24"/>
        <v>71.791666666666671</v>
      </c>
      <c r="L32" s="149">
        <f t="shared" si="25"/>
        <v>72.416666666666671</v>
      </c>
      <c r="M32" s="144">
        <f t="shared" si="6"/>
        <v>3.0173611111111112</v>
      </c>
      <c r="N32" s="160">
        <f t="shared" si="7"/>
        <v>0.92829456783937214</v>
      </c>
    </row>
    <row r="33" spans="1:14" x14ac:dyDescent="0.35">
      <c r="A33" s="177"/>
      <c r="B33" s="152" t="s">
        <v>35</v>
      </c>
      <c r="C33" s="152">
        <v>1.2</v>
      </c>
      <c r="D33" s="155">
        <f>0.0475</f>
        <v>4.7500000000000001E-2</v>
      </c>
      <c r="E33" s="155">
        <v>2.5000000000000001E-3</v>
      </c>
      <c r="F33" s="150">
        <f t="shared" si="26"/>
        <v>5.6999999999999995E-2</v>
      </c>
      <c r="G33" s="151">
        <f t="shared" si="21"/>
        <v>3.0000000000000001E-3</v>
      </c>
      <c r="H33" s="132">
        <f t="shared" si="22"/>
        <v>6.9444444444444448E-2</v>
      </c>
      <c r="I33" s="132">
        <f t="shared" si="2"/>
        <v>23.930555555555557</v>
      </c>
      <c r="J33" s="132">
        <f t="shared" si="23"/>
        <v>3.9583333333333328E-3</v>
      </c>
      <c r="K33" s="132">
        <f t="shared" si="24"/>
        <v>7.179166666666667E-2</v>
      </c>
      <c r="L33" s="149">
        <f t="shared" si="25"/>
        <v>7.5749999999999998E-2</v>
      </c>
      <c r="M33" s="144">
        <f t="shared" si="6"/>
        <v>3.1562499999999998E-3</v>
      </c>
      <c r="N33" s="160">
        <f t="shared" si="7"/>
        <v>9.7102389202070101E-4</v>
      </c>
    </row>
    <row r="34" spans="1:14" ht="15" thickBot="1" x14ac:dyDescent="0.4">
      <c r="A34" s="177"/>
      <c r="B34" s="153" t="s">
        <v>36</v>
      </c>
      <c r="C34" s="153">
        <v>5</v>
      </c>
      <c r="D34" s="156">
        <v>0.84</v>
      </c>
      <c r="E34" s="153">
        <v>0</v>
      </c>
      <c r="F34" s="157">
        <f t="shared" si="26"/>
        <v>4.2</v>
      </c>
      <c r="G34" s="158">
        <f t="shared" si="21"/>
        <v>0</v>
      </c>
      <c r="H34" s="143">
        <f t="shared" si="22"/>
        <v>6.9444444444444448E-2</v>
      </c>
      <c r="I34" s="143">
        <f t="shared" si="2"/>
        <v>23.930555555555557</v>
      </c>
      <c r="J34" s="143">
        <f t="shared" si="23"/>
        <v>0.29166666666666669</v>
      </c>
      <c r="K34" s="143">
        <f t="shared" si="24"/>
        <v>0</v>
      </c>
      <c r="L34" s="2">
        <f t="shared" si="25"/>
        <v>0.29166666666666669</v>
      </c>
      <c r="M34" s="145">
        <f t="shared" si="6"/>
        <v>1.2152777777777778E-2</v>
      </c>
      <c r="N34" s="161">
        <f t="shared" si="7"/>
        <v>3.7388158658662862E-3</v>
      </c>
    </row>
  </sheetData>
  <mergeCells count="6">
    <mergeCell ref="F1:N1"/>
    <mergeCell ref="A1:A2"/>
    <mergeCell ref="B1:B2"/>
    <mergeCell ref="C1:C2"/>
    <mergeCell ref="E1:E2"/>
    <mergeCell ref="D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Plan d'action</vt:lpstr>
      <vt:lpstr>Modele1</vt:lpstr>
      <vt:lpstr>Conso ZigBee</vt:lpstr>
      <vt:lpstr>Feuil2</vt:lpstr>
      <vt:lpstr>Modèle consoZigBee</vt:lpstr>
      <vt:lpstr>Feuil3</vt:lpstr>
      <vt:lpstr>Modèle-conso-complete</vt:lpstr>
      <vt:lpstr>Model-conso-complet-v2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Sacha LUTOFF</dc:creator>
  <cp:keywords/>
  <dc:description/>
  <cp:lastModifiedBy>Baptiste Monget</cp:lastModifiedBy>
  <cp:revision/>
  <cp:lastPrinted>2025-05-27T15:26:04Z</cp:lastPrinted>
  <dcterms:created xsi:type="dcterms:W3CDTF">2015-06-05T18:19:34Z</dcterms:created>
  <dcterms:modified xsi:type="dcterms:W3CDTF">2025-06-12T13:45:54Z</dcterms:modified>
  <cp:category/>
  <cp:contentStatus/>
</cp:coreProperties>
</file>