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R1PEPF000013FD\EXCELCNV\215d7c3b-95d9-40dc-a941-1addd28098c8\"/>
    </mc:Choice>
  </mc:AlternateContent>
  <xr:revisionPtr revIDLastSave="266" documentId="8_{0D80A475-484E-4C60-8A83-4BF30FFDC810}" xr6:coauthVersionLast="47" xr6:coauthVersionMax="47" xr10:uidLastSave="{790CC205-5CB2-4E78-A61A-9DE7CCC9E1D1}"/>
  <bookViews>
    <workbookView xWindow="-60" yWindow="-60" windowWidth="15480" windowHeight="11640" xr2:uid="{C02376EE-BF46-4440-A273-231545BBF3FB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D45" i="1"/>
  <c r="E45" i="1" s="1"/>
  <c r="E42" i="1"/>
  <c r="F23" i="1"/>
  <c r="G23" i="1" s="1"/>
  <c r="B11" i="1"/>
  <c r="I33" i="1"/>
  <c r="G33" i="1"/>
  <c r="B3" i="1"/>
  <c r="B22" i="1"/>
  <c r="G3" i="1"/>
  <c r="I4" i="1"/>
  <c r="I5" i="1" s="1"/>
  <c r="I6" i="1" s="1"/>
  <c r="I7" i="1" s="1"/>
  <c r="I8" i="1" s="1"/>
  <c r="I9" i="1" s="1"/>
  <c r="I10" i="1" s="1"/>
  <c r="I11" i="1" s="1"/>
  <c r="I12" i="1" s="1"/>
  <c r="F4" i="1"/>
  <c r="G4" i="1" s="1"/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B16" i="1"/>
  <c r="B12" i="1"/>
  <c r="B13" i="1" s="1"/>
  <c r="B18" i="1"/>
  <c r="F5" i="1"/>
  <c r="G5" i="1" s="1"/>
  <c r="F6" i="1" l="1"/>
  <c r="G6" i="1" s="1"/>
  <c r="B15" i="1" l="1"/>
  <c r="B17" i="1"/>
  <c r="F7" i="1"/>
  <c r="G7" i="1" s="1"/>
  <c r="K12" i="1" l="1"/>
  <c r="L12" i="1" s="1"/>
  <c r="N12" i="1"/>
  <c r="O12" i="1" s="1"/>
  <c r="P12" i="1" s="1"/>
  <c r="J33" i="1"/>
  <c r="K33" i="1" s="1"/>
  <c r="L33" i="1" s="1"/>
  <c r="J32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Z4" i="1"/>
  <c r="AA4" i="1" s="1"/>
  <c r="AB4" i="1" s="1"/>
  <c r="Z5" i="1"/>
  <c r="AA5" i="1" s="1"/>
  <c r="AB5" i="1" s="1"/>
  <c r="Z6" i="1"/>
  <c r="AA6" i="1" s="1"/>
  <c r="AB6" i="1" s="1"/>
  <c r="Z7" i="1"/>
  <c r="AA7" i="1" s="1"/>
  <c r="AB7" i="1" s="1"/>
  <c r="Z3" i="1"/>
  <c r="AA3" i="1" s="1"/>
  <c r="AB3" i="1" s="1"/>
  <c r="F8" i="1"/>
  <c r="G8" i="1" s="1"/>
  <c r="Z8" i="1" s="1"/>
  <c r="AA8" i="1" s="1"/>
  <c r="AB8" i="1" s="1"/>
  <c r="F9" i="1" l="1"/>
  <c r="G9" i="1" s="1"/>
  <c r="Z9" i="1" s="1"/>
  <c r="AA9" i="1" s="1"/>
  <c r="AB9" i="1" s="1"/>
  <c r="F10" i="1" l="1"/>
  <c r="G10" i="1" s="1"/>
  <c r="Z10" i="1" s="1"/>
  <c r="AA10" i="1" s="1"/>
  <c r="AB10" i="1" s="1"/>
  <c r="F11" i="1" l="1"/>
  <c r="G11" i="1" s="1"/>
  <c r="Z11" i="1" s="1"/>
  <c r="AA11" i="1" s="1"/>
  <c r="AB11" i="1" s="1"/>
  <c r="F12" i="1" l="1"/>
  <c r="G12" i="1" s="1"/>
  <c r="Z12" i="1" s="1"/>
  <c r="AA12" i="1" s="1"/>
  <c r="AB12" i="1" s="1"/>
  <c r="F13" i="1" l="1"/>
  <c r="G13" i="1" l="1"/>
  <c r="F14" i="1"/>
  <c r="G14" i="1" s="1"/>
  <c r="Z14" i="1" s="1"/>
  <c r="AA14" i="1" s="1"/>
  <c r="AB14" i="1" s="1"/>
  <c r="Z13" i="1" l="1"/>
  <c r="AA13" i="1" s="1"/>
  <c r="AB1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F15" i="1"/>
  <c r="G15" i="1" s="1"/>
  <c r="Z15" i="1" s="1"/>
  <c r="AA15" i="1" s="1"/>
  <c r="AB15" i="1" s="1"/>
  <c r="F16" i="1" l="1"/>
  <c r="G16" i="1" s="1"/>
  <c r="Z16" i="1" s="1"/>
  <c r="AA16" i="1" s="1"/>
  <c r="AB16" i="1" s="1"/>
  <c r="F17" i="1" l="1"/>
  <c r="G17" i="1" s="1"/>
  <c r="Z17" i="1" s="1"/>
  <c r="AA17" i="1" s="1"/>
  <c r="AB17" i="1" s="1"/>
  <c r="F18" i="1" l="1"/>
  <c r="G18" i="1" s="1"/>
  <c r="Z18" i="1" s="1"/>
  <c r="AA18" i="1" s="1"/>
  <c r="AB18" i="1" s="1"/>
  <c r="F19" i="1" l="1"/>
  <c r="G19" i="1" s="1"/>
  <c r="Z19" i="1" s="1"/>
  <c r="AA19" i="1" s="1"/>
  <c r="AB19" i="1" s="1"/>
  <c r="F20" i="1" l="1"/>
  <c r="G20" i="1" s="1"/>
  <c r="Z20" i="1" s="1"/>
  <c r="AA20" i="1" s="1"/>
  <c r="AB20" i="1" s="1"/>
  <c r="F21" i="1" l="1"/>
  <c r="G21" i="1" s="1"/>
  <c r="Z21" i="1" s="1"/>
  <c r="AA21" i="1" s="1"/>
  <c r="AB21" i="1" s="1"/>
  <c r="F22" i="1" l="1"/>
  <c r="G22" i="1" s="1"/>
  <c r="Z22" i="1" s="1"/>
  <c r="AA22" i="1" s="1"/>
  <c r="AB22" i="1" s="1"/>
  <c r="Z23" i="1" l="1"/>
  <c r="AA23" i="1" s="1"/>
  <c r="AB23" i="1" s="1"/>
  <c r="K3" i="1"/>
  <c r="L3" i="1" s="1"/>
  <c r="F24" i="1"/>
  <c r="G24" i="1" s="1"/>
  <c r="Z24" i="1" s="1"/>
  <c r="AA24" i="1" s="1"/>
  <c r="AB24" i="1" s="1"/>
  <c r="F25" i="1" l="1"/>
  <c r="G25" i="1" s="1"/>
  <c r="Z25" i="1" s="1"/>
  <c r="AA25" i="1" s="1"/>
  <c r="AB25" i="1" s="1"/>
  <c r="F26" i="1" l="1"/>
  <c r="G26" i="1" s="1"/>
  <c r="Z26" i="1" s="1"/>
  <c r="AA26" i="1" s="1"/>
  <c r="AB26" i="1" s="1"/>
  <c r="F27" i="1" l="1"/>
  <c r="G27" i="1" s="1"/>
  <c r="Z27" i="1" s="1"/>
  <c r="AA27" i="1" s="1"/>
  <c r="AB27" i="1" s="1"/>
  <c r="F28" i="1" l="1"/>
  <c r="G28" i="1" s="1"/>
  <c r="Z28" i="1" s="1"/>
  <c r="AA28" i="1" s="1"/>
  <c r="AB28" i="1" s="1"/>
  <c r="F29" i="1" l="1"/>
  <c r="G29" i="1" s="1"/>
  <c r="Z29" i="1" s="1"/>
  <c r="AA29" i="1" s="1"/>
  <c r="AB29" i="1" s="1"/>
  <c r="F30" i="1" l="1"/>
  <c r="G30" i="1" s="1"/>
  <c r="Z30" i="1" s="1"/>
  <c r="AA30" i="1" s="1"/>
  <c r="AB30" i="1" s="1"/>
  <c r="F31" i="1" l="1"/>
  <c r="G31" i="1" s="1"/>
  <c r="Z31" i="1" s="1"/>
  <c r="AA31" i="1" s="1"/>
  <c r="AB31" i="1" s="1"/>
  <c r="F32" i="1" l="1"/>
  <c r="G32" i="1" l="1"/>
  <c r="Z32" i="1" l="1"/>
  <c r="AA32" i="1" s="1"/>
  <c r="AB32" i="1" s="1"/>
</calcChain>
</file>

<file path=xl/sharedStrings.xml><?xml version="1.0" encoding="utf-8"?>
<sst xmlns="http://schemas.openxmlformats.org/spreadsheetml/2006/main" count="46" uniqueCount="27">
  <si>
    <t>Paramètres fixes</t>
  </si>
  <si>
    <t>Gain fixe à 90 MHz/V ; courant variable</t>
  </si>
  <si>
    <t>Courant fixe à 1mA ; gain variable (pas utile car on ne peut pas faire varirer le gain)</t>
  </si>
  <si>
    <t>MP (°)</t>
  </si>
  <si>
    <t>MP (rad)</t>
  </si>
  <si>
    <t>Column1</t>
  </si>
  <si>
    <t>Gain VCO[MHz/V]</t>
  </si>
  <si>
    <t>Ko/N</t>
  </si>
  <si>
    <t>Courant I0</t>
  </si>
  <si>
    <t>C1</t>
  </si>
  <si>
    <t>C2</t>
  </si>
  <si>
    <t>R</t>
  </si>
  <si>
    <t>Fquartz [Hz]</t>
  </si>
  <si>
    <t>Fc[Hz]</t>
  </si>
  <si>
    <t>ratio de 20</t>
  </si>
  <si>
    <t>Diviseur N</t>
  </si>
  <si>
    <t>Diviseur M</t>
  </si>
  <si>
    <t>Wc</t>
  </si>
  <si>
    <t>Wp</t>
  </si>
  <si>
    <t>Wz</t>
  </si>
  <si>
    <t>Wz/Wp</t>
  </si>
  <si>
    <t>1/Wc²</t>
  </si>
  <si>
    <t>sqrt(1+(Wc/Wz)²)</t>
  </si>
  <si>
    <t>sqrt(1+(Wc/Wp)²)</t>
  </si>
  <si>
    <t>Courant I0 [A]</t>
  </si>
  <si>
    <t>Io/2π [A]</t>
  </si>
  <si>
    <t>VDD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</si>
</sst>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C1F7"/>
        <bgColor indexed="64"/>
      </patternFill>
    </fill>
    <fill>
      <patternFill patternType="solid">
        <fgColor rgb="FFBDF2D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11" fontId="0" fillId="34" borderId="1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11" fontId="0" fillId="37" borderId="10" xfId="0" applyNumberFormat="1" applyFill="1" applyBorder="1" applyAlignment="1">
      <alignment horizontal="center" wrapText="1"/>
    </xf>
    <xf numFmtId="0" fontId="0" fillId="36" borderId="10" xfId="0" applyFill="1" applyBorder="1" applyAlignment="1">
      <alignment horizontal="center"/>
    </xf>
    <xf numFmtId="11" fontId="0" fillId="36" borderId="10" xfId="0" applyNumberFormat="1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11" fontId="0" fillId="38" borderId="10" xfId="0" applyNumberFormat="1" applyFill="1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40" borderId="10" xfId="0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0" fontId="0" fillId="42" borderId="10" xfId="0" applyFill="1" applyBorder="1" applyAlignment="1">
      <alignment horizontal="center"/>
    </xf>
    <xf numFmtId="11" fontId="0" fillId="42" borderId="0" xfId="0" applyNumberFormat="1" applyFill="1"/>
    <xf numFmtId="11" fontId="0" fillId="42" borderId="0" xfId="0" applyNumberFormat="1" applyFill="1" applyAlignment="1">
      <alignment horizontal="center"/>
    </xf>
    <xf numFmtId="0" fontId="0" fillId="43" borderId="10" xfId="0" applyFill="1" applyBorder="1" applyAlignment="1">
      <alignment horizontal="center"/>
    </xf>
    <xf numFmtId="11" fontId="0" fillId="44" borderId="0" xfId="0" applyNumberFormat="1" applyFill="1" applyAlignment="1">
      <alignment horizontal="center"/>
    </xf>
    <xf numFmtId="0" fontId="0" fillId="44" borderId="0" xfId="0" applyFill="1" applyAlignment="1">
      <alignment horizontal="center"/>
    </xf>
    <xf numFmtId="0" fontId="0" fillId="44" borderId="0" xfId="0" applyFill="1"/>
    <xf numFmtId="0" fontId="0" fillId="0" borderId="0" xfId="0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mruColors>
      <color rgb="FFBDF2D2"/>
      <color rgb="FFE2C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231704-77FF-4ECE-80AE-BC82AC5635D2}" name="Table1" displayName="Table1" ref="A2:C9" totalsRowShown="0" headerRowDxfId="3" headerRowBorderDxfId="1" tableBorderDxfId="2">
  <autoFilter ref="A2:C9" xr:uid="{1A231704-77FF-4ECE-80AE-BC82AC5635D2}"/>
  <tableColumns count="3">
    <tableColumn id="1" xr3:uid="{B782719F-48D4-4A66-8577-B9A782C23453}" name="MP (°)"/>
    <tableColumn id="2" xr3:uid="{A4F0BE3B-6FD2-4663-A3DF-F1D8BD33695E}" name="MP (rad)"/>
    <tableColumn id="3" xr3:uid="{2C0827DD-B2EB-4580-B019-00E417FBD3D2}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15FC2-6F0A-4E85-BE67-0E2616B0BB8E}">
  <dimension ref="A1:AB45"/>
  <sheetViews>
    <sheetView tabSelected="1" workbookViewId="0">
      <selection activeCell="M4" sqref="M4"/>
    </sheetView>
  </sheetViews>
  <sheetFormatPr defaultColWidth="11.42578125" defaultRowHeight="15"/>
  <cols>
    <col min="1" max="1" width="16" bestFit="1" customWidth="1"/>
    <col min="2" max="2" width="12.28515625" bestFit="1" customWidth="1"/>
    <col min="4" max="4" width="13" customWidth="1"/>
    <col min="6" max="6" width="16.42578125" bestFit="1" customWidth="1"/>
  </cols>
  <sheetData>
    <row r="1" spans="1:28">
      <c r="A1" s="28" t="s">
        <v>0</v>
      </c>
      <c r="B1" s="28"/>
      <c r="C1" s="28"/>
      <c r="J1" s="27" t="s">
        <v>1</v>
      </c>
      <c r="K1" s="27"/>
      <c r="L1" s="27"/>
      <c r="Z1" s="27" t="s">
        <v>2</v>
      </c>
      <c r="AA1" s="27"/>
      <c r="AB1" s="27"/>
    </row>
    <row r="2" spans="1:28">
      <c r="A2" s="8" t="s">
        <v>3</v>
      </c>
      <c r="B2" s="8" t="s">
        <v>4</v>
      </c>
      <c r="C2" s="8" t="s">
        <v>5</v>
      </c>
      <c r="F2" s="17" t="s">
        <v>6</v>
      </c>
      <c r="G2" s="18" t="s">
        <v>7</v>
      </c>
      <c r="H2" s="25"/>
      <c r="I2" s="13" t="s">
        <v>8</v>
      </c>
      <c r="J2" s="15" t="s">
        <v>9</v>
      </c>
      <c r="K2" s="15" t="s">
        <v>10</v>
      </c>
      <c r="L2" s="16" t="s">
        <v>11</v>
      </c>
      <c r="Z2" s="15" t="s">
        <v>9</v>
      </c>
      <c r="AA2" s="15" t="s">
        <v>10</v>
      </c>
      <c r="AB2" s="16" t="s">
        <v>11</v>
      </c>
    </row>
    <row r="3" spans="1:28">
      <c r="A3" s="3">
        <v>60</v>
      </c>
      <c r="B3" s="26">
        <f>A3*(PI()/180)</f>
        <v>1.0471975511965976</v>
      </c>
      <c r="F3" s="2">
        <v>80000000</v>
      </c>
      <c r="G3" s="2">
        <f>F3/$B$8</f>
        <v>312500</v>
      </c>
      <c r="H3" s="2"/>
      <c r="I3" s="1">
        <v>1.0000000000000001E-5</v>
      </c>
      <c r="J3" s="2">
        <f>$B$15*$B$16*$G$23*(I3/(2*PI()))*($B$17/$B$18)</f>
        <v>8.8443141514944275E-14</v>
      </c>
      <c r="K3" s="2">
        <f>J3*($B$12/$B$13-1)</f>
        <v>1.1434109078292156E-12</v>
      </c>
      <c r="L3" s="2">
        <f>1/(K3*$B$13)</f>
        <v>1038951.666155357</v>
      </c>
      <c r="Z3" s="2">
        <f>$B$15*$B$16*G3*$B$22*($B$17/$B$18)</f>
        <v>1.3502769696938057E-13</v>
      </c>
      <c r="AA3" s="2">
        <f>Z3*($B$12/$B$13-1)</f>
        <v>1.7456655081362071E-12</v>
      </c>
      <c r="AB3" s="2">
        <f>1/(AA3*$B$13)</f>
        <v>680513.34133175889</v>
      </c>
    </row>
    <row r="4" spans="1:28">
      <c r="B4" s="7"/>
      <c r="C4" s="7"/>
      <c r="D4" s="25"/>
      <c r="E4" s="2"/>
      <c r="F4" s="2">
        <f>F3+1000000</f>
        <v>81000000</v>
      </c>
      <c r="G4" s="2">
        <f>F4/$B$8</f>
        <v>316406.25</v>
      </c>
      <c r="H4" s="2"/>
      <c r="I4" s="1">
        <f>I3+0.00001</f>
        <v>2.0000000000000002E-5</v>
      </c>
      <c r="J4" s="2">
        <f t="shared" ref="J4:J32" si="0">$B$15*$B$16*$G$23*(I4/(2*PI()))*($B$17/$B$18)</f>
        <v>1.7688628302988855E-13</v>
      </c>
      <c r="K4" s="2">
        <f>J4*($B$12/$B$13-1)</f>
        <v>2.2868218156584312E-12</v>
      </c>
      <c r="L4" s="2">
        <f>1/(K4*$B$13)</f>
        <v>519475.83307767852</v>
      </c>
      <c r="Z4" s="2">
        <f>$B$15*$B$16*G4*$B$22*($B$17/$B$18)</f>
        <v>1.3671554318149781E-13</v>
      </c>
      <c r="AA4" s="2">
        <f>Z4*($B$12/$B$13-1)</f>
        <v>1.7674863269879094E-12</v>
      </c>
      <c r="AB4" s="2">
        <f>1/(AA4*$B$13)</f>
        <v>672111.94205605821</v>
      </c>
    </row>
    <row r="5" spans="1:28">
      <c r="A5" s="5" t="s">
        <v>12</v>
      </c>
      <c r="B5" s="6">
        <v>10000000</v>
      </c>
      <c r="C5" s="25"/>
      <c r="D5" s="25"/>
      <c r="E5" s="2"/>
      <c r="F5" s="2">
        <f t="shared" ref="F5:F32" si="1">F4+1000000</f>
        <v>82000000</v>
      </c>
      <c r="G5" s="2">
        <f>F5/$B$8</f>
        <v>320312.5</v>
      </c>
      <c r="H5" s="2"/>
      <c r="I5" s="1">
        <f t="shared" ref="I5:I32" si="2">I4+0.00001</f>
        <v>3.0000000000000004E-5</v>
      </c>
      <c r="J5" s="2">
        <f t="shared" si="0"/>
        <v>2.6532942454483282E-13</v>
      </c>
      <c r="K5" s="2">
        <f>J5*($B$12/$B$13-1)</f>
        <v>3.4302327234876468E-12</v>
      </c>
      <c r="L5" s="2">
        <f>1/(K5*$B$13)</f>
        <v>346317.22205178568</v>
      </c>
      <c r="Z5" s="2">
        <f>$B$15*$B$16*G5*$B$22*($B$17/$B$18)</f>
        <v>1.3840338939361507E-13</v>
      </c>
      <c r="AA5" s="2">
        <f>Z5*($B$12/$B$13-1)</f>
        <v>1.7893071458396121E-12</v>
      </c>
      <c r="AB5" s="2">
        <f>1/(AA5*$B$13)</f>
        <v>663915.45495781361</v>
      </c>
    </row>
    <row r="6" spans="1:28">
      <c r="A6" s="5" t="s">
        <v>13</v>
      </c>
      <c r="B6" s="6">
        <v>500000</v>
      </c>
      <c r="C6" s="25" t="s">
        <v>14</v>
      </c>
      <c r="D6" s="25"/>
      <c r="E6" s="2"/>
      <c r="F6" s="2">
        <f t="shared" si="1"/>
        <v>83000000</v>
      </c>
      <c r="G6" s="2">
        <f>F6/$B$8</f>
        <v>324218.75</v>
      </c>
      <c r="H6" s="2"/>
      <c r="I6" s="1">
        <f t="shared" si="2"/>
        <v>4.0000000000000003E-5</v>
      </c>
      <c r="J6" s="2">
        <f t="shared" si="0"/>
        <v>3.537725660597771E-13</v>
      </c>
      <c r="K6" s="2">
        <f>J6*($B$12/$B$13-1)</f>
        <v>4.5736436313168625E-12</v>
      </c>
      <c r="L6" s="2">
        <f>1/(K6*$B$13)</f>
        <v>259737.91653883926</v>
      </c>
      <c r="Z6" s="2">
        <f>$B$15*$B$16*G6*$B$22*($B$17/$B$18)</f>
        <v>1.4009123560573233E-13</v>
      </c>
      <c r="AA6" s="2">
        <f>Z6*($B$12/$B$13-1)</f>
        <v>1.8111279646913145E-12</v>
      </c>
      <c r="AB6" s="2">
        <f>1/(AA6*$B$13)</f>
        <v>655916.4735727798</v>
      </c>
    </row>
    <row r="7" spans="1:28">
      <c r="C7" s="25"/>
      <c r="D7" s="25"/>
      <c r="E7" s="2"/>
      <c r="F7" s="2">
        <f t="shared" si="1"/>
        <v>84000000</v>
      </c>
      <c r="G7" s="2">
        <f>F7/$B$8</f>
        <v>328125</v>
      </c>
      <c r="H7" s="2"/>
      <c r="I7" s="1">
        <f t="shared" si="2"/>
        <v>5.0000000000000002E-5</v>
      </c>
      <c r="J7" s="2">
        <f t="shared" si="0"/>
        <v>4.4221570757472137E-13</v>
      </c>
      <c r="K7" s="2">
        <f>J7*($B$12/$B$13-1)</f>
        <v>5.7170545391460777E-12</v>
      </c>
      <c r="L7" s="2">
        <f>1/(K7*$B$13)</f>
        <v>207790.33323107145</v>
      </c>
      <c r="Z7" s="2">
        <f>$B$15*$B$16*G7*$B$22*($B$17/$B$18)</f>
        <v>1.4177908181784957E-13</v>
      </c>
      <c r="AA7" s="2">
        <f>Z7*($B$12/$B$13-1)</f>
        <v>1.832948783543017E-12</v>
      </c>
      <c r="AB7" s="2">
        <f>1/(AA7*$B$13)</f>
        <v>648107.94412548479</v>
      </c>
    </row>
    <row r="8" spans="1:28">
      <c r="A8" s="4" t="s">
        <v>15</v>
      </c>
      <c r="B8" s="4">
        <v>256</v>
      </c>
      <c r="C8" s="25"/>
      <c r="D8" s="25"/>
      <c r="E8" s="2"/>
      <c r="F8" s="2">
        <f t="shared" si="1"/>
        <v>85000000</v>
      </c>
      <c r="G8" s="2">
        <f>F8/$B$8</f>
        <v>332031.25</v>
      </c>
      <c r="H8" s="2"/>
      <c r="I8" s="1">
        <f t="shared" si="2"/>
        <v>6.0000000000000002E-5</v>
      </c>
      <c r="J8" s="2">
        <f t="shared" si="0"/>
        <v>5.3065884908966565E-13</v>
      </c>
      <c r="K8" s="2">
        <f>J8*($B$12/$B$13-1)</f>
        <v>6.8604654469752937E-12</v>
      </c>
      <c r="L8" s="2">
        <f>1/(K8*$B$13)</f>
        <v>173158.61102589284</v>
      </c>
      <c r="Z8" s="2">
        <f>$B$15*$B$16*G8*$B$22*($B$17/$B$18)</f>
        <v>1.4346692802996684E-13</v>
      </c>
      <c r="AA8" s="2">
        <f>Z8*($B$12/$B$13-1)</f>
        <v>1.8547696023947197E-12</v>
      </c>
      <c r="AB8" s="2">
        <f>1/(AA8*$B$13)</f>
        <v>640483.14478283201</v>
      </c>
    </row>
    <row r="9" spans="1:28">
      <c r="A9" s="4" t="s">
        <v>16</v>
      </c>
      <c r="B9" s="4">
        <v>1</v>
      </c>
      <c r="C9" s="25"/>
      <c r="D9" s="25"/>
      <c r="E9" s="2"/>
      <c r="F9" s="2">
        <f t="shared" si="1"/>
        <v>86000000</v>
      </c>
      <c r="G9" s="2">
        <f>F9/$B$8</f>
        <v>335937.5</v>
      </c>
      <c r="H9" s="2"/>
      <c r="I9" s="1">
        <f t="shared" si="2"/>
        <v>7.0000000000000007E-5</v>
      </c>
      <c r="J9" s="2">
        <f t="shared" si="0"/>
        <v>6.1910199060460997E-13</v>
      </c>
      <c r="K9" s="2">
        <f>J9*($B$12/$B$13-1)</f>
        <v>8.0038763548045105E-12</v>
      </c>
      <c r="L9" s="2">
        <f>1/(K9*$B$13)</f>
        <v>148421.66659362242</v>
      </c>
      <c r="Z9" s="2">
        <f>$B$15*$B$16*G9*$B$22*($B$17/$B$18)</f>
        <v>1.451547742420841E-13</v>
      </c>
      <c r="AA9" s="2">
        <f>Z9*($B$12/$B$13-1)</f>
        <v>1.8765904212464224E-12</v>
      </c>
      <c r="AB9" s="2">
        <f>1/(AA9*$B$13)</f>
        <v>633035.66635512456</v>
      </c>
    </row>
    <row r="10" spans="1:28">
      <c r="A10" s="25"/>
      <c r="B10" s="25"/>
      <c r="C10" s="25"/>
      <c r="D10" s="25"/>
      <c r="E10" s="2"/>
      <c r="F10" s="2">
        <f>F9+1000000</f>
        <v>87000000</v>
      </c>
      <c r="G10" s="2">
        <f>F10/$B$8</f>
        <v>339843.75</v>
      </c>
      <c r="H10" s="2"/>
      <c r="I10" s="1">
        <f>I9+0.00001</f>
        <v>8.0000000000000007E-5</v>
      </c>
      <c r="J10" s="2">
        <f t="shared" si="0"/>
        <v>7.075451321195542E-13</v>
      </c>
      <c r="K10" s="2">
        <f>J10*($B$12/$B$13-1)</f>
        <v>9.1472872626337249E-12</v>
      </c>
      <c r="L10" s="2">
        <f>1/(K10*$B$13)</f>
        <v>129868.95826941963</v>
      </c>
      <c r="Z10" s="2">
        <f>$B$15*$B$16*G10*$B$22*($B$17/$B$18)</f>
        <v>1.4684262045420136E-13</v>
      </c>
      <c r="AA10" s="2">
        <f>Z10*($B$12/$B$13-1)</f>
        <v>1.8984112400981251E-12</v>
      </c>
      <c r="AB10" s="2">
        <f>1/(AA10*$B$13)</f>
        <v>625759.39432805416</v>
      </c>
    </row>
    <row r="11" spans="1:28">
      <c r="A11" s="9" t="s">
        <v>17</v>
      </c>
      <c r="B11" s="10">
        <f>PI()*2*B6</f>
        <v>3141592.653589793</v>
      </c>
      <c r="C11" s="25"/>
      <c r="D11" s="25"/>
      <c r="E11" s="2"/>
      <c r="F11" s="2">
        <f t="shared" si="1"/>
        <v>88000000</v>
      </c>
      <c r="G11" s="2">
        <f>F11/$B$8</f>
        <v>343750</v>
      </c>
      <c r="H11" s="2"/>
      <c r="I11" s="1">
        <f t="shared" si="2"/>
        <v>9.0000000000000006E-5</v>
      </c>
      <c r="J11" s="2">
        <f t="shared" si="0"/>
        <v>7.9598827363449842E-13</v>
      </c>
      <c r="K11" s="2">
        <f>J11*($B$12/$B$13-1)</f>
        <v>1.0290698170462939E-11</v>
      </c>
      <c r="L11" s="2">
        <f>1/(K11*$B$13)</f>
        <v>115439.0740172619</v>
      </c>
      <c r="Z11" s="2">
        <f>$B$15*$B$16*G11*$B$22*($B$17/$B$18)</f>
        <v>1.485304666663186E-13</v>
      </c>
      <c r="AA11" s="2">
        <f>Z11*($B$12/$B$13-1)</f>
        <v>1.9202320589498274E-12</v>
      </c>
      <c r="AB11" s="2">
        <f>1/(AA11*$B$13)</f>
        <v>618648.49211978086</v>
      </c>
    </row>
    <row r="12" spans="1:28">
      <c r="A12" s="9" t="s">
        <v>18</v>
      </c>
      <c r="B12" s="10">
        <f>B11/(1/COS(B3)-TAN(B3))</f>
        <v>11724583.399882235</v>
      </c>
      <c r="C12" s="25"/>
      <c r="D12" s="25"/>
      <c r="E12" s="2"/>
      <c r="F12" s="2">
        <f t="shared" si="1"/>
        <v>89000000</v>
      </c>
      <c r="G12" s="2">
        <f>F12/$B$8</f>
        <v>347656.25</v>
      </c>
      <c r="H12" s="2"/>
      <c r="I12" s="19">
        <f t="shared" si="2"/>
        <v>1E-4</v>
      </c>
      <c r="J12" s="20">
        <f>$B$15*$B$16*$G$23*(I12/(2*PI()))*($B$17/$B$18)</f>
        <v>8.8443141514944275E-13</v>
      </c>
      <c r="K12" s="20">
        <f>J12*($B$12/$B$13-1)</f>
        <v>1.1434109078292155E-11</v>
      </c>
      <c r="L12" s="20">
        <f>1/(K12*$B$13)</f>
        <v>103895.16661553572</v>
      </c>
      <c r="N12" s="1">
        <f>((I12*G23*B16*B15)/(2*PI()))*(B17/B18)</f>
        <v>8.8443141514944275E-13</v>
      </c>
      <c r="O12" s="1">
        <f>N12*((1/B15)-1)</f>
        <v>1.1434109078292155E-11</v>
      </c>
      <c r="P12" s="1">
        <f>1/(B13*O12)</f>
        <v>103895.16661553572</v>
      </c>
      <c r="Z12" s="2">
        <f>$B$15*$B$16*G12*$B$22*($B$17/$B$18)</f>
        <v>1.5021831287843586E-13</v>
      </c>
      <c r="AA12" s="2">
        <f>Z12*($B$12/$B$13-1)</f>
        <v>1.9420528778015301E-12</v>
      </c>
      <c r="AB12" s="2">
        <f>1/(AA12*$B$13)</f>
        <v>611697.38546674955</v>
      </c>
    </row>
    <row r="13" spans="1:28">
      <c r="A13" s="9" t="s">
        <v>19</v>
      </c>
      <c r="B13" s="10">
        <f>B11*B11/B12</f>
        <v>841787.21447693324</v>
      </c>
      <c r="C13" s="25"/>
      <c r="D13" s="25"/>
      <c r="E13" s="2"/>
      <c r="F13" s="2">
        <f t="shared" si="1"/>
        <v>90000000</v>
      </c>
      <c r="G13" s="2">
        <f>F13/$B$8</f>
        <v>351562.5</v>
      </c>
      <c r="H13" s="2"/>
      <c r="I13" s="1">
        <f t="shared" si="2"/>
        <v>1.1E-4</v>
      </c>
      <c r="J13" s="2">
        <f t="shared" si="0"/>
        <v>9.7287455666438707E-13</v>
      </c>
      <c r="K13" s="2">
        <f>J13*($B$12/$B$13-1)</f>
        <v>1.2577519986121371E-11</v>
      </c>
      <c r="L13" s="2">
        <f>1/(K13*$B$13)</f>
        <v>94450.151468668832</v>
      </c>
      <c r="Z13" s="2">
        <f>$B$15*$B$16*G13*$B$22*($B$17/$B$18)</f>
        <v>1.5190615909055315E-13</v>
      </c>
      <c r="AA13" s="2">
        <f>Z13*($B$12/$B$13-1)</f>
        <v>1.9638736966532328E-12</v>
      </c>
      <c r="AB13" s="2">
        <f>1/(AA13*$B$13)</f>
        <v>604900.74785045232</v>
      </c>
    </row>
    <row r="14" spans="1:28">
      <c r="A14" s="25"/>
      <c r="B14" s="25"/>
      <c r="C14" s="25"/>
      <c r="D14" s="25"/>
      <c r="E14" s="2"/>
      <c r="F14" s="2">
        <f t="shared" si="1"/>
        <v>91000000</v>
      </c>
      <c r="G14" s="2">
        <f>F14/$B$8</f>
        <v>355468.75</v>
      </c>
      <c r="H14" s="2"/>
      <c r="I14" s="1">
        <f t="shared" si="2"/>
        <v>1.2E-4</v>
      </c>
      <c r="J14" s="2">
        <f t="shared" si="0"/>
        <v>1.0613176981793313E-12</v>
      </c>
      <c r="K14" s="2">
        <f>J14*($B$12/$B$13-1)</f>
        <v>1.3720930893950587E-11</v>
      </c>
      <c r="L14" s="2">
        <f>1/(K14*$B$13)</f>
        <v>86579.305512946419</v>
      </c>
      <c r="Z14" s="2">
        <f>$B$15*$B$16*G14*$B$22*($B$17/$B$18)</f>
        <v>1.5359400530267039E-13</v>
      </c>
      <c r="AA14" s="2">
        <f>Z14*($B$12/$B$13-1)</f>
        <v>1.9856945155049355E-12</v>
      </c>
      <c r="AB14" s="2">
        <f>1/(AA14*$B$13)</f>
        <v>598253.48688506277</v>
      </c>
    </row>
    <row r="15" spans="1:28">
      <c r="A15" s="11" t="s">
        <v>20</v>
      </c>
      <c r="B15" s="12">
        <f>$B$13/$B$12</f>
        <v>7.179676972449088E-2</v>
      </c>
      <c r="C15" s="25"/>
      <c r="D15" s="25"/>
      <c r="E15" s="2"/>
      <c r="F15" s="2">
        <f t="shared" si="1"/>
        <v>92000000</v>
      </c>
      <c r="G15" s="2">
        <f>F15/$B$8</f>
        <v>359375</v>
      </c>
      <c r="H15" s="2"/>
      <c r="I15" s="1">
        <f t="shared" si="2"/>
        <v>1.3000000000000002E-4</v>
      </c>
      <c r="J15" s="2">
        <f t="shared" si="0"/>
        <v>1.1497608396942757E-12</v>
      </c>
      <c r="K15" s="2">
        <f>J15*($B$12/$B$13-1)</f>
        <v>1.4864341801779805E-11</v>
      </c>
      <c r="L15" s="2">
        <f>1/(K15*$B$13)</f>
        <v>79919.358935027456</v>
      </c>
      <c r="Z15" s="2">
        <f>$B$15*$B$16*G15*$B$22*($B$17/$B$18)</f>
        <v>1.5528185151478765E-13</v>
      </c>
      <c r="AA15" s="2">
        <f>Z15*($B$12/$B$13-1)</f>
        <v>2.0075153343566378E-12</v>
      </c>
      <c r="AB15" s="2">
        <f>1/(AA15*$B$13)</f>
        <v>591750.73159283388</v>
      </c>
    </row>
    <row r="16" spans="1:28">
      <c r="A16" s="11" t="s">
        <v>21</v>
      </c>
      <c r="B16" s="12">
        <f>1/($B$11*$B$11)</f>
        <v>1.0132118364233778E-13</v>
      </c>
      <c r="C16" s="25"/>
      <c r="D16" s="25"/>
      <c r="E16" s="2"/>
      <c r="F16" s="2">
        <f t="shared" si="1"/>
        <v>93000000</v>
      </c>
      <c r="G16" s="2">
        <f>F16/$B$8</f>
        <v>363281.25</v>
      </c>
      <c r="H16" s="2"/>
      <c r="I16" s="1">
        <f t="shared" si="2"/>
        <v>1.4000000000000001E-4</v>
      </c>
      <c r="J16" s="2">
        <f t="shared" si="0"/>
        <v>1.2382039812092199E-12</v>
      </c>
      <c r="K16" s="2">
        <f>J16*($B$12/$B$13-1)</f>
        <v>1.6007752709609021E-11</v>
      </c>
      <c r="L16" s="2">
        <f>1/(K16*$B$13)</f>
        <v>74210.833296811208</v>
      </c>
      <c r="Z16" s="2">
        <f>$B$15*$B$16*G16*$B$22*($B$17/$B$18)</f>
        <v>1.5696969772690489E-13</v>
      </c>
      <c r="AA16" s="2">
        <f>Z16*($B$12/$B$13-1)</f>
        <v>2.0293361532083405E-12</v>
      </c>
      <c r="AB16" s="2">
        <f>1/(AA16*$B$13)</f>
        <v>585387.82050043775</v>
      </c>
    </row>
    <row r="17" spans="1:28">
      <c r="A17" s="11" t="s">
        <v>22</v>
      </c>
      <c r="B17" s="12">
        <f>SQRT(1+($B$11/$B$13)*($B$11/$B$13))</f>
        <v>3.8637033051562719</v>
      </c>
      <c r="C17" s="25"/>
      <c r="D17" s="25"/>
      <c r="E17" s="2"/>
      <c r="F17" s="2">
        <f t="shared" si="1"/>
        <v>94000000</v>
      </c>
      <c r="G17" s="2">
        <f>F17/$B$8</f>
        <v>367187.5</v>
      </c>
      <c r="H17" s="2"/>
      <c r="I17" s="1">
        <f t="shared" si="2"/>
        <v>1.5000000000000001E-4</v>
      </c>
      <c r="J17" s="2">
        <f t="shared" si="0"/>
        <v>1.3266471227241642E-12</v>
      </c>
      <c r="K17" s="2">
        <f>J17*($B$12/$B$13-1)</f>
        <v>1.7151163617438234E-11</v>
      </c>
      <c r="L17" s="2">
        <f>1/(K17*$B$13)</f>
        <v>69263.444410357144</v>
      </c>
      <c r="Z17" s="2">
        <f>$B$15*$B$16*G17*$B$22*($B$17/$B$18)</f>
        <v>1.5865754393902218E-13</v>
      </c>
      <c r="AA17" s="2">
        <f>Z17*($B$12/$B$13-1)</f>
        <v>2.0511569720600432E-12</v>
      </c>
      <c r="AB17" s="2">
        <f>1/(AA17*$B$13)</f>
        <v>579160.29049511394</v>
      </c>
    </row>
    <row r="18" spans="1:28">
      <c r="A18" s="11" t="s">
        <v>23</v>
      </c>
      <c r="B18" s="12">
        <f>SQRT(1+($B$11/$B$12)*($B$11/$B$12))</f>
        <v>1.035276180410083</v>
      </c>
      <c r="C18" s="25"/>
      <c r="D18" s="25"/>
      <c r="E18" s="2"/>
      <c r="F18" s="2">
        <f t="shared" si="1"/>
        <v>95000000</v>
      </c>
      <c r="G18" s="2">
        <f>F18/$B$8</f>
        <v>371093.75</v>
      </c>
      <c r="H18" s="2"/>
      <c r="I18" s="1">
        <f t="shared" si="2"/>
        <v>1.6000000000000001E-4</v>
      </c>
      <c r="J18" s="2">
        <f t="shared" si="0"/>
        <v>1.4150902642391084E-12</v>
      </c>
      <c r="K18" s="2">
        <f>J18*($B$12/$B$13-1)</f>
        <v>1.829457452526745E-11</v>
      </c>
      <c r="L18" s="2">
        <f>1/(K18*$B$13)</f>
        <v>64934.479134709814</v>
      </c>
      <c r="Z18" s="2">
        <f>$B$15*$B$16*G18*$B$22*($B$17/$B$18)</f>
        <v>1.6034539015113942E-13</v>
      </c>
      <c r="AA18" s="2">
        <f>Z18*($B$12/$B$13-1)</f>
        <v>2.0729777909117455E-12</v>
      </c>
      <c r="AB18" s="2">
        <f>1/(AA18*$B$13)</f>
        <v>573063.86638463917</v>
      </c>
    </row>
    <row r="19" spans="1:28">
      <c r="C19" s="25"/>
      <c r="D19" s="25"/>
      <c r="E19" s="2"/>
      <c r="F19" s="2">
        <f t="shared" si="1"/>
        <v>96000000</v>
      </c>
      <c r="G19" s="2">
        <f>F19/$B$8</f>
        <v>375000</v>
      </c>
      <c r="H19" s="2"/>
      <c r="I19" s="1">
        <f t="shared" si="2"/>
        <v>1.7000000000000001E-4</v>
      </c>
      <c r="J19" s="2">
        <f t="shared" si="0"/>
        <v>1.5035334057540526E-12</v>
      </c>
      <c r="K19" s="2">
        <f>J19*($B$12/$B$13-1)</f>
        <v>1.9437985433096666E-11</v>
      </c>
      <c r="L19" s="2">
        <f>1/(K19*$B$13)</f>
        <v>61114.803891491589</v>
      </c>
      <c r="Z19" s="2">
        <f>$B$15*$B$16*G19*$B$22*($B$17/$B$18)</f>
        <v>1.6203323636325668E-13</v>
      </c>
      <c r="AA19" s="2">
        <f>Z19*($B$12/$B$13-1)</f>
        <v>2.0947986097634482E-12</v>
      </c>
      <c r="AB19" s="2">
        <f>1/(AA19*$B$13)</f>
        <v>567094.45110979921</v>
      </c>
    </row>
    <row r="20" spans="1:28">
      <c r="A20" s="25"/>
      <c r="B20" s="25"/>
      <c r="C20" s="25"/>
      <c r="D20" s="25"/>
      <c r="E20" s="2"/>
      <c r="F20" s="2">
        <f t="shared" si="1"/>
        <v>97000000</v>
      </c>
      <c r="G20" s="2">
        <f>F20/$B$8</f>
        <v>378906.25</v>
      </c>
      <c r="H20" s="2"/>
      <c r="I20" s="1">
        <f t="shared" si="2"/>
        <v>1.8000000000000001E-4</v>
      </c>
      <c r="J20" s="2">
        <f t="shared" si="0"/>
        <v>1.5919765472689968E-12</v>
      </c>
      <c r="K20" s="2">
        <f>J20*($B$12/$B$13-1)</f>
        <v>2.0581396340925879E-11</v>
      </c>
      <c r="L20" s="2">
        <f>1/(K20*$B$13)</f>
        <v>57719.537008630949</v>
      </c>
      <c r="Z20" s="2">
        <f>$B$15*$B$16*G20*$B$22*($B$17/$B$18)</f>
        <v>1.6372108257537392E-13</v>
      </c>
      <c r="AA20" s="2">
        <f>Z20*($B$12/$B$13-1)</f>
        <v>2.1166194286151505E-12</v>
      </c>
      <c r="AB20" s="2">
        <f>1/(AA20*$B$13)</f>
        <v>561248.11656227545</v>
      </c>
    </row>
    <row r="21" spans="1:28">
      <c r="A21" s="13" t="s">
        <v>24</v>
      </c>
      <c r="B21" s="14">
        <v>1E-4</v>
      </c>
      <c r="C21" s="25"/>
      <c r="D21" s="25"/>
      <c r="E21" s="2"/>
      <c r="F21" s="2">
        <f t="shared" si="1"/>
        <v>98000000</v>
      </c>
      <c r="G21" s="2">
        <f>F21/$B$8</f>
        <v>382812.5</v>
      </c>
      <c r="H21" s="2"/>
      <c r="I21" s="1">
        <f t="shared" si="2"/>
        <v>1.9000000000000001E-4</v>
      </c>
      <c r="J21" s="2">
        <f t="shared" si="0"/>
        <v>1.6804196887839413E-12</v>
      </c>
      <c r="K21" s="2">
        <f>J21*($B$12/$B$13-1)</f>
        <v>2.1724807248755098E-11</v>
      </c>
      <c r="L21" s="2">
        <f>1/(K21*$B$13)</f>
        <v>54681.666639755633</v>
      </c>
      <c r="Z21" s="2">
        <f>$B$15*$B$16*G21*$B$22*($B$17/$B$18)</f>
        <v>1.6540892878749118E-13</v>
      </c>
      <c r="AA21" s="2">
        <f>Z21*($B$12/$B$13-1)</f>
        <v>2.1384402474668531E-12</v>
      </c>
      <c r="AB21" s="2">
        <f>1/(AA21*$B$13)</f>
        <v>555521.09496470122</v>
      </c>
    </row>
    <row r="22" spans="1:28">
      <c r="A22" s="13" t="s">
        <v>25</v>
      </c>
      <c r="B22" s="14">
        <f>$B$21/(2*PI())</f>
        <v>1.5915494309189534E-5</v>
      </c>
      <c r="C22" s="25"/>
      <c r="D22" s="25"/>
      <c r="E22" s="2"/>
      <c r="F22" s="2">
        <f t="shared" si="1"/>
        <v>99000000</v>
      </c>
      <c r="G22" s="2">
        <f>F22/$B$8</f>
        <v>386718.75</v>
      </c>
      <c r="H22" s="2"/>
      <c r="I22" s="1">
        <f t="shared" si="2"/>
        <v>2.0000000000000001E-4</v>
      </c>
      <c r="J22" s="2">
        <f t="shared" si="0"/>
        <v>1.7688628302988855E-12</v>
      </c>
      <c r="K22" s="2">
        <f>J22*($B$12/$B$13-1)</f>
        <v>2.2868218156584311E-11</v>
      </c>
      <c r="L22" s="2">
        <f>1/(K22*$B$13)</f>
        <v>51947.583307767862</v>
      </c>
      <c r="Z22" s="2">
        <f>$B$15*$B$16*G22*$B$22*($B$17/$B$18)</f>
        <v>1.6709677499960844E-13</v>
      </c>
      <c r="AA22" s="2">
        <f>Z22*($B$12/$B$13-1)</f>
        <v>2.1602610663185558E-12</v>
      </c>
      <c r="AB22" s="2">
        <f>1/(AA22*$B$13)</f>
        <v>549909.7707731385</v>
      </c>
    </row>
    <row r="23" spans="1:28">
      <c r="A23" s="25"/>
      <c r="B23" s="25"/>
      <c r="C23" s="25"/>
      <c r="D23" s="25"/>
      <c r="E23" s="2"/>
      <c r="F23" s="2">
        <f>524000000</f>
        <v>524000000</v>
      </c>
      <c r="G23" s="2">
        <f>F23/$B$8</f>
        <v>2046875</v>
      </c>
      <c r="H23" s="2"/>
      <c r="I23" s="1">
        <f t="shared" si="2"/>
        <v>2.1000000000000001E-4</v>
      </c>
      <c r="J23" s="2">
        <f t="shared" si="0"/>
        <v>1.8573059718138295E-12</v>
      </c>
      <c r="K23" s="2">
        <f>J23*($B$12/$B$13-1)</f>
        <v>2.4011629064413523E-11</v>
      </c>
      <c r="L23" s="2">
        <f>1/(K23*$B$13)</f>
        <v>49473.888864540822</v>
      </c>
      <c r="Z23" s="2">
        <f>$B$15*$B$16*G23*$B$22*($B$17/$B$18)</f>
        <v>8.8443141514944275E-13</v>
      </c>
      <c r="AA23" s="2">
        <f>Z23*($B$12/$B$13-1)</f>
        <v>1.1434109078292155E-11</v>
      </c>
      <c r="AB23" s="2">
        <f>1/(AA23*$B$13)</f>
        <v>103895.16661553572</v>
      </c>
    </row>
    <row r="24" spans="1:28">
      <c r="A24" s="21" t="s">
        <v>26</v>
      </c>
      <c r="B24" s="21">
        <v>1.2</v>
      </c>
      <c r="C24" s="25"/>
      <c r="D24" s="25"/>
      <c r="E24" s="2"/>
      <c r="F24" s="2">
        <f t="shared" si="1"/>
        <v>525000000</v>
      </c>
      <c r="G24" s="2">
        <f>F24/$B$8</f>
        <v>2050781.25</v>
      </c>
      <c r="H24" s="2"/>
      <c r="I24" s="1">
        <f t="shared" si="2"/>
        <v>2.2000000000000001E-4</v>
      </c>
      <c r="J24" s="2">
        <f t="shared" si="0"/>
        <v>1.9457491133287741E-12</v>
      </c>
      <c r="K24" s="2">
        <f>J24*($B$12/$B$13-1)</f>
        <v>2.5155039972242743E-11</v>
      </c>
      <c r="L24" s="2">
        <f>1/(K24*$B$13)</f>
        <v>47225.075734334416</v>
      </c>
      <c r="Z24" s="2">
        <f>$B$15*$B$16*G24*$B$22*($B$17/$B$18)</f>
        <v>8.8611926136155991E-13</v>
      </c>
      <c r="AA24" s="2">
        <f>Z24*($B$12/$B$13-1)</f>
        <v>1.1455929897143856E-11</v>
      </c>
      <c r="AB24" s="2">
        <f>1/(AA24*$B$13)</f>
        <v>103697.27106007756</v>
      </c>
    </row>
    <row r="25" spans="1:28">
      <c r="A25" s="25"/>
      <c r="B25" s="25"/>
      <c r="C25" s="25"/>
      <c r="D25" s="25"/>
      <c r="E25" s="2"/>
      <c r="F25" s="2">
        <f t="shared" si="1"/>
        <v>526000000</v>
      </c>
      <c r="G25" s="2">
        <f>F25/$B$8</f>
        <v>2054687.5</v>
      </c>
      <c r="H25" s="2"/>
      <c r="I25" s="1">
        <f t="shared" si="2"/>
        <v>2.3000000000000001E-4</v>
      </c>
      <c r="J25" s="2">
        <f t="shared" si="0"/>
        <v>2.0341922548437184E-12</v>
      </c>
      <c r="K25" s="2">
        <f>J25*($B$12/$B$13-1)</f>
        <v>2.6298450880071959E-11</v>
      </c>
      <c r="L25" s="2">
        <f>1/(K25*$B$13)</f>
        <v>45171.811571972044</v>
      </c>
      <c r="Z25" s="2">
        <f>$B$15*$B$16*G25*$B$22*($B$17/$B$18)</f>
        <v>8.8780710757367717E-13</v>
      </c>
      <c r="AA25" s="2">
        <f>Z25*($B$12/$B$13-1)</f>
        <v>1.1477750715995559E-11</v>
      </c>
      <c r="AB25" s="2">
        <f>1/(AA25*$B$13)</f>
        <v>103500.1279592029</v>
      </c>
    </row>
    <row r="26" spans="1:28">
      <c r="A26" s="25"/>
      <c r="B26" s="25"/>
      <c r="C26" s="25"/>
      <c r="D26" s="25"/>
      <c r="E26" s="2"/>
      <c r="F26" s="2">
        <f t="shared" si="1"/>
        <v>527000000</v>
      </c>
      <c r="G26" s="2">
        <f>F26/$B$8</f>
        <v>2058593.75</v>
      </c>
      <c r="H26" s="2"/>
      <c r="I26" s="1">
        <f t="shared" si="2"/>
        <v>2.4000000000000001E-4</v>
      </c>
      <c r="J26" s="2">
        <f t="shared" si="0"/>
        <v>2.1226353963586626E-12</v>
      </c>
      <c r="K26" s="2">
        <f>J26*($B$12/$B$13-1)</f>
        <v>2.7441861787901175E-11</v>
      </c>
      <c r="L26" s="2">
        <f>1/(K26*$B$13)</f>
        <v>43289.65275647321</v>
      </c>
      <c r="Z26" s="2">
        <f>$B$15*$B$16*G26*$B$22*($B$17/$B$18)</f>
        <v>8.8949495378579423E-13</v>
      </c>
      <c r="AA26" s="2">
        <f>Z26*($B$12/$B$13-1)</f>
        <v>1.149957153484726E-11</v>
      </c>
      <c r="AB26" s="2">
        <f>1/(AA26*$B$13)</f>
        <v>103303.73302948904</v>
      </c>
    </row>
    <row r="27" spans="1:28">
      <c r="A27" s="25"/>
      <c r="B27" s="25"/>
      <c r="C27" s="25"/>
      <c r="D27" s="25"/>
      <c r="E27" s="2"/>
      <c r="F27" s="2">
        <f t="shared" si="1"/>
        <v>528000000</v>
      </c>
      <c r="G27" s="2">
        <f>F27/$B$8</f>
        <v>2062500</v>
      </c>
      <c r="H27" s="2"/>
      <c r="I27" s="1">
        <f t="shared" si="2"/>
        <v>2.5000000000000001E-4</v>
      </c>
      <c r="J27" s="2">
        <f t="shared" si="0"/>
        <v>2.2110785378736068E-12</v>
      </c>
      <c r="K27" s="2">
        <f>J27*($B$12/$B$13-1)</f>
        <v>2.8585272695730387E-11</v>
      </c>
      <c r="L27" s="2">
        <f>1/(K27*$B$13)</f>
        <v>41558.066646214284</v>
      </c>
      <c r="Z27" s="2">
        <f>$B$15*$B$16*G27*$B$22*($B$17/$B$18)</f>
        <v>8.911827999979117E-13</v>
      </c>
      <c r="AA27" s="2">
        <f>Z27*($B$12/$B$13-1)</f>
        <v>1.1521392353698964E-11</v>
      </c>
      <c r="AB27" s="2">
        <f>1/(AA27*$B$13)</f>
        <v>103108.08201996349</v>
      </c>
    </row>
    <row r="28" spans="1:28">
      <c r="A28" s="25"/>
      <c r="B28" s="25"/>
      <c r="C28" s="25"/>
      <c r="D28" s="25"/>
      <c r="E28" s="2"/>
      <c r="F28" s="2">
        <f t="shared" si="1"/>
        <v>529000000</v>
      </c>
      <c r="G28" s="2">
        <f>F28/$B$8</f>
        <v>2066406.25</v>
      </c>
      <c r="H28" s="2"/>
      <c r="I28" s="1">
        <f t="shared" si="2"/>
        <v>2.6000000000000003E-4</v>
      </c>
      <c r="J28" s="2">
        <f t="shared" si="0"/>
        <v>2.2995216793885514E-12</v>
      </c>
      <c r="K28" s="2">
        <f>J28*($B$12/$B$13-1)</f>
        <v>2.972868360355961E-11</v>
      </c>
      <c r="L28" s="2">
        <f>1/(K28*$B$13)</f>
        <v>39959.679467513728</v>
      </c>
      <c r="Z28" s="2">
        <f>$B$15*$B$16*G28*$B$22*($B$17/$B$18)</f>
        <v>8.9287064621002896E-13</v>
      </c>
      <c r="AA28" s="2">
        <f>Z28*($B$12/$B$13-1)</f>
        <v>1.1543213172550667E-11</v>
      </c>
      <c r="AB28" s="2">
        <f>1/(AA28*$B$13)</f>
        <v>102913.17071179721</v>
      </c>
    </row>
    <row r="29" spans="1:28">
      <c r="A29" s="25"/>
      <c r="B29" s="25"/>
      <c r="C29" s="25"/>
      <c r="D29" s="25"/>
      <c r="E29" s="2"/>
      <c r="F29" s="2">
        <f t="shared" si="1"/>
        <v>530000000</v>
      </c>
      <c r="G29" s="2">
        <f>F29/$B$8</f>
        <v>2070312.5</v>
      </c>
      <c r="H29" s="2"/>
      <c r="I29" s="1">
        <f t="shared" si="2"/>
        <v>2.7000000000000006E-4</v>
      </c>
      <c r="J29" s="2">
        <f t="shared" si="0"/>
        <v>2.3879648209034957E-12</v>
      </c>
      <c r="K29" s="2">
        <f>J29*($B$12/$B$13-1)</f>
        <v>3.0872094511388826E-11</v>
      </c>
      <c r="L29" s="2">
        <f>1/(K29*$B$13)</f>
        <v>38479.691339087294</v>
      </c>
      <c r="Z29" s="2">
        <f>$B$15*$B$16*G29*$B$22*($B$17/$B$18)</f>
        <v>8.9455849242214622E-13</v>
      </c>
      <c r="AA29" s="2">
        <f>Z29*($B$12/$B$13-1)</f>
        <v>1.156503399140237E-11</v>
      </c>
      <c r="AB29" s="2">
        <f>1/(AA29*$B$13)</f>
        <v>102718.99491800135</v>
      </c>
    </row>
    <row r="30" spans="1:28">
      <c r="A30" s="25"/>
      <c r="B30" s="25"/>
      <c r="C30" s="25"/>
      <c r="D30" s="25"/>
      <c r="E30" s="2"/>
      <c r="F30" s="2">
        <f t="shared" si="1"/>
        <v>531000000</v>
      </c>
      <c r="G30" s="2">
        <f>F30/$B$8</f>
        <v>2074218.75</v>
      </c>
      <c r="H30" s="2"/>
      <c r="I30" s="1">
        <f t="shared" si="2"/>
        <v>2.8000000000000008E-4</v>
      </c>
      <c r="J30" s="2">
        <f t="shared" si="0"/>
        <v>2.4764079624184399E-12</v>
      </c>
      <c r="K30" s="2">
        <f>J30*($B$12/$B$13-1)</f>
        <v>3.2015505419218042E-11</v>
      </c>
      <c r="L30" s="2">
        <f>1/(K30*$B$13)</f>
        <v>37105.416648405604</v>
      </c>
      <c r="Z30" s="2">
        <f>$B$15*$B$16*G30*$B$22*($B$17/$B$18)</f>
        <v>8.9624633863426349E-13</v>
      </c>
      <c r="AA30" s="2">
        <f>Z30*($B$12/$B$13-1)</f>
        <v>1.1586854810254073E-11</v>
      </c>
      <c r="AB30" s="2">
        <f>1/(AA30*$B$13)</f>
        <v>102525.55048312753</v>
      </c>
    </row>
    <row r="31" spans="1:28">
      <c r="A31" s="25"/>
      <c r="B31" s="25"/>
      <c r="C31" s="25"/>
      <c r="D31" s="25"/>
      <c r="E31" s="2"/>
      <c r="F31" s="2">
        <f t="shared" si="1"/>
        <v>532000000</v>
      </c>
      <c r="G31" s="2">
        <f>F31/$B$8</f>
        <v>2078125</v>
      </c>
      <c r="H31" s="2"/>
      <c r="I31" s="1">
        <f t="shared" si="2"/>
        <v>2.9000000000000011E-4</v>
      </c>
      <c r="J31" s="2">
        <f t="shared" si="0"/>
        <v>2.5648511039333849E-12</v>
      </c>
      <c r="K31" s="2">
        <f>J31*($B$12/$B$13-1)</f>
        <v>3.3158916327047264E-11</v>
      </c>
      <c r="L31" s="2">
        <f>1/(K31*$B$13)</f>
        <v>35825.91952259851</v>
      </c>
      <c r="Z31" s="2">
        <f>$B$15*$B$16*G31*$B$22*($B$17/$B$18)</f>
        <v>8.9793418484638075E-13</v>
      </c>
      <c r="AA31" s="2">
        <f>Z31*($B$12/$B$13-1)</f>
        <v>1.1608675629105775E-11</v>
      </c>
      <c r="AB31" s="2">
        <f>1/(AA31*$B$13)</f>
        <v>102332.83328297126</v>
      </c>
    </row>
    <row r="32" spans="1:28">
      <c r="A32" s="25"/>
      <c r="B32" s="25"/>
      <c r="C32" s="25"/>
      <c r="D32" s="25"/>
      <c r="E32" s="2"/>
      <c r="F32" s="2">
        <f t="shared" si="1"/>
        <v>533000000</v>
      </c>
      <c r="G32" s="2">
        <f>F32/$B$8</f>
        <v>2082031.25</v>
      </c>
      <c r="H32" s="2"/>
      <c r="I32" s="1">
        <f t="shared" si="2"/>
        <v>3.0000000000000014E-4</v>
      </c>
      <c r="J32" s="2">
        <f>$B$15*$B$16*$G$23*(I32/(2*PI()))*($B$17/$B$18)</f>
        <v>2.6532942454483291E-12</v>
      </c>
      <c r="K32" s="2">
        <f>J32*($B$12/$B$13-1)</f>
        <v>3.430232723487648E-11</v>
      </c>
      <c r="L32" s="2">
        <f>1/(K32*$B$13)</f>
        <v>34631.722205178557</v>
      </c>
      <c r="Z32" s="2">
        <f>$B$15*$B$16*G32*$B$22*($B$17/$B$18)</f>
        <v>8.9962203105849801E-13</v>
      </c>
      <c r="AA32" s="2">
        <f>Z32*($B$12/$B$13-1)</f>
        <v>1.1630496447957478E-11</v>
      </c>
      <c r="AB32" s="2">
        <f>1/(AA32*$B$13)</f>
        <v>102140.83922427901</v>
      </c>
    </row>
    <row r="33" spans="1:28">
      <c r="A33" s="25"/>
      <c r="B33" s="25"/>
      <c r="C33" s="25"/>
      <c r="D33" s="25"/>
      <c r="E33" s="25"/>
      <c r="F33" s="22">
        <v>200000000</v>
      </c>
      <c r="G33" s="22">
        <f>F33/$B$8</f>
        <v>781250</v>
      </c>
      <c r="H33" s="23"/>
      <c r="I33" s="24">
        <f>0.0001</f>
        <v>1E-4</v>
      </c>
      <c r="J33" s="22">
        <f>$B$15*$B$16*$G$33*($I$12/(2*PI()))*($B$17/$B$18)</f>
        <v>3.3756924242345136E-13</v>
      </c>
      <c r="K33" s="22">
        <f>J33*($B$12/$B$13-1)</f>
        <v>4.3641637703405163E-12</v>
      </c>
      <c r="L33" s="22">
        <f>1/(K33*$B$13)</f>
        <v>272205.3365327036</v>
      </c>
      <c r="Z33" s="25"/>
      <c r="AA33" s="25"/>
      <c r="AB33" s="25"/>
    </row>
    <row r="34" spans="1:28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41" spans="1:28">
      <c r="D41" s="3" t="s">
        <v>3</v>
      </c>
      <c r="E41" s="3" t="s">
        <v>4</v>
      </c>
      <c r="F41" s="5" t="s">
        <v>12</v>
      </c>
      <c r="G41" s="5" t="s">
        <v>13</v>
      </c>
      <c r="H41" s="4" t="s">
        <v>15</v>
      </c>
      <c r="I41" s="4" t="s">
        <v>16</v>
      </c>
      <c r="J41" s="13" t="s">
        <v>24</v>
      </c>
      <c r="K41" s="21" t="s">
        <v>26</v>
      </c>
    </row>
    <row r="42" spans="1:28">
      <c r="D42" s="3">
        <v>60</v>
      </c>
      <c r="E42" s="26">
        <f>D42*(PI()/180)</f>
        <v>1.0471975511965976</v>
      </c>
      <c r="F42" s="6">
        <v>10000000</v>
      </c>
      <c r="G42" s="6">
        <v>500000</v>
      </c>
      <c r="H42" s="4">
        <v>256</v>
      </c>
      <c r="I42" s="4">
        <v>1</v>
      </c>
      <c r="J42" s="14">
        <v>1E-3</v>
      </c>
      <c r="K42" s="21">
        <v>1.2</v>
      </c>
    </row>
    <row r="44" spans="1:28">
      <c r="D44" s="17" t="s">
        <v>6</v>
      </c>
      <c r="E44" s="18" t="s">
        <v>7</v>
      </c>
      <c r="F44" s="15" t="s">
        <v>9</v>
      </c>
      <c r="G44" s="15" t="s">
        <v>10</v>
      </c>
      <c r="H44" s="16" t="s">
        <v>11</v>
      </c>
      <c r="I44" s="9" t="s">
        <v>17</v>
      </c>
      <c r="J44" s="9" t="s">
        <v>18</v>
      </c>
      <c r="K44" s="9" t="s">
        <v>19</v>
      </c>
    </row>
    <row r="45" spans="1:28">
      <c r="D45" s="2">
        <f>524000000</f>
        <v>524000000</v>
      </c>
      <c r="E45" s="2">
        <f>D45/$B$8</f>
        <v>2046875</v>
      </c>
      <c r="F45" s="1">
        <v>8.8399999999999997E-13</v>
      </c>
      <c r="G45" s="1">
        <v>1.1400000000000001E-11</v>
      </c>
      <c r="H45" s="1">
        <v>104000</v>
      </c>
      <c r="I45" s="10">
        <v>3140000</v>
      </c>
      <c r="J45" s="10">
        <v>11700000</v>
      </c>
      <c r="K45" s="10">
        <v>842000</v>
      </c>
    </row>
  </sheetData>
  <mergeCells count="3">
    <mergeCell ref="Z1:AB1"/>
    <mergeCell ref="J1:L1"/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michel amigo</cp:lastModifiedBy>
  <cp:revision/>
  <dcterms:created xsi:type="dcterms:W3CDTF">2025-03-14T12:57:16Z</dcterms:created>
  <dcterms:modified xsi:type="dcterms:W3CDTF">2025-06-11T09:21:41Z</dcterms:modified>
  <cp:category/>
  <cp:contentStatus/>
</cp:coreProperties>
</file>