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fen\Downloads\"/>
    </mc:Choice>
  </mc:AlternateContent>
  <xr:revisionPtr revIDLastSave="0" documentId="13_ncr:1_{5C1070A3-2523-49B0-856A-5F9662EB726B}" xr6:coauthVersionLast="47" xr6:coauthVersionMax="47" xr10:uidLastSave="{00000000-0000-0000-0000-000000000000}"/>
  <bookViews>
    <workbookView xWindow="-108" yWindow="-108" windowWidth="23256" windowHeight="12456" xr2:uid="{96FB80B7-3ECC-4C7D-BD93-5B5202BC96A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9" i="1" l="1"/>
  <c r="L229" i="1"/>
  <c r="M229" i="1"/>
  <c r="H220" i="1"/>
  <c r="H224" i="1"/>
  <c r="H226" i="1"/>
  <c r="H225" i="1"/>
  <c r="H222" i="1"/>
  <c r="H223" i="1"/>
  <c r="H221" i="1"/>
  <c r="H228" i="1"/>
  <c r="H227" i="1"/>
  <c r="H219" i="1"/>
  <c r="H218" i="1"/>
  <c r="L218" i="1"/>
  <c r="M218" i="1"/>
  <c r="L219" i="1"/>
  <c r="N219" i="1" s="1"/>
  <c r="M219" i="1"/>
  <c r="L220" i="1"/>
  <c r="N220" i="1" s="1"/>
  <c r="M220" i="1"/>
  <c r="L221" i="1"/>
  <c r="N221" i="1" s="1"/>
  <c r="M221" i="1"/>
  <c r="L222" i="1"/>
  <c r="M222" i="1"/>
  <c r="L223" i="1"/>
  <c r="N223" i="1" s="1"/>
  <c r="M223" i="1"/>
  <c r="L224" i="1"/>
  <c r="N224" i="1" s="1"/>
  <c r="M224" i="1"/>
  <c r="L225" i="1"/>
  <c r="N225" i="1" s="1"/>
  <c r="M225" i="1"/>
  <c r="L226" i="1"/>
  <c r="M226" i="1"/>
  <c r="L227" i="1"/>
  <c r="N227" i="1" s="1"/>
  <c r="M227" i="1"/>
  <c r="L228" i="1"/>
  <c r="N228" i="1" s="1"/>
  <c r="M228" i="1"/>
  <c r="H209" i="1"/>
  <c r="H195" i="1"/>
  <c r="H203" i="1"/>
  <c r="H206" i="1"/>
  <c r="H205" i="1"/>
  <c r="H200" i="1"/>
  <c r="H198" i="1"/>
  <c r="H197" i="1"/>
  <c r="H196" i="1"/>
  <c r="H210" i="1"/>
  <c r="H208" i="1"/>
  <c r="H194" i="1"/>
  <c r="H202" i="1"/>
  <c r="H207" i="1"/>
  <c r="H201" i="1"/>
  <c r="H204" i="1"/>
  <c r="H199" i="1"/>
  <c r="L199" i="1"/>
  <c r="M199" i="1"/>
  <c r="L194" i="1"/>
  <c r="M194" i="1"/>
  <c r="L195" i="1"/>
  <c r="M195" i="1"/>
  <c r="L197" i="1"/>
  <c r="M197" i="1"/>
  <c r="L198" i="1"/>
  <c r="M198" i="1"/>
  <c r="L200" i="1"/>
  <c r="N200" i="1" s="1"/>
  <c r="M200" i="1"/>
  <c r="L201" i="1"/>
  <c r="M201" i="1"/>
  <c r="L202" i="1"/>
  <c r="M202" i="1"/>
  <c r="L203" i="1"/>
  <c r="M203" i="1"/>
  <c r="L204" i="1"/>
  <c r="N204" i="1" s="1"/>
  <c r="M204" i="1"/>
  <c r="L205" i="1"/>
  <c r="M205" i="1"/>
  <c r="L206" i="1"/>
  <c r="M206" i="1"/>
  <c r="L207" i="1"/>
  <c r="N207" i="1" s="1"/>
  <c r="M207" i="1"/>
  <c r="L208" i="1"/>
  <c r="N208" i="1" s="1"/>
  <c r="M208" i="1"/>
  <c r="L210" i="1"/>
  <c r="M210" i="1"/>
  <c r="H66" i="1"/>
  <c r="H65" i="1"/>
  <c r="H58" i="1"/>
  <c r="H62" i="1"/>
  <c r="L65" i="1"/>
  <c r="N65" i="1" s="1"/>
  <c r="M65" i="1"/>
  <c r="L196" i="1"/>
  <c r="M196" i="1"/>
  <c r="H57" i="1"/>
  <c r="H56" i="1"/>
  <c r="H67" i="1"/>
  <c r="L67" i="1"/>
  <c r="L56" i="1"/>
  <c r="N56" i="1" s="1"/>
  <c r="M67" i="1"/>
  <c r="M56" i="1"/>
  <c r="H64" i="1"/>
  <c r="H55" i="1"/>
  <c r="H60" i="1"/>
  <c r="H63" i="1"/>
  <c r="H59" i="1"/>
  <c r="H61" i="1"/>
  <c r="L209" i="1"/>
  <c r="N209" i="1" s="1"/>
  <c r="M209" i="1"/>
  <c r="L55" i="1"/>
  <c r="L57" i="1"/>
  <c r="M55" i="1"/>
  <c r="M57" i="1"/>
  <c r="L58" i="1"/>
  <c r="L59" i="1"/>
  <c r="L60" i="1"/>
  <c r="L61" i="1"/>
  <c r="L62" i="1"/>
  <c r="L66" i="1"/>
  <c r="L63" i="1"/>
  <c r="L64" i="1"/>
  <c r="M58" i="1"/>
  <c r="M59" i="1"/>
  <c r="M60" i="1"/>
  <c r="M61" i="1"/>
  <c r="M62" i="1"/>
  <c r="M66" i="1"/>
  <c r="M63" i="1"/>
  <c r="M64" i="1"/>
  <c r="H155" i="1"/>
  <c r="H161" i="1"/>
  <c r="H157" i="1"/>
  <c r="H159" i="1"/>
  <c r="H158" i="1"/>
  <c r="L157" i="1"/>
  <c r="M157" i="1"/>
  <c r="H154" i="1"/>
  <c r="H153" i="1"/>
  <c r="H160" i="1"/>
  <c r="H152" i="1"/>
  <c r="H151" i="1"/>
  <c r="H156" i="1"/>
  <c r="L158" i="1"/>
  <c r="L159" i="1"/>
  <c r="N159" i="1" s="1"/>
  <c r="L151" i="1"/>
  <c r="L152" i="1"/>
  <c r="L160" i="1"/>
  <c r="N160" i="1" s="1"/>
  <c r="L161" i="1"/>
  <c r="L155" i="1"/>
  <c r="M158" i="1"/>
  <c r="M159" i="1"/>
  <c r="M151" i="1"/>
  <c r="M152" i="1"/>
  <c r="M160" i="1"/>
  <c r="M161" i="1"/>
  <c r="M155" i="1"/>
  <c r="H131" i="1"/>
  <c r="H129" i="1"/>
  <c r="L131" i="1"/>
  <c r="L156" i="1"/>
  <c r="L153" i="1"/>
  <c r="N153" i="1" s="1"/>
  <c r="L154" i="1"/>
  <c r="M131" i="1"/>
  <c r="M156" i="1"/>
  <c r="M153" i="1"/>
  <c r="M154" i="1"/>
  <c r="H135" i="1"/>
  <c r="H128" i="1"/>
  <c r="H130" i="1"/>
  <c r="H133" i="1"/>
  <c r="H132" i="1"/>
  <c r="H127" i="1"/>
  <c r="H134" i="1"/>
  <c r="L127" i="1"/>
  <c r="L128" i="1"/>
  <c r="L132" i="1"/>
  <c r="L133" i="1"/>
  <c r="L134" i="1"/>
  <c r="L130" i="1"/>
  <c r="L135" i="1"/>
  <c r="L129" i="1"/>
  <c r="M127" i="1"/>
  <c r="M128" i="1"/>
  <c r="M132" i="1"/>
  <c r="M133" i="1"/>
  <c r="M134" i="1"/>
  <c r="M130" i="1"/>
  <c r="M135" i="1"/>
  <c r="M129" i="1"/>
  <c r="H71" i="1"/>
  <c r="H70" i="1"/>
  <c r="H76" i="1"/>
  <c r="H73" i="1"/>
  <c r="H75" i="1"/>
  <c r="H74" i="1"/>
  <c r="H69" i="1"/>
  <c r="H68" i="1"/>
  <c r="H72" i="1"/>
  <c r="L68" i="1"/>
  <c r="L74" i="1"/>
  <c r="L69" i="1"/>
  <c r="L75" i="1"/>
  <c r="L73" i="1"/>
  <c r="L76" i="1"/>
  <c r="L70" i="1"/>
  <c r="L71" i="1"/>
  <c r="M68" i="1"/>
  <c r="M74" i="1"/>
  <c r="M69" i="1"/>
  <c r="M75" i="1"/>
  <c r="M73" i="1"/>
  <c r="M76" i="1"/>
  <c r="M70" i="1"/>
  <c r="M71" i="1"/>
  <c r="H141" i="1"/>
  <c r="H137" i="1"/>
  <c r="H142" i="1"/>
  <c r="H138" i="1"/>
  <c r="H140" i="1"/>
  <c r="H139" i="1"/>
  <c r="H136" i="1"/>
  <c r="L138" i="1"/>
  <c r="L139" i="1"/>
  <c r="N139" i="1" s="1"/>
  <c r="L142" i="1"/>
  <c r="L137" i="1"/>
  <c r="L141" i="1"/>
  <c r="L72" i="1"/>
  <c r="N72" i="1" s="1"/>
  <c r="M138" i="1"/>
  <c r="M139" i="1"/>
  <c r="M142" i="1"/>
  <c r="M137" i="1"/>
  <c r="M141" i="1"/>
  <c r="M72" i="1"/>
  <c r="H146" i="1"/>
  <c r="H148" i="1"/>
  <c r="H145" i="1"/>
  <c r="L145" i="1"/>
  <c r="L148" i="1"/>
  <c r="L146" i="1"/>
  <c r="M145" i="1"/>
  <c r="M148" i="1"/>
  <c r="M146" i="1"/>
  <c r="H150" i="1"/>
  <c r="H147" i="1"/>
  <c r="H144" i="1"/>
  <c r="H143" i="1"/>
  <c r="H149" i="1"/>
  <c r="H47" i="1"/>
  <c r="H50" i="1"/>
  <c r="H53" i="1"/>
  <c r="H51" i="1"/>
  <c r="H49" i="1"/>
  <c r="H48" i="1"/>
  <c r="H52" i="1"/>
  <c r="H54" i="1"/>
  <c r="L49" i="1"/>
  <c r="L51" i="1"/>
  <c r="N51" i="1" s="1"/>
  <c r="L53" i="1"/>
  <c r="L50" i="1"/>
  <c r="N50" i="1" s="1"/>
  <c r="L47" i="1"/>
  <c r="L150" i="1"/>
  <c r="L147" i="1"/>
  <c r="L144" i="1"/>
  <c r="L149" i="1"/>
  <c r="L143" i="1"/>
  <c r="N143" i="1" s="1"/>
  <c r="L136" i="1"/>
  <c r="L140" i="1"/>
  <c r="N140" i="1" s="1"/>
  <c r="M49" i="1"/>
  <c r="M51" i="1"/>
  <c r="M53" i="1"/>
  <c r="M50" i="1"/>
  <c r="M47" i="1"/>
  <c r="M150" i="1"/>
  <c r="M147" i="1"/>
  <c r="M144" i="1"/>
  <c r="M149" i="1"/>
  <c r="M143" i="1"/>
  <c r="M136" i="1"/>
  <c r="M140" i="1"/>
  <c r="H40" i="1"/>
  <c r="H29" i="1"/>
  <c r="H38" i="1"/>
  <c r="H35" i="1"/>
  <c r="H36" i="1"/>
  <c r="H43" i="1"/>
  <c r="H33" i="1"/>
  <c r="H41" i="1"/>
  <c r="H37" i="1"/>
  <c r="H31" i="1"/>
  <c r="H34" i="1"/>
  <c r="H32" i="1"/>
  <c r="H42" i="1"/>
  <c r="H39" i="1"/>
  <c r="H30" i="1"/>
  <c r="M42" i="1"/>
  <c r="L36" i="1"/>
  <c r="L35" i="1"/>
  <c r="L38" i="1"/>
  <c r="L29" i="1"/>
  <c r="L40" i="1"/>
  <c r="L54" i="1"/>
  <c r="L52" i="1"/>
  <c r="L48" i="1"/>
  <c r="M36" i="1"/>
  <c r="M35" i="1"/>
  <c r="M38" i="1"/>
  <c r="M29" i="1"/>
  <c r="M40" i="1"/>
  <c r="M54" i="1"/>
  <c r="M52" i="1"/>
  <c r="M48" i="1"/>
  <c r="H177" i="1"/>
  <c r="H178" i="1"/>
  <c r="H168" i="1"/>
  <c r="H173" i="1"/>
  <c r="H170" i="1"/>
  <c r="L30" i="1"/>
  <c r="L39" i="1"/>
  <c r="L42" i="1"/>
  <c r="N42" i="1" s="1"/>
  <c r="L32" i="1"/>
  <c r="L34" i="1"/>
  <c r="L31" i="1"/>
  <c r="L37" i="1"/>
  <c r="N37" i="1" s="1"/>
  <c r="L41" i="1"/>
  <c r="N41" i="1" s="1"/>
  <c r="L43" i="1"/>
  <c r="L33" i="1"/>
  <c r="M30" i="1"/>
  <c r="M39" i="1"/>
  <c r="M32" i="1"/>
  <c r="M34" i="1"/>
  <c r="M31" i="1"/>
  <c r="M37" i="1"/>
  <c r="M41" i="1"/>
  <c r="M43" i="1"/>
  <c r="M33" i="1"/>
  <c r="H175" i="1"/>
  <c r="H171" i="1"/>
  <c r="H162" i="1"/>
  <c r="L170" i="1"/>
  <c r="N170" i="1" s="1"/>
  <c r="L173" i="1"/>
  <c r="L168" i="1"/>
  <c r="L178" i="1"/>
  <c r="L177" i="1"/>
  <c r="M170" i="1"/>
  <c r="M173" i="1"/>
  <c r="M168" i="1"/>
  <c r="M178" i="1"/>
  <c r="M177" i="1"/>
  <c r="H176" i="1"/>
  <c r="H179" i="1"/>
  <c r="H164" i="1"/>
  <c r="H165" i="1"/>
  <c r="H169" i="1"/>
  <c r="H166" i="1"/>
  <c r="H167" i="1"/>
  <c r="H174" i="1"/>
  <c r="H172" i="1"/>
  <c r="H163" i="1"/>
  <c r="L175" i="1"/>
  <c r="M175" i="1"/>
  <c r="L164" i="1"/>
  <c r="L179" i="1"/>
  <c r="L176" i="1"/>
  <c r="N176" i="1" s="1"/>
  <c r="L162" i="1"/>
  <c r="N162" i="1" s="1"/>
  <c r="L171" i="1"/>
  <c r="M164" i="1"/>
  <c r="M179" i="1"/>
  <c r="M176" i="1"/>
  <c r="M162" i="1"/>
  <c r="M171" i="1"/>
  <c r="H91" i="1"/>
  <c r="H92" i="1"/>
  <c r="H93" i="1"/>
  <c r="H89" i="1"/>
  <c r="H83" i="1"/>
  <c r="H86" i="1"/>
  <c r="H84" i="1"/>
  <c r="H85" i="1"/>
  <c r="H90" i="1"/>
  <c r="H88" i="1"/>
  <c r="H87" i="1"/>
  <c r="L84" i="1"/>
  <c r="L86" i="1"/>
  <c r="N86" i="1" s="1"/>
  <c r="L83" i="1"/>
  <c r="L89" i="1"/>
  <c r="L93" i="1"/>
  <c r="L92" i="1"/>
  <c r="N92" i="1" s="1"/>
  <c r="L91" i="1"/>
  <c r="N91" i="1" s="1"/>
  <c r="L163" i="1"/>
  <c r="L172" i="1"/>
  <c r="L174" i="1"/>
  <c r="N174" i="1" s="1"/>
  <c r="L167" i="1"/>
  <c r="L166" i="1"/>
  <c r="L169" i="1"/>
  <c r="L165" i="1"/>
  <c r="N165" i="1" s="1"/>
  <c r="M84" i="1"/>
  <c r="M86" i="1"/>
  <c r="M83" i="1"/>
  <c r="M89" i="1"/>
  <c r="M93" i="1"/>
  <c r="M92" i="1"/>
  <c r="M91" i="1"/>
  <c r="M163" i="1"/>
  <c r="M172" i="1"/>
  <c r="M174" i="1"/>
  <c r="M167" i="1"/>
  <c r="M166" i="1"/>
  <c r="M169" i="1"/>
  <c r="M165" i="1"/>
  <c r="H192" i="1"/>
  <c r="H180" i="1"/>
  <c r="H78" i="1"/>
  <c r="H77" i="1"/>
  <c r="H81" i="1"/>
  <c r="L192" i="1"/>
  <c r="L87" i="1"/>
  <c r="N87" i="1" s="1"/>
  <c r="L88" i="1"/>
  <c r="L90" i="1"/>
  <c r="L85" i="1"/>
  <c r="N85" i="1" s="1"/>
  <c r="M192" i="1"/>
  <c r="M87" i="1"/>
  <c r="M88" i="1"/>
  <c r="M90" i="1"/>
  <c r="M85" i="1"/>
  <c r="H82" i="1"/>
  <c r="H79" i="1"/>
  <c r="H80" i="1"/>
  <c r="H193" i="1"/>
  <c r="L77" i="1"/>
  <c r="L78" i="1"/>
  <c r="L180" i="1"/>
  <c r="M77" i="1"/>
  <c r="M78" i="1"/>
  <c r="M180" i="1"/>
  <c r="H182" i="1"/>
  <c r="H187" i="1"/>
  <c r="H189" i="1"/>
  <c r="H184" i="1"/>
  <c r="H186" i="1"/>
  <c r="H183" i="1"/>
  <c r="H191" i="1"/>
  <c r="H190" i="1"/>
  <c r="L187" i="1"/>
  <c r="N187" i="1" s="1"/>
  <c r="L182" i="1"/>
  <c r="L193" i="1"/>
  <c r="L80" i="1"/>
  <c r="L79" i="1"/>
  <c r="L82" i="1"/>
  <c r="L81" i="1"/>
  <c r="M187" i="1"/>
  <c r="M182" i="1"/>
  <c r="M193" i="1"/>
  <c r="M80" i="1"/>
  <c r="M79" i="1"/>
  <c r="M82" i="1"/>
  <c r="M81" i="1"/>
  <c r="H181" i="1"/>
  <c r="H185" i="1"/>
  <c r="H188" i="1"/>
  <c r="H116" i="1"/>
  <c r="H125" i="1"/>
  <c r="H114" i="1"/>
  <c r="H118" i="1"/>
  <c r="H115" i="1"/>
  <c r="H123" i="1"/>
  <c r="H121" i="1"/>
  <c r="H119" i="1"/>
  <c r="H120" i="1"/>
  <c r="L121" i="1"/>
  <c r="M121" i="1"/>
  <c r="H117" i="1"/>
  <c r="L183" i="1"/>
  <c r="L186" i="1"/>
  <c r="N186" i="1" s="1"/>
  <c r="L184" i="1"/>
  <c r="L189" i="1"/>
  <c r="N189" i="1" s="1"/>
  <c r="M183" i="1"/>
  <c r="M186" i="1"/>
  <c r="M184" i="1"/>
  <c r="M189" i="1"/>
  <c r="H126" i="1"/>
  <c r="H124" i="1"/>
  <c r="H113" i="1"/>
  <c r="H122" i="1"/>
  <c r="L119" i="1"/>
  <c r="L123" i="1"/>
  <c r="L115" i="1"/>
  <c r="L118" i="1"/>
  <c r="L114" i="1"/>
  <c r="L125" i="1"/>
  <c r="N125" i="1" s="1"/>
  <c r="L116" i="1"/>
  <c r="L188" i="1"/>
  <c r="N188" i="1" s="1"/>
  <c r="L185" i="1"/>
  <c r="L181" i="1"/>
  <c r="L190" i="1"/>
  <c r="L191" i="1"/>
  <c r="M119" i="1"/>
  <c r="M123" i="1"/>
  <c r="M115" i="1"/>
  <c r="M118" i="1"/>
  <c r="M114" i="1"/>
  <c r="M125" i="1"/>
  <c r="M116" i="1"/>
  <c r="M188" i="1"/>
  <c r="M185" i="1"/>
  <c r="M181" i="1"/>
  <c r="M190" i="1"/>
  <c r="M191" i="1"/>
  <c r="H96" i="1"/>
  <c r="H102" i="1"/>
  <c r="H105" i="1"/>
  <c r="H100" i="1"/>
  <c r="H26" i="1"/>
  <c r="M26" i="1"/>
  <c r="L26" i="1"/>
  <c r="H98" i="1"/>
  <c r="H99" i="1"/>
  <c r="H95" i="1"/>
  <c r="H104" i="1"/>
  <c r="H106" i="1"/>
  <c r="H94" i="1"/>
  <c r="L94" i="1"/>
  <c r="M94" i="1"/>
  <c r="H101" i="1"/>
  <c r="H97" i="1"/>
  <c r="H103" i="1"/>
  <c r="L106" i="1"/>
  <c r="L104" i="1"/>
  <c r="L95" i="1"/>
  <c r="L99" i="1"/>
  <c r="L98" i="1"/>
  <c r="L100" i="1"/>
  <c r="N100" i="1" s="1"/>
  <c r="L105" i="1"/>
  <c r="L102" i="1"/>
  <c r="L96" i="1"/>
  <c r="L122" i="1"/>
  <c r="L113" i="1"/>
  <c r="L124" i="1"/>
  <c r="L126" i="1"/>
  <c r="L117" i="1"/>
  <c r="N117" i="1" s="1"/>
  <c r="L120" i="1"/>
  <c r="M106" i="1"/>
  <c r="M104" i="1"/>
  <c r="M95" i="1"/>
  <c r="M99" i="1"/>
  <c r="M98" i="1"/>
  <c r="M100" i="1"/>
  <c r="M105" i="1"/>
  <c r="M102" i="1"/>
  <c r="M96" i="1"/>
  <c r="M122" i="1"/>
  <c r="M113" i="1"/>
  <c r="M124" i="1"/>
  <c r="M126" i="1"/>
  <c r="M117" i="1"/>
  <c r="M120" i="1"/>
  <c r="H21" i="1"/>
  <c r="H16" i="1"/>
  <c r="H19" i="1"/>
  <c r="H18" i="1"/>
  <c r="H17" i="1"/>
  <c r="H22" i="1"/>
  <c r="H20" i="1"/>
  <c r="H23" i="1"/>
  <c r="H217" i="1"/>
  <c r="H215" i="1"/>
  <c r="H214" i="1"/>
  <c r="H213" i="1"/>
  <c r="H216" i="1"/>
  <c r="L97" i="1"/>
  <c r="L101" i="1"/>
  <c r="M97" i="1"/>
  <c r="M101" i="1"/>
  <c r="L22" i="1"/>
  <c r="L17" i="1"/>
  <c r="L18" i="1"/>
  <c r="L19" i="1"/>
  <c r="N19" i="1" s="1"/>
  <c r="L16" i="1"/>
  <c r="L21" i="1"/>
  <c r="L103" i="1"/>
  <c r="N103" i="1" s="1"/>
  <c r="M22" i="1"/>
  <c r="M17" i="1"/>
  <c r="M18" i="1"/>
  <c r="M19" i="1"/>
  <c r="M16" i="1"/>
  <c r="M21" i="1"/>
  <c r="M103" i="1"/>
  <c r="H15" i="1"/>
  <c r="H10" i="1"/>
  <c r="H11" i="1"/>
  <c r="H12" i="1"/>
  <c r="H13" i="1"/>
  <c r="H14" i="1"/>
  <c r="L10" i="1"/>
  <c r="L15" i="1"/>
  <c r="L216" i="1"/>
  <c r="L213" i="1"/>
  <c r="N213" i="1" s="1"/>
  <c r="L214" i="1"/>
  <c r="L215" i="1"/>
  <c r="L217" i="1"/>
  <c r="L23" i="1"/>
  <c r="L20" i="1"/>
  <c r="M10" i="1"/>
  <c r="M15" i="1"/>
  <c r="M216" i="1"/>
  <c r="M213" i="1"/>
  <c r="M214" i="1"/>
  <c r="M215" i="1"/>
  <c r="M217" i="1"/>
  <c r="M23" i="1"/>
  <c r="M20" i="1"/>
  <c r="H108" i="1"/>
  <c r="H4" i="1"/>
  <c r="H5" i="1"/>
  <c r="H7" i="1"/>
  <c r="H3" i="1"/>
  <c r="L13" i="1"/>
  <c r="L12" i="1"/>
  <c r="L11" i="1"/>
  <c r="N11" i="1" s="1"/>
  <c r="M13" i="1"/>
  <c r="M12" i="1"/>
  <c r="M11" i="1"/>
  <c r="H2" i="1"/>
  <c r="H9" i="1"/>
  <c r="H8" i="1"/>
  <c r="H6" i="1"/>
  <c r="H110" i="1"/>
  <c r="L110" i="1"/>
  <c r="M110" i="1"/>
  <c r="L108" i="1"/>
  <c r="M108" i="1"/>
  <c r="H107" i="1"/>
  <c r="H109" i="1"/>
  <c r="H112" i="1"/>
  <c r="L112" i="1"/>
  <c r="M112" i="1"/>
  <c r="L109" i="1"/>
  <c r="N109" i="1" s="1"/>
  <c r="M109" i="1"/>
  <c r="L107" i="1"/>
  <c r="M107" i="1"/>
  <c r="H25" i="1"/>
  <c r="H24" i="1"/>
  <c r="H28" i="1"/>
  <c r="L25" i="1"/>
  <c r="M25" i="1"/>
  <c r="L24" i="1"/>
  <c r="M24" i="1"/>
  <c r="L28" i="1"/>
  <c r="M28" i="1"/>
  <c r="H211" i="1"/>
  <c r="H111" i="1"/>
  <c r="H44" i="1"/>
  <c r="H27" i="1"/>
  <c r="H45" i="1"/>
  <c r="H212" i="1"/>
  <c r="H46" i="1"/>
  <c r="L5" i="1"/>
  <c r="L4" i="1"/>
  <c r="L14" i="1"/>
  <c r="N14" i="1" s="1"/>
  <c r="M5" i="1"/>
  <c r="M4" i="1"/>
  <c r="M14" i="1"/>
  <c r="M46" i="1"/>
  <c r="M212" i="1"/>
  <c r="M45" i="1"/>
  <c r="M27" i="1"/>
  <c r="M44" i="1"/>
  <c r="M111" i="1"/>
  <c r="M211" i="1"/>
  <c r="M6" i="1"/>
  <c r="M8" i="1"/>
  <c r="M9" i="1"/>
  <c r="M2" i="1"/>
  <c r="M3" i="1"/>
  <c r="M7" i="1"/>
  <c r="L46" i="1"/>
  <c r="L212" i="1"/>
  <c r="N212" i="1" s="1"/>
  <c r="L45" i="1"/>
  <c r="L27" i="1"/>
  <c r="L44" i="1"/>
  <c r="L111" i="1"/>
  <c r="L211" i="1"/>
  <c r="L6" i="1"/>
  <c r="N6" i="1" s="1"/>
  <c r="L8" i="1"/>
  <c r="L9" i="1"/>
  <c r="N9" i="1" s="1"/>
  <c r="L2" i="1"/>
  <c r="L3" i="1"/>
  <c r="L7" i="1"/>
  <c r="N8" i="1" l="1"/>
  <c r="N46" i="1"/>
  <c r="N25" i="1"/>
  <c r="N110" i="1"/>
  <c r="N216" i="1"/>
  <c r="N29" i="1"/>
  <c r="N73" i="1"/>
  <c r="N194" i="1"/>
  <c r="N136" i="1"/>
  <c r="N154" i="1"/>
  <c r="N20" i="1"/>
  <c r="N10" i="1"/>
  <c r="N94" i="1"/>
  <c r="N88" i="1"/>
  <c r="N164" i="1"/>
  <c r="N34" i="1"/>
  <c r="N23" i="1"/>
  <c r="N114" i="1"/>
  <c r="N183" i="1"/>
  <c r="N167" i="1"/>
  <c r="N83" i="1"/>
  <c r="N32" i="1"/>
  <c r="N142" i="1"/>
  <c r="N7" i="1"/>
  <c r="N44" i="1"/>
  <c r="N18" i="1"/>
  <c r="N122" i="1"/>
  <c r="N104" i="1"/>
  <c r="N79" i="1"/>
  <c r="N180" i="1"/>
  <c r="N192" i="1"/>
  <c r="N175" i="1"/>
  <c r="N177" i="1"/>
  <c r="N146" i="1"/>
  <c r="N24" i="1"/>
  <c r="N108" i="1"/>
  <c r="N214" i="1"/>
  <c r="N121" i="1"/>
  <c r="N171" i="1"/>
  <c r="N168" i="1"/>
  <c r="N173" i="1"/>
  <c r="N229" i="1"/>
  <c r="N59" i="1"/>
  <c r="N112" i="1"/>
  <c r="N15" i="1"/>
  <c r="N21" i="1"/>
  <c r="N101" i="1"/>
  <c r="N126" i="1"/>
  <c r="N98" i="1"/>
  <c r="N26" i="1"/>
  <c r="N116" i="1"/>
  <c r="N184" i="1"/>
  <c r="N90" i="1"/>
  <c r="N169" i="1"/>
  <c r="N93" i="1"/>
  <c r="N179" i="1"/>
  <c r="N31" i="1"/>
  <c r="N38" i="1"/>
  <c r="N53" i="1"/>
  <c r="N141" i="1"/>
  <c r="N75" i="1"/>
  <c r="N134" i="1"/>
  <c r="N152" i="1"/>
  <c r="N58" i="1"/>
  <c r="N67" i="1"/>
  <c r="N226" i="1"/>
  <c r="N222" i="1"/>
  <c r="N218" i="1"/>
  <c r="N211" i="1"/>
  <c r="N4" i="1"/>
  <c r="N12" i="1"/>
  <c r="N16" i="1"/>
  <c r="N97" i="1"/>
  <c r="N124" i="1"/>
  <c r="N99" i="1"/>
  <c r="N81" i="1"/>
  <c r="N166" i="1"/>
  <c r="N89" i="1"/>
  <c r="N35" i="1"/>
  <c r="N137" i="1"/>
  <c r="N69" i="1"/>
  <c r="N133" i="1"/>
  <c r="N151" i="1"/>
  <c r="N64" i="1"/>
  <c r="N203" i="1"/>
  <c r="N198" i="1"/>
  <c r="N199" i="1"/>
  <c r="N130" i="1"/>
  <c r="N13" i="1"/>
  <c r="N113" i="1"/>
  <c r="N95" i="1"/>
  <c r="N82" i="1"/>
  <c r="N36" i="1"/>
  <c r="N149" i="1"/>
  <c r="N49" i="1"/>
  <c r="N74" i="1"/>
  <c r="N132" i="1"/>
  <c r="N156" i="1"/>
  <c r="N63" i="1"/>
  <c r="N28" i="1"/>
  <c r="N48" i="1"/>
  <c r="N144" i="1"/>
  <c r="N68" i="1"/>
  <c r="N128" i="1"/>
  <c r="N131" i="1"/>
  <c r="N158" i="1"/>
  <c r="N157" i="1"/>
  <c r="N66" i="1"/>
  <c r="N57" i="1"/>
  <c r="N206" i="1"/>
  <c r="N202" i="1"/>
  <c r="N197" i="1"/>
  <c r="N5" i="1"/>
  <c r="N217" i="1"/>
  <c r="N118" i="1"/>
  <c r="N3" i="1"/>
  <c r="N27" i="1"/>
  <c r="N107" i="1"/>
  <c r="N215" i="1"/>
  <c r="N17" i="1"/>
  <c r="N96" i="1"/>
  <c r="N106" i="1"/>
  <c r="N190" i="1"/>
  <c r="N115" i="1"/>
  <c r="N80" i="1"/>
  <c r="N78" i="1"/>
  <c r="N172" i="1"/>
  <c r="N84" i="1"/>
  <c r="N178" i="1"/>
  <c r="N33" i="1"/>
  <c r="N39" i="1"/>
  <c r="N52" i="1"/>
  <c r="N147" i="1"/>
  <c r="N148" i="1"/>
  <c r="N138" i="1"/>
  <c r="N71" i="1"/>
  <c r="N127" i="1"/>
  <c r="N62" i="1"/>
  <c r="N55" i="1"/>
  <c r="N111" i="1"/>
  <c r="N191" i="1"/>
  <c r="N2" i="1"/>
  <c r="N45" i="1"/>
  <c r="N22" i="1"/>
  <c r="N102" i="1"/>
  <c r="N181" i="1"/>
  <c r="N123" i="1"/>
  <c r="N193" i="1"/>
  <c r="N77" i="1"/>
  <c r="N163" i="1"/>
  <c r="N43" i="1"/>
  <c r="N30" i="1"/>
  <c r="N54" i="1"/>
  <c r="N150" i="1"/>
  <c r="N145" i="1"/>
  <c r="N70" i="1"/>
  <c r="N129" i="1"/>
  <c r="N155" i="1"/>
  <c r="N61" i="1"/>
  <c r="N196" i="1"/>
  <c r="N210" i="1"/>
  <c r="N205" i="1"/>
  <c r="N201" i="1"/>
  <c r="N195" i="1"/>
  <c r="N120" i="1"/>
  <c r="N105" i="1"/>
  <c r="N185" i="1"/>
  <c r="N119" i="1"/>
  <c r="N182" i="1"/>
  <c r="N40" i="1"/>
  <c r="N47" i="1"/>
  <c r="N76" i="1"/>
  <c r="N135" i="1"/>
  <c r="N161" i="1"/>
  <c r="N60" i="1"/>
</calcChain>
</file>

<file path=xl/sharedStrings.xml><?xml version="1.0" encoding="utf-8"?>
<sst xmlns="http://schemas.openxmlformats.org/spreadsheetml/2006/main" count="319" uniqueCount="152">
  <si>
    <t xml:space="preserve"> "São Paulo"</t>
  </si>
  <si>
    <t xml:space="preserve"> "Rio de Janeiro"</t>
  </si>
  <si>
    <t xml:space="preserve"> "Belo Horizonte"</t>
  </si>
  <si>
    <t xml:space="preserve"> "Curitiba"</t>
  </si>
  <si>
    <t xml:space="preserve"> "Brasília"</t>
  </si>
  <si>
    <t xml:space="preserve"> "Porto Alegre"</t>
  </si>
  <si>
    <t xml:space="preserve"> "Salvador"</t>
  </si>
  <si>
    <t xml:space="preserve"> "Fortaleza"</t>
  </si>
  <si>
    <t xml:space="preserve"> "Recife"</t>
  </si>
  <si>
    <t xml:space="preserve"> "Manaus"</t>
  </si>
  <si>
    <t xml:space="preserve"> "Belém"</t>
  </si>
  <si>
    <t xml:space="preserve"> "Goiânia"</t>
  </si>
  <si>
    <t xml:space="preserve"> "Campo Grande"</t>
  </si>
  <si>
    <t xml:space="preserve"> "Cuiabá"</t>
  </si>
  <si>
    <t xml:space="preserve"> "João Pessoa"</t>
  </si>
  <si>
    <t xml:space="preserve"> "Maceió"</t>
  </si>
  <si>
    <t xml:space="preserve"> "Aracaju"</t>
  </si>
  <si>
    <t xml:space="preserve"> "Natal"</t>
  </si>
  <si>
    <t xml:space="preserve"> "Palmas"</t>
  </si>
  <si>
    <t xml:space="preserve"> "Boa Vista"</t>
  </si>
  <si>
    <t xml:space="preserve"> "Porto Velho"</t>
  </si>
  <si>
    <t xml:space="preserve"> "Macapá"</t>
  </si>
  <si>
    <t xml:space="preserve"> "Rio Branco"</t>
  </si>
  <si>
    <t xml:space="preserve"> "Teresina"</t>
  </si>
  <si>
    <t xml:space="preserve"> "Florianópolis"</t>
  </si>
  <si>
    <t xml:space="preserve"> "Vitória"</t>
  </si>
  <si>
    <t xml:space="preserve"> "São Luís"</t>
  </si>
  <si>
    <t>id</t>
  </si>
  <si>
    <t>Cidade</t>
  </si>
  <si>
    <t>Estado</t>
  </si>
  <si>
    <t xml:space="preserve"> "Minas Gerais"</t>
  </si>
  <si>
    <t xml:space="preserve"> "Paraná"</t>
  </si>
  <si>
    <t xml:space="preserve"> "Distrito Federal"</t>
  </si>
  <si>
    <t xml:space="preserve"> "Riog Grande do Sul"</t>
  </si>
  <si>
    <t xml:space="preserve"> "Bahia"</t>
  </si>
  <si>
    <t xml:space="preserve"> "Ceará"</t>
  </si>
  <si>
    <t xml:space="preserve"> "Pernambuco"</t>
  </si>
  <si>
    <t xml:space="preserve"> "Amazonas"</t>
  </si>
  <si>
    <t xml:space="preserve"> "Pará"</t>
  </si>
  <si>
    <t xml:space="preserve"> "Goiás"</t>
  </si>
  <si>
    <t xml:space="preserve"> "Mato Grosso do Sul"</t>
  </si>
  <si>
    <t xml:space="preserve"> "Mato Grosso"</t>
  </si>
  <si>
    <t xml:space="preserve"> "Paraiba"</t>
  </si>
  <si>
    <t xml:space="preserve"> "Alagoas"</t>
  </si>
  <si>
    <t xml:space="preserve"> "Sergipe"</t>
  </si>
  <si>
    <t xml:space="preserve"> "Rio grande do Norte"</t>
  </si>
  <si>
    <t xml:space="preserve"> "Tocantins"</t>
  </si>
  <si>
    <t xml:space="preserve"> "Roraima"</t>
  </si>
  <si>
    <t xml:space="preserve"> "Rondônia"</t>
  </si>
  <si>
    <t xml:space="preserve"> "Amapá"</t>
  </si>
  <si>
    <t xml:space="preserve"> "Acre"</t>
  </si>
  <si>
    <t xml:space="preserve"> "Piauí"</t>
  </si>
  <si>
    <t xml:space="preserve"> "Santa Catarina"</t>
  </si>
  <si>
    <t xml:space="preserve"> "Espirito Santo"</t>
  </si>
  <si>
    <t xml:space="preserve"> "Maranhão"</t>
  </si>
  <si>
    <t>idest</t>
  </si>
  <si>
    <t>nomeRodovia</t>
  </si>
  <si>
    <t>tempo</t>
  </si>
  <si>
    <t>inicio</t>
  </si>
  <si>
    <t>fim</t>
  </si>
  <si>
    <t>cid-ini</t>
  </si>
  <si>
    <t>cid-fim</t>
  </si>
  <si>
    <t>"BR-116"</t>
  </si>
  <si>
    <t>"BR-163"</t>
  </si>
  <si>
    <t>"BR-153"</t>
  </si>
  <si>
    <t>"BR-101"</t>
  </si>
  <si>
    <t>"BR-376"</t>
  </si>
  <si>
    <t>ok</t>
  </si>
  <si>
    <t>"BR-374"</t>
  </si>
  <si>
    <t>"BR-262"</t>
  </si>
  <si>
    <t>"BR-060"</t>
  </si>
  <si>
    <t>"BR-163 e BR-364"</t>
  </si>
  <si>
    <t>"BR-267"</t>
  </si>
  <si>
    <t>"BR-381"</t>
  </si>
  <si>
    <t>"Rod.Anhanguera e BR-050"</t>
  </si>
  <si>
    <t>KM</t>
  </si>
  <si>
    <t>"BR-364"</t>
  </si>
  <si>
    <t>"BR-352"</t>
  </si>
  <si>
    <t>"BR-354"</t>
  </si>
  <si>
    <t>"BR-040"</t>
  </si>
  <si>
    <t>"BR-259"</t>
  </si>
  <si>
    <t>"BR-026"</t>
  </si>
  <si>
    <t>"BR-020"</t>
  </si>
  <si>
    <t>"Rod. Bernardo Sayão"</t>
  </si>
  <si>
    <t>"BR-226"</t>
  </si>
  <si>
    <t>"BR-010"</t>
  </si>
  <si>
    <t>"BR-070"</t>
  </si>
  <si>
    <t>"BR-153 e BR-364"</t>
  </si>
  <si>
    <t>"BR-174 e BR-364"</t>
  </si>
  <si>
    <t>"BR-158"</t>
  </si>
  <si>
    <t>"BR-242"</t>
  </si>
  <si>
    <t>"Rod. Álvaro maia e BR-319"</t>
  </si>
  <si>
    <t>"Rod.Transamazonica e BR-230"</t>
  </si>
  <si>
    <t>"Rod.Transamazonica e BR-230 e BR-020"</t>
  </si>
  <si>
    <t>"BR-364 e BR-174"</t>
  </si>
  <si>
    <t>"Rod.Transamazonica e BR-219"</t>
  </si>
  <si>
    <t>"BR-174 e BR-432"</t>
  </si>
  <si>
    <t>"BR-174 "</t>
  </si>
  <si>
    <t>"Av.  Arthur Bernardes"</t>
  </si>
  <si>
    <t>"BR-158 "</t>
  </si>
  <si>
    <t>"BR-010 "</t>
  </si>
  <si>
    <t>"BR-226 "</t>
  </si>
  <si>
    <t>"BR-316 "</t>
  </si>
  <si>
    <t>"BR-316  e MA-106"</t>
  </si>
  <si>
    <t>"BR-364 "</t>
  </si>
  <si>
    <t>"BR-070 "</t>
  </si>
  <si>
    <t>"BR-060 "</t>
  </si>
  <si>
    <t>"BR-116 "</t>
  </si>
  <si>
    <t>"BR-242 "</t>
  </si>
  <si>
    <t>"BR-235"</t>
  </si>
  <si>
    <t>"BR-230"</t>
  </si>
  <si>
    <t>"BR-230 e BR-020"</t>
  </si>
  <si>
    <t>"BR-040 "</t>
  </si>
  <si>
    <t>"Rod. Anhanguera e BR-050"</t>
  </si>
  <si>
    <t>"TO-050 e BR-010"</t>
  </si>
  <si>
    <t>"BR-135 "</t>
  </si>
  <si>
    <t>"BR-135  e BR-020"</t>
  </si>
  <si>
    <t>"BR-020 "</t>
  </si>
  <si>
    <t>"BR-101 "</t>
  </si>
  <si>
    <t>"BR-407 "</t>
  </si>
  <si>
    <t>"BA-099 "</t>
  </si>
  <si>
    <t>"BR-235  e BR-116"</t>
  </si>
  <si>
    <t>"BR-235  e BR-407"</t>
  </si>
  <si>
    <t>"Rod, prestes maia e BR-101"</t>
  </si>
  <si>
    <t>"BR-210 "</t>
  </si>
  <si>
    <t>"BR-104 "</t>
  </si>
  <si>
    <t>"Rod. Gov. Mario Covas e BR-101"</t>
  </si>
  <si>
    <t>"BA-101 "</t>
  </si>
  <si>
    <t>"BR-232 e BR-230"</t>
  </si>
  <si>
    <t>"BR-232 e BR-316"</t>
  </si>
  <si>
    <t>"BR-230 "</t>
  </si>
  <si>
    <t>"BR-104 e BR-101"</t>
  </si>
  <si>
    <t>"BA-110 "</t>
  </si>
  <si>
    <t>"BR-304 e CE-040 "</t>
  </si>
  <si>
    <t>"BR-304"</t>
  </si>
  <si>
    <t>"BR-104"</t>
  </si>
  <si>
    <t>"BR-116 e BR-235"</t>
  </si>
  <si>
    <t>"BR-116  e BR-101"</t>
  </si>
  <si>
    <t>"BR-135 e BR-020"</t>
  </si>
  <si>
    <t>"BR-020 e BR-230"</t>
  </si>
  <si>
    <t>"CE-085  e BR-402"</t>
  </si>
  <si>
    <t>"BR-222 e BR-343"</t>
  </si>
  <si>
    <t>"BR-343 e BR-222"</t>
  </si>
  <si>
    <t>"BR-316"</t>
  </si>
  <si>
    <t>"BR-407 e BR-235"</t>
  </si>
  <si>
    <t>"BR-407"</t>
  </si>
  <si>
    <t>"BR-407 e BR-101"</t>
  </si>
  <si>
    <t>"BR-135"</t>
  </si>
  <si>
    <t>"BR-316 e BR-135"</t>
  </si>
  <si>
    <t>"BR-135 e BR-316"</t>
  </si>
  <si>
    <t>"BR-402"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</si>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</sst>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rgb="FFD4D4D4"/>
      <name val="Consolas"/>
      <family val="3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/>
    <xf numFmtId="0" fontId="0" fillId="2" borderId="0" xfId="0" applyFill="1"/>
    <xf numFmtId="0" fontId="0" fillId="0" borderId="1" xfId="1" applyNumberFormat="1" applyFont="1" applyBorder="1"/>
    <xf numFmtId="0" fontId="0" fillId="2" borderId="1" xfId="1" applyNumberFormat="1" applyFont="1" applyFill="1" applyBorder="1"/>
    <xf numFmtId="0" fontId="0" fillId="0" borderId="0" xfId="1" applyNumberFormat="1" applyFont="1" applyBorder="1"/>
    <xf numFmtId="0" fontId="0" fillId="0" borderId="0" xfId="0" applyNumberFormat="1"/>
  </cellXfs>
  <cellStyles count="2">
    <cellStyle name="Normal" xfId="0" builtinId="0"/>
    <cellStyle name="Vírgula" xfId="1" builtinId="3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D2855D0A-7D05-4E3E-88BC-1F376F8D866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C83331-8D3E-4EB5-A070-1460BB8AA91F}" name="Tabela1" displayName="Tabela1" ref="A1:D28" totalsRowShown="0">
  <autoFilter ref="A1:D28" xr:uid="{D9C83331-8D3E-4EB5-A070-1460BB8AA91F}"/>
  <sortState xmlns:xlrd2="http://schemas.microsoft.com/office/spreadsheetml/2017/richdata2" ref="A2:D28">
    <sortCondition ref="D1:D28"/>
  </sortState>
  <tableColumns count="4">
    <tableColumn id="1" xr3:uid="{8968A5CF-7459-4F8E-A350-279537099D3C}" name="id"/>
    <tableColumn id="2" xr3:uid="{09EF02FD-11AB-4F28-91C8-98178CCEB2F2}" name="Cidade"/>
    <tableColumn id="3" xr3:uid="{AB0EF688-D252-4A5B-9054-8B7EDAFC337E}" name="Estado"/>
    <tableColumn id="4" xr3:uid="{F1E0DA30-3AAF-4B9C-B453-A22BA5E70D96}" name="o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40CF96-802C-40FD-B8B0-EEBCD66AADDD}" name="Tabela2" displayName="Tabela2" ref="F1:N229" totalsRowShown="0">
  <autoFilter ref="F1:N229" xr:uid="{0740CF96-802C-40FD-B8B0-EEBCD66AADDD}"/>
  <sortState xmlns:xlrd2="http://schemas.microsoft.com/office/spreadsheetml/2017/richdata2" ref="F2:N228">
    <sortCondition ref="I1:I228"/>
  </sortState>
  <tableColumns count="9">
    <tableColumn id="1" xr3:uid="{83A480AA-2A71-4609-90F8-58B61153E68B}" name="idest"/>
    <tableColumn id="2" xr3:uid="{B69970B0-AA14-4A97-BAD3-7C883C6DEF29}" name="nomeRodovia"/>
    <tableColumn id="3" xr3:uid="{8A5D744D-3895-4DB5-A1D1-772101323678}" name="tempo" dataDxfId="4" dataCellStyle="Vírgula"/>
    <tableColumn id="4" xr3:uid="{34DBCE87-EE44-4AED-9EF5-51451C5C7DD2}" name="inicio"/>
    <tableColumn id="5" xr3:uid="{68C69865-E9BA-4812-A966-F1C4F489B03A}" name="fim"/>
    <tableColumn id="8" xr3:uid="{96F34CAF-A261-4655-9CBB-EC33224F15E6}" name="KM" dataDxfId="3"/>
    <tableColumn id="6" xr3:uid="{C8D4BAEB-1279-4A51-B09F-7C85DEA6DD5C}" name="cid-ini" dataDxfId="2">
      <calculatedColumnFormula>IF(Tabela2[[#This Row],[inicio]]="","",_xlfn.XLOOKUP(Tabela2[[#This Row],[inicio]],Tabela1[id],Tabela1[Cidade]))</calculatedColumnFormula>
    </tableColumn>
    <tableColumn id="7" xr3:uid="{215B332F-638D-4DC8-839B-4221335EEB8B}" name="cid-fim" dataDxfId="1">
      <calculatedColumnFormula>IF(Tabela2[[#This Row],[fim]]="","",_xlfn.XLOOKUP(Tabela2[[#This Row],[fim]],Tabela1[id],Tabela1[Cidade]))</calculatedColumnFormula>
    </tableColumn>
    <tableColumn id="81" xr3:uid="{F65F6E76-9838-4B99-A9BC-1752F8FEFC1C}" name="init" dataDxfId="0">
      <calculatedColumnFormula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9BA1-C23E-4AE1-8963-3CC7D4D9D604}">
  <dimension ref="A1:N229"/>
  <sheetViews>
    <sheetView tabSelected="1" zoomScaleNormal="100" workbookViewId="0">
      <selection activeCell="N229" sqref="N229"/>
    </sheetView>
  </sheetViews>
  <sheetFormatPr defaultRowHeight="14.4" x14ac:dyDescent="0.3"/>
  <cols>
    <col min="2" max="2" width="15.6640625" bestFit="1" customWidth="1"/>
    <col min="3" max="3" width="20" bestFit="1" customWidth="1"/>
    <col min="7" max="7" width="9.77734375" customWidth="1"/>
    <col min="8" max="8" width="11.44140625" bestFit="1" customWidth="1"/>
    <col min="11" max="11" width="12.44140625" bestFit="1" customWidth="1"/>
    <col min="12" max="12" width="13.109375" bestFit="1" customWidth="1"/>
  </cols>
  <sheetData>
    <row r="1" spans="1:14" x14ac:dyDescent="0.3">
      <c r="A1" t="s">
        <v>27</v>
      </c>
      <c r="B1" t="s">
        <v>28</v>
      </c>
      <c r="C1" t="s">
        <v>29</v>
      </c>
      <c r="D1" t="s">
        <v>67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75</v>
      </c>
      <c r="L1" t="s">
        <v>60</v>
      </c>
      <c r="M1" t="s">
        <v>61</v>
      </c>
      <c r="N1" t="s">
        <v>151</v>
      </c>
    </row>
    <row r="2" spans="1:14" x14ac:dyDescent="0.3">
      <c r="A2">
        <v>3</v>
      </c>
      <c r="B2" t="s">
        <v>2</v>
      </c>
      <c r="C2" t="s">
        <v>30</v>
      </c>
      <c r="D2" t="s">
        <v>67</v>
      </c>
      <c r="F2">
        <v>1</v>
      </c>
      <c r="G2" t="s">
        <v>73</v>
      </c>
      <c r="H2" s="4">
        <f>(8*60)+7</f>
        <v>487</v>
      </c>
      <c r="I2">
        <v>1</v>
      </c>
      <c r="J2">
        <v>3</v>
      </c>
      <c r="K2">
        <v>584</v>
      </c>
      <c r="L2" t="str">
        <f>IF(Tabela2[[#This Row],[inicio]]="","",_xlfn.XLOOKUP(Tabela2[[#This Row],[inicio]],Tabela1[id],Tabela1[Cidade]))</f>
        <v xml:space="preserve"> "São Paulo"</v>
      </c>
      <c r="M2" t="str">
        <f>IF(Tabela2[[#This Row],[fim]]="","",_xlfn.XLOOKUP(Tabela2[[#This Row],[fim]],Tabela1[id],Tabela1[Cidade]))</f>
        <v xml:space="preserve"> "Belo Horizonte"</v>
      </c>
      <c r="N2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grafo.adicionarAresta(1,"BR-381",487.0,584.0,"1","3");// "São Paulo"- "Belo Horizonte"</v>
      </c>
    </row>
    <row r="3" spans="1:14" x14ac:dyDescent="0.3">
      <c r="A3">
        <v>13</v>
      </c>
      <c r="B3" t="s">
        <v>12</v>
      </c>
      <c r="C3" t="s">
        <v>40</v>
      </c>
      <c r="D3" t="s">
        <v>67</v>
      </c>
      <c r="F3">
        <v>2</v>
      </c>
      <c r="G3" t="s">
        <v>74</v>
      </c>
      <c r="H3" s="4">
        <f>(12*60)+40</f>
        <v>760</v>
      </c>
      <c r="I3">
        <v>1</v>
      </c>
      <c r="J3">
        <v>5</v>
      </c>
      <c r="K3">
        <v>1005</v>
      </c>
      <c r="L3" t="str">
        <f>IF(Tabela2[[#This Row],[inicio]]="","",_xlfn.XLOOKUP(Tabela2[[#This Row],[inicio]],Tabela1[id],Tabela1[Cidade]))</f>
        <v xml:space="preserve"> "São Paulo"</v>
      </c>
      <c r="M3" t="str">
        <f>IF(Tabela2[[#This Row],[fim]]="","",_xlfn.XLOOKUP(Tabela2[[#This Row],[fim]],Tabela1[id],Tabela1[Cidade]))</f>
        <v xml:space="preserve"> "Brasília"</v>
      </c>
      <c r="N3" s="2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grafo.adicionarAresta(2,"Rod.Anhanguera e BR-050",760.0,1005.0,"1","5");// "São Paulo"- "Brasília"</v>
      </c>
    </row>
    <row r="4" spans="1:14" x14ac:dyDescent="0.3">
      <c r="A4">
        <v>14</v>
      </c>
      <c r="B4" t="s">
        <v>13</v>
      </c>
      <c r="C4" t="s">
        <v>41</v>
      </c>
      <c r="D4" t="s">
        <v>67</v>
      </c>
      <c r="F4">
        <v>3</v>
      </c>
      <c r="G4" t="s">
        <v>68</v>
      </c>
      <c r="H4" s="4">
        <f>(11*60)+30</f>
        <v>690</v>
      </c>
      <c r="I4">
        <v>1</v>
      </c>
      <c r="J4">
        <v>13</v>
      </c>
      <c r="K4">
        <v>982</v>
      </c>
      <c r="L4" t="str">
        <f>IF(Tabela2[[#This Row],[inicio]]="","",_xlfn.XLOOKUP(Tabela2[[#This Row],[inicio]],Tabela1[id],Tabela1[Cidade]))</f>
        <v xml:space="preserve"> "São Paulo"</v>
      </c>
      <c r="M4" t="str">
        <f>IF(Tabela2[[#This Row],[fim]]="","",_xlfn.XLOOKUP(Tabela2[[#This Row],[fim]],Tabela1[id],Tabela1[Cidade]))</f>
        <v xml:space="preserve"> "Campo Grande"</v>
      </c>
      <c r="N4" s="2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grafo.adicionarAresta(3,"BR-374",690.0,982.0,"1","13");// "São Paulo"- "Campo Grande"</v>
      </c>
    </row>
    <row r="5" spans="1:14" x14ac:dyDescent="0.3">
      <c r="A5">
        <v>4</v>
      </c>
      <c r="B5" t="s">
        <v>3</v>
      </c>
      <c r="C5" t="s">
        <v>31</v>
      </c>
      <c r="D5" t="s">
        <v>67</v>
      </c>
      <c r="F5">
        <v>4</v>
      </c>
      <c r="G5" t="s">
        <v>76</v>
      </c>
      <c r="H5" s="4">
        <f>(20*60)+50</f>
        <v>1250</v>
      </c>
      <c r="I5">
        <v>1</v>
      </c>
      <c r="J5">
        <v>14</v>
      </c>
      <c r="K5">
        <v>1574</v>
      </c>
      <c r="L5" t="str">
        <f>IF(Tabela2[[#This Row],[inicio]]="","",_xlfn.XLOOKUP(Tabela2[[#This Row],[inicio]],Tabela1[id],Tabela1[Cidade]))</f>
        <v xml:space="preserve"> "São Paulo"</v>
      </c>
      <c r="M5" t="str">
        <f>IF(Tabela2[[#This Row],[fim]]="","",_xlfn.XLOOKUP(Tabela2[[#This Row],[fim]],Tabela1[id],Tabela1[Cidade]))</f>
        <v xml:space="preserve"> "Cuiabá"</v>
      </c>
      <c r="N5" s="2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grafo.adicionarAresta(4,"BR-364",1250.0,1574.0,"1","14");// "São Paulo"- "Cuiabá"</v>
      </c>
    </row>
    <row r="6" spans="1:14" x14ac:dyDescent="0.3">
      <c r="A6">
        <v>25</v>
      </c>
      <c r="B6" t="s">
        <v>24</v>
      </c>
      <c r="C6" t="s">
        <v>52</v>
      </c>
      <c r="D6" t="s">
        <v>67</v>
      </c>
      <c r="F6">
        <v>5</v>
      </c>
      <c r="G6" t="s">
        <v>62</v>
      </c>
      <c r="H6" s="4">
        <f>(5*60)+42</f>
        <v>342</v>
      </c>
      <c r="I6">
        <v>1</v>
      </c>
      <c r="J6">
        <v>4</v>
      </c>
      <c r="K6">
        <v>402</v>
      </c>
      <c r="L6" t="str">
        <f>IF(Tabela2[[#This Row],[inicio]]="","",_xlfn.XLOOKUP(Tabela2[[#This Row],[inicio]],Tabela1[id],Tabela1[Cidade]))</f>
        <v xml:space="preserve"> "São Paulo"</v>
      </c>
      <c r="M6" t="str">
        <f>IF(Tabela2[[#This Row],[fim]]="","",_xlfn.XLOOKUP(Tabela2[[#This Row],[fim]],Tabela1[id],Tabela1[Cidade]))</f>
        <v xml:space="preserve"> "Curitiba"</v>
      </c>
      <c r="N6" s="2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grafo.adicionarAresta(5,"BR-116",342.0,402.0,"1","4");// "São Paulo"- "Curitiba"</v>
      </c>
    </row>
    <row r="7" spans="1:14" x14ac:dyDescent="0.3">
      <c r="A7">
        <v>12</v>
      </c>
      <c r="B7" t="s">
        <v>11</v>
      </c>
      <c r="C7" t="s">
        <v>39</v>
      </c>
      <c r="D7" t="s">
        <v>67</v>
      </c>
      <c r="F7">
        <v>6</v>
      </c>
      <c r="G7" t="s">
        <v>64</v>
      </c>
      <c r="H7" s="4">
        <f>(12*60)+47</f>
        <v>767</v>
      </c>
      <c r="I7">
        <v>1</v>
      </c>
      <c r="J7">
        <v>12</v>
      </c>
      <c r="K7">
        <v>1004</v>
      </c>
      <c r="L7" t="str">
        <f>IF(Tabela2[[#This Row],[inicio]]="","",_xlfn.XLOOKUP(Tabela2[[#This Row],[inicio]],Tabela1[id],Tabela1[Cidade]))</f>
        <v xml:space="preserve"> "São Paulo"</v>
      </c>
      <c r="M7" t="str">
        <f>IF(Tabela2[[#This Row],[fim]]="","",_xlfn.XLOOKUP(Tabela2[[#This Row],[fim]],Tabela1[id],Tabela1[Cidade]))</f>
        <v xml:space="preserve"> "Goiânia"</v>
      </c>
      <c r="N7" s="2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grafo.adicionarAresta(6,"BR-153",767.0,1004.0,"1","12");// "São Paulo"- "Goiânia"</v>
      </c>
    </row>
    <row r="8" spans="1:14" x14ac:dyDescent="0.3">
      <c r="A8">
        <v>6</v>
      </c>
      <c r="B8" t="s">
        <v>5</v>
      </c>
      <c r="C8" t="s">
        <v>33</v>
      </c>
      <c r="D8" t="s">
        <v>67</v>
      </c>
      <c r="F8">
        <v>7</v>
      </c>
      <c r="G8" t="s">
        <v>62</v>
      </c>
      <c r="H8" s="4">
        <f>(6*60)+12</f>
        <v>372</v>
      </c>
      <c r="I8">
        <v>1</v>
      </c>
      <c r="J8">
        <v>2</v>
      </c>
      <c r="K8">
        <v>434</v>
      </c>
      <c r="L8" t="str">
        <f>IF(Tabela2[[#This Row],[inicio]]="","",_xlfn.XLOOKUP(Tabela2[[#This Row],[inicio]],Tabela1[id],Tabela1[Cidade]))</f>
        <v xml:space="preserve"> "São Paulo"</v>
      </c>
      <c r="M8" t="str">
        <f>IF(Tabela2[[#This Row],[fim]]="","",_xlfn.XLOOKUP(Tabela2[[#This Row],[fim]],Tabela1[id],Tabela1[Cidade]))</f>
        <v xml:space="preserve"> "Rio de Janeiro"</v>
      </c>
      <c r="N8" s="2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grafo.adicionarAresta(7,"BR-116",372.0,434.0,"1","2");// "São Paulo"- "Rio de Janeiro"</v>
      </c>
    </row>
    <row r="9" spans="1:14" x14ac:dyDescent="0.3">
      <c r="A9">
        <v>21</v>
      </c>
      <c r="B9" t="s">
        <v>20</v>
      </c>
      <c r="C9" t="s">
        <v>48</v>
      </c>
      <c r="D9" t="s">
        <v>67</v>
      </c>
      <c r="F9">
        <v>8</v>
      </c>
      <c r="G9" t="s">
        <v>72</v>
      </c>
      <c r="H9" s="4">
        <f>(15*60)+49</f>
        <v>949</v>
      </c>
      <c r="I9">
        <v>1</v>
      </c>
      <c r="J9">
        <v>26</v>
      </c>
      <c r="K9">
        <v>1028</v>
      </c>
      <c r="L9" t="str">
        <f>IF(Tabela2[[#This Row],[inicio]]="","",_xlfn.XLOOKUP(Tabela2[[#This Row],[inicio]],Tabela1[id],Tabela1[Cidade]))</f>
        <v xml:space="preserve"> "São Paulo"</v>
      </c>
      <c r="M9" t="str">
        <f>IF(Tabela2[[#This Row],[fim]]="","",_xlfn.XLOOKUP(Tabela2[[#This Row],[fim]],Tabela1[id],Tabela1[Cidade]))</f>
        <v xml:space="preserve"> "Vitória"</v>
      </c>
      <c r="N9" s="2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grafo.adicionarAresta(8,"BR-267",949.0,1028.0,"1","26");// "São Paulo"- "Vitória"</v>
      </c>
    </row>
    <row r="10" spans="1:14" x14ac:dyDescent="0.3">
      <c r="A10">
        <v>23</v>
      </c>
      <c r="B10" t="s">
        <v>22</v>
      </c>
      <c r="C10" t="s">
        <v>50</v>
      </c>
      <c r="D10" t="s">
        <v>67</v>
      </c>
      <c r="F10">
        <v>9</v>
      </c>
      <c r="G10" t="s">
        <v>79</v>
      </c>
      <c r="H10" s="4">
        <f>(6*60)+27</f>
        <v>387</v>
      </c>
      <c r="I10">
        <v>2</v>
      </c>
      <c r="J10">
        <v>3</v>
      </c>
      <c r="K10">
        <v>441</v>
      </c>
      <c r="L10" t="str">
        <f>IF(Tabela2[[#This Row],[inicio]]="","",_xlfn.XLOOKUP(Tabela2[[#This Row],[inicio]],Tabela1[id],Tabela1[Cidade]))</f>
        <v xml:space="preserve"> "Rio de Janeiro"</v>
      </c>
      <c r="M10" t="str">
        <f>IF(Tabela2[[#This Row],[fim]]="","",_xlfn.XLOOKUP(Tabela2[[#This Row],[fim]],Tabela1[id],Tabela1[Cidade]))</f>
        <v xml:space="preserve"> "Belo Horizonte"</v>
      </c>
      <c r="N10" s="2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grafo.adicionarAresta(9,"BR-040",387.0,441.0,"2","3");// "Rio de Janeiro"- "Belo Horizonte"</v>
      </c>
    </row>
    <row r="11" spans="1:14" x14ac:dyDescent="0.3">
      <c r="A11">
        <v>2</v>
      </c>
      <c r="B11" t="s">
        <v>1</v>
      </c>
      <c r="C11" t="s">
        <v>1</v>
      </c>
      <c r="D11" t="s">
        <v>67</v>
      </c>
      <c r="F11">
        <v>10</v>
      </c>
      <c r="G11" t="s">
        <v>78</v>
      </c>
      <c r="H11" s="4">
        <f>(19*60)+7</f>
        <v>1147</v>
      </c>
      <c r="I11">
        <v>2</v>
      </c>
      <c r="J11">
        <v>5</v>
      </c>
      <c r="K11">
        <v>1331</v>
      </c>
      <c r="L11" t="str">
        <f>IF(Tabela2[[#This Row],[inicio]]="","",_xlfn.XLOOKUP(Tabela2[[#This Row],[inicio]],Tabela1[id],Tabela1[Cidade]))</f>
        <v xml:space="preserve"> "Rio de Janeiro"</v>
      </c>
      <c r="M11" t="str">
        <f>IF(Tabela2[[#This Row],[fim]]="","",_xlfn.XLOOKUP(Tabela2[[#This Row],[fim]],Tabela1[id],Tabela1[Cidade]))</f>
        <v xml:space="preserve"> "Brasília"</v>
      </c>
      <c r="N11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grafo.adicionarAresta(10,"BR-354",1147.0,1331.0,"2","5");// "Rio de Janeiro"- "Brasília"</v>
      </c>
    </row>
    <row r="12" spans="1:14" x14ac:dyDescent="0.3">
      <c r="A12">
        <v>1</v>
      </c>
      <c r="B12" t="s">
        <v>0</v>
      </c>
      <c r="C12" t="s">
        <v>0</v>
      </c>
      <c r="D12" t="s">
        <v>67</v>
      </c>
      <c r="F12">
        <v>11</v>
      </c>
      <c r="G12" t="s">
        <v>76</v>
      </c>
      <c r="H12" s="4">
        <f>(25*60)</f>
        <v>1500</v>
      </c>
      <c r="I12">
        <v>2</v>
      </c>
      <c r="J12">
        <v>14</v>
      </c>
      <c r="K12">
        <v>1932</v>
      </c>
      <c r="L12" t="str">
        <f>IF(Tabela2[[#This Row],[inicio]]="","",_xlfn.XLOOKUP(Tabela2[[#This Row],[inicio]],Tabela1[id],Tabela1[Cidade]))</f>
        <v xml:space="preserve"> "Rio de Janeiro"</v>
      </c>
      <c r="M12" t="str">
        <f>IF(Tabela2[[#This Row],[fim]]="","",_xlfn.XLOOKUP(Tabela2[[#This Row],[fim]],Tabela1[id],Tabela1[Cidade]))</f>
        <v xml:space="preserve"> "Cuiabá"</v>
      </c>
      <c r="N12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grafo.adicionarAresta(11,"BR-364",1500.0,1932.0,"2","14");// "Rio de Janeiro"- "Cuiabá"</v>
      </c>
    </row>
    <row r="13" spans="1:14" x14ac:dyDescent="0.3">
      <c r="A13">
        <v>26</v>
      </c>
      <c r="B13" t="s">
        <v>25</v>
      </c>
      <c r="C13" t="s">
        <v>53</v>
      </c>
      <c r="D13" t="s">
        <v>67</v>
      </c>
      <c r="F13">
        <v>12</v>
      </c>
      <c r="G13" t="s">
        <v>77</v>
      </c>
      <c r="H13" s="4">
        <f>(19*60)+14</f>
        <v>1154</v>
      </c>
      <c r="I13">
        <v>2</v>
      </c>
      <c r="J13">
        <v>12</v>
      </c>
      <c r="K13">
        <v>1320</v>
      </c>
      <c r="L13" t="str">
        <f>IF(Tabela2[[#This Row],[inicio]]="","",_xlfn.XLOOKUP(Tabela2[[#This Row],[inicio]],Tabela1[id],Tabela1[Cidade]))</f>
        <v xml:space="preserve"> "Rio de Janeiro"</v>
      </c>
      <c r="M13" t="str">
        <f>IF(Tabela2[[#This Row],[fim]]="","",_xlfn.XLOOKUP(Tabela2[[#This Row],[fim]],Tabela1[id],Tabela1[Cidade]))</f>
        <v xml:space="preserve"> "Goiânia"</v>
      </c>
      <c r="N13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grafo.adicionarAresta(12,"BR-352",1154.0,1320.0,"2","12");// "Rio de Janeiro"- "Goiânia"</v>
      </c>
    </row>
    <row r="14" spans="1:14" x14ac:dyDescent="0.3">
      <c r="A14">
        <v>19</v>
      </c>
      <c r="B14" t="s">
        <v>18</v>
      </c>
      <c r="C14" t="s">
        <v>46</v>
      </c>
      <c r="D14" t="s">
        <v>67</v>
      </c>
      <c r="F14">
        <v>13</v>
      </c>
      <c r="G14" t="s">
        <v>62</v>
      </c>
      <c r="H14" s="4">
        <f>(5*60)+57</f>
        <v>357</v>
      </c>
      <c r="I14">
        <v>2</v>
      </c>
      <c r="J14">
        <v>1</v>
      </c>
      <c r="K14">
        <v>435</v>
      </c>
      <c r="L14" t="str">
        <f>IF(Tabela2[[#This Row],[inicio]]="","",_xlfn.XLOOKUP(Tabela2[[#This Row],[inicio]],Tabela1[id],Tabela1[Cidade]))</f>
        <v xml:space="preserve"> "Rio de Janeiro"</v>
      </c>
      <c r="M14" t="str">
        <f>IF(Tabela2[[#This Row],[fim]]="","",_xlfn.XLOOKUP(Tabela2[[#This Row],[fim]],Tabela1[id],Tabela1[Cidade]))</f>
        <v xml:space="preserve"> "São Paulo"</v>
      </c>
      <c r="N14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grafo.adicionarAresta(13,"BR-116",357.0,435.0,"2","1");// "Rio de Janeiro"- "São Paulo"</v>
      </c>
    </row>
    <row r="15" spans="1:14" x14ac:dyDescent="0.3">
      <c r="A15">
        <v>11</v>
      </c>
      <c r="B15" t="s">
        <v>10</v>
      </c>
      <c r="C15" t="s">
        <v>38</v>
      </c>
      <c r="D15" t="s">
        <v>67</v>
      </c>
      <c r="F15">
        <v>14</v>
      </c>
      <c r="G15" t="s">
        <v>65</v>
      </c>
      <c r="H15" s="4">
        <f>(7*60)+28</f>
        <v>448</v>
      </c>
      <c r="I15">
        <v>2</v>
      </c>
      <c r="J15">
        <v>26</v>
      </c>
      <c r="K15">
        <v>522</v>
      </c>
      <c r="L15" t="str">
        <f>IF(Tabela2[[#This Row],[inicio]]="","",_xlfn.XLOOKUP(Tabela2[[#This Row],[inicio]],Tabela1[id],Tabela1[Cidade]))</f>
        <v xml:space="preserve"> "Rio de Janeiro"</v>
      </c>
      <c r="M15" t="str">
        <f>IF(Tabela2[[#This Row],[fim]]="","",_xlfn.XLOOKUP(Tabela2[[#This Row],[fim]],Tabela1[id],Tabela1[Cidade]))</f>
        <v xml:space="preserve"> "Vitória"</v>
      </c>
      <c r="N15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grafo.adicionarAresta(14,"BR-101",448.0,522.0,"2","26");// "Rio de Janeiro"- "Vitória"</v>
      </c>
    </row>
    <row r="16" spans="1:14" x14ac:dyDescent="0.3">
      <c r="A16">
        <v>20</v>
      </c>
      <c r="B16" t="s">
        <v>19</v>
      </c>
      <c r="C16" t="s">
        <v>47</v>
      </c>
      <c r="D16" t="s">
        <v>67</v>
      </c>
      <c r="F16">
        <v>15</v>
      </c>
      <c r="G16" t="s">
        <v>79</v>
      </c>
      <c r="H16" s="4">
        <f>(9*60)+25</f>
        <v>565</v>
      </c>
      <c r="I16">
        <v>3</v>
      </c>
      <c r="J16">
        <v>5</v>
      </c>
      <c r="K16">
        <v>733</v>
      </c>
      <c r="L16" t="str">
        <f>IF(Tabela2[[#This Row],[inicio]]="","",_xlfn.XLOOKUP(Tabela2[[#This Row],[inicio]],Tabela1[id],Tabela1[Cidade]))</f>
        <v xml:space="preserve"> "Belo Horizonte"</v>
      </c>
      <c r="M16" t="str">
        <f>IF(Tabela2[[#This Row],[fim]]="","",_xlfn.XLOOKUP(Tabela2[[#This Row],[fim]],Tabela1[id],Tabela1[Cidade]))</f>
        <v xml:space="preserve"> "Brasília"</v>
      </c>
      <c r="N16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grafo.adicionarAresta(15,"BR-040",565.0,733.0,"3","5");// "Belo Horizonte"- "Brasília"</v>
      </c>
    </row>
    <row r="17" spans="1:14" x14ac:dyDescent="0.3">
      <c r="A17">
        <v>10</v>
      </c>
      <c r="B17" t="s">
        <v>9</v>
      </c>
      <c r="C17" t="s">
        <v>37</v>
      </c>
      <c r="D17" t="s">
        <v>67</v>
      </c>
      <c r="F17">
        <v>16</v>
      </c>
      <c r="G17" t="s">
        <v>69</v>
      </c>
      <c r="H17" s="4">
        <f>(16*60)+36</f>
        <v>996</v>
      </c>
      <c r="I17">
        <v>3</v>
      </c>
      <c r="J17">
        <v>13</v>
      </c>
      <c r="K17">
        <v>1261</v>
      </c>
      <c r="L17" t="str">
        <f>IF(Tabela2[[#This Row],[inicio]]="","",_xlfn.XLOOKUP(Tabela2[[#This Row],[inicio]],Tabela1[id],Tabela1[Cidade]))</f>
        <v xml:space="preserve"> "Belo Horizonte"</v>
      </c>
      <c r="M17" t="str">
        <f>IF(Tabela2[[#This Row],[fim]]="","",_xlfn.XLOOKUP(Tabela2[[#This Row],[fim]],Tabela1[id],Tabela1[Cidade]))</f>
        <v xml:space="preserve"> "Campo Grande"</v>
      </c>
      <c r="N17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grafo.adicionarAresta(16,"BR-262",996.0,1261.0,"3","13");// "Belo Horizonte"- "Campo Grande"</v>
      </c>
    </row>
    <row r="18" spans="1:14" x14ac:dyDescent="0.3">
      <c r="A18">
        <v>5</v>
      </c>
      <c r="B18" t="s">
        <v>4</v>
      </c>
      <c r="C18" t="s">
        <v>32</v>
      </c>
      <c r="D18" t="s">
        <v>67</v>
      </c>
      <c r="F18">
        <v>17</v>
      </c>
      <c r="G18" t="s">
        <v>69</v>
      </c>
      <c r="H18" s="4">
        <f>(21*60)+24</f>
        <v>1284</v>
      </c>
      <c r="I18">
        <v>3</v>
      </c>
      <c r="J18">
        <v>14</v>
      </c>
      <c r="K18">
        <v>1570</v>
      </c>
      <c r="L18" t="str">
        <f>IF(Tabela2[[#This Row],[inicio]]="","",_xlfn.XLOOKUP(Tabela2[[#This Row],[inicio]],Tabela1[id],Tabela1[Cidade]))</f>
        <v xml:space="preserve"> "Belo Horizonte"</v>
      </c>
      <c r="M18" t="str">
        <f>IF(Tabela2[[#This Row],[fim]]="","",_xlfn.XLOOKUP(Tabela2[[#This Row],[fim]],Tabela1[id],Tabela1[Cidade]))</f>
        <v xml:space="preserve"> "Cuiabá"</v>
      </c>
      <c r="N18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grafo.adicionarAresta(17,"BR-262",1284.0,1570.0,"3","14");// "Belo Horizonte"- "Cuiabá"</v>
      </c>
    </row>
    <row r="19" spans="1:14" x14ac:dyDescent="0.3">
      <c r="A19">
        <v>7</v>
      </c>
      <c r="B19" t="s">
        <v>6</v>
      </c>
      <c r="C19" t="s">
        <v>34</v>
      </c>
      <c r="D19" t="s">
        <v>67</v>
      </c>
      <c r="F19">
        <v>18</v>
      </c>
      <c r="G19" t="s">
        <v>79</v>
      </c>
      <c r="H19" s="4">
        <f>(11*60)+39</f>
        <v>699</v>
      </c>
      <c r="I19">
        <v>3</v>
      </c>
      <c r="J19">
        <v>12</v>
      </c>
      <c r="K19">
        <v>889</v>
      </c>
      <c r="L19" t="str">
        <f>IF(Tabela2[[#This Row],[inicio]]="","",_xlfn.XLOOKUP(Tabela2[[#This Row],[inicio]],Tabela1[id],Tabela1[Cidade]))</f>
        <v xml:space="preserve"> "Belo Horizonte"</v>
      </c>
      <c r="M19" t="str">
        <f>IF(Tabela2[[#This Row],[fim]]="","",_xlfn.XLOOKUP(Tabela2[[#This Row],[fim]],Tabela1[id],Tabela1[Cidade]))</f>
        <v xml:space="preserve"> "Goiânia"</v>
      </c>
      <c r="N19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grafo.adicionarAresta(18,"BR-040",699.0,889.0,"3","12");// "Belo Horizonte"- "Goiânia"</v>
      </c>
    </row>
    <row r="20" spans="1:14" x14ac:dyDescent="0.3">
      <c r="A20">
        <v>16</v>
      </c>
      <c r="B20" t="s">
        <v>15</v>
      </c>
      <c r="C20" t="s">
        <v>43</v>
      </c>
      <c r="D20" t="s">
        <v>67</v>
      </c>
      <c r="F20">
        <v>19</v>
      </c>
      <c r="G20" t="s">
        <v>79</v>
      </c>
      <c r="H20" s="4">
        <f>(6*60)+52</f>
        <v>412</v>
      </c>
      <c r="I20">
        <v>3</v>
      </c>
      <c r="J20">
        <v>2</v>
      </c>
      <c r="K20">
        <v>441</v>
      </c>
      <c r="L20" t="str">
        <f>IF(Tabela2[[#This Row],[inicio]]="","",_xlfn.XLOOKUP(Tabela2[[#This Row],[inicio]],Tabela1[id],Tabela1[Cidade]))</f>
        <v xml:space="preserve"> "Belo Horizonte"</v>
      </c>
      <c r="M20" t="str">
        <f>IF(Tabela2[[#This Row],[fim]]="","",_xlfn.XLOOKUP(Tabela2[[#This Row],[fim]],Tabela1[id],Tabela1[Cidade]))</f>
        <v xml:space="preserve"> "Rio de Janeiro"</v>
      </c>
      <c r="N20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grafo.adicionarAresta(19,"BR-040",412.0,441.0,"3","2");// "Belo Horizonte"- "Rio de Janeiro"</v>
      </c>
    </row>
    <row r="21" spans="1:14" x14ac:dyDescent="0.3">
      <c r="A21">
        <v>17</v>
      </c>
      <c r="B21" t="s">
        <v>16</v>
      </c>
      <c r="C21" t="s">
        <v>44</v>
      </c>
      <c r="D21" t="s">
        <v>67</v>
      </c>
      <c r="F21">
        <v>20</v>
      </c>
      <c r="G21" t="s">
        <v>81</v>
      </c>
      <c r="H21" s="4">
        <f>(19*60)+37</f>
        <v>1177</v>
      </c>
      <c r="I21">
        <v>3</v>
      </c>
      <c r="J21">
        <v>7</v>
      </c>
      <c r="K21">
        <v>1427</v>
      </c>
      <c r="L21" t="str">
        <f>IF(Tabela2[[#This Row],[inicio]]="","",_xlfn.XLOOKUP(Tabela2[[#This Row],[inicio]],Tabela1[id],Tabela1[Cidade]))</f>
        <v xml:space="preserve"> "Belo Horizonte"</v>
      </c>
      <c r="M21" t="str">
        <f>IF(Tabela2[[#This Row],[fim]]="","",_xlfn.XLOOKUP(Tabela2[[#This Row],[fim]],Tabela1[id],Tabela1[Cidade]))</f>
        <v xml:space="preserve"> "Salvador"</v>
      </c>
      <c r="N21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grafo.adicionarAresta(20,"BR-026",1177.0,1427.0,"3","7");// "Belo Horizonte"- "Salvador"</v>
      </c>
    </row>
    <row r="22" spans="1:14" x14ac:dyDescent="0.3">
      <c r="A22">
        <v>9</v>
      </c>
      <c r="B22" t="s">
        <v>8</v>
      </c>
      <c r="C22" t="s">
        <v>36</v>
      </c>
      <c r="D22" t="s">
        <v>67</v>
      </c>
      <c r="F22">
        <v>21</v>
      </c>
      <c r="G22" t="s">
        <v>73</v>
      </c>
      <c r="H22" s="4">
        <f>(7*60)+59</f>
        <v>479</v>
      </c>
      <c r="I22">
        <v>3</v>
      </c>
      <c r="J22">
        <v>1</v>
      </c>
      <c r="K22">
        <v>583</v>
      </c>
      <c r="L22" t="str">
        <f>IF(Tabela2[[#This Row],[inicio]]="","",_xlfn.XLOOKUP(Tabela2[[#This Row],[inicio]],Tabela1[id],Tabela1[Cidade]))</f>
        <v xml:space="preserve"> "Belo Horizonte"</v>
      </c>
      <c r="M22" t="str">
        <f>IF(Tabela2[[#This Row],[fim]]="","",_xlfn.XLOOKUP(Tabela2[[#This Row],[fim]],Tabela1[id],Tabela1[Cidade]))</f>
        <v xml:space="preserve"> "São Paulo"</v>
      </c>
      <c r="N22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grafo.adicionarAresta(21,"BR-381",479.0,583.0,"3","1");// "Belo Horizonte"- "São Paulo"</v>
      </c>
    </row>
    <row r="23" spans="1:14" x14ac:dyDescent="0.3">
      <c r="A23">
        <v>22</v>
      </c>
      <c r="B23" t="s">
        <v>21</v>
      </c>
      <c r="C23" t="s">
        <v>49</v>
      </c>
      <c r="D23" t="s">
        <v>67</v>
      </c>
      <c r="F23">
        <v>22</v>
      </c>
      <c r="G23" t="s">
        <v>69</v>
      </c>
      <c r="H23" s="4">
        <f>(8*60)+39</f>
        <v>519</v>
      </c>
      <c r="I23">
        <v>3</v>
      </c>
      <c r="J23">
        <v>26</v>
      </c>
      <c r="K23">
        <v>514</v>
      </c>
      <c r="L23" t="str">
        <f>IF(Tabela2[[#This Row],[inicio]]="","",_xlfn.XLOOKUP(Tabela2[[#This Row],[inicio]],Tabela1[id],Tabela1[Cidade]))</f>
        <v xml:space="preserve"> "Belo Horizonte"</v>
      </c>
      <c r="M23" t="str">
        <f>IF(Tabela2[[#This Row],[fim]]="","",_xlfn.XLOOKUP(Tabela2[[#This Row],[fim]],Tabela1[id],Tabela1[Cidade]))</f>
        <v xml:space="preserve"> "Vitória"</v>
      </c>
      <c r="N23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grafo.adicionarAresta(22,"BR-262",519.0,514.0,"3","26");// "Belo Horizonte"- "Vitória"</v>
      </c>
    </row>
    <row r="24" spans="1:14" x14ac:dyDescent="0.3">
      <c r="A24">
        <v>15</v>
      </c>
      <c r="B24" t="s">
        <v>14</v>
      </c>
      <c r="C24" t="s">
        <v>42</v>
      </c>
      <c r="D24" t="s">
        <v>67</v>
      </c>
      <c r="F24">
        <v>23</v>
      </c>
      <c r="G24" t="s">
        <v>66</v>
      </c>
      <c r="H24" s="5">
        <f>(12*60)+30</f>
        <v>750</v>
      </c>
      <c r="I24">
        <v>4</v>
      </c>
      <c r="J24">
        <v>13</v>
      </c>
      <c r="K24">
        <v>974</v>
      </c>
      <c r="L24" t="str">
        <f>IF(Tabela2[[#This Row],[inicio]]="","",_xlfn.XLOOKUP(Tabela2[[#This Row],[inicio]],Tabela1[id],Tabela1[Cidade]))</f>
        <v xml:space="preserve"> "Curitiba"</v>
      </c>
      <c r="M24" t="str">
        <f>IF(Tabela2[[#This Row],[fim]]="","",_xlfn.XLOOKUP(Tabela2[[#This Row],[fim]],Tabela1[id],Tabela1[Cidade]))</f>
        <v xml:space="preserve"> "Campo Grande"</v>
      </c>
      <c r="N24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grafo.adicionarAresta(23,"BR-376",750.0,974.0,"4","13");// "Curitiba"- "Campo Grande"</v>
      </c>
    </row>
    <row r="25" spans="1:14" x14ac:dyDescent="0.3">
      <c r="A25">
        <v>18</v>
      </c>
      <c r="B25" t="s">
        <v>17</v>
      </c>
      <c r="C25" t="s">
        <v>45</v>
      </c>
      <c r="D25" t="s">
        <v>67</v>
      </c>
      <c r="F25">
        <v>24</v>
      </c>
      <c r="G25" t="s">
        <v>65</v>
      </c>
      <c r="H25" s="5">
        <f>(4*60)+2</f>
        <v>242</v>
      </c>
      <c r="I25">
        <v>4</v>
      </c>
      <c r="J25">
        <v>25</v>
      </c>
      <c r="K25">
        <v>307</v>
      </c>
      <c r="L25" t="str">
        <f>IF(Tabela2[[#This Row],[inicio]]="","",_xlfn.XLOOKUP(Tabela2[[#This Row],[inicio]],Tabela1[id],Tabela1[Cidade]))</f>
        <v xml:space="preserve"> "Curitiba"</v>
      </c>
      <c r="M25" t="str">
        <f>IF(Tabela2[[#This Row],[fim]]="","",_xlfn.XLOOKUP(Tabela2[[#This Row],[fim]],Tabela1[id],Tabela1[Cidade]))</f>
        <v xml:space="preserve"> "Florianópolis"</v>
      </c>
      <c r="N25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grafo.adicionarAresta(24,"BR-101",242.0,307.0,"4","25");// "Curitiba"- "Florianópolis"</v>
      </c>
    </row>
    <row r="26" spans="1:14" x14ac:dyDescent="0.3">
      <c r="A26">
        <v>8</v>
      </c>
      <c r="B26" t="s">
        <v>7</v>
      </c>
      <c r="C26" t="s">
        <v>35</v>
      </c>
      <c r="F26">
        <v>25</v>
      </c>
      <c r="G26" t="s">
        <v>64</v>
      </c>
      <c r="H26" s="5">
        <f>(16*60)+16</f>
        <v>976</v>
      </c>
      <c r="I26">
        <v>4</v>
      </c>
      <c r="J26">
        <v>12</v>
      </c>
      <c r="K26">
        <v>1230</v>
      </c>
      <c r="L26" t="str">
        <f>IF(Tabela2[[#This Row],[inicio]]="","",_xlfn.XLOOKUP(Tabela2[[#This Row],[inicio]],Tabela1[id],Tabela1[Cidade]))</f>
        <v xml:space="preserve"> "Curitiba"</v>
      </c>
      <c r="M26" t="str">
        <f>IF(Tabela2[[#This Row],[fim]]="","",_xlfn.XLOOKUP(Tabela2[[#This Row],[fim]],Tabela1[id],Tabela1[Cidade]))</f>
        <v xml:space="preserve"> "Goiânia"</v>
      </c>
      <c r="N26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grafo.adicionarAresta(25,"BR-153",976.0,1230.0,"4","12");// "Curitiba"- "Goiânia"</v>
      </c>
    </row>
    <row r="27" spans="1:14" x14ac:dyDescent="0.3">
      <c r="A27">
        <v>27</v>
      </c>
      <c r="B27" t="s">
        <v>26</v>
      </c>
      <c r="C27" t="s">
        <v>54</v>
      </c>
      <c r="F27">
        <v>26</v>
      </c>
      <c r="G27" t="s">
        <v>62</v>
      </c>
      <c r="H27" s="4">
        <f>(10*60)+18</f>
        <v>618</v>
      </c>
      <c r="I27">
        <v>4</v>
      </c>
      <c r="J27">
        <v>6</v>
      </c>
      <c r="K27">
        <v>699</v>
      </c>
      <c r="L27" t="str">
        <f>IF(Tabela2[[#This Row],[inicio]]="","",_xlfn.XLOOKUP(Tabela2[[#This Row],[inicio]],Tabela1[id],Tabela1[Cidade]))</f>
        <v xml:space="preserve"> "Curitiba"</v>
      </c>
      <c r="M27" t="str">
        <f>IF(Tabela2[[#This Row],[fim]]="","",_xlfn.XLOOKUP(Tabela2[[#This Row],[fim]],Tabela1[id],Tabela1[Cidade]))</f>
        <v xml:space="preserve"> "Porto Alegre"</v>
      </c>
      <c r="N27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grafo.adicionarAresta(26,"BR-116",618.0,699.0,"4","6");// "Curitiba"- "Porto Alegre"</v>
      </c>
    </row>
    <row r="28" spans="1:14" x14ac:dyDescent="0.3">
      <c r="A28">
        <v>24</v>
      </c>
      <c r="B28" t="s">
        <v>23</v>
      </c>
      <c r="C28" t="s">
        <v>51</v>
      </c>
      <c r="F28">
        <v>27</v>
      </c>
      <c r="G28" t="s">
        <v>62</v>
      </c>
      <c r="H28" s="5">
        <f>(5*60)+58</f>
        <v>358</v>
      </c>
      <c r="I28">
        <v>4</v>
      </c>
      <c r="J28">
        <v>1</v>
      </c>
      <c r="K28">
        <v>402</v>
      </c>
      <c r="L28" t="str">
        <f>IF(Tabela2[[#This Row],[inicio]]="","",_xlfn.XLOOKUP(Tabela2[[#This Row],[inicio]],Tabela1[id],Tabela1[Cidade]))</f>
        <v xml:space="preserve"> "Curitiba"</v>
      </c>
      <c r="M28" t="str">
        <f>IF(Tabela2[[#This Row],[fim]]="","",_xlfn.XLOOKUP(Tabela2[[#This Row],[fim]],Tabela1[id],Tabela1[Cidade]))</f>
        <v xml:space="preserve"> "São Paulo"</v>
      </c>
      <c r="N28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grafo.adicionarAresta(27,"BR-116",358.0,402.0,"4","1");// "Curitiba"- "São Paulo"</v>
      </c>
    </row>
    <row r="29" spans="1:14" x14ac:dyDescent="0.3">
      <c r="A29" s="1"/>
      <c r="F29">
        <v>28</v>
      </c>
      <c r="G29" t="s">
        <v>117</v>
      </c>
      <c r="H29" s="4">
        <f>(22*60)+19</f>
        <v>1339</v>
      </c>
      <c r="I29">
        <v>5</v>
      </c>
      <c r="J29">
        <v>17</v>
      </c>
      <c r="K29">
        <v>1641</v>
      </c>
      <c r="L29" t="str">
        <f>IF(Tabela2[[#This Row],[inicio]]="","",_xlfn.XLOOKUP(Tabela2[[#This Row],[inicio]],Tabela1[id],Tabela1[Cidade]))</f>
        <v xml:space="preserve"> "Brasília"</v>
      </c>
      <c r="M29" t="str">
        <f>IF(Tabela2[[#This Row],[fim]]="","",_xlfn.XLOOKUP(Tabela2[[#This Row],[fim]],Tabela1[id],Tabela1[Cidade]))</f>
        <v xml:space="preserve"> "Aracaju"</v>
      </c>
      <c r="N29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grafo.adicionarAresta(28,"BR-020 ",1339.0,1641.0,"5","17");// "Brasília"- "Aracaju"</v>
      </c>
    </row>
    <row r="30" spans="1:14" x14ac:dyDescent="0.3">
      <c r="F30">
        <v>29</v>
      </c>
      <c r="G30" t="s">
        <v>112</v>
      </c>
      <c r="H30" s="4">
        <f>(10*60)+28</f>
        <v>628</v>
      </c>
      <c r="I30">
        <v>5</v>
      </c>
      <c r="J30">
        <v>3</v>
      </c>
      <c r="K30">
        <v>752</v>
      </c>
      <c r="L30" t="str">
        <f>IF(Tabela2[[#This Row],[inicio]]="","",_xlfn.XLOOKUP(Tabela2[[#This Row],[inicio]],Tabela1[id],Tabela1[Cidade]))</f>
        <v xml:space="preserve"> "Brasília"</v>
      </c>
      <c r="M30" t="str">
        <f>IF(Tabela2[[#This Row],[fim]]="","",_xlfn.XLOOKUP(Tabela2[[#This Row],[fim]],Tabela1[id],Tabela1[Cidade]))</f>
        <v xml:space="preserve"> "Belo Horizonte"</v>
      </c>
      <c r="N30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grafo.adicionarAresta(29,"BR-040 ",628.0,752.0,"5","3");// "Brasília"- "Belo Horizonte"</v>
      </c>
    </row>
    <row r="31" spans="1:14" x14ac:dyDescent="0.3">
      <c r="F31">
        <v>30</v>
      </c>
      <c r="G31" t="s">
        <v>105</v>
      </c>
      <c r="H31" s="4">
        <f>(14*60)+54</f>
        <v>894</v>
      </c>
      <c r="I31">
        <v>5</v>
      </c>
      <c r="J31">
        <v>14</v>
      </c>
      <c r="K31">
        <v>1066</v>
      </c>
      <c r="L31" t="str">
        <f>IF(Tabela2[[#This Row],[inicio]]="","",_xlfn.XLOOKUP(Tabela2[[#This Row],[inicio]],Tabela1[id],Tabela1[Cidade]))</f>
        <v xml:space="preserve"> "Brasília"</v>
      </c>
      <c r="M31" t="str">
        <f>IF(Tabela2[[#This Row],[fim]]="","",_xlfn.XLOOKUP(Tabela2[[#This Row],[fim]],Tabela1[id],Tabela1[Cidade]))</f>
        <v xml:space="preserve"> "Cuiabá"</v>
      </c>
      <c r="N31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grafo.adicionarAresta(30,"BR-070 ",894.0,1066.0,"5","14");// "Brasília"- "Cuiabá"</v>
      </c>
    </row>
    <row r="32" spans="1:14" x14ac:dyDescent="0.3">
      <c r="F32">
        <v>31</v>
      </c>
      <c r="G32" t="s">
        <v>113</v>
      </c>
      <c r="H32" s="4">
        <f>(19*60)+31</f>
        <v>1171</v>
      </c>
      <c r="I32">
        <v>5</v>
      </c>
      <c r="J32">
        <v>4</v>
      </c>
      <c r="K32">
        <v>1398</v>
      </c>
      <c r="L32" t="str">
        <f>IF(Tabela2[[#This Row],[inicio]]="","",_xlfn.XLOOKUP(Tabela2[[#This Row],[inicio]],Tabela1[id],Tabela1[Cidade]))</f>
        <v xml:space="preserve"> "Brasília"</v>
      </c>
      <c r="M32" t="str">
        <f>IF(Tabela2[[#This Row],[fim]]="","",_xlfn.XLOOKUP(Tabela2[[#This Row],[fim]],Tabela1[id],Tabela1[Cidade]))</f>
        <v xml:space="preserve"> "Curitiba"</v>
      </c>
      <c r="N32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grafo.adicionarAresta(31,"Rod. Anhanguera e BR-050",1171.0,1398.0,"5","4");// "Brasília"- "Curitiba"</v>
      </c>
    </row>
    <row r="33" spans="6:14" x14ac:dyDescent="0.3">
      <c r="F33">
        <v>32</v>
      </c>
      <c r="G33" t="s">
        <v>116</v>
      </c>
      <c r="H33" s="4">
        <f>(29*60)+0</f>
        <v>1740</v>
      </c>
      <c r="I33">
        <v>5</v>
      </c>
      <c r="J33">
        <v>8</v>
      </c>
      <c r="K33">
        <v>2120</v>
      </c>
      <c r="L33" t="str">
        <f>IF(Tabela2[[#This Row],[inicio]]="","",_xlfn.XLOOKUP(Tabela2[[#This Row],[inicio]],Tabela1[id],Tabela1[Cidade]))</f>
        <v xml:space="preserve"> "Brasília"</v>
      </c>
      <c r="M33" t="str">
        <f>IF(Tabela2[[#This Row],[fim]]="","",_xlfn.XLOOKUP(Tabela2[[#This Row],[fim]],Tabela1[id],Tabela1[Cidade]))</f>
        <v xml:space="preserve"> "Fortaleza"</v>
      </c>
      <c r="N33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grafo.adicionarAresta(32,"BR-135  e BR-020",1740.0,2120.0,"5","8");// "Brasília"- "Fortaleza"</v>
      </c>
    </row>
    <row r="34" spans="6:14" x14ac:dyDescent="0.3">
      <c r="F34">
        <v>33</v>
      </c>
      <c r="G34" t="s">
        <v>106</v>
      </c>
      <c r="H34" s="4">
        <f>(3*60)+29</f>
        <v>209</v>
      </c>
      <c r="I34">
        <v>5</v>
      </c>
      <c r="J34">
        <v>12</v>
      </c>
      <c r="K34">
        <v>208</v>
      </c>
      <c r="L34" t="str">
        <f>IF(Tabela2[[#This Row],[inicio]]="","",_xlfn.XLOOKUP(Tabela2[[#This Row],[inicio]],Tabela1[id],Tabela1[Cidade]))</f>
        <v xml:space="preserve"> "Brasília"</v>
      </c>
      <c r="M34" t="str">
        <f>IF(Tabela2[[#This Row],[fim]]="","",_xlfn.XLOOKUP(Tabela2[[#This Row],[fim]],Tabela1[id],Tabela1[Cidade]))</f>
        <v xml:space="preserve"> "Goiânia"</v>
      </c>
      <c r="N34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grafo.adicionarAresta(33,"BR-060 ",209.0,208.0,"5","12");// "Brasília"- "Goiânia"</v>
      </c>
    </row>
    <row r="35" spans="6:14" x14ac:dyDescent="0.3">
      <c r="F35">
        <v>34</v>
      </c>
      <c r="G35" t="s">
        <v>117</v>
      </c>
      <c r="H35" s="4">
        <f>(31*60)+0</f>
        <v>1860</v>
      </c>
      <c r="I35">
        <v>5</v>
      </c>
      <c r="J35">
        <v>15</v>
      </c>
      <c r="K35">
        <v>2238</v>
      </c>
      <c r="L35" t="str">
        <f>IF(Tabela2[[#This Row],[inicio]]="","",_xlfn.XLOOKUP(Tabela2[[#This Row],[inicio]],Tabela1[id],Tabela1[Cidade]))</f>
        <v xml:space="preserve"> "Brasília"</v>
      </c>
      <c r="M35" t="str">
        <f>IF(Tabela2[[#This Row],[fim]]="","",_xlfn.XLOOKUP(Tabela2[[#This Row],[fim]],Tabela1[id],Tabela1[Cidade]))</f>
        <v xml:space="preserve"> "João Pessoa"</v>
      </c>
      <c r="N35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grafo.adicionarAresta(34,"BR-020 ",1860.0,2238.0,"5","15");// "Brasília"- "João Pessoa"</v>
      </c>
    </row>
    <row r="36" spans="6:14" x14ac:dyDescent="0.3">
      <c r="F36">
        <v>35</v>
      </c>
      <c r="G36" t="s">
        <v>116</v>
      </c>
      <c r="H36" s="4">
        <f>(33*60)+0</f>
        <v>1980</v>
      </c>
      <c r="I36">
        <v>5</v>
      </c>
      <c r="J36">
        <v>18</v>
      </c>
      <c r="K36">
        <v>2437</v>
      </c>
      <c r="L36" t="str">
        <f>IF(Tabela2[[#This Row],[inicio]]="","",_xlfn.XLOOKUP(Tabela2[[#This Row],[inicio]],Tabela1[id],Tabela1[Cidade]))</f>
        <v xml:space="preserve"> "Brasília"</v>
      </c>
      <c r="M36" t="str">
        <f>IF(Tabela2[[#This Row],[fim]]="","",_xlfn.XLOOKUP(Tabela2[[#This Row],[fim]],Tabela1[id],Tabela1[Cidade]))</f>
        <v xml:space="preserve"> "Natal"</v>
      </c>
      <c r="N36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grafo.adicionarAresta(35,"BR-135  e BR-020",1980.0,2437.0,"5","18");// "Brasília"- "Natal"</v>
      </c>
    </row>
    <row r="37" spans="6:14" x14ac:dyDescent="0.3">
      <c r="F37">
        <v>36</v>
      </c>
      <c r="G37" t="s">
        <v>114</v>
      </c>
      <c r="H37" s="4">
        <f>(10*60)+47</f>
        <v>647</v>
      </c>
      <c r="I37">
        <v>5</v>
      </c>
      <c r="J37">
        <v>19</v>
      </c>
      <c r="K37">
        <v>846</v>
      </c>
      <c r="L37" t="str">
        <f>IF(Tabela2[[#This Row],[inicio]]="","",_xlfn.XLOOKUP(Tabela2[[#This Row],[inicio]],Tabela1[id],Tabela1[Cidade]))</f>
        <v xml:space="preserve"> "Brasília"</v>
      </c>
      <c r="M37" t="str">
        <f>IF(Tabela2[[#This Row],[fim]]="","",_xlfn.XLOOKUP(Tabela2[[#This Row],[fim]],Tabela1[id],Tabela1[Cidade]))</f>
        <v xml:space="preserve"> "Palmas"</v>
      </c>
      <c r="N37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grafo.adicionarAresta(36,"TO-050 e BR-010",647.0,846.0,"5","19");// "Brasília"- "Palmas"</v>
      </c>
    </row>
    <row r="38" spans="6:14" x14ac:dyDescent="0.3">
      <c r="F38">
        <v>37</v>
      </c>
      <c r="G38" t="s">
        <v>117</v>
      </c>
      <c r="H38" s="4">
        <f>(29*60)+0</f>
        <v>1740</v>
      </c>
      <c r="I38">
        <v>5</v>
      </c>
      <c r="J38">
        <v>9</v>
      </c>
      <c r="K38">
        <v>2107</v>
      </c>
      <c r="L38" t="str">
        <f>IF(Tabela2[[#This Row],[inicio]]="","",_xlfn.XLOOKUP(Tabela2[[#This Row],[inicio]],Tabela1[id],Tabela1[Cidade]))</f>
        <v xml:space="preserve"> "Brasília"</v>
      </c>
      <c r="M38" t="str">
        <f>IF(Tabela2[[#This Row],[fim]]="","",_xlfn.XLOOKUP(Tabela2[[#This Row],[fim]],Tabela1[id],Tabela1[Cidade]))</f>
        <v xml:space="preserve"> "Recife"</v>
      </c>
      <c r="N38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grafo.adicionarAresta(37,"BR-020 ",1740.0,2107.0,"5","9");// "Brasília"- "Recife"</v>
      </c>
    </row>
    <row r="39" spans="6:14" x14ac:dyDescent="0.3">
      <c r="F39">
        <v>38</v>
      </c>
      <c r="G39" t="s">
        <v>78</v>
      </c>
      <c r="H39" s="4">
        <f>(19*60)+42</f>
        <v>1182</v>
      </c>
      <c r="I39">
        <v>5</v>
      </c>
      <c r="J39">
        <v>2</v>
      </c>
      <c r="K39">
        <v>1338</v>
      </c>
      <c r="L39" t="str">
        <f>IF(Tabela2[[#This Row],[inicio]]="","",_xlfn.XLOOKUP(Tabela2[[#This Row],[inicio]],Tabela1[id],Tabela1[Cidade]))</f>
        <v xml:space="preserve"> "Brasília"</v>
      </c>
      <c r="M39" t="str">
        <f>IF(Tabela2[[#This Row],[fim]]="","",_xlfn.XLOOKUP(Tabela2[[#This Row],[fim]],Tabela1[id],Tabela1[Cidade]))</f>
        <v xml:space="preserve"> "Rio de Janeiro"</v>
      </c>
      <c r="N39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grafo.adicionarAresta(38,"BR-354",1182.0,1338.0,"5","2");// "Brasília"- "Rio de Janeiro"</v>
      </c>
    </row>
    <row r="40" spans="6:14" x14ac:dyDescent="0.3">
      <c r="F40">
        <v>39</v>
      </c>
      <c r="G40" t="s">
        <v>117</v>
      </c>
      <c r="H40" s="4">
        <f>(19*60)+15</f>
        <v>1155</v>
      </c>
      <c r="I40">
        <v>5</v>
      </c>
      <c r="J40">
        <v>7</v>
      </c>
      <c r="K40">
        <v>1447</v>
      </c>
      <c r="L40" t="str">
        <f>IF(Tabela2[[#This Row],[inicio]]="","",_xlfn.XLOOKUP(Tabela2[[#This Row],[inicio]],Tabela1[id],Tabela1[Cidade]))</f>
        <v xml:space="preserve"> "Brasília"</v>
      </c>
      <c r="M40" t="str">
        <f>IF(Tabela2[[#This Row],[fim]]="","",_xlfn.XLOOKUP(Tabela2[[#This Row],[fim]],Tabela1[id],Tabela1[Cidade]))</f>
        <v xml:space="preserve"> "Salvador"</v>
      </c>
      <c r="N40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grafo.adicionarAresta(39,"BR-020 ",1155.0,1447.0,"5","7");// "Brasília"- "Salvador"</v>
      </c>
    </row>
    <row r="41" spans="6:14" x14ac:dyDescent="0.3">
      <c r="F41">
        <v>40</v>
      </c>
      <c r="G41" t="s">
        <v>115</v>
      </c>
      <c r="H41" s="4">
        <f>(29*60)+0</f>
        <v>1740</v>
      </c>
      <c r="I41">
        <v>5</v>
      </c>
      <c r="J41">
        <v>27</v>
      </c>
      <c r="K41">
        <v>2025</v>
      </c>
      <c r="L41" t="str">
        <f>IF(Tabela2[[#This Row],[inicio]]="","",_xlfn.XLOOKUP(Tabela2[[#This Row],[inicio]],Tabela1[id],Tabela1[Cidade]))</f>
        <v xml:space="preserve"> "Brasília"</v>
      </c>
      <c r="M41" t="str">
        <f>IF(Tabela2[[#This Row],[fim]]="","",_xlfn.XLOOKUP(Tabela2[[#This Row],[fim]],Tabela1[id],Tabela1[Cidade]))</f>
        <v xml:space="preserve"> "São Luís"</v>
      </c>
      <c r="N41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grafo.adicionarAresta(40,"BR-135 ",1740.0,2025.0,"5","27");// "Brasília"- "São Luís"</v>
      </c>
    </row>
    <row r="42" spans="6:14" x14ac:dyDescent="0.3">
      <c r="F42">
        <v>41</v>
      </c>
      <c r="G42" t="s">
        <v>113</v>
      </c>
      <c r="H42" s="4">
        <f>(13*60)+15</f>
        <v>795</v>
      </c>
      <c r="I42">
        <v>5</v>
      </c>
      <c r="J42">
        <v>1</v>
      </c>
      <c r="K42">
        <v>1024</v>
      </c>
      <c r="L42" t="str">
        <f>IF(Tabela2[[#This Row],[inicio]]="","",_xlfn.XLOOKUP(Tabela2[[#This Row],[inicio]],Tabela1[id],Tabela1[Cidade]))</f>
        <v xml:space="preserve"> "Brasília"</v>
      </c>
      <c r="M42" t="str">
        <f>IF(Tabela2[[#This Row],[fim]]="","",_xlfn.XLOOKUP(Tabela2[[#This Row],[fim]],Tabela1[id],Tabela1[Cidade]))</f>
        <v xml:space="preserve"> "São Paulo"</v>
      </c>
      <c r="N42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grafo.adicionarAresta(41,"Rod. Anhanguera e BR-050",795.0,1024.0,"5","1");// "Brasília"- "São Paulo"</v>
      </c>
    </row>
    <row r="43" spans="6:14" x14ac:dyDescent="0.3">
      <c r="F43">
        <v>42</v>
      </c>
      <c r="G43" t="s">
        <v>116</v>
      </c>
      <c r="H43" s="4">
        <f>(22*60)+30</f>
        <v>1350</v>
      </c>
      <c r="I43">
        <v>5</v>
      </c>
      <c r="J43">
        <v>24</v>
      </c>
      <c r="K43">
        <v>1682</v>
      </c>
      <c r="L43" t="str">
        <f>IF(Tabela2[[#This Row],[inicio]]="","",_xlfn.XLOOKUP(Tabela2[[#This Row],[inicio]],Tabela1[id],Tabela1[Cidade]))</f>
        <v xml:space="preserve"> "Brasília"</v>
      </c>
      <c r="M43" t="str">
        <f>IF(Tabela2[[#This Row],[fim]]="","",_xlfn.XLOOKUP(Tabela2[[#This Row],[fim]],Tabela1[id],Tabela1[Cidade]))</f>
        <v xml:space="preserve"> "Teresina"</v>
      </c>
      <c r="N43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grafo.adicionarAresta(42,"BR-135  e BR-020",1350.0,1682.0,"5","24");// "Brasília"- "Teresina"</v>
      </c>
    </row>
    <row r="44" spans="6:14" x14ac:dyDescent="0.3">
      <c r="F44">
        <v>43</v>
      </c>
      <c r="G44" t="s">
        <v>63</v>
      </c>
      <c r="H44" s="5">
        <f>(20*60)+25</f>
        <v>1225</v>
      </c>
      <c r="I44">
        <v>6</v>
      </c>
      <c r="J44">
        <v>13</v>
      </c>
      <c r="K44">
        <v>1416</v>
      </c>
      <c r="L44" t="str">
        <f>IF(Tabela2[[#This Row],[inicio]]="","",_xlfn.XLOOKUP(Tabela2[[#This Row],[inicio]],Tabela1[id],Tabela1[Cidade]))</f>
        <v xml:space="preserve"> "Porto Alegre"</v>
      </c>
      <c r="M44" t="str">
        <f>IF(Tabela2[[#This Row],[fim]]="","",_xlfn.XLOOKUP(Tabela2[[#This Row],[fim]],Tabela1[id],Tabela1[Cidade]))</f>
        <v xml:space="preserve"> "Campo Grande"</v>
      </c>
      <c r="N44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grafo.adicionarAresta(43,"BR-163",1225.0,1416.0,"6","13");// "Porto Alegre"- "Campo Grande"</v>
      </c>
    </row>
    <row r="45" spans="6:14" x14ac:dyDescent="0.3">
      <c r="F45">
        <v>44</v>
      </c>
      <c r="G45" t="s">
        <v>62</v>
      </c>
      <c r="H45" s="5">
        <f>(10*60)+23</f>
        <v>623</v>
      </c>
      <c r="I45">
        <v>6</v>
      </c>
      <c r="J45">
        <v>4</v>
      </c>
      <c r="K45">
        <v>701</v>
      </c>
      <c r="L45" t="str">
        <f>IF(Tabela2[[#This Row],[inicio]]="","",_xlfn.XLOOKUP(Tabela2[[#This Row],[inicio]],Tabela1[id],Tabela1[Cidade]))</f>
        <v xml:space="preserve"> "Porto Alegre"</v>
      </c>
      <c r="M45" t="str">
        <f>IF(Tabela2[[#This Row],[fim]]="","",_xlfn.XLOOKUP(Tabela2[[#This Row],[fim]],Tabela1[id],Tabela1[Cidade]))</f>
        <v xml:space="preserve"> "Curitiba"</v>
      </c>
      <c r="N45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grafo.adicionarAresta(44,"BR-116",623.0,701.0,"6","4");// "Porto Alegre"- "Curitiba"</v>
      </c>
    </row>
    <row r="46" spans="6:14" x14ac:dyDescent="0.3">
      <c r="F46">
        <v>45</v>
      </c>
      <c r="G46" t="s">
        <v>65</v>
      </c>
      <c r="H46" s="5">
        <f>(5*60)+39</f>
        <v>339</v>
      </c>
      <c r="I46">
        <v>6</v>
      </c>
      <c r="J46">
        <v>25</v>
      </c>
      <c r="K46">
        <v>4693</v>
      </c>
      <c r="L46" t="str">
        <f>IF(Tabela2[[#This Row],[inicio]]="","",_xlfn.XLOOKUP(Tabela2[[#This Row],[inicio]],Tabela1[id],Tabela1[Cidade]))</f>
        <v xml:space="preserve"> "Porto Alegre"</v>
      </c>
      <c r="M46" t="str">
        <f>IF(Tabela2[[#This Row],[fim]]="","",_xlfn.XLOOKUP(Tabela2[[#This Row],[fim]],Tabela1[id],Tabela1[Cidade]))</f>
        <v xml:space="preserve"> "Florianópolis"</v>
      </c>
      <c r="N46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grafo.adicionarAresta(45,"BR-101",339.0,4693.0,"6","25");// "Porto Alegre"- "Florianópolis"</v>
      </c>
    </row>
    <row r="47" spans="6:14" x14ac:dyDescent="0.3">
      <c r="F47">
        <v>46</v>
      </c>
      <c r="G47" t="s">
        <v>120</v>
      </c>
      <c r="H47" s="4">
        <f>(4*60)+49</f>
        <v>289</v>
      </c>
      <c r="I47">
        <v>7</v>
      </c>
      <c r="J47">
        <v>17</v>
      </c>
      <c r="K47">
        <v>340</v>
      </c>
      <c r="L47" t="str">
        <f>IF(Tabela2[[#This Row],[inicio]]="","",_xlfn.XLOOKUP(Tabela2[[#This Row],[inicio]],Tabela1[id],Tabela1[Cidade]))</f>
        <v xml:space="preserve"> "Salvador"</v>
      </c>
      <c r="M47" t="str">
        <f>IF(Tabela2[[#This Row],[fim]]="","",_xlfn.XLOOKUP(Tabela2[[#This Row],[fim]],Tabela1[id],Tabela1[Cidade]))</f>
        <v xml:space="preserve"> "Aracaju"</v>
      </c>
      <c r="N47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grafo.adicionarAresta(46,"BA-099 ",289.0,340.0,"7","17");// "Salvador"- "Aracaju"</v>
      </c>
    </row>
    <row r="48" spans="6:14" x14ac:dyDescent="0.3">
      <c r="F48">
        <v>47</v>
      </c>
      <c r="G48" t="s">
        <v>107</v>
      </c>
      <c r="H48" s="4">
        <f>(20*60)+1</f>
        <v>1201</v>
      </c>
      <c r="I48">
        <v>7</v>
      </c>
      <c r="J48">
        <v>3</v>
      </c>
      <c r="K48">
        <v>1417</v>
      </c>
      <c r="L48" t="str">
        <f>IF(Tabela2[[#This Row],[inicio]]="","",_xlfn.XLOOKUP(Tabela2[[#This Row],[inicio]],Tabela1[id],Tabela1[Cidade]))</f>
        <v xml:space="preserve"> "Salvador"</v>
      </c>
      <c r="M48" t="str">
        <f>IF(Tabela2[[#This Row],[fim]]="","",_xlfn.XLOOKUP(Tabela2[[#This Row],[fim]],Tabela1[id],Tabela1[Cidade]))</f>
        <v xml:space="preserve"> "Belo Horizonte"</v>
      </c>
      <c r="N48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grafo.adicionarAresta(47,"BR-116 ",1201.0,1417.0,"7","3");// "Salvador"- "Belo Horizonte"</v>
      </c>
    </row>
    <row r="49" spans="6:14" x14ac:dyDescent="0.3">
      <c r="F49">
        <v>48</v>
      </c>
      <c r="G49" t="s">
        <v>117</v>
      </c>
      <c r="H49" s="4">
        <f>(19*60)+3</f>
        <v>1143</v>
      </c>
      <c r="I49">
        <v>7</v>
      </c>
      <c r="J49">
        <v>5</v>
      </c>
      <c r="K49">
        <v>1448</v>
      </c>
      <c r="L49" t="str">
        <f>IF(Tabela2[[#This Row],[inicio]]="","",_xlfn.XLOOKUP(Tabela2[[#This Row],[inicio]],Tabela1[id],Tabela1[Cidade]))</f>
        <v xml:space="preserve"> "Salvador"</v>
      </c>
      <c r="M49" t="str">
        <f>IF(Tabela2[[#This Row],[fim]]="","",_xlfn.XLOOKUP(Tabela2[[#This Row],[fim]],Tabela1[id],Tabela1[Cidade]))</f>
        <v xml:space="preserve"> "Brasília"</v>
      </c>
      <c r="N49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grafo.adicionarAresta(48,"BR-020 ",1143.0,1448.0,"7","5");// "Salvador"- "Brasília"</v>
      </c>
    </row>
    <row r="50" spans="6:14" x14ac:dyDescent="0.3">
      <c r="F50">
        <v>49</v>
      </c>
      <c r="G50" t="s">
        <v>107</v>
      </c>
      <c r="H50" s="4">
        <f>(17*60)+18</f>
        <v>1038</v>
      </c>
      <c r="I50">
        <v>7</v>
      </c>
      <c r="J50">
        <v>8</v>
      </c>
      <c r="K50">
        <v>1180</v>
      </c>
      <c r="L50" t="str">
        <f>IF(Tabela2[[#This Row],[inicio]]="","",_xlfn.XLOOKUP(Tabela2[[#This Row],[inicio]],Tabela1[id],Tabela1[Cidade]))</f>
        <v xml:space="preserve"> "Salvador"</v>
      </c>
      <c r="M50" t="str">
        <f>IF(Tabela2[[#This Row],[fim]]="","",_xlfn.XLOOKUP(Tabela2[[#This Row],[fim]],Tabela1[id],Tabela1[Cidade]))</f>
        <v xml:space="preserve"> "Fortaleza"</v>
      </c>
      <c r="N50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grafo.adicionarAresta(49,"BR-116 ",1038.0,1180.0,"7","8");// "Salvador"- "Fortaleza"</v>
      </c>
    </row>
    <row r="51" spans="6:14" x14ac:dyDescent="0.3">
      <c r="F51">
        <v>50</v>
      </c>
      <c r="G51" t="s">
        <v>108</v>
      </c>
      <c r="H51" s="4">
        <f>(19*60)+28</f>
        <v>1168</v>
      </c>
      <c r="I51">
        <v>7</v>
      </c>
      <c r="J51">
        <v>19</v>
      </c>
      <c r="K51">
        <v>1477</v>
      </c>
      <c r="L51" t="str">
        <f>IF(Tabela2[[#This Row],[inicio]]="","",_xlfn.XLOOKUP(Tabela2[[#This Row],[inicio]],Tabela1[id],Tabela1[Cidade]))</f>
        <v xml:space="preserve"> "Salvador"</v>
      </c>
      <c r="M51" t="str">
        <f>IF(Tabela2[[#This Row],[fim]]="","",_xlfn.XLOOKUP(Tabela2[[#This Row],[fim]],Tabela1[id],Tabela1[Cidade]))</f>
        <v xml:space="preserve"> "Palmas"</v>
      </c>
      <c r="N51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grafo.adicionarAresta(50,"BR-242 ",1168.0,1477.0,"7","19");// "Salvador"- "Palmas"</v>
      </c>
    </row>
    <row r="52" spans="6:14" x14ac:dyDescent="0.3">
      <c r="F52">
        <v>51</v>
      </c>
      <c r="G52" t="s">
        <v>107</v>
      </c>
      <c r="H52" s="4">
        <f>(24*60)+0</f>
        <v>1440</v>
      </c>
      <c r="I52">
        <v>7</v>
      </c>
      <c r="J52">
        <v>2</v>
      </c>
      <c r="K52">
        <v>1633</v>
      </c>
      <c r="L52" t="str">
        <f>IF(Tabela2[[#This Row],[inicio]]="","",_xlfn.XLOOKUP(Tabela2[[#This Row],[inicio]],Tabela1[id],Tabela1[Cidade]))</f>
        <v xml:space="preserve"> "Salvador"</v>
      </c>
      <c r="M52" t="str">
        <f>IF(Tabela2[[#This Row],[fim]]="","",_xlfn.XLOOKUP(Tabela2[[#This Row],[fim]],Tabela1[id],Tabela1[Cidade]))</f>
        <v xml:space="preserve"> "Rio de Janeiro"</v>
      </c>
      <c r="N52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grafo.adicionarAresta(51,"BR-116 ",1440.0,1633.0,"7","2");// "Salvador"- "Rio de Janeiro"</v>
      </c>
    </row>
    <row r="53" spans="6:14" x14ac:dyDescent="0.3">
      <c r="F53">
        <v>52</v>
      </c>
      <c r="G53" t="s">
        <v>119</v>
      </c>
      <c r="H53" s="4">
        <f>(16*60)+28</f>
        <v>988</v>
      </c>
      <c r="I53">
        <v>7</v>
      </c>
      <c r="J53">
        <v>24</v>
      </c>
      <c r="K53">
        <v>1150</v>
      </c>
      <c r="L53" t="str">
        <f>IF(Tabela2[[#This Row],[inicio]]="","",_xlfn.XLOOKUP(Tabela2[[#This Row],[inicio]],Tabela1[id],Tabela1[Cidade]))</f>
        <v xml:space="preserve"> "Salvador"</v>
      </c>
      <c r="M53" t="str">
        <f>IF(Tabela2[[#This Row],[fim]]="","",_xlfn.XLOOKUP(Tabela2[[#This Row],[fim]],Tabela1[id],Tabela1[Cidade]))</f>
        <v xml:space="preserve"> "Teresina"</v>
      </c>
      <c r="N53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grafo.adicionarAresta(52,"BR-407 ",988.0,1150.0,"7","24");// "Salvador"- "Teresina"</v>
      </c>
    </row>
    <row r="54" spans="6:14" x14ac:dyDescent="0.3">
      <c r="F54">
        <v>53</v>
      </c>
      <c r="G54" t="s">
        <v>118</v>
      </c>
      <c r="H54" s="4">
        <f>(18*60)+0</f>
        <v>1080</v>
      </c>
      <c r="I54">
        <v>7</v>
      </c>
      <c r="J54">
        <v>26</v>
      </c>
      <c r="K54">
        <v>1175</v>
      </c>
      <c r="L54" t="str">
        <f>IF(Tabela2[[#This Row],[inicio]]="","",_xlfn.XLOOKUP(Tabela2[[#This Row],[inicio]],Tabela1[id],Tabela1[Cidade]))</f>
        <v xml:space="preserve"> "Salvador"</v>
      </c>
      <c r="M54" t="str">
        <f>IF(Tabela2[[#This Row],[fim]]="","",_xlfn.XLOOKUP(Tabela2[[#This Row],[fim]],Tabela1[id],Tabela1[Cidade]))</f>
        <v xml:space="preserve"> "Vitória"</v>
      </c>
      <c r="N54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grafo.adicionarAresta(53,"BR-101 ",1080.0,1175.0,"7","26");// "Salvador"- "Vitória"</v>
      </c>
    </row>
    <row r="55" spans="6:14" x14ac:dyDescent="0.3">
      <c r="F55">
        <v>54</v>
      </c>
      <c r="G55" t="s">
        <v>136</v>
      </c>
      <c r="H55" s="4">
        <f>(15*60)+17</f>
        <v>917</v>
      </c>
      <c r="I55">
        <v>8</v>
      </c>
      <c r="J55">
        <v>17</v>
      </c>
      <c r="K55">
        <v>1101</v>
      </c>
      <c r="L55" t="str">
        <f>IF(Tabela2[[#This Row],[inicio]]="","",_xlfn.XLOOKUP(Tabela2[[#This Row],[inicio]],Tabela1[id],Tabela1[Cidade]))</f>
        <v xml:space="preserve"> "Fortaleza"</v>
      </c>
      <c r="M55" t="str">
        <f>IF(Tabela2[[#This Row],[fim]]="","",_xlfn.XLOOKUP(Tabela2[[#This Row],[fim]],Tabela1[id],Tabela1[Cidade]))</f>
        <v xml:space="preserve"> "Aracaju"</v>
      </c>
      <c r="N55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grafo.adicionarAresta(54,"BR-116 e BR-235",917.0,1101.0,"8","17");// "Fortaleza"- "Aracaju"</v>
      </c>
    </row>
    <row r="56" spans="6:14" x14ac:dyDescent="0.3">
      <c r="F56">
        <v>55</v>
      </c>
      <c r="G56" t="s">
        <v>107</v>
      </c>
      <c r="H56" s="4">
        <f>(34*60)+0</f>
        <v>2040</v>
      </c>
      <c r="I56">
        <v>8</v>
      </c>
      <c r="J56">
        <v>3</v>
      </c>
      <c r="K56">
        <v>2366</v>
      </c>
      <c r="L56" t="str">
        <f>IF(Tabela2[[#This Row],[inicio]]="","",_xlfn.XLOOKUP(Tabela2[[#This Row],[inicio]],Tabela1[id],Tabela1[Cidade]))</f>
        <v xml:space="preserve"> "Fortaleza"</v>
      </c>
      <c r="M56" t="str">
        <f>IF(Tabela2[[#This Row],[fim]]="","",_xlfn.XLOOKUP(Tabela2[[#This Row],[fim]],Tabela1[id],Tabela1[Cidade]))</f>
        <v xml:space="preserve"> "Belo Horizonte"</v>
      </c>
      <c r="N56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grafo.adicionarAresta(55,"BR-116 ",2040.0,2366.0,"8","3");// "Fortaleza"- "Belo Horizonte"</v>
      </c>
    </row>
    <row r="57" spans="6:14" x14ac:dyDescent="0.3">
      <c r="F57">
        <v>56</v>
      </c>
      <c r="G57" t="s">
        <v>138</v>
      </c>
      <c r="H57" s="4">
        <f>(28*60)+0</f>
        <v>1680</v>
      </c>
      <c r="I57">
        <v>8</v>
      </c>
      <c r="J57">
        <v>5</v>
      </c>
      <c r="K57">
        <v>2122</v>
      </c>
      <c r="L57" t="str">
        <f>IF(Tabela2[[#This Row],[inicio]]="","",_xlfn.XLOOKUP(Tabela2[[#This Row],[inicio]],Tabela1[id],Tabela1[Cidade]))</f>
        <v xml:space="preserve"> "Fortaleza"</v>
      </c>
      <c r="M57" t="str">
        <f>IF(Tabela2[[#This Row],[fim]]="","",_xlfn.XLOOKUP(Tabela2[[#This Row],[fim]],Tabela1[id],Tabela1[Cidade]))</f>
        <v xml:space="preserve"> "Brasília"</v>
      </c>
      <c r="N57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grafo.adicionarAresta(56,"BR-135 e BR-020",1680.0,2122.0,"8","5");// "Fortaleza"- "Brasília"</v>
      </c>
    </row>
    <row r="58" spans="6:14" x14ac:dyDescent="0.3">
      <c r="F58">
        <v>57</v>
      </c>
      <c r="G58" t="s">
        <v>86</v>
      </c>
      <c r="H58" s="4">
        <f>(41*60)+0</f>
        <v>2460</v>
      </c>
      <c r="I58">
        <v>8</v>
      </c>
      <c r="J58">
        <v>14</v>
      </c>
      <c r="K58">
        <v>3167</v>
      </c>
      <c r="L58" t="str">
        <f>IF(Tabela2[[#This Row],[inicio]]="","",_xlfn.XLOOKUP(Tabela2[[#This Row],[inicio]],Tabela1[id],Tabela1[Cidade]))</f>
        <v xml:space="preserve"> "Fortaleza"</v>
      </c>
      <c r="M58" t="str">
        <f>IF(Tabela2[[#This Row],[fim]]="","",_xlfn.XLOOKUP(Tabela2[[#This Row],[fim]],Tabela1[id],Tabela1[Cidade]))</f>
        <v xml:space="preserve"> "Cuiabá"</v>
      </c>
      <c r="N58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grafo.adicionarAresta(57,"BR-070",2460.0,3167.0,"8","14");// "Fortaleza"- "Cuiabá"</v>
      </c>
    </row>
    <row r="59" spans="6:14" x14ac:dyDescent="0.3">
      <c r="F59">
        <v>58</v>
      </c>
      <c r="G59" t="s">
        <v>110</v>
      </c>
      <c r="H59" s="4">
        <f>(10*60)+31</f>
        <v>631</v>
      </c>
      <c r="I59">
        <v>8</v>
      </c>
      <c r="J59">
        <v>15</v>
      </c>
      <c r="K59">
        <v>742</v>
      </c>
      <c r="L59" t="str">
        <f>IF(Tabela2[[#This Row],[inicio]]="","",_xlfn.XLOOKUP(Tabela2[[#This Row],[inicio]],Tabela1[id],Tabela1[Cidade]))</f>
        <v xml:space="preserve"> "Fortaleza"</v>
      </c>
      <c r="M59" t="str">
        <f>IF(Tabela2[[#This Row],[fim]]="","",_xlfn.XLOOKUP(Tabela2[[#This Row],[fim]],Tabela1[id],Tabela1[Cidade]))</f>
        <v xml:space="preserve"> "João Pessoa"</v>
      </c>
      <c r="N59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grafo.adicionarAresta(58,"BR-230",631.0,742.0,"8","15");// "Fortaleza"- "João Pessoa"</v>
      </c>
    </row>
    <row r="60" spans="6:14" x14ac:dyDescent="0.3">
      <c r="F60">
        <v>59</v>
      </c>
      <c r="G60" t="s">
        <v>135</v>
      </c>
      <c r="H60" s="4">
        <f>(13*60)+57</f>
        <v>837</v>
      </c>
      <c r="I60">
        <v>8</v>
      </c>
      <c r="J60">
        <v>16</v>
      </c>
      <c r="K60">
        <v>949</v>
      </c>
      <c r="L60" t="str">
        <f>IF(Tabela2[[#This Row],[inicio]]="","",_xlfn.XLOOKUP(Tabela2[[#This Row],[inicio]],Tabela1[id],Tabela1[Cidade]))</f>
        <v xml:space="preserve"> "Fortaleza"</v>
      </c>
      <c r="M60" t="str">
        <f>IF(Tabela2[[#This Row],[fim]]="","",_xlfn.XLOOKUP(Tabela2[[#This Row],[fim]],Tabela1[id],Tabela1[Cidade]))</f>
        <v xml:space="preserve"> "Maceió"</v>
      </c>
      <c r="N60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grafo.adicionarAresta(59,"BR-104",837.0,949.0,"8","16");// "Fortaleza"- "Maceió"</v>
      </c>
    </row>
    <row r="61" spans="6:14" x14ac:dyDescent="0.3">
      <c r="F61">
        <v>60</v>
      </c>
      <c r="G61" t="s">
        <v>134</v>
      </c>
      <c r="H61" s="4">
        <f>(7*60)+19</f>
        <v>439</v>
      </c>
      <c r="I61">
        <v>8</v>
      </c>
      <c r="J61">
        <v>18</v>
      </c>
      <c r="K61">
        <v>524</v>
      </c>
      <c r="L61" t="str">
        <f>IF(Tabela2[[#This Row],[inicio]]="","",_xlfn.XLOOKUP(Tabela2[[#This Row],[inicio]],Tabela1[id],Tabela1[Cidade]))</f>
        <v xml:space="preserve"> "Fortaleza"</v>
      </c>
      <c r="M61" t="str">
        <f>IF(Tabela2[[#This Row],[fim]]="","",_xlfn.XLOOKUP(Tabela2[[#This Row],[fim]],Tabela1[id],Tabela1[Cidade]))</f>
        <v xml:space="preserve"> "Natal"</v>
      </c>
      <c r="N61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grafo.adicionarAresta(60,"BR-304",439.0,524.0,"8","18");// "Fortaleza"- "Natal"</v>
      </c>
    </row>
    <row r="62" spans="6:14" x14ac:dyDescent="0.3">
      <c r="F62">
        <v>61</v>
      </c>
      <c r="G62" t="s">
        <v>139</v>
      </c>
      <c r="H62" s="4">
        <f>(23*60)+56</f>
        <v>1436</v>
      </c>
      <c r="I62">
        <v>8</v>
      </c>
      <c r="J62">
        <v>19</v>
      </c>
      <c r="K62">
        <v>1729</v>
      </c>
      <c r="L62" t="str">
        <f>IF(Tabela2[[#This Row],[inicio]]="","",_xlfn.XLOOKUP(Tabela2[[#This Row],[inicio]],Tabela1[id],Tabela1[Cidade]))</f>
        <v xml:space="preserve"> "Fortaleza"</v>
      </c>
      <c r="M62" t="str">
        <f>IF(Tabela2[[#This Row],[fim]]="","",_xlfn.XLOOKUP(Tabela2[[#This Row],[fim]],Tabela1[id],Tabela1[Cidade]))</f>
        <v xml:space="preserve"> "Palmas"</v>
      </c>
      <c r="N62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grafo.adicionarAresta(61,"BR-020 e BR-230",1436.0,1729.0,"8","19");// "Fortaleza"- "Palmas"</v>
      </c>
    </row>
    <row r="63" spans="6:14" x14ac:dyDescent="0.3">
      <c r="F63">
        <v>62</v>
      </c>
      <c r="G63" t="s">
        <v>110</v>
      </c>
      <c r="H63" s="4">
        <f>(12*60)+16</f>
        <v>736</v>
      </c>
      <c r="I63">
        <v>8</v>
      </c>
      <c r="J63">
        <v>9</v>
      </c>
      <c r="K63">
        <v>813</v>
      </c>
      <c r="L63" t="str">
        <f>IF(Tabela2[[#This Row],[inicio]]="","",_xlfn.XLOOKUP(Tabela2[[#This Row],[inicio]],Tabela1[id],Tabela1[Cidade]))</f>
        <v xml:space="preserve"> "Fortaleza"</v>
      </c>
      <c r="M63" t="str">
        <f>IF(Tabela2[[#This Row],[fim]]="","",_xlfn.XLOOKUP(Tabela2[[#This Row],[fim]],Tabela1[id],Tabela1[Cidade]))</f>
        <v xml:space="preserve"> "Recife"</v>
      </c>
      <c r="N63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grafo.adicionarAresta(62,"BR-230",736.0,813.0,"8","9");// "Fortaleza"- "Recife"</v>
      </c>
    </row>
    <row r="64" spans="6:14" x14ac:dyDescent="0.3">
      <c r="F64">
        <v>63</v>
      </c>
      <c r="G64" t="s">
        <v>107</v>
      </c>
      <c r="H64" s="4">
        <f>(16*60)+59</f>
        <v>1019</v>
      </c>
      <c r="I64">
        <v>8</v>
      </c>
      <c r="J64">
        <v>7</v>
      </c>
      <c r="K64">
        <v>1188</v>
      </c>
      <c r="L64" t="str">
        <f>IF(Tabela2[[#This Row],[inicio]]="","",_xlfn.XLOOKUP(Tabela2[[#This Row],[inicio]],Tabela1[id],Tabela1[Cidade]))</f>
        <v xml:space="preserve"> "Fortaleza"</v>
      </c>
      <c r="M64" t="str">
        <f>IF(Tabela2[[#This Row],[fim]]="","",_xlfn.XLOOKUP(Tabela2[[#This Row],[fim]],Tabela1[id],Tabela1[Cidade]))</f>
        <v xml:space="preserve"> "Salvador"</v>
      </c>
      <c r="N64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grafo.adicionarAresta(63,"BR-116 ",1019.0,1188.0,"8","7");// "Fortaleza"- "Salvador"</v>
      </c>
    </row>
    <row r="65" spans="6:14" x14ac:dyDescent="0.3">
      <c r="F65">
        <v>64</v>
      </c>
      <c r="G65" t="s">
        <v>140</v>
      </c>
      <c r="H65" s="4">
        <f>(12*60)+56</f>
        <v>776</v>
      </c>
      <c r="I65">
        <v>8</v>
      </c>
      <c r="J65">
        <v>27</v>
      </c>
      <c r="K65">
        <v>899</v>
      </c>
      <c r="L65" t="str">
        <f>IF(Tabela2[[#This Row],[inicio]]="","",_xlfn.XLOOKUP(Tabela2[[#This Row],[inicio]],Tabela1[id],Tabela1[Cidade]))</f>
        <v xml:space="preserve"> "Fortaleza"</v>
      </c>
      <c r="M65" t="str">
        <f>IF(Tabela2[[#This Row],[fim]]="","",_xlfn.XLOOKUP(Tabela2[[#This Row],[fim]],Tabela1[id],Tabela1[Cidade]))</f>
        <v xml:space="preserve"> "São Luís"</v>
      </c>
      <c r="N65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grafo.adicionarAresta(64,"CE-085  e BR-402",776.0,899.0,"8","27");// "Fortaleza"- "São Luís"</v>
      </c>
    </row>
    <row r="66" spans="6:14" x14ac:dyDescent="0.3">
      <c r="F66">
        <v>65</v>
      </c>
      <c r="G66" t="s">
        <v>141</v>
      </c>
      <c r="H66" s="4">
        <f>(8*60)+33</f>
        <v>513</v>
      </c>
      <c r="I66">
        <v>8</v>
      </c>
      <c r="J66">
        <v>24</v>
      </c>
      <c r="K66">
        <v>606</v>
      </c>
      <c r="L66" t="str">
        <f>IF(Tabela2[[#This Row],[inicio]]="","",_xlfn.XLOOKUP(Tabela2[[#This Row],[inicio]],Tabela1[id],Tabela1[Cidade]))</f>
        <v xml:space="preserve"> "Fortaleza"</v>
      </c>
      <c r="M66" t="str">
        <f>IF(Tabela2[[#This Row],[fim]]="","",_xlfn.XLOOKUP(Tabela2[[#This Row],[fim]],Tabela1[id],Tabela1[Cidade]))</f>
        <v xml:space="preserve"> "Teresina"</v>
      </c>
      <c r="N66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grafo.adicionarAresta(65,"BR-222 e BR-343",513.0,606.0,"8","24");// "Fortaleza"- "Teresina"</v>
      </c>
    </row>
    <row r="67" spans="6:14" x14ac:dyDescent="0.3">
      <c r="F67">
        <v>66</v>
      </c>
      <c r="G67" t="s">
        <v>137</v>
      </c>
      <c r="H67" s="4">
        <f>(33*60)+0</f>
        <v>1980</v>
      </c>
      <c r="I67">
        <v>8</v>
      </c>
      <c r="J67">
        <v>26</v>
      </c>
      <c r="K67">
        <v>2158</v>
      </c>
      <c r="L67" t="str">
        <f>IF(Tabela2[[#This Row],[inicio]]="","",_xlfn.XLOOKUP(Tabela2[[#This Row],[inicio]],Tabela1[id],Tabela1[Cidade]))</f>
        <v xml:space="preserve"> "Fortaleza"</v>
      </c>
      <c r="M67" t="str">
        <f>IF(Tabela2[[#This Row],[fim]]="","",_xlfn.XLOOKUP(Tabela2[[#This Row],[fim]],Tabela1[id],Tabela1[Cidade]))</f>
        <v xml:space="preserve"> "Vitória"</v>
      </c>
      <c r="N67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grafo.adicionarAresta(66,"BR-116  e BR-101",1980.0,2158.0,"8","26");// "Fortaleza"- "Vitória"</v>
      </c>
    </row>
    <row r="68" spans="6:14" x14ac:dyDescent="0.3">
      <c r="F68">
        <v>67</v>
      </c>
      <c r="G68" t="s">
        <v>127</v>
      </c>
      <c r="H68" s="4">
        <f>(7*60)+21</f>
        <v>441</v>
      </c>
      <c r="I68">
        <v>9</v>
      </c>
      <c r="J68">
        <v>17</v>
      </c>
      <c r="K68">
        <v>500</v>
      </c>
      <c r="L68" t="str">
        <f>IF(Tabela2[[#This Row],[inicio]]="","",_xlfn.XLOOKUP(Tabela2[[#This Row],[inicio]],Tabela1[id],Tabela1[Cidade]))</f>
        <v xml:space="preserve"> "Recife"</v>
      </c>
      <c r="M68" t="str">
        <f>IF(Tabela2[[#This Row],[fim]]="","",_xlfn.XLOOKUP(Tabela2[[#This Row],[fim]],Tabela1[id],Tabela1[Cidade]))</f>
        <v xml:space="preserve"> "Aracaju"</v>
      </c>
      <c r="N68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grafo.adicionarAresta(67,"BA-101 ",441.0,500.0,"9","17");// "Recife"- "Aracaju"</v>
      </c>
    </row>
    <row r="69" spans="6:14" x14ac:dyDescent="0.3">
      <c r="F69">
        <v>68</v>
      </c>
      <c r="G69" t="s">
        <v>82</v>
      </c>
      <c r="H69" s="4">
        <f>(30*60)+0</f>
        <v>1800</v>
      </c>
      <c r="I69">
        <v>9</v>
      </c>
      <c r="J69">
        <v>5</v>
      </c>
      <c r="K69">
        <v>2107</v>
      </c>
      <c r="L69" t="str">
        <f>IF(Tabela2[[#This Row],[inicio]]="","",_xlfn.XLOOKUP(Tabela2[[#This Row],[inicio]],Tabela1[id],Tabela1[Cidade]))</f>
        <v xml:space="preserve"> "Recife"</v>
      </c>
      <c r="M69" t="str">
        <f>IF(Tabela2[[#This Row],[fim]]="","",_xlfn.XLOOKUP(Tabela2[[#This Row],[fim]],Tabela1[id],Tabela1[Cidade]))</f>
        <v xml:space="preserve"> "Brasília"</v>
      </c>
      <c r="N69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grafo.adicionarAresta(68,"BR-020",1800.0,2107.0,"9","5");// "Recife"- "Brasília"</v>
      </c>
    </row>
    <row r="70" spans="6:14" x14ac:dyDescent="0.3">
      <c r="F70">
        <v>69</v>
      </c>
      <c r="G70" t="s">
        <v>110</v>
      </c>
      <c r="H70" s="4">
        <f>(12*60)+18</f>
        <v>738</v>
      </c>
      <c r="I70">
        <v>9</v>
      </c>
      <c r="J70">
        <v>8</v>
      </c>
      <c r="K70">
        <v>777</v>
      </c>
      <c r="L70" t="str">
        <f>IF(Tabela2[[#This Row],[inicio]]="","",_xlfn.XLOOKUP(Tabela2[[#This Row],[inicio]],Tabela1[id],Tabela1[Cidade]))</f>
        <v xml:space="preserve"> "Recife"</v>
      </c>
      <c r="M70" t="str">
        <f>IF(Tabela2[[#This Row],[fim]]="","",_xlfn.XLOOKUP(Tabela2[[#This Row],[fim]],Tabela1[id],Tabela1[Cidade]))</f>
        <v xml:space="preserve"> "Fortaleza"</v>
      </c>
      <c r="N70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grafo.adicionarAresta(69,"BR-230",738.0,777.0,"9","8");// "Recife"- "Fortaleza"</v>
      </c>
    </row>
    <row r="71" spans="6:14" x14ac:dyDescent="0.3">
      <c r="F71">
        <v>70</v>
      </c>
      <c r="G71" t="s">
        <v>118</v>
      </c>
      <c r="H71" s="4">
        <f>(2*60)+13</f>
        <v>133</v>
      </c>
      <c r="I71">
        <v>9</v>
      </c>
      <c r="J71">
        <v>15</v>
      </c>
      <c r="K71">
        <v>116</v>
      </c>
      <c r="L71" t="str">
        <f>IF(Tabela2[[#This Row],[inicio]]="","",_xlfn.XLOOKUP(Tabela2[[#This Row],[inicio]],Tabela1[id],Tabela1[Cidade]))</f>
        <v xml:space="preserve"> "Recife"</v>
      </c>
      <c r="M71" t="str">
        <f>IF(Tabela2[[#This Row],[fim]]="","",_xlfn.XLOOKUP(Tabela2[[#This Row],[fim]],Tabela1[id],Tabela1[Cidade]))</f>
        <v xml:space="preserve"> "João Pessoa"</v>
      </c>
      <c r="N71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grafo.adicionarAresta(70,"BR-101 ",133.0,116.0,"9","15");// "Recife"- "João Pessoa"</v>
      </c>
    </row>
    <row r="72" spans="6:14" x14ac:dyDescent="0.3">
      <c r="F72">
        <v>71</v>
      </c>
      <c r="G72" t="s">
        <v>123</v>
      </c>
      <c r="H72" s="4">
        <f>(3*60)+58</f>
        <v>238</v>
      </c>
      <c r="I72">
        <v>9</v>
      </c>
      <c r="J72">
        <v>16</v>
      </c>
      <c r="K72">
        <v>257</v>
      </c>
      <c r="L72" t="str">
        <f>IF(Tabela2[[#This Row],[inicio]]="","",_xlfn.XLOOKUP(Tabela2[[#This Row],[inicio]],Tabela1[id],Tabela1[Cidade]))</f>
        <v xml:space="preserve"> "Recife"</v>
      </c>
      <c r="M72" t="str">
        <f>IF(Tabela2[[#This Row],[fim]]="","",_xlfn.XLOOKUP(Tabela2[[#This Row],[fim]],Tabela1[id],Tabela1[Cidade]))</f>
        <v xml:space="preserve"> "Maceió"</v>
      </c>
      <c r="N72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grafo.adicionarAresta(71,"Rod, prestes maia e BR-101",238.0,257.0,"9","16");// "Recife"- "Maceió"</v>
      </c>
    </row>
    <row r="73" spans="6:14" x14ac:dyDescent="0.3">
      <c r="F73">
        <v>72</v>
      </c>
      <c r="G73" t="s">
        <v>92</v>
      </c>
      <c r="H73" s="4">
        <f>(72*60)+0</f>
        <v>4320</v>
      </c>
      <c r="I73">
        <v>9</v>
      </c>
      <c r="J73">
        <v>10</v>
      </c>
      <c r="K73">
        <v>4611</v>
      </c>
      <c r="L73" t="str">
        <f>IF(Tabela2[[#This Row],[inicio]]="","",_xlfn.XLOOKUP(Tabela2[[#This Row],[inicio]],Tabela1[id],Tabela1[Cidade]))</f>
        <v xml:space="preserve"> "Recife"</v>
      </c>
      <c r="M73" t="str">
        <f>IF(Tabela2[[#This Row],[fim]]="","",_xlfn.XLOOKUP(Tabela2[[#This Row],[fim]],Tabela1[id],Tabela1[Cidade]))</f>
        <v xml:space="preserve"> "Manaus"</v>
      </c>
      <c r="N73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grafo.adicionarAresta(72,"Rod.Transamazonica e BR-230",4320.0,4611.0,"9","10");// "Recife"- "Manaus"</v>
      </c>
    </row>
    <row r="74" spans="6:14" x14ac:dyDescent="0.3">
      <c r="F74">
        <v>73</v>
      </c>
      <c r="G74" t="s">
        <v>128</v>
      </c>
      <c r="H74" s="4">
        <f>(28*60)+0</f>
        <v>1680</v>
      </c>
      <c r="I74">
        <v>9</v>
      </c>
      <c r="J74">
        <v>19</v>
      </c>
      <c r="K74">
        <v>2009</v>
      </c>
      <c r="L74" t="str">
        <f>IF(Tabela2[[#This Row],[inicio]]="","",_xlfn.XLOOKUP(Tabela2[[#This Row],[inicio]],Tabela1[id],Tabela1[Cidade]))</f>
        <v xml:space="preserve"> "Recife"</v>
      </c>
      <c r="M74" t="str">
        <f>IF(Tabela2[[#This Row],[fim]]="","",_xlfn.XLOOKUP(Tabela2[[#This Row],[fim]],Tabela1[id],Tabela1[Cidade]))</f>
        <v xml:space="preserve"> "Palmas"</v>
      </c>
      <c r="N74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grafo.adicionarAresta(73,"BR-232 e BR-230",1680.0,2009.0,"9","19");// "Recife"- "Palmas"</v>
      </c>
    </row>
    <row r="75" spans="6:14" x14ac:dyDescent="0.3">
      <c r="F75">
        <v>74</v>
      </c>
      <c r="G75" t="s">
        <v>92</v>
      </c>
      <c r="H75" s="4">
        <f>(62*60)+0</f>
        <v>3720</v>
      </c>
      <c r="I75">
        <v>9</v>
      </c>
      <c r="J75">
        <v>21</v>
      </c>
      <c r="K75">
        <v>4120</v>
      </c>
      <c r="L75" t="str">
        <f>IF(Tabela2[[#This Row],[inicio]]="","",_xlfn.XLOOKUP(Tabela2[[#This Row],[inicio]],Tabela1[id],Tabela1[Cidade]))</f>
        <v xml:space="preserve"> "Recife"</v>
      </c>
      <c r="M75" t="str">
        <f>IF(Tabela2[[#This Row],[fim]]="","",_xlfn.XLOOKUP(Tabela2[[#This Row],[fim]],Tabela1[id],Tabela1[Cidade]))</f>
        <v xml:space="preserve"> "Porto Velho"</v>
      </c>
      <c r="N75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grafo.adicionarAresta(74,"Rod.Transamazonica e BR-230",3720.0,4120.0,"9","21");// "Recife"- "Porto Velho"</v>
      </c>
    </row>
    <row r="76" spans="6:14" x14ac:dyDescent="0.3">
      <c r="F76">
        <v>75</v>
      </c>
      <c r="G76" t="s">
        <v>129</v>
      </c>
      <c r="H76" s="4">
        <f>(16*60)+20</f>
        <v>980</v>
      </c>
      <c r="I76">
        <v>9</v>
      </c>
      <c r="J76">
        <v>24</v>
      </c>
      <c r="K76">
        <v>1125</v>
      </c>
      <c r="L76" t="str">
        <f>IF(Tabela2[[#This Row],[inicio]]="","",_xlfn.XLOOKUP(Tabela2[[#This Row],[inicio]],Tabela1[id],Tabela1[Cidade]))</f>
        <v xml:space="preserve"> "Recife"</v>
      </c>
      <c r="M76" t="str">
        <f>IF(Tabela2[[#This Row],[fim]]="","",_xlfn.XLOOKUP(Tabela2[[#This Row],[fim]],Tabela1[id],Tabela1[Cidade]))</f>
        <v xml:space="preserve"> "Teresina"</v>
      </c>
      <c r="N76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grafo.adicionarAresta(75,"BR-232 e BR-316",980.0,1125.0,"9","24");// "Recife"- "Teresina"</v>
      </c>
    </row>
    <row r="77" spans="6:14" x14ac:dyDescent="0.3">
      <c r="F77">
        <v>76</v>
      </c>
      <c r="G77" t="s">
        <v>92</v>
      </c>
      <c r="H77" s="4">
        <f>(51*60)+0</f>
        <v>3060</v>
      </c>
      <c r="I77">
        <v>10</v>
      </c>
      <c r="J77">
        <v>11</v>
      </c>
      <c r="K77">
        <v>2994</v>
      </c>
      <c r="L77" t="str">
        <f>IF(Tabela2[[#This Row],[inicio]]="","",_xlfn.XLOOKUP(Tabela2[[#This Row],[inicio]],Tabela1[id],Tabela1[Cidade]))</f>
        <v xml:space="preserve"> "Manaus"</v>
      </c>
      <c r="M77" t="str">
        <f>IF(Tabela2[[#This Row],[fim]]="","",_xlfn.XLOOKUP(Tabela2[[#This Row],[fim]],Tabela1[id],Tabela1[Cidade]))</f>
        <v xml:space="preserve"> "Belém"</v>
      </c>
      <c r="N77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grafo.adicionarAresta(76,"Rod.Transamazonica e BR-230",3060.0,2994.0,"10","11");// "Manaus"- "Belém"</v>
      </c>
    </row>
    <row r="78" spans="6:14" x14ac:dyDescent="0.3">
      <c r="F78">
        <v>77</v>
      </c>
      <c r="G78" t="s">
        <v>96</v>
      </c>
      <c r="H78" s="4">
        <f>(9*60)+54</f>
        <v>594</v>
      </c>
      <c r="I78">
        <v>10</v>
      </c>
      <c r="J78">
        <v>20</v>
      </c>
      <c r="K78">
        <v>747</v>
      </c>
      <c r="L78" t="str">
        <f>IF(Tabela2[[#This Row],[inicio]]="","",_xlfn.XLOOKUP(Tabela2[[#This Row],[inicio]],Tabela1[id],Tabela1[Cidade]))</f>
        <v xml:space="preserve"> "Manaus"</v>
      </c>
      <c r="M78" t="str">
        <f>IF(Tabela2[[#This Row],[fim]]="","",_xlfn.XLOOKUP(Tabela2[[#This Row],[fim]],Tabela1[id],Tabela1[Cidade]))</f>
        <v xml:space="preserve"> "Boa Vista"</v>
      </c>
      <c r="N78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grafo.adicionarAresta(77,"BR-174 e BR-432",594.0,747.0,"10","20");// "Manaus"- "Boa Vista"</v>
      </c>
    </row>
    <row r="79" spans="6:14" x14ac:dyDescent="0.3">
      <c r="F79">
        <v>78</v>
      </c>
      <c r="G79" t="s">
        <v>92</v>
      </c>
      <c r="H79" s="4">
        <f>(54*60)+0</f>
        <v>3240</v>
      </c>
      <c r="I79">
        <v>10</v>
      </c>
      <c r="J79">
        <v>19</v>
      </c>
      <c r="K79">
        <v>3391</v>
      </c>
      <c r="L79" t="str">
        <f>IF(Tabela2[[#This Row],[inicio]]="","",_xlfn.XLOOKUP(Tabela2[[#This Row],[inicio]],Tabela1[id],Tabela1[Cidade]))</f>
        <v xml:space="preserve"> "Manaus"</v>
      </c>
      <c r="M79" t="str">
        <f>IF(Tabela2[[#This Row],[fim]]="","",_xlfn.XLOOKUP(Tabela2[[#This Row],[fim]],Tabela1[id],Tabela1[Cidade]))</f>
        <v xml:space="preserve"> "Palmas"</v>
      </c>
      <c r="N79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grafo.adicionarAresta(78,"Rod.Transamazonica e BR-230",3240.0,3391.0,"10","19");// "Manaus"- "Palmas"</v>
      </c>
    </row>
    <row r="80" spans="6:14" x14ac:dyDescent="0.3">
      <c r="F80">
        <v>79</v>
      </c>
      <c r="G80" t="s">
        <v>95</v>
      </c>
      <c r="H80" s="4">
        <f>(14*60)+46</f>
        <v>886</v>
      </c>
      <c r="I80">
        <v>10</v>
      </c>
      <c r="J80">
        <v>21</v>
      </c>
      <c r="K80">
        <v>889</v>
      </c>
      <c r="L80" t="str">
        <f>IF(Tabela2[[#This Row],[inicio]]="","",_xlfn.XLOOKUP(Tabela2[[#This Row],[inicio]],Tabela1[id],Tabela1[Cidade]))</f>
        <v xml:space="preserve"> "Manaus"</v>
      </c>
      <c r="M80" t="str">
        <f>IF(Tabela2[[#This Row],[fim]]="","",_xlfn.XLOOKUP(Tabela2[[#This Row],[fim]],Tabela1[id],Tabela1[Cidade]))</f>
        <v xml:space="preserve"> "Porto Velho"</v>
      </c>
      <c r="N80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grafo.adicionarAresta(79,"Rod.Transamazonica e BR-219",886.0,889.0,"10","21");// "Manaus"- "Porto Velho"</v>
      </c>
    </row>
    <row r="81" spans="6:14" x14ac:dyDescent="0.3">
      <c r="F81">
        <v>80</v>
      </c>
      <c r="G81" t="s">
        <v>92</v>
      </c>
      <c r="H81" s="4">
        <f>(58*60)+0</f>
        <v>3480</v>
      </c>
      <c r="I81">
        <v>10</v>
      </c>
      <c r="J81">
        <v>27</v>
      </c>
      <c r="K81">
        <v>3536</v>
      </c>
      <c r="L81" t="str">
        <f>IF(Tabela2[[#This Row],[inicio]]="","",_xlfn.XLOOKUP(Tabela2[[#This Row],[inicio]],Tabela1[id],Tabela1[Cidade]))</f>
        <v xml:space="preserve"> "Manaus"</v>
      </c>
      <c r="M81" t="str">
        <f>IF(Tabela2[[#This Row],[fim]]="","",_xlfn.XLOOKUP(Tabela2[[#This Row],[fim]],Tabela1[id],Tabela1[Cidade]))</f>
        <v xml:space="preserve"> "São Luís"</v>
      </c>
      <c r="N81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grafo.adicionarAresta(80,"Rod.Transamazonica e BR-230",3480.0,3536.0,"10","27");// "Manaus"- "São Luís"</v>
      </c>
    </row>
    <row r="82" spans="6:14" x14ac:dyDescent="0.3">
      <c r="F82">
        <v>81</v>
      </c>
      <c r="G82" t="s">
        <v>92</v>
      </c>
      <c r="H82" s="4">
        <f>(57*60)+0</f>
        <v>3420</v>
      </c>
      <c r="I82">
        <v>10</v>
      </c>
      <c r="J82">
        <v>24</v>
      </c>
      <c r="K82">
        <v>3572</v>
      </c>
      <c r="L82" t="str">
        <f>IF(Tabela2[[#This Row],[inicio]]="","",_xlfn.XLOOKUP(Tabela2[[#This Row],[inicio]],Tabela1[id],Tabela1[Cidade]))</f>
        <v xml:space="preserve"> "Manaus"</v>
      </c>
      <c r="M82" t="str">
        <f>IF(Tabela2[[#This Row],[fim]]="","",_xlfn.XLOOKUP(Tabela2[[#This Row],[fim]],Tabela1[id],Tabela1[Cidade]))</f>
        <v xml:space="preserve"> "Teresina"</v>
      </c>
      <c r="N82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grafo.adicionarAresta(81,"Rod.Transamazonica e BR-230",3420.0,3572.0,"10","24");// "Manaus"- "Teresina"</v>
      </c>
    </row>
    <row r="83" spans="6:14" x14ac:dyDescent="0.3">
      <c r="F83">
        <v>82</v>
      </c>
      <c r="G83" t="s">
        <v>100</v>
      </c>
      <c r="H83" s="4">
        <f>(28*60)+0</f>
        <v>1680</v>
      </c>
      <c r="I83">
        <v>11</v>
      </c>
      <c r="J83">
        <v>5</v>
      </c>
      <c r="K83">
        <v>1956</v>
      </c>
      <c r="L83" t="str">
        <f>IF(Tabela2[[#This Row],[inicio]]="","",_xlfn.XLOOKUP(Tabela2[[#This Row],[inicio]],Tabela1[id],Tabela1[Cidade]))</f>
        <v xml:space="preserve"> "Belém"</v>
      </c>
      <c r="M83" t="str">
        <f>IF(Tabela2[[#This Row],[fim]]="","",_xlfn.XLOOKUP(Tabela2[[#This Row],[fim]],Tabela1[id],Tabela1[Cidade]))</f>
        <v xml:space="preserve"> "Brasília"</v>
      </c>
      <c r="N83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grafo.adicionarAresta(82,"BR-010 ",1680.0,1956.0,"11","5");// "Belém"- "Brasília"</v>
      </c>
    </row>
    <row r="84" spans="6:14" x14ac:dyDescent="0.3">
      <c r="F84">
        <v>83</v>
      </c>
      <c r="G84" t="s">
        <v>100</v>
      </c>
      <c r="H84" s="4">
        <f>(39*60)+0</f>
        <v>2340</v>
      </c>
      <c r="I84">
        <v>11</v>
      </c>
      <c r="J84">
        <v>13</v>
      </c>
      <c r="K84">
        <v>2859</v>
      </c>
      <c r="L84" t="str">
        <f>IF(Tabela2[[#This Row],[inicio]]="","",_xlfn.XLOOKUP(Tabela2[[#This Row],[inicio]],Tabela1[id],Tabela1[Cidade]))</f>
        <v xml:space="preserve"> "Belém"</v>
      </c>
      <c r="M84" t="str">
        <f>IF(Tabela2[[#This Row],[fim]]="","",_xlfn.XLOOKUP(Tabela2[[#This Row],[fim]],Tabela1[id],Tabela1[Cidade]))</f>
        <v xml:space="preserve"> "Campo Grande"</v>
      </c>
      <c r="N84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grafo.adicionarAresta(83,"BR-010 ",2340.0,2859.0,"11","13");// "Belém"- "Campo Grande"</v>
      </c>
    </row>
    <row r="85" spans="6:14" x14ac:dyDescent="0.3">
      <c r="F85">
        <v>84</v>
      </c>
      <c r="G85" t="s">
        <v>99</v>
      </c>
      <c r="H85" s="4">
        <f>(35*60)+0</f>
        <v>2100</v>
      </c>
      <c r="I85">
        <v>11</v>
      </c>
      <c r="J85">
        <v>14</v>
      </c>
      <c r="K85">
        <v>2327</v>
      </c>
      <c r="L85" t="str">
        <f>IF(Tabela2[[#This Row],[inicio]]="","",_xlfn.XLOOKUP(Tabela2[[#This Row],[inicio]],Tabela1[id],Tabela1[Cidade]))</f>
        <v xml:space="preserve"> "Belém"</v>
      </c>
      <c r="M85" t="str">
        <f>IF(Tabela2[[#This Row],[fim]]="","",_xlfn.XLOOKUP(Tabela2[[#This Row],[fim]],Tabela1[id],Tabela1[Cidade]))</f>
        <v xml:space="preserve"> "Cuiabá"</v>
      </c>
      <c r="N85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grafo.adicionarAresta(84,"BR-158 ",2100.0,2327.0,"11","14");// "Belém"- "Cuiabá"</v>
      </c>
    </row>
    <row r="86" spans="6:14" x14ac:dyDescent="0.3">
      <c r="F86">
        <v>85</v>
      </c>
      <c r="G86" t="s">
        <v>100</v>
      </c>
      <c r="H86" s="4">
        <f>(29*60)+0</f>
        <v>1740</v>
      </c>
      <c r="I86">
        <v>11</v>
      </c>
      <c r="J86">
        <v>12</v>
      </c>
      <c r="K86">
        <v>1971</v>
      </c>
      <c r="L86" t="str">
        <f>IF(Tabela2[[#This Row],[inicio]]="","",_xlfn.XLOOKUP(Tabela2[[#This Row],[inicio]],Tabela1[id],Tabela1[Cidade]))</f>
        <v xml:space="preserve"> "Belém"</v>
      </c>
      <c r="M86" t="str">
        <f>IF(Tabela2[[#This Row],[fim]]="","",_xlfn.XLOOKUP(Tabela2[[#This Row],[fim]],Tabela1[id],Tabela1[Cidade]))</f>
        <v xml:space="preserve"> "Goiânia"</v>
      </c>
      <c r="N86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grafo.adicionarAresta(85,"BR-010 ",1740.0,1971.0,"11","12");// "Belém"- "Goiânia"</v>
      </c>
    </row>
    <row r="87" spans="6:14" x14ac:dyDescent="0.3">
      <c r="F87">
        <v>86</v>
      </c>
      <c r="G87" t="s">
        <v>98</v>
      </c>
      <c r="H87" s="4">
        <f>(25*60)+0</f>
        <v>1500</v>
      </c>
      <c r="I87">
        <v>11</v>
      </c>
      <c r="J87">
        <v>22</v>
      </c>
      <c r="K87">
        <v>528</v>
      </c>
      <c r="L87" t="str">
        <f>IF(Tabela2[[#This Row],[inicio]]="","",_xlfn.XLOOKUP(Tabela2[[#This Row],[inicio]],Tabela1[id],Tabela1[Cidade]))</f>
        <v xml:space="preserve"> "Belém"</v>
      </c>
      <c r="M87" t="str">
        <f>IF(Tabela2[[#This Row],[fim]]="","",_xlfn.XLOOKUP(Tabela2[[#This Row],[fim]],Tabela1[id],Tabela1[Cidade]))</f>
        <v xml:space="preserve"> "Macapá"</v>
      </c>
      <c r="N87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grafo.adicionarAresta(86,"Av.  Arthur Bernardes",1500.0,528.0,"11","22");// "Belém"- "Macapá"</v>
      </c>
    </row>
    <row r="88" spans="6:14" x14ac:dyDescent="0.3">
      <c r="F88">
        <v>87</v>
      </c>
      <c r="G88" t="s">
        <v>92</v>
      </c>
      <c r="H88" s="4">
        <f>(51*60)+0</f>
        <v>3060</v>
      </c>
      <c r="I88">
        <v>11</v>
      </c>
      <c r="J88">
        <v>10</v>
      </c>
      <c r="K88">
        <v>2994</v>
      </c>
      <c r="L88" t="str">
        <f>IF(Tabela2[[#This Row],[inicio]]="","",_xlfn.XLOOKUP(Tabela2[[#This Row],[inicio]],Tabela1[id],Tabela1[Cidade]))</f>
        <v xml:space="preserve"> "Belém"</v>
      </c>
      <c r="M88" t="str">
        <f>IF(Tabela2[[#This Row],[fim]]="","",_xlfn.XLOOKUP(Tabela2[[#This Row],[fim]],Tabela1[id],Tabela1[Cidade]))</f>
        <v xml:space="preserve"> "Manaus"</v>
      </c>
      <c r="N88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grafo.adicionarAresta(87,"Rod.Transamazonica e BR-230",3060.0,2994.0,"11","10");// "Belém"- "Manaus"</v>
      </c>
    </row>
    <row r="89" spans="6:14" x14ac:dyDescent="0.3">
      <c r="F89">
        <v>88</v>
      </c>
      <c r="G89" t="s">
        <v>101</v>
      </c>
      <c r="H89" s="4">
        <f>(18*60)+30</f>
        <v>1110</v>
      </c>
      <c r="I89">
        <v>11</v>
      </c>
      <c r="J89">
        <v>19</v>
      </c>
      <c r="K89">
        <v>1143</v>
      </c>
      <c r="L89" t="str">
        <f>IF(Tabela2[[#This Row],[inicio]]="","",_xlfn.XLOOKUP(Tabela2[[#This Row],[inicio]],Tabela1[id],Tabela1[Cidade]))</f>
        <v xml:space="preserve"> "Belém"</v>
      </c>
      <c r="M89" t="str">
        <f>IF(Tabela2[[#This Row],[fim]]="","",_xlfn.XLOOKUP(Tabela2[[#This Row],[fim]],Tabela1[id],Tabela1[Cidade]))</f>
        <v xml:space="preserve"> "Palmas"</v>
      </c>
      <c r="N89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grafo.adicionarAresta(88,"BR-226 ",1110.0,1143.0,"11","19");// "Belém"- "Palmas"</v>
      </c>
    </row>
    <row r="90" spans="6:14" x14ac:dyDescent="0.3">
      <c r="F90">
        <v>89</v>
      </c>
      <c r="G90" t="s">
        <v>92</v>
      </c>
      <c r="H90" s="4">
        <f>(41*60)+0</f>
        <v>2460</v>
      </c>
      <c r="I90">
        <v>11</v>
      </c>
      <c r="J90">
        <v>21</v>
      </c>
      <c r="K90">
        <v>2503</v>
      </c>
      <c r="L90" t="str">
        <f>IF(Tabela2[[#This Row],[inicio]]="","",_xlfn.XLOOKUP(Tabela2[[#This Row],[inicio]],Tabela1[id],Tabela1[Cidade]))</f>
        <v xml:space="preserve"> "Belém"</v>
      </c>
      <c r="M90" t="str">
        <f>IF(Tabela2[[#This Row],[fim]]="","",_xlfn.XLOOKUP(Tabela2[[#This Row],[fim]],Tabela1[id],Tabela1[Cidade]))</f>
        <v xml:space="preserve"> "Porto Velho"</v>
      </c>
      <c r="N90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grafo.adicionarAresta(89,"Rod.Transamazonica e BR-230",2460.0,2503.0,"11","21");// "Belém"- "Porto Velho"</v>
      </c>
    </row>
    <row r="91" spans="6:14" x14ac:dyDescent="0.3">
      <c r="F91">
        <v>90</v>
      </c>
      <c r="G91" t="s">
        <v>103</v>
      </c>
      <c r="H91" s="4">
        <f>(11*60)+19</f>
        <v>679</v>
      </c>
      <c r="I91">
        <v>11</v>
      </c>
      <c r="J91">
        <v>27</v>
      </c>
      <c r="K91">
        <v>578</v>
      </c>
      <c r="L91" t="str">
        <f>IF(Tabela2[[#This Row],[inicio]]="","",_xlfn.XLOOKUP(Tabela2[[#This Row],[inicio]],Tabela1[id],Tabela1[Cidade]))</f>
        <v xml:space="preserve"> "Belém"</v>
      </c>
      <c r="M91" t="str">
        <f>IF(Tabela2[[#This Row],[fim]]="","",_xlfn.XLOOKUP(Tabela2[[#This Row],[fim]],Tabela1[id],Tabela1[Cidade]))</f>
        <v xml:space="preserve"> "São Luís"</v>
      </c>
      <c r="N91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grafo.adicionarAresta(90,"BR-316  e MA-106",679.0,578.0,"11","27");// "Belém"- "São Luís"</v>
      </c>
    </row>
    <row r="92" spans="6:14" x14ac:dyDescent="0.3">
      <c r="F92">
        <v>91</v>
      </c>
      <c r="G92" t="s">
        <v>102</v>
      </c>
      <c r="H92" s="4">
        <f>(15*60)+1</f>
        <v>901</v>
      </c>
      <c r="I92">
        <v>11</v>
      </c>
      <c r="J92">
        <v>24</v>
      </c>
      <c r="K92">
        <v>911</v>
      </c>
      <c r="L92" t="str">
        <f>IF(Tabela2[[#This Row],[inicio]]="","",_xlfn.XLOOKUP(Tabela2[[#This Row],[inicio]],Tabela1[id],Tabela1[Cidade]))</f>
        <v xml:space="preserve"> "Belém"</v>
      </c>
      <c r="M92" t="str">
        <f>IF(Tabela2[[#This Row],[fim]]="","",_xlfn.XLOOKUP(Tabela2[[#This Row],[fim]],Tabela1[id],Tabela1[Cidade]))</f>
        <v xml:space="preserve"> "Teresina"</v>
      </c>
      <c r="N92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grafo.adicionarAresta(91,"BR-316 ",901.0,911.0,"11","24");// "Belém"- "Teresina"</v>
      </c>
    </row>
    <row r="93" spans="6:14" x14ac:dyDescent="0.3">
      <c r="F93">
        <v>92</v>
      </c>
      <c r="G93" t="s">
        <v>100</v>
      </c>
      <c r="H93" s="4">
        <f>(46*60)+0</f>
        <v>2760</v>
      </c>
      <c r="I93">
        <v>11</v>
      </c>
      <c r="J93">
        <v>26</v>
      </c>
      <c r="K93">
        <v>3129</v>
      </c>
      <c r="L93" t="str">
        <f>IF(Tabela2[[#This Row],[inicio]]="","",_xlfn.XLOOKUP(Tabela2[[#This Row],[inicio]],Tabela1[id],Tabela1[Cidade]))</f>
        <v xml:space="preserve"> "Belém"</v>
      </c>
      <c r="M93" t="str">
        <f>IF(Tabela2[[#This Row],[fim]]="","",_xlfn.XLOOKUP(Tabela2[[#This Row],[fim]],Tabela1[id],Tabela1[Cidade]))</f>
        <v xml:space="preserve"> "Vitória"</v>
      </c>
      <c r="N93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grafo.adicionarAresta(92,"BR-010 ",2760.0,3129.0,"11","26");// "Belém"- "Vitória"</v>
      </c>
    </row>
    <row r="94" spans="6:14" x14ac:dyDescent="0.3">
      <c r="F94">
        <v>93</v>
      </c>
      <c r="G94" t="s">
        <v>81</v>
      </c>
      <c r="H94" s="4">
        <f>(28*60)+0</f>
        <v>1680</v>
      </c>
      <c r="I94">
        <v>12</v>
      </c>
      <c r="J94">
        <v>17</v>
      </c>
      <c r="K94">
        <v>2055</v>
      </c>
      <c r="L94" t="str">
        <f>IF(Tabela2[[#This Row],[inicio]]="","",_xlfn.XLOOKUP(Tabela2[[#This Row],[inicio]],Tabela1[id],Tabela1[Cidade]))</f>
        <v xml:space="preserve"> "Goiânia"</v>
      </c>
      <c r="M94" t="str">
        <f>IF(Tabela2[[#This Row],[fim]]="","",_xlfn.XLOOKUP(Tabela2[[#This Row],[fim]],Tabela1[id],Tabela1[Cidade]))</f>
        <v xml:space="preserve"> "Aracaju"</v>
      </c>
      <c r="N94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grafo.adicionarAresta(93,"BR-026",1680.0,2055.0,"12","17");// "Goiânia"- "Aracaju"</v>
      </c>
    </row>
    <row r="95" spans="6:14" x14ac:dyDescent="0.3">
      <c r="F95">
        <v>94</v>
      </c>
      <c r="G95" t="s">
        <v>85</v>
      </c>
      <c r="H95" s="4">
        <f>(29*60)+0</f>
        <v>1740</v>
      </c>
      <c r="I95">
        <v>12</v>
      </c>
      <c r="J95">
        <v>11</v>
      </c>
      <c r="K95">
        <v>1972</v>
      </c>
      <c r="L95" t="str">
        <f>IF(Tabela2[[#This Row],[inicio]]="","",_xlfn.XLOOKUP(Tabela2[[#This Row],[inicio]],Tabela1[id],Tabela1[Cidade]))</f>
        <v xml:space="preserve"> "Goiânia"</v>
      </c>
      <c r="M95" t="str">
        <f>IF(Tabela2[[#This Row],[fim]]="","",_xlfn.XLOOKUP(Tabela2[[#This Row],[fim]],Tabela1[id],Tabela1[Cidade]))</f>
        <v xml:space="preserve"> "Belém"</v>
      </c>
      <c r="N95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grafo.adicionarAresta(94,"BR-010",1740.0,1972.0,"12","11");// "Goiânia"- "Belém"</v>
      </c>
    </row>
    <row r="96" spans="6:14" x14ac:dyDescent="0.3">
      <c r="F96">
        <v>95</v>
      </c>
      <c r="G96" t="s">
        <v>79</v>
      </c>
      <c r="H96" s="4">
        <f>(11*60)+27</f>
        <v>687</v>
      </c>
      <c r="I96">
        <v>12</v>
      </c>
      <c r="J96">
        <v>3</v>
      </c>
      <c r="K96">
        <v>891</v>
      </c>
      <c r="L96" t="str">
        <f>IF(Tabela2[[#This Row],[inicio]]="","",_xlfn.XLOOKUP(Tabela2[[#This Row],[inicio]],Tabela1[id],Tabela1[Cidade]))</f>
        <v xml:space="preserve"> "Goiânia"</v>
      </c>
      <c r="M96" t="str">
        <f>IF(Tabela2[[#This Row],[fim]]="","",_xlfn.XLOOKUP(Tabela2[[#This Row],[fim]],Tabela1[id],Tabela1[Cidade]))</f>
        <v xml:space="preserve"> "Belo Horizonte"</v>
      </c>
      <c r="N96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grafo.adicionarAresta(95,"BR-040",687.0,891.0,"12","3");// "Goiânia"- "Belo Horizonte"</v>
      </c>
    </row>
    <row r="97" spans="6:14" x14ac:dyDescent="0.3">
      <c r="F97">
        <v>96</v>
      </c>
      <c r="G97" t="s">
        <v>70</v>
      </c>
      <c r="H97" s="4">
        <f>(3*60)+0</f>
        <v>180</v>
      </c>
      <c r="I97">
        <v>12</v>
      </c>
      <c r="J97">
        <v>5</v>
      </c>
      <c r="K97">
        <v>207</v>
      </c>
      <c r="L97" t="str">
        <f>IF(Tabela2[[#This Row],[inicio]]="","",_xlfn.XLOOKUP(Tabela2[[#This Row],[inicio]],Tabela1[id],Tabela1[Cidade]))</f>
        <v xml:space="preserve"> "Goiânia"</v>
      </c>
      <c r="M97" t="str">
        <f>IF(Tabela2[[#This Row],[fim]]="","",_xlfn.XLOOKUP(Tabela2[[#This Row],[fim]],Tabela1[id],Tabela1[Cidade]))</f>
        <v xml:space="preserve"> "Brasília"</v>
      </c>
      <c r="N97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grafo.adicionarAresta(96,"BR-060",180.0,207.0,"12","5");// "Goiânia"- "Brasília"</v>
      </c>
    </row>
    <row r="98" spans="6:14" x14ac:dyDescent="0.3">
      <c r="F98">
        <v>97</v>
      </c>
      <c r="G98" t="s">
        <v>70</v>
      </c>
      <c r="H98" s="4">
        <f>(10*60)+25</f>
        <v>625</v>
      </c>
      <c r="I98">
        <v>12</v>
      </c>
      <c r="J98">
        <v>13</v>
      </c>
      <c r="K98">
        <v>839</v>
      </c>
      <c r="L98" t="str">
        <f>IF(Tabela2[[#This Row],[inicio]]="","",_xlfn.XLOOKUP(Tabela2[[#This Row],[inicio]],Tabela1[id],Tabela1[Cidade]))</f>
        <v xml:space="preserve"> "Goiânia"</v>
      </c>
      <c r="M98" t="str">
        <f>IF(Tabela2[[#This Row],[fim]]="","",_xlfn.XLOOKUP(Tabela2[[#This Row],[fim]],Tabela1[id],Tabela1[Cidade]))</f>
        <v xml:space="preserve"> "Campo Grande"</v>
      </c>
      <c r="N98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grafo.adicionarAresta(97,"BR-060",625.0,839.0,"12","13");// "Goiânia"- "Campo Grande"</v>
      </c>
    </row>
    <row r="99" spans="6:14" x14ac:dyDescent="0.3">
      <c r="F99">
        <v>98</v>
      </c>
      <c r="G99" t="s">
        <v>86</v>
      </c>
      <c r="H99" s="4">
        <f>(11*60)+40</f>
        <v>700</v>
      </c>
      <c r="I99">
        <v>12</v>
      </c>
      <c r="J99">
        <v>14</v>
      </c>
      <c r="K99">
        <v>887</v>
      </c>
      <c r="L99" t="str">
        <f>IF(Tabela2[[#This Row],[inicio]]="","",_xlfn.XLOOKUP(Tabela2[[#This Row],[inicio]],Tabela1[id],Tabela1[Cidade]))</f>
        <v xml:space="preserve"> "Goiânia"</v>
      </c>
      <c r="M99" t="str">
        <f>IF(Tabela2[[#This Row],[fim]]="","",_xlfn.XLOOKUP(Tabela2[[#This Row],[fim]],Tabela1[id],Tabela1[Cidade]))</f>
        <v xml:space="preserve"> "Cuiabá"</v>
      </c>
      <c r="N99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grafo.adicionarAresta(98,"BR-070",700.0,887.0,"12","14");// "Goiânia"- "Cuiabá"</v>
      </c>
    </row>
    <row r="100" spans="6:14" x14ac:dyDescent="0.3">
      <c r="F100">
        <v>99</v>
      </c>
      <c r="G100" t="s">
        <v>64</v>
      </c>
      <c r="H100" s="4">
        <f>(19*60)+10</f>
        <v>1150</v>
      </c>
      <c r="I100">
        <v>12</v>
      </c>
      <c r="J100">
        <v>4</v>
      </c>
      <c r="K100">
        <v>1317</v>
      </c>
      <c r="L100" t="str">
        <f>IF(Tabela2[[#This Row],[inicio]]="","",_xlfn.XLOOKUP(Tabela2[[#This Row],[inicio]],Tabela1[id],Tabela1[Cidade]))</f>
        <v xml:space="preserve"> "Goiânia"</v>
      </c>
      <c r="M100" t="str">
        <f>IF(Tabela2[[#This Row],[fim]]="","",_xlfn.XLOOKUP(Tabela2[[#This Row],[fim]],Tabela1[id],Tabela1[Cidade]))</f>
        <v xml:space="preserve"> "Curitiba"</v>
      </c>
      <c r="N100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grafo.adicionarAresta(99,"BR-153",1150.0,1317.0,"12","4");// "Goiânia"- "Curitiba"</v>
      </c>
    </row>
    <row r="101" spans="6:14" x14ac:dyDescent="0.3">
      <c r="F101">
        <v>100</v>
      </c>
      <c r="G101" t="s">
        <v>83</v>
      </c>
      <c r="H101" s="4">
        <f>(10*60)+57</f>
        <v>657</v>
      </c>
      <c r="I101">
        <v>12</v>
      </c>
      <c r="J101">
        <v>19</v>
      </c>
      <c r="K101">
        <v>824</v>
      </c>
      <c r="L101" t="str">
        <f>IF(Tabela2[[#This Row],[inicio]]="","",_xlfn.XLOOKUP(Tabela2[[#This Row],[inicio]],Tabela1[id],Tabela1[Cidade]))</f>
        <v xml:space="preserve"> "Goiânia"</v>
      </c>
      <c r="M101" t="str">
        <f>IF(Tabela2[[#This Row],[fim]]="","",_xlfn.XLOOKUP(Tabela2[[#This Row],[fim]],Tabela1[id],Tabela1[Cidade]))</f>
        <v xml:space="preserve"> "Palmas"</v>
      </c>
      <c r="N101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grafo.adicionarAresta(100,"Rod. Bernardo Sayão",657.0,824.0,"12","19");// "Goiânia"- "Palmas"</v>
      </c>
    </row>
    <row r="102" spans="6:14" x14ac:dyDescent="0.3">
      <c r="F102">
        <v>101</v>
      </c>
      <c r="G102" t="s">
        <v>77</v>
      </c>
      <c r="H102" s="4">
        <f>(19*60)+28</f>
        <v>1168</v>
      </c>
      <c r="I102">
        <v>12</v>
      </c>
      <c r="J102">
        <v>2</v>
      </c>
      <c r="K102">
        <v>1324</v>
      </c>
      <c r="L102" t="str">
        <f>IF(Tabela2[[#This Row],[inicio]]="","",_xlfn.XLOOKUP(Tabela2[[#This Row],[inicio]],Tabela1[id],Tabela1[Cidade]))</f>
        <v xml:space="preserve"> "Goiânia"</v>
      </c>
      <c r="M102" t="str">
        <f>IF(Tabela2[[#This Row],[fim]]="","",_xlfn.XLOOKUP(Tabela2[[#This Row],[fim]],Tabela1[id],Tabela1[Cidade]))</f>
        <v xml:space="preserve"> "Rio de Janeiro"</v>
      </c>
      <c r="N102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grafo.adicionarAresta(101,"BR-352",1168.0,1324.0,"12","2");// "Goiânia"- "Rio de Janeiro"</v>
      </c>
    </row>
    <row r="103" spans="6:14" x14ac:dyDescent="0.3">
      <c r="F103">
        <v>102</v>
      </c>
      <c r="G103" t="s">
        <v>82</v>
      </c>
      <c r="H103" s="4">
        <f>(21*60)+18</f>
        <v>1278</v>
      </c>
      <c r="I103">
        <v>12</v>
      </c>
      <c r="J103">
        <v>7</v>
      </c>
      <c r="K103">
        <v>1646</v>
      </c>
      <c r="L103" t="str">
        <f>IF(Tabela2[[#This Row],[inicio]]="","",_xlfn.XLOOKUP(Tabela2[[#This Row],[inicio]],Tabela1[id],Tabela1[Cidade]))</f>
        <v xml:space="preserve"> "Goiânia"</v>
      </c>
      <c r="M103" t="str">
        <f>IF(Tabela2[[#This Row],[fim]]="","",_xlfn.XLOOKUP(Tabela2[[#This Row],[fim]],Tabela1[id],Tabela1[Cidade]))</f>
        <v xml:space="preserve"> "Salvador"</v>
      </c>
      <c r="N103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grafo.adicionarAresta(102,"BR-020",1278.0,1646.0,"12","7");// "Goiânia"- "Salvador"</v>
      </c>
    </row>
    <row r="104" spans="6:14" x14ac:dyDescent="0.3">
      <c r="F104">
        <v>103</v>
      </c>
      <c r="G104" t="s">
        <v>84</v>
      </c>
      <c r="H104" s="4">
        <f>(29*60)+0</f>
        <v>1740</v>
      </c>
      <c r="I104">
        <v>12</v>
      </c>
      <c r="J104">
        <v>27</v>
      </c>
      <c r="K104">
        <v>2007</v>
      </c>
      <c r="L104" t="str">
        <f>IF(Tabela2[[#This Row],[inicio]]="","",_xlfn.XLOOKUP(Tabela2[[#This Row],[inicio]],Tabela1[id],Tabela1[Cidade]))</f>
        <v xml:space="preserve"> "Goiânia"</v>
      </c>
      <c r="M104" t="str">
        <f>IF(Tabela2[[#This Row],[fim]]="","",_xlfn.XLOOKUP(Tabela2[[#This Row],[fim]],Tabela1[id],Tabela1[Cidade]))</f>
        <v xml:space="preserve"> "São Luís"</v>
      </c>
      <c r="N104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grafo.adicionarAresta(103,"BR-226",1740.0,2007.0,"12","27");// "Goiânia"- "São Luís"</v>
      </c>
    </row>
    <row r="105" spans="6:14" x14ac:dyDescent="0.3">
      <c r="F105">
        <v>104</v>
      </c>
      <c r="G105" t="s">
        <v>87</v>
      </c>
      <c r="H105" s="4">
        <f>(11*60)+24</f>
        <v>684</v>
      </c>
      <c r="I105">
        <v>12</v>
      </c>
      <c r="J105">
        <v>1</v>
      </c>
      <c r="K105">
        <v>901</v>
      </c>
      <c r="L105" t="str">
        <f>IF(Tabela2[[#This Row],[inicio]]="","",_xlfn.XLOOKUP(Tabela2[[#This Row],[inicio]],Tabela1[id],Tabela1[Cidade]))</f>
        <v xml:space="preserve"> "Goiânia"</v>
      </c>
      <c r="M105" t="str">
        <f>IF(Tabela2[[#This Row],[fim]]="","",_xlfn.XLOOKUP(Tabela2[[#This Row],[fim]],Tabela1[id],Tabela1[Cidade]))</f>
        <v xml:space="preserve"> "São Paulo"</v>
      </c>
      <c r="N105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grafo.adicionarAresta(104,"BR-153 e BR-364",684.0,901.0,"12","1");// "Goiânia"- "São Paulo"</v>
      </c>
    </row>
    <row r="106" spans="6:14" x14ac:dyDescent="0.3">
      <c r="F106">
        <v>105</v>
      </c>
      <c r="G106" t="s">
        <v>84</v>
      </c>
      <c r="H106" s="4">
        <f>(26*60)+0</f>
        <v>1560</v>
      </c>
      <c r="I106">
        <v>12</v>
      </c>
      <c r="J106">
        <v>24</v>
      </c>
      <c r="K106">
        <v>1868</v>
      </c>
      <c r="L106" t="str">
        <f>IF(Tabela2[[#This Row],[inicio]]="","",_xlfn.XLOOKUP(Tabela2[[#This Row],[inicio]],Tabela1[id],Tabela1[Cidade]))</f>
        <v xml:space="preserve"> "Goiânia"</v>
      </c>
      <c r="M106" t="str">
        <f>IF(Tabela2[[#This Row],[fim]]="","",_xlfn.XLOOKUP(Tabela2[[#This Row],[fim]],Tabela1[id],Tabela1[Cidade]))</f>
        <v xml:space="preserve"> "Teresina"</v>
      </c>
      <c r="N106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grafo.adicionarAresta(105,"BR-226",1560.0,1868.0,"12","24");// "Goiânia"- "Teresina"</v>
      </c>
    </row>
    <row r="107" spans="6:14" x14ac:dyDescent="0.3">
      <c r="F107">
        <v>106</v>
      </c>
      <c r="G107" t="s">
        <v>69</v>
      </c>
      <c r="H107" s="4">
        <f>(17*60)+24</f>
        <v>1044</v>
      </c>
      <c r="I107">
        <v>13</v>
      </c>
      <c r="J107">
        <v>3</v>
      </c>
      <c r="K107">
        <v>1266</v>
      </c>
      <c r="L107" t="str">
        <f>IF(Tabela2[[#This Row],[inicio]]="","",_xlfn.XLOOKUP(Tabela2[[#This Row],[inicio]],Tabela1[id],Tabela1[Cidade]))</f>
        <v xml:space="preserve"> "Campo Grande"</v>
      </c>
      <c r="M107" t="str">
        <f>IF(Tabela2[[#This Row],[fim]]="","",_xlfn.XLOOKUP(Tabela2[[#This Row],[fim]],Tabela1[id],Tabela1[Cidade]))</f>
        <v xml:space="preserve"> "Belo Horizonte"</v>
      </c>
      <c r="N107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grafo.adicionarAresta(106,"BR-262",1044.0,1266.0,"13","3");// "Campo Grande"- "Belo Horizonte"</v>
      </c>
    </row>
    <row r="108" spans="6:14" x14ac:dyDescent="0.3">
      <c r="F108">
        <v>107</v>
      </c>
      <c r="G108" t="s">
        <v>71</v>
      </c>
      <c r="H108" s="4">
        <f>(9*60)+34</f>
        <v>574</v>
      </c>
      <c r="I108">
        <v>13</v>
      </c>
      <c r="J108">
        <v>14</v>
      </c>
      <c r="K108">
        <v>703</v>
      </c>
      <c r="L108" t="str">
        <f>IF(Tabela2[[#This Row],[inicio]]="","",_xlfn.XLOOKUP(Tabela2[[#This Row],[inicio]],Tabela1[id],Tabela1[Cidade]))</f>
        <v xml:space="preserve"> "Campo Grande"</v>
      </c>
      <c r="M108" t="str">
        <f>IF(Tabela2[[#This Row],[fim]]="","",_xlfn.XLOOKUP(Tabela2[[#This Row],[fim]],Tabela1[id],Tabela1[Cidade]))</f>
        <v xml:space="preserve"> "Cuiabá"</v>
      </c>
      <c r="N108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grafo.adicionarAresta(107,"BR-163 e BR-364",574.0,703.0,"13","14");// "Campo Grande"- "Cuiabá"</v>
      </c>
    </row>
    <row r="109" spans="6:14" x14ac:dyDescent="0.3">
      <c r="F109">
        <v>108</v>
      </c>
      <c r="G109" t="s">
        <v>66</v>
      </c>
      <c r="H109" s="4">
        <f>(12*60)+28</f>
        <v>748</v>
      </c>
      <c r="I109">
        <v>13</v>
      </c>
      <c r="J109">
        <v>4</v>
      </c>
      <c r="K109">
        <v>977</v>
      </c>
      <c r="L109" t="str">
        <f>IF(Tabela2[[#This Row],[inicio]]="","",_xlfn.XLOOKUP(Tabela2[[#This Row],[inicio]],Tabela1[id],Tabela1[Cidade]))</f>
        <v xml:space="preserve"> "Campo Grande"</v>
      </c>
      <c r="M109" t="str">
        <f>IF(Tabela2[[#This Row],[fim]]="","",_xlfn.XLOOKUP(Tabela2[[#This Row],[fim]],Tabela1[id],Tabela1[Cidade]))</f>
        <v xml:space="preserve"> "Curitiba"</v>
      </c>
      <c r="N109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grafo.adicionarAresta(108,"BR-376",748.0,977.0,"13","4");// "Campo Grande"- "Curitiba"</v>
      </c>
    </row>
    <row r="110" spans="6:14" x14ac:dyDescent="0.3">
      <c r="F110">
        <v>109</v>
      </c>
      <c r="G110" t="s">
        <v>70</v>
      </c>
      <c r="H110" s="4">
        <f>(10*60)+11</f>
        <v>611</v>
      </c>
      <c r="I110">
        <v>13</v>
      </c>
      <c r="J110">
        <v>12</v>
      </c>
      <c r="K110">
        <v>839</v>
      </c>
      <c r="L110" t="str">
        <f>IF(Tabela2[[#This Row],[inicio]]="","",_xlfn.XLOOKUP(Tabela2[[#This Row],[inicio]],Tabela1[id],Tabela1[Cidade]))</f>
        <v xml:space="preserve"> "Campo Grande"</v>
      </c>
      <c r="M110" t="str">
        <f>IF(Tabela2[[#This Row],[fim]]="","",_xlfn.XLOOKUP(Tabela2[[#This Row],[fim]],Tabela1[id],Tabela1[Cidade]))</f>
        <v xml:space="preserve"> "Goiânia"</v>
      </c>
      <c r="N110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grafo.adicionarAresta(109,"BR-060",611.0,839.0,"13","12");// "Campo Grande"- "Goiânia"</v>
      </c>
    </row>
    <row r="111" spans="6:14" x14ac:dyDescent="0.3">
      <c r="F111">
        <v>110</v>
      </c>
      <c r="G111" t="s">
        <v>63</v>
      </c>
      <c r="H111" s="4">
        <f>(20*60)+33</f>
        <v>1233</v>
      </c>
      <c r="I111">
        <v>13</v>
      </c>
      <c r="J111">
        <v>6</v>
      </c>
      <c r="K111">
        <v>1420</v>
      </c>
      <c r="L111" t="str">
        <f>IF(Tabela2[[#This Row],[inicio]]="","",_xlfn.XLOOKUP(Tabela2[[#This Row],[inicio]],Tabela1[id],Tabela1[Cidade]))</f>
        <v xml:space="preserve"> "Campo Grande"</v>
      </c>
      <c r="M111" t="str">
        <f>IF(Tabela2[[#This Row],[fim]]="","",_xlfn.XLOOKUP(Tabela2[[#This Row],[fim]],Tabela1[id],Tabela1[Cidade]))</f>
        <v xml:space="preserve"> "Porto Alegre"</v>
      </c>
      <c r="N111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grafo.adicionarAresta(110,"BR-163",1233.0,1420.0,"13","6");// "Campo Grande"- "Porto Alegre"</v>
      </c>
    </row>
    <row r="112" spans="6:14" x14ac:dyDescent="0.3">
      <c r="F112">
        <v>111</v>
      </c>
      <c r="G112" t="s">
        <v>68</v>
      </c>
      <c r="H112" s="4">
        <f>(11*60)+41</f>
        <v>701</v>
      </c>
      <c r="I112">
        <v>13</v>
      </c>
      <c r="J112">
        <v>1</v>
      </c>
      <c r="K112">
        <v>984</v>
      </c>
      <c r="L112" t="str">
        <f>IF(Tabela2[[#This Row],[inicio]]="","",_xlfn.XLOOKUP(Tabela2[[#This Row],[inicio]],Tabela1[id],Tabela1[Cidade]))</f>
        <v xml:space="preserve"> "Campo Grande"</v>
      </c>
      <c r="M112" t="str">
        <f>IF(Tabela2[[#This Row],[fim]]="","",_xlfn.XLOOKUP(Tabela2[[#This Row],[fim]],Tabela1[id],Tabela1[Cidade]))</f>
        <v xml:space="preserve"> "São Paulo"</v>
      </c>
      <c r="N112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grafo.adicionarAresta(111,"BR-374",701.0,984.0,"13","1");// "Campo Grande"- "São Paulo"</v>
      </c>
    </row>
    <row r="113" spans="6:14" x14ac:dyDescent="0.3">
      <c r="F113">
        <v>112</v>
      </c>
      <c r="G113" t="s">
        <v>89</v>
      </c>
      <c r="H113" s="4">
        <f>(36*60)+0</f>
        <v>2160</v>
      </c>
      <c r="I113">
        <v>14</v>
      </c>
      <c r="J113">
        <v>11</v>
      </c>
      <c r="K113">
        <v>2335</v>
      </c>
      <c r="L113" t="str">
        <f>IF(Tabela2[[#This Row],[inicio]]="","",_xlfn.XLOOKUP(Tabela2[[#This Row],[inicio]],Tabela1[id],Tabela1[Cidade]))</f>
        <v xml:space="preserve"> "Cuiabá"</v>
      </c>
      <c r="M113" t="str">
        <f>IF(Tabela2[[#This Row],[fim]]="","",_xlfn.XLOOKUP(Tabela2[[#This Row],[fim]],Tabela1[id],Tabela1[Cidade]))</f>
        <v xml:space="preserve"> "Belém"</v>
      </c>
      <c r="N113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grafo.adicionarAresta(112,"BR-158",2160.0,2335.0,"14","11");// "Cuiabá"- "Belém"</v>
      </c>
    </row>
    <row r="114" spans="6:14" x14ac:dyDescent="0.3">
      <c r="F114">
        <v>113</v>
      </c>
      <c r="G114" t="s">
        <v>76</v>
      </c>
      <c r="H114" s="4">
        <f>(22*60)+15</f>
        <v>1335</v>
      </c>
      <c r="I114">
        <v>14</v>
      </c>
      <c r="J114">
        <v>3</v>
      </c>
      <c r="K114">
        <v>1597</v>
      </c>
      <c r="L114" t="str">
        <f>IF(Tabela2[[#This Row],[inicio]]="","",_xlfn.XLOOKUP(Tabela2[[#This Row],[inicio]],Tabela1[id],Tabela1[Cidade]))</f>
        <v xml:space="preserve"> "Cuiabá"</v>
      </c>
      <c r="M114" t="str">
        <f>IF(Tabela2[[#This Row],[fim]]="","",_xlfn.XLOOKUP(Tabela2[[#This Row],[fim]],Tabela1[id],Tabela1[Cidade]))</f>
        <v xml:space="preserve"> "Belo Horizonte"</v>
      </c>
      <c r="N114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grafo.adicionarAresta(113,"BR-364",1335.0,1597.0,"14","3");// "Cuiabá"- "Belo Horizonte"</v>
      </c>
    </row>
    <row r="115" spans="6:14" x14ac:dyDescent="0.3">
      <c r="F115">
        <v>114</v>
      </c>
      <c r="G115" t="s">
        <v>86</v>
      </c>
      <c r="H115" s="4">
        <f>(14*60)+0</f>
        <v>840</v>
      </c>
      <c r="I115">
        <v>14</v>
      </c>
      <c r="J115">
        <v>5</v>
      </c>
      <c r="K115">
        <v>1059</v>
      </c>
      <c r="L115" t="str">
        <f>IF(Tabela2[[#This Row],[inicio]]="","",_xlfn.XLOOKUP(Tabela2[[#This Row],[inicio]],Tabela1[id],Tabela1[Cidade]))</f>
        <v xml:space="preserve"> "Cuiabá"</v>
      </c>
      <c r="M115" t="str">
        <f>IF(Tabela2[[#This Row],[fim]]="","",_xlfn.XLOOKUP(Tabela2[[#This Row],[fim]],Tabela1[id],Tabela1[Cidade]))</f>
        <v xml:space="preserve"> "Brasília"</v>
      </c>
      <c r="N115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grafo.adicionarAresta(114,"BR-070",840.0,1059.0,"14","5");// "Cuiabá"- "Brasília"</v>
      </c>
    </row>
    <row r="116" spans="6:14" x14ac:dyDescent="0.3">
      <c r="F116">
        <v>115</v>
      </c>
      <c r="G116" t="s">
        <v>63</v>
      </c>
      <c r="H116" s="4">
        <f>(12*60)+52</f>
        <v>772</v>
      </c>
      <c r="I116">
        <v>14</v>
      </c>
      <c r="J116">
        <v>13</v>
      </c>
      <c r="K116">
        <v>840</v>
      </c>
      <c r="L116" t="str">
        <f>IF(Tabela2[[#This Row],[inicio]]="","",_xlfn.XLOOKUP(Tabela2[[#This Row],[inicio]],Tabela1[id],Tabela1[Cidade]))</f>
        <v xml:space="preserve"> "Cuiabá"</v>
      </c>
      <c r="M116" t="str">
        <f>IF(Tabela2[[#This Row],[fim]]="","",_xlfn.XLOOKUP(Tabela2[[#This Row],[fim]],Tabela1[id],Tabela1[Cidade]))</f>
        <v xml:space="preserve"> "Campo Grande"</v>
      </c>
      <c r="N116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grafo.adicionarAresta(115,"BR-163",772.0,840.0,"14","13");// "Cuiabá"- "Campo Grande"</v>
      </c>
    </row>
    <row r="117" spans="6:14" x14ac:dyDescent="0.3">
      <c r="F117">
        <v>116</v>
      </c>
      <c r="G117" t="s">
        <v>82</v>
      </c>
      <c r="H117" s="4">
        <f>(42*60)+0</f>
        <v>2520</v>
      </c>
      <c r="I117">
        <v>14</v>
      </c>
      <c r="J117">
        <v>8</v>
      </c>
      <c r="K117">
        <v>3176</v>
      </c>
      <c r="L117" t="str">
        <f>IF(Tabela2[[#This Row],[inicio]]="","",_xlfn.XLOOKUP(Tabela2[[#This Row],[inicio]],Tabela1[id],Tabela1[Cidade]))</f>
        <v xml:space="preserve"> "Cuiabá"</v>
      </c>
      <c r="M117" t="str">
        <f>IF(Tabela2[[#This Row],[fim]]="","",_xlfn.XLOOKUP(Tabela2[[#This Row],[fim]],Tabela1[id],Tabela1[Cidade]))</f>
        <v xml:space="preserve"> "Fortaleza"</v>
      </c>
      <c r="N117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grafo.adicionarAresta(116,"BR-020",2520.0,3176.0,"14","8");// "Cuiabá"- "Fortaleza"</v>
      </c>
    </row>
    <row r="118" spans="6:14" x14ac:dyDescent="0.3">
      <c r="F118">
        <v>117</v>
      </c>
      <c r="G118" t="s">
        <v>86</v>
      </c>
      <c r="H118" s="4">
        <f>(11*60)+49</f>
        <v>709</v>
      </c>
      <c r="I118">
        <v>14</v>
      </c>
      <c r="J118">
        <v>12</v>
      </c>
      <c r="K118">
        <v>897</v>
      </c>
      <c r="L118" t="str">
        <f>IF(Tabela2[[#This Row],[inicio]]="","",_xlfn.XLOOKUP(Tabela2[[#This Row],[inicio]],Tabela1[id],Tabela1[Cidade]))</f>
        <v xml:space="preserve"> "Cuiabá"</v>
      </c>
      <c r="M118" t="str">
        <f>IF(Tabela2[[#This Row],[fim]]="","",_xlfn.XLOOKUP(Tabela2[[#This Row],[fim]],Tabela1[id],Tabela1[Cidade]))</f>
        <v xml:space="preserve"> "Goiânia"</v>
      </c>
      <c r="N118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grafo.adicionarAresta(117,"BR-070",709.0,897.0,"14","12");// "Cuiabá"- "Goiânia"</v>
      </c>
    </row>
    <row r="119" spans="6:14" x14ac:dyDescent="0.3">
      <c r="F119">
        <v>118</v>
      </c>
      <c r="G119" t="s">
        <v>86</v>
      </c>
      <c r="H119" s="4">
        <f>(44*60)+0</f>
        <v>2640</v>
      </c>
      <c r="I119">
        <v>14</v>
      </c>
      <c r="J119">
        <v>15</v>
      </c>
      <c r="K119">
        <v>3236</v>
      </c>
      <c r="L119" t="str">
        <f>IF(Tabela2[[#This Row],[inicio]]="","",_xlfn.XLOOKUP(Tabela2[[#This Row],[inicio]],Tabela1[id],Tabela1[Cidade]))</f>
        <v xml:space="preserve"> "Cuiabá"</v>
      </c>
      <c r="M119" t="str">
        <f>IF(Tabela2[[#This Row],[fim]]="","",_xlfn.XLOOKUP(Tabela2[[#This Row],[fim]],Tabela1[id],Tabela1[Cidade]))</f>
        <v xml:space="preserve"> "João Pessoa"</v>
      </c>
      <c r="N119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grafo.adicionarAresta(118,"BR-070",2640.0,3236.0,"14","15");// "Cuiabá"- "João Pessoa"</v>
      </c>
    </row>
    <row r="120" spans="6:14" x14ac:dyDescent="0.3">
      <c r="F120">
        <v>119</v>
      </c>
      <c r="G120" t="s">
        <v>86</v>
      </c>
      <c r="H120" s="4">
        <f>(46*60)+0</f>
        <v>2760</v>
      </c>
      <c r="I120">
        <v>14</v>
      </c>
      <c r="J120">
        <v>18</v>
      </c>
      <c r="K120">
        <v>3478</v>
      </c>
      <c r="L120" t="str">
        <f>IF(Tabela2[[#This Row],[inicio]]="","",_xlfn.XLOOKUP(Tabela2[[#This Row],[inicio]],Tabela1[id],Tabela1[Cidade]))</f>
        <v xml:space="preserve"> "Cuiabá"</v>
      </c>
      <c r="M120" t="str">
        <f>IF(Tabela2[[#This Row],[fim]]="","",_xlfn.XLOOKUP(Tabela2[[#This Row],[fim]],Tabela1[id],Tabela1[Cidade]))</f>
        <v xml:space="preserve"> "Natal"</v>
      </c>
      <c r="N120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grafo.adicionarAresta(119,"BR-070",2760.0,3478.0,"14","18");// "Cuiabá"- "Natal"</v>
      </c>
    </row>
    <row r="121" spans="6:14" x14ac:dyDescent="0.3">
      <c r="F121">
        <v>120</v>
      </c>
      <c r="G121" t="s">
        <v>86</v>
      </c>
      <c r="H121" s="4">
        <f>(18*60)+57</f>
        <v>1137</v>
      </c>
      <c r="I121">
        <v>14</v>
      </c>
      <c r="J121">
        <v>19</v>
      </c>
      <c r="K121">
        <v>1540</v>
      </c>
      <c r="L121" t="str">
        <f>IF(Tabela2[[#This Row],[inicio]]="","",_xlfn.XLOOKUP(Tabela2[[#This Row],[inicio]],Tabela1[id],Tabela1[Cidade]))</f>
        <v xml:space="preserve"> "Cuiabá"</v>
      </c>
      <c r="M121" t="str">
        <f>IF(Tabela2[[#This Row],[fim]]="","",_xlfn.XLOOKUP(Tabela2[[#This Row],[fim]],Tabela1[id],Tabela1[Cidade]))</f>
        <v xml:space="preserve"> "Palmas"</v>
      </c>
      <c r="N121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grafo.adicionarAresta(120,"BR-070",1137.0,1540.0,"14","19");// "Cuiabá"- "Palmas"</v>
      </c>
    </row>
    <row r="122" spans="6:14" x14ac:dyDescent="0.3">
      <c r="F122">
        <v>121</v>
      </c>
      <c r="G122" t="s">
        <v>88</v>
      </c>
      <c r="H122" s="4">
        <f>(19*60)+29</f>
        <v>1169</v>
      </c>
      <c r="I122">
        <v>14</v>
      </c>
      <c r="J122">
        <v>21</v>
      </c>
      <c r="K122">
        <v>1461</v>
      </c>
      <c r="L122" t="str">
        <f>IF(Tabela2[[#This Row],[inicio]]="","",_xlfn.XLOOKUP(Tabela2[[#This Row],[inicio]],Tabela1[id],Tabela1[Cidade]))</f>
        <v xml:space="preserve"> "Cuiabá"</v>
      </c>
      <c r="M122" t="str">
        <f>IF(Tabela2[[#This Row],[fim]]="","",_xlfn.XLOOKUP(Tabela2[[#This Row],[fim]],Tabela1[id],Tabela1[Cidade]))</f>
        <v xml:space="preserve"> "Porto Velho"</v>
      </c>
      <c r="N122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grafo.adicionarAresta(121,"BR-174 e BR-364",1169.0,1461.0,"14","21");// "Cuiabá"- "Porto Velho"</v>
      </c>
    </row>
    <row r="123" spans="6:14" x14ac:dyDescent="0.3">
      <c r="F123">
        <v>122</v>
      </c>
      <c r="G123" t="s">
        <v>90</v>
      </c>
      <c r="H123" s="4">
        <f>(33*60)+0</f>
        <v>1980</v>
      </c>
      <c r="I123">
        <v>14</v>
      </c>
      <c r="J123">
        <v>7</v>
      </c>
      <c r="K123">
        <v>2621</v>
      </c>
      <c r="L123" t="str">
        <f>IF(Tabela2[[#This Row],[inicio]]="","",_xlfn.XLOOKUP(Tabela2[[#This Row],[inicio]],Tabela1[id],Tabela1[Cidade]))</f>
        <v xml:space="preserve"> "Cuiabá"</v>
      </c>
      <c r="M123" t="str">
        <f>IF(Tabela2[[#This Row],[fim]]="","",_xlfn.XLOOKUP(Tabela2[[#This Row],[fim]],Tabela1[id],Tabela1[Cidade]))</f>
        <v xml:space="preserve"> "Salvador"</v>
      </c>
      <c r="N123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grafo.adicionarAresta(122,"BR-242",1980.0,2621.0,"14","7");// "Cuiabá"- "Salvador"</v>
      </c>
    </row>
    <row r="124" spans="6:14" x14ac:dyDescent="0.3">
      <c r="F124">
        <v>123</v>
      </c>
      <c r="G124" t="s">
        <v>84</v>
      </c>
      <c r="H124" s="4">
        <f>(37*60)+0</f>
        <v>2220</v>
      </c>
      <c r="I124">
        <v>14</v>
      </c>
      <c r="J124">
        <v>27</v>
      </c>
      <c r="K124">
        <v>2723</v>
      </c>
      <c r="L124" t="str">
        <f>IF(Tabela2[[#This Row],[inicio]]="","",_xlfn.XLOOKUP(Tabela2[[#This Row],[inicio]],Tabela1[id],Tabela1[Cidade]))</f>
        <v xml:space="preserve"> "Cuiabá"</v>
      </c>
      <c r="M124" t="str">
        <f>IF(Tabela2[[#This Row],[fim]]="","",_xlfn.XLOOKUP(Tabela2[[#This Row],[fim]],Tabela1[id],Tabela1[Cidade]))</f>
        <v xml:space="preserve"> "São Luís"</v>
      </c>
      <c r="N124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grafo.adicionarAresta(123,"BR-226",2220.0,2723.0,"14","27");// "Cuiabá"- "São Luís"</v>
      </c>
    </row>
    <row r="125" spans="6:14" x14ac:dyDescent="0.3">
      <c r="F125">
        <v>124</v>
      </c>
      <c r="G125" t="s">
        <v>76</v>
      </c>
      <c r="H125" s="4">
        <f>(20*60)+43</f>
        <v>1243</v>
      </c>
      <c r="I125">
        <v>14</v>
      </c>
      <c r="J125">
        <v>1</v>
      </c>
      <c r="K125">
        <v>1529</v>
      </c>
      <c r="L125" t="str">
        <f>IF(Tabela2[[#This Row],[inicio]]="","",_xlfn.XLOOKUP(Tabela2[[#This Row],[inicio]],Tabela1[id],Tabela1[Cidade]))</f>
        <v xml:space="preserve"> "Cuiabá"</v>
      </c>
      <c r="M125" t="str">
        <f>IF(Tabela2[[#This Row],[fim]]="","",_xlfn.XLOOKUP(Tabela2[[#This Row],[fim]],Tabela1[id],Tabela1[Cidade]))</f>
        <v xml:space="preserve"> "São Paulo"</v>
      </c>
      <c r="N125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grafo.adicionarAresta(124,"BR-364",1243.0,1529.0,"14","1");// "Cuiabá"- "São Paulo"</v>
      </c>
    </row>
    <row r="126" spans="6:14" x14ac:dyDescent="0.3">
      <c r="F126">
        <v>125</v>
      </c>
      <c r="G126" t="s">
        <v>84</v>
      </c>
      <c r="H126" s="4">
        <f>(34*60)+0</f>
        <v>2040</v>
      </c>
      <c r="I126">
        <v>14</v>
      </c>
      <c r="J126">
        <v>24</v>
      </c>
      <c r="K126">
        <v>2584</v>
      </c>
      <c r="L126" t="str">
        <f>IF(Tabela2[[#This Row],[inicio]]="","",_xlfn.XLOOKUP(Tabela2[[#This Row],[inicio]],Tabela1[id],Tabela1[Cidade]))</f>
        <v xml:space="preserve"> "Cuiabá"</v>
      </c>
      <c r="M126" t="str">
        <f>IF(Tabela2[[#This Row],[fim]]="","",_xlfn.XLOOKUP(Tabela2[[#This Row],[fim]],Tabela1[id],Tabela1[Cidade]))</f>
        <v xml:space="preserve"> "Teresina"</v>
      </c>
      <c r="N126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grafo.adicionarAresta(125,"BR-226",2040.0,2584.0,"14","24");// "Cuiabá"- "Teresina"</v>
      </c>
    </row>
    <row r="127" spans="6:14" x14ac:dyDescent="0.3">
      <c r="F127">
        <v>126</v>
      </c>
      <c r="G127" t="s">
        <v>82</v>
      </c>
      <c r="H127" s="4">
        <f>(30*60)+0</f>
        <v>1800</v>
      </c>
      <c r="I127">
        <v>15</v>
      </c>
      <c r="J127">
        <v>5</v>
      </c>
      <c r="K127">
        <v>2242</v>
      </c>
      <c r="L127" t="str">
        <f>IF(Tabela2[[#This Row],[inicio]]="","",_xlfn.XLOOKUP(Tabela2[[#This Row],[inicio]],Tabela1[id],Tabela1[Cidade]))</f>
        <v xml:space="preserve"> "João Pessoa"</v>
      </c>
      <c r="M127" t="str">
        <f>IF(Tabela2[[#This Row],[fim]]="","",_xlfn.XLOOKUP(Tabela2[[#This Row],[fim]],Tabela1[id],Tabela1[Cidade]))</f>
        <v xml:space="preserve"> "Brasília"</v>
      </c>
      <c r="N127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grafo.adicionarAresta(126,"BR-020",1800.0,2242.0,"15","5");// "João Pessoa"- "Brasília"</v>
      </c>
    </row>
    <row r="128" spans="6:14" x14ac:dyDescent="0.3">
      <c r="F128">
        <v>127</v>
      </c>
      <c r="G128" t="s">
        <v>86</v>
      </c>
      <c r="H128" s="4">
        <f>(44*60)+0</f>
        <v>2640</v>
      </c>
      <c r="I128">
        <v>15</v>
      </c>
      <c r="J128">
        <v>14</v>
      </c>
      <c r="K128">
        <v>3228</v>
      </c>
      <c r="L128" t="str">
        <f>IF(Tabela2[[#This Row],[inicio]]="","",_xlfn.XLOOKUP(Tabela2[[#This Row],[inicio]],Tabela1[id],Tabela1[Cidade]))</f>
        <v xml:space="preserve"> "João Pessoa"</v>
      </c>
      <c r="M128" t="str">
        <f>IF(Tabela2[[#This Row],[fim]]="","",_xlfn.XLOOKUP(Tabela2[[#This Row],[fim]],Tabela1[id],Tabela1[Cidade]))</f>
        <v xml:space="preserve"> "Cuiabá"</v>
      </c>
      <c r="N128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grafo.adicionarAresta(127,"BR-070",2640.0,3228.0,"15","14");// "João Pessoa"- "Cuiabá"</v>
      </c>
    </row>
    <row r="129" spans="6:14" x14ac:dyDescent="0.3">
      <c r="F129">
        <v>128</v>
      </c>
      <c r="G129" t="s">
        <v>110</v>
      </c>
      <c r="H129" s="4">
        <f>(44*60)+0</f>
        <v>2640</v>
      </c>
      <c r="I129">
        <v>15</v>
      </c>
      <c r="J129">
        <v>8</v>
      </c>
      <c r="K129">
        <v>748</v>
      </c>
      <c r="L129" t="str">
        <f>IF(Tabela2[[#This Row],[inicio]]="","",_xlfn.XLOOKUP(Tabela2[[#This Row],[inicio]],Tabela1[id],Tabela1[Cidade]))</f>
        <v xml:space="preserve"> "João Pessoa"</v>
      </c>
      <c r="M129" t="str">
        <f>IF(Tabela2[[#This Row],[fim]]="","",_xlfn.XLOOKUP(Tabela2[[#This Row],[fim]],Tabela1[id],Tabela1[Cidade]))</f>
        <v xml:space="preserve"> "Fortaleza"</v>
      </c>
      <c r="N129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grafo.adicionarAresta(128,"BR-230",2640.0,748.0,"15","8");// "João Pessoa"- "Fortaleza"</v>
      </c>
    </row>
    <row r="130" spans="6:14" x14ac:dyDescent="0.3">
      <c r="F130">
        <v>129</v>
      </c>
      <c r="G130" t="s">
        <v>92</v>
      </c>
      <c r="H130" s="4">
        <f>(72*60)+0</f>
        <v>4320</v>
      </c>
      <c r="I130">
        <v>15</v>
      </c>
      <c r="J130">
        <v>10</v>
      </c>
      <c r="K130">
        <v>4642</v>
      </c>
      <c r="L130" t="str">
        <f>IF(Tabela2[[#This Row],[inicio]]="","",_xlfn.XLOOKUP(Tabela2[[#This Row],[inicio]],Tabela1[id],Tabela1[Cidade]))</f>
        <v xml:space="preserve"> "João Pessoa"</v>
      </c>
      <c r="M130" t="str">
        <f>IF(Tabela2[[#This Row],[fim]]="","",_xlfn.XLOOKUP(Tabela2[[#This Row],[fim]],Tabela1[id],Tabela1[Cidade]))</f>
        <v xml:space="preserve"> "Manaus"</v>
      </c>
      <c r="N130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grafo.adicionarAresta(129,"Rod.Transamazonica e BR-230",4320.0,4642.0,"15","10");// "João Pessoa"- "Manaus"</v>
      </c>
    </row>
    <row r="131" spans="6:14" x14ac:dyDescent="0.3">
      <c r="F131">
        <v>130</v>
      </c>
      <c r="G131" t="s">
        <v>118</v>
      </c>
      <c r="H131" s="4">
        <f>(2*60)+30</f>
        <v>150</v>
      </c>
      <c r="I131">
        <v>15</v>
      </c>
      <c r="J131">
        <v>18</v>
      </c>
      <c r="K131">
        <v>181</v>
      </c>
      <c r="L131" t="str">
        <f>IF(Tabela2[[#This Row],[inicio]]="","",_xlfn.XLOOKUP(Tabela2[[#This Row],[inicio]],Tabela1[id],Tabela1[Cidade]))</f>
        <v xml:space="preserve"> "João Pessoa"</v>
      </c>
      <c r="M131" t="str">
        <f>IF(Tabela2[[#This Row],[fim]]="","",_xlfn.XLOOKUP(Tabela2[[#This Row],[fim]],Tabela1[id],Tabela1[Cidade]))</f>
        <v xml:space="preserve"> "Natal"</v>
      </c>
      <c r="N131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grafo.adicionarAresta(130,"BR-101 ",150.0,181.0,"15","18");// "João Pessoa"- "Natal"</v>
      </c>
    </row>
    <row r="132" spans="6:14" x14ac:dyDescent="0.3">
      <c r="F132">
        <v>131</v>
      </c>
      <c r="G132" t="s">
        <v>130</v>
      </c>
      <c r="H132" s="4">
        <f>(29*60)+0</f>
        <v>1740</v>
      </c>
      <c r="I132">
        <v>15</v>
      </c>
      <c r="J132">
        <v>19</v>
      </c>
      <c r="K132">
        <v>2041</v>
      </c>
      <c r="L132" t="str">
        <f>IF(Tabela2[[#This Row],[inicio]]="","",_xlfn.XLOOKUP(Tabela2[[#This Row],[inicio]],Tabela1[id],Tabela1[Cidade]))</f>
        <v xml:space="preserve"> "João Pessoa"</v>
      </c>
      <c r="M132" t="str">
        <f>IF(Tabela2[[#This Row],[fim]]="","",_xlfn.XLOOKUP(Tabela2[[#This Row],[fim]],Tabela1[id],Tabela1[Cidade]))</f>
        <v xml:space="preserve"> "Palmas"</v>
      </c>
      <c r="N132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grafo.adicionarAresta(131,"BR-230 ",1740.0,2041.0,"15","19");// "João Pessoa"- "Palmas"</v>
      </c>
    </row>
    <row r="133" spans="6:14" x14ac:dyDescent="0.3">
      <c r="F133">
        <v>132</v>
      </c>
      <c r="G133" t="s">
        <v>92</v>
      </c>
      <c r="H133" s="4">
        <f>(62*60)+0</f>
        <v>3720</v>
      </c>
      <c r="I133">
        <v>15</v>
      </c>
      <c r="J133">
        <v>21</v>
      </c>
      <c r="K133">
        <v>4151</v>
      </c>
      <c r="L133" t="str">
        <f>IF(Tabela2[[#This Row],[inicio]]="","",_xlfn.XLOOKUP(Tabela2[[#This Row],[inicio]],Tabela1[id],Tabela1[Cidade]))</f>
        <v xml:space="preserve"> "João Pessoa"</v>
      </c>
      <c r="M133" t="str">
        <f>IF(Tabela2[[#This Row],[fim]]="","",_xlfn.XLOOKUP(Tabela2[[#This Row],[fim]],Tabela1[id],Tabela1[Cidade]))</f>
        <v xml:space="preserve"> "Porto Velho"</v>
      </c>
      <c r="N133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grafo.adicionarAresta(132,"Rod.Transamazonica e BR-230",3720.0,4151.0,"15","21");// "João Pessoa"- "Porto Velho"</v>
      </c>
    </row>
    <row r="134" spans="6:14" x14ac:dyDescent="0.3">
      <c r="F134">
        <v>133</v>
      </c>
      <c r="G134" t="s">
        <v>118</v>
      </c>
      <c r="H134" s="4">
        <f>(2*60)+3</f>
        <v>123</v>
      </c>
      <c r="I134">
        <v>15</v>
      </c>
      <c r="J134">
        <v>9</v>
      </c>
      <c r="K134">
        <v>155</v>
      </c>
      <c r="L134" t="str">
        <f>IF(Tabela2[[#This Row],[inicio]]="","",_xlfn.XLOOKUP(Tabela2[[#This Row],[inicio]],Tabela1[id],Tabela1[Cidade]))</f>
        <v xml:space="preserve"> "João Pessoa"</v>
      </c>
      <c r="M134" t="str">
        <f>IF(Tabela2[[#This Row],[fim]]="","",_xlfn.XLOOKUP(Tabela2[[#This Row],[fim]],Tabela1[id],Tabela1[Cidade]))</f>
        <v xml:space="preserve"> "Recife"</v>
      </c>
      <c r="N134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grafo.adicionarAresta(133,"BR-101 ",123.0,155.0,"15","9");// "João Pessoa"- "Recife"</v>
      </c>
    </row>
    <row r="135" spans="6:14" x14ac:dyDescent="0.3">
      <c r="F135">
        <v>134</v>
      </c>
      <c r="G135" t="s">
        <v>86</v>
      </c>
      <c r="H135" s="4">
        <f>(44*60)+0</f>
        <v>2640</v>
      </c>
      <c r="I135">
        <v>15</v>
      </c>
      <c r="J135">
        <v>24</v>
      </c>
      <c r="K135">
        <v>3228</v>
      </c>
      <c r="L135" t="str">
        <f>IF(Tabela2[[#This Row],[inicio]]="","",_xlfn.XLOOKUP(Tabela2[[#This Row],[inicio]],Tabela1[id],Tabela1[Cidade]))</f>
        <v xml:space="preserve"> "João Pessoa"</v>
      </c>
      <c r="M135" t="str">
        <f>IF(Tabela2[[#This Row],[fim]]="","",_xlfn.XLOOKUP(Tabela2[[#This Row],[fim]],Tabela1[id],Tabela1[Cidade]))</f>
        <v xml:space="preserve"> "Teresina"</v>
      </c>
      <c r="N135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grafo.adicionarAresta(134,"BR-070",2640.0,3228.0,"15","24");// "João Pessoa"- "Teresina"</v>
      </c>
    </row>
    <row r="136" spans="6:14" x14ac:dyDescent="0.3">
      <c r="F136">
        <v>135</v>
      </c>
      <c r="G136" t="s">
        <v>123</v>
      </c>
      <c r="H136" s="4">
        <f>(4*60)+6</f>
        <v>246</v>
      </c>
      <c r="I136">
        <v>16</v>
      </c>
      <c r="J136">
        <v>17</v>
      </c>
      <c r="K136">
        <v>272</v>
      </c>
      <c r="L136" t="str">
        <f>IF(Tabela2[[#This Row],[inicio]]="","",_xlfn.XLOOKUP(Tabela2[[#This Row],[inicio]],Tabela1[id],Tabela1[Cidade]))</f>
        <v xml:space="preserve"> "Maceió"</v>
      </c>
      <c r="M136" t="str">
        <f>IF(Tabela2[[#This Row],[fim]]="","",_xlfn.XLOOKUP(Tabela2[[#This Row],[fim]],Tabela1[id],Tabela1[Cidade]))</f>
        <v xml:space="preserve"> "Aracaju"</v>
      </c>
      <c r="N136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grafo.adicionarAresta(135,"Rod, prestes maia e BR-101",246.0,272.0,"16","17");// "Maceió"- "Aracaju"</v>
      </c>
    </row>
    <row r="137" spans="6:14" x14ac:dyDescent="0.3">
      <c r="F137">
        <v>136</v>
      </c>
      <c r="G137" t="s">
        <v>125</v>
      </c>
      <c r="H137" s="4">
        <f>(14*60)+29</f>
        <v>869</v>
      </c>
      <c r="I137">
        <v>16</v>
      </c>
      <c r="J137">
        <v>8</v>
      </c>
      <c r="K137">
        <v>955</v>
      </c>
      <c r="L137" t="str">
        <f>IF(Tabela2[[#This Row],[inicio]]="","",_xlfn.XLOOKUP(Tabela2[[#This Row],[inicio]],Tabela1[id],Tabela1[Cidade]))</f>
        <v xml:space="preserve"> "Maceió"</v>
      </c>
      <c r="M137" t="str">
        <f>IF(Tabela2[[#This Row],[fim]]="","",_xlfn.XLOOKUP(Tabela2[[#This Row],[fim]],Tabela1[id],Tabela1[Cidade]))</f>
        <v xml:space="preserve"> "Fortaleza"</v>
      </c>
      <c r="N137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grafo.adicionarAresta(136,"BR-104 ",869.0,955.0,"16","8");// "Maceió"- "Fortaleza"</v>
      </c>
    </row>
    <row r="138" spans="6:14" x14ac:dyDescent="0.3">
      <c r="F138">
        <v>137</v>
      </c>
      <c r="G138" t="s">
        <v>92</v>
      </c>
      <c r="H138" s="4">
        <f>(72*60)+0</f>
        <v>4320</v>
      </c>
      <c r="I138">
        <v>16</v>
      </c>
      <c r="J138">
        <v>10</v>
      </c>
      <c r="K138">
        <v>4659</v>
      </c>
      <c r="L138" t="str">
        <f>IF(Tabela2[[#This Row],[inicio]]="","",_xlfn.XLOOKUP(Tabela2[[#This Row],[inicio]],Tabela1[id],Tabela1[Cidade]))</f>
        <v xml:space="preserve"> "Maceió"</v>
      </c>
      <c r="M138" t="str">
        <f>IF(Tabela2[[#This Row],[fim]]="","",_xlfn.XLOOKUP(Tabela2[[#This Row],[fim]],Tabela1[id],Tabela1[Cidade]))</f>
        <v xml:space="preserve"> "Manaus"</v>
      </c>
      <c r="N138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grafo.adicionarAresta(137,"Rod.Transamazonica e BR-230",4320.0,4659.0,"16","10");// "Maceió"- "Manaus"</v>
      </c>
    </row>
    <row r="139" spans="6:14" x14ac:dyDescent="0.3">
      <c r="F139">
        <v>138</v>
      </c>
      <c r="G139" t="s">
        <v>124</v>
      </c>
      <c r="H139" s="4">
        <f>(26*60)+0</f>
        <v>1560</v>
      </c>
      <c r="I139">
        <v>16</v>
      </c>
      <c r="J139">
        <v>19</v>
      </c>
      <c r="K139">
        <v>1862</v>
      </c>
      <c r="L139" t="str">
        <f>IF(Tabela2[[#This Row],[inicio]]="","",_xlfn.XLOOKUP(Tabela2[[#This Row],[inicio]],Tabela1[id],Tabela1[Cidade]))</f>
        <v xml:space="preserve"> "Maceió"</v>
      </c>
      <c r="M139" t="str">
        <f>IF(Tabela2[[#This Row],[fim]]="","",_xlfn.XLOOKUP(Tabela2[[#This Row],[fim]],Tabela1[id],Tabela1[Cidade]))</f>
        <v xml:space="preserve"> "Palmas"</v>
      </c>
      <c r="N139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grafo.adicionarAresta(138,"BR-210 ",1560.0,1862.0,"16","19");// "Maceió"- "Palmas"</v>
      </c>
    </row>
    <row r="140" spans="6:14" x14ac:dyDescent="0.3">
      <c r="F140">
        <v>139</v>
      </c>
      <c r="G140" t="s">
        <v>108</v>
      </c>
      <c r="H140" s="4">
        <f>(57*60)+0</f>
        <v>3420</v>
      </c>
      <c r="I140">
        <v>16</v>
      </c>
      <c r="J140">
        <v>21</v>
      </c>
      <c r="K140">
        <v>4273</v>
      </c>
      <c r="L140" t="str">
        <f>IF(Tabela2[[#This Row],[inicio]]="","",_xlfn.XLOOKUP(Tabela2[[#This Row],[inicio]],Tabela1[id],Tabela1[Cidade]))</f>
        <v xml:space="preserve"> "Maceió"</v>
      </c>
      <c r="M140" t="str">
        <f>IF(Tabela2[[#This Row],[fim]]="","",_xlfn.XLOOKUP(Tabela2[[#This Row],[fim]],Tabela1[id],Tabela1[Cidade]))</f>
        <v xml:space="preserve"> "Porto Velho"</v>
      </c>
      <c r="N140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grafo.adicionarAresta(139,"BR-242 ",3420.0,4273.0,"16","21");// "Maceió"- "Porto Velho"</v>
      </c>
    </row>
    <row r="141" spans="6:14" x14ac:dyDescent="0.3">
      <c r="F141">
        <v>140</v>
      </c>
      <c r="G141" t="s">
        <v>126</v>
      </c>
      <c r="H141" s="4">
        <f>(4*60)+16</f>
        <v>256</v>
      </c>
      <c r="I141">
        <v>16</v>
      </c>
      <c r="J141">
        <v>9</v>
      </c>
      <c r="K141">
        <v>259</v>
      </c>
      <c r="L141" t="str">
        <f>IF(Tabela2[[#This Row],[inicio]]="","",_xlfn.XLOOKUP(Tabela2[[#This Row],[inicio]],Tabela1[id],Tabela1[Cidade]))</f>
        <v xml:space="preserve"> "Maceió"</v>
      </c>
      <c r="M141" t="str">
        <f>IF(Tabela2[[#This Row],[fim]]="","",_xlfn.XLOOKUP(Tabela2[[#This Row],[fim]],Tabela1[id],Tabela1[Cidade]))</f>
        <v xml:space="preserve"> "Recife"</v>
      </c>
      <c r="N141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grafo.adicionarAresta(140,"Rod. Gov. Mario Covas e BR-101",256.0,259.0,"16","9");// "Maceió"- "Recife"</v>
      </c>
    </row>
    <row r="142" spans="6:14" x14ac:dyDescent="0.3">
      <c r="F142">
        <v>141</v>
      </c>
      <c r="G142" t="s">
        <v>102</v>
      </c>
      <c r="H142" s="4">
        <f>(16*60)+37</f>
        <v>997</v>
      </c>
      <c r="I142">
        <v>16</v>
      </c>
      <c r="J142">
        <v>24</v>
      </c>
      <c r="K142">
        <v>1172</v>
      </c>
      <c r="L142" t="str">
        <f>IF(Tabela2[[#This Row],[inicio]]="","",_xlfn.XLOOKUP(Tabela2[[#This Row],[inicio]],Tabela1[id],Tabela1[Cidade]))</f>
        <v xml:space="preserve"> "Maceió"</v>
      </c>
      <c r="M142" t="str">
        <f>IF(Tabela2[[#This Row],[fim]]="","",_xlfn.XLOOKUP(Tabela2[[#This Row],[fim]],Tabela1[id],Tabela1[Cidade]))</f>
        <v xml:space="preserve"> "Teresina"</v>
      </c>
      <c r="N142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grafo.adicionarAresta(141,"BR-316 ",997.0,1172.0,"16","24");// "Maceió"- "Teresina"</v>
      </c>
    </row>
    <row r="143" spans="6:14" x14ac:dyDescent="0.3">
      <c r="F143">
        <v>142</v>
      </c>
      <c r="G143" t="s">
        <v>62</v>
      </c>
      <c r="H143" s="4">
        <f>(23*60)+40</f>
        <v>1420</v>
      </c>
      <c r="I143">
        <v>17</v>
      </c>
      <c r="J143">
        <v>3</v>
      </c>
      <c r="K143">
        <v>1543</v>
      </c>
      <c r="L143" t="str">
        <f>IF(Tabela2[[#This Row],[inicio]]="","",_xlfn.XLOOKUP(Tabela2[[#This Row],[inicio]],Tabela1[id],Tabela1[Cidade]))</f>
        <v xml:space="preserve"> "Aracaju"</v>
      </c>
      <c r="M143" t="str">
        <f>IF(Tabela2[[#This Row],[fim]]="","",_xlfn.XLOOKUP(Tabela2[[#This Row],[fim]],Tabela1[id],Tabela1[Cidade]))</f>
        <v xml:space="preserve"> "Belo Horizonte"</v>
      </c>
      <c r="N143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grafo.adicionarAresta(142,"BR-116",1420.0,1543.0,"17","3");// "Aracaju"- "Belo Horizonte"</v>
      </c>
    </row>
    <row r="144" spans="6:14" x14ac:dyDescent="0.3">
      <c r="F144">
        <v>143</v>
      </c>
      <c r="G144" t="s">
        <v>117</v>
      </c>
      <c r="H144" s="4">
        <f>(22*60)+2</f>
        <v>1322</v>
      </c>
      <c r="I144">
        <v>17</v>
      </c>
      <c r="J144">
        <v>5</v>
      </c>
      <c r="K144">
        <v>1639</v>
      </c>
      <c r="L144" t="str">
        <f>IF(Tabela2[[#This Row],[inicio]]="","",_xlfn.XLOOKUP(Tabela2[[#This Row],[inicio]],Tabela1[id],Tabela1[Cidade]))</f>
        <v xml:space="preserve"> "Aracaju"</v>
      </c>
      <c r="M144" t="str">
        <f>IF(Tabela2[[#This Row],[fim]]="","",_xlfn.XLOOKUP(Tabela2[[#This Row],[fim]],Tabela1[id],Tabela1[Cidade]))</f>
        <v xml:space="preserve"> "Brasília"</v>
      </c>
      <c r="N144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grafo.adicionarAresta(143,"BR-020 ",1322.0,1639.0,"17","5");// "Aracaju"- "Brasília"</v>
      </c>
    </row>
    <row r="145" spans="6:14" x14ac:dyDescent="0.3">
      <c r="F145">
        <v>144</v>
      </c>
      <c r="G145" t="s">
        <v>121</v>
      </c>
      <c r="H145" s="4">
        <f>(25*60)+16</f>
        <v>1516</v>
      </c>
      <c r="I145">
        <v>17</v>
      </c>
      <c r="J145">
        <v>8</v>
      </c>
      <c r="K145">
        <v>1099</v>
      </c>
      <c r="L145" t="str">
        <f>IF(Tabela2[[#This Row],[inicio]]="","",_xlfn.XLOOKUP(Tabela2[[#This Row],[inicio]],Tabela1[id],Tabela1[Cidade]))</f>
        <v xml:space="preserve"> "Aracaju"</v>
      </c>
      <c r="M145" t="str">
        <f>IF(Tabela2[[#This Row],[fim]]="","",_xlfn.XLOOKUP(Tabela2[[#This Row],[fim]],Tabela1[id],Tabela1[Cidade]))</f>
        <v xml:space="preserve"> "Fortaleza"</v>
      </c>
      <c r="N145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grafo.adicionarAresta(144,"BR-235  e BR-116",1516.0,1099.0,"17","8");// "Aracaju"- "Fortaleza"</v>
      </c>
    </row>
    <row r="146" spans="6:14" x14ac:dyDescent="0.3">
      <c r="F146">
        <v>145</v>
      </c>
      <c r="G146" t="s">
        <v>65</v>
      </c>
      <c r="H146" s="4">
        <f>(4*60)+12</f>
        <v>252</v>
      </c>
      <c r="I146">
        <v>17</v>
      </c>
      <c r="J146">
        <v>16</v>
      </c>
      <c r="K146">
        <v>272</v>
      </c>
      <c r="L146" t="str">
        <f>IF(Tabela2[[#This Row],[inicio]]="","",_xlfn.XLOOKUP(Tabela2[[#This Row],[inicio]],Tabela1[id],Tabela1[Cidade]))</f>
        <v xml:space="preserve"> "Aracaju"</v>
      </c>
      <c r="M146" t="str">
        <f>IF(Tabela2[[#This Row],[fim]]="","",_xlfn.XLOOKUP(Tabela2[[#This Row],[fim]],Tabela1[id],Tabela1[Cidade]))</f>
        <v xml:space="preserve"> "Maceió"</v>
      </c>
      <c r="N146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grafo.adicionarAresta(145,"BR-101",252.0,272.0,"17","16");// "Aracaju"- "Maceió"</v>
      </c>
    </row>
    <row r="147" spans="6:14" x14ac:dyDescent="0.3">
      <c r="F147">
        <v>146</v>
      </c>
      <c r="G147" t="s">
        <v>108</v>
      </c>
      <c r="H147" s="4">
        <f>(22*60)+36</f>
        <v>1356</v>
      </c>
      <c r="I147">
        <v>17</v>
      </c>
      <c r="J147">
        <v>19</v>
      </c>
      <c r="K147">
        <v>1671</v>
      </c>
      <c r="L147" t="str">
        <f>IF(Tabela2[[#This Row],[inicio]]="","",_xlfn.XLOOKUP(Tabela2[[#This Row],[inicio]],Tabela1[id],Tabela1[Cidade]))</f>
        <v xml:space="preserve"> "Aracaju"</v>
      </c>
      <c r="M147" t="str">
        <f>IF(Tabela2[[#This Row],[fim]]="","",_xlfn.XLOOKUP(Tabela2[[#This Row],[fim]],Tabela1[id],Tabela1[Cidade]))</f>
        <v xml:space="preserve"> "Palmas"</v>
      </c>
      <c r="N147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grafo.adicionarAresta(146,"BR-242 ",1356.0,1671.0,"17","19");// "Aracaju"- "Palmas"</v>
      </c>
    </row>
    <row r="148" spans="6:14" x14ac:dyDescent="0.3">
      <c r="F148">
        <v>147</v>
      </c>
      <c r="G148" t="s">
        <v>65</v>
      </c>
      <c r="H148" s="4">
        <f>(7*60)+36</f>
        <v>456</v>
      </c>
      <c r="I148">
        <v>17</v>
      </c>
      <c r="J148">
        <v>9</v>
      </c>
      <c r="K148">
        <v>499</v>
      </c>
      <c r="L148" t="str">
        <f>IF(Tabela2[[#This Row],[inicio]]="","",_xlfn.XLOOKUP(Tabela2[[#This Row],[inicio]],Tabela1[id],Tabela1[Cidade]))</f>
        <v xml:space="preserve"> "Aracaju"</v>
      </c>
      <c r="M148" t="str">
        <f>IF(Tabela2[[#This Row],[fim]]="","",_xlfn.XLOOKUP(Tabela2[[#This Row],[fim]],Tabela1[id],Tabela1[Cidade]))</f>
        <v xml:space="preserve"> "Recife"</v>
      </c>
      <c r="N148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grafo.adicionarAresta(147,"BR-101",456.0,499.0,"17","9");// "Aracaju"- "Recife"</v>
      </c>
    </row>
    <row r="149" spans="6:14" x14ac:dyDescent="0.3">
      <c r="F149">
        <v>148</v>
      </c>
      <c r="G149" t="s">
        <v>120</v>
      </c>
      <c r="H149" s="4">
        <f>(4*60)+40</f>
        <v>280</v>
      </c>
      <c r="I149">
        <v>17</v>
      </c>
      <c r="J149">
        <v>7</v>
      </c>
      <c r="K149">
        <v>325</v>
      </c>
      <c r="L149" t="str">
        <f>IF(Tabela2[[#This Row],[inicio]]="","",_xlfn.XLOOKUP(Tabela2[[#This Row],[inicio]],Tabela1[id],Tabela1[Cidade]))</f>
        <v xml:space="preserve"> "Aracaju"</v>
      </c>
      <c r="M149" t="str">
        <f>IF(Tabela2[[#This Row],[fim]]="","",_xlfn.XLOOKUP(Tabela2[[#This Row],[fim]],Tabela1[id],Tabela1[Cidade]))</f>
        <v xml:space="preserve"> "Salvador"</v>
      </c>
      <c r="N149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grafo.adicionarAresta(148,"BA-099 ",280.0,325.0,"17","7");// "Aracaju"- "Salvador"</v>
      </c>
    </row>
    <row r="150" spans="6:14" x14ac:dyDescent="0.3">
      <c r="F150">
        <v>149</v>
      </c>
      <c r="G150" t="s">
        <v>122</v>
      </c>
      <c r="H150" s="4">
        <f>(15*60)+34</f>
        <v>934</v>
      </c>
      <c r="I150">
        <v>17</v>
      </c>
      <c r="J150">
        <v>24</v>
      </c>
      <c r="K150">
        <v>1117</v>
      </c>
      <c r="L150" t="str">
        <f>IF(Tabela2[[#This Row],[inicio]]="","",_xlfn.XLOOKUP(Tabela2[[#This Row],[inicio]],Tabela1[id],Tabela1[Cidade]))</f>
        <v xml:space="preserve"> "Aracaju"</v>
      </c>
      <c r="M150" t="str">
        <f>IF(Tabela2[[#This Row],[fim]]="","",_xlfn.XLOOKUP(Tabela2[[#This Row],[fim]],Tabela1[id],Tabela1[Cidade]))</f>
        <v xml:space="preserve"> "Teresina"</v>
      </c>
      <c r="N150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grafo.adicionarAresta(149,"BR-235  e BR-407",934.0,1117.0,"17","24");// "Aracaju"- "Teresina"</v>
      </c>
    </row>
    <row r="151" spans="6:14" x14ac:dyDescent="0.3">
      <c r="F151">
        <v>150</v>
      </c>
      <c r="G151" t="s">
        <v>131</v>
      </c>
      <c r="H151" s="4">
        <f>(22*60)+19</f>
        <v>1339</v>
      </c>
      <c r="I151">
        <v>18</v>
      </c>
      <c r="J151">
        <v>17</v>
      </c>
      <c r="K151">
        <v>784</v>
      </c>
      <c r="L151" t="str">
        <f>IF(Tabela2[[#This Row],[inicio]]="","",_xlfn.XLOOKUP(Tabela2[[#This Row],[inicio]],Tabela1[id],Tabela1[Cidade]))</f>
        <v xml:space="preserve"> "Natal"</v>
      </c>
      <c r="M151" t="str">
        <f>IF(Tabela2[[#This Row],[fim]]="","",_xlfn.XLOOKUP(Tabela2[[#This Row],[fim]],Tabela1[id],Tabela1[Cidade]))</f>
        <v xml:space="preserve"> "Aracaju"</v>
      </c>
      <c r="N151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grafo.adicionarAresta(150,"BR-104 e BR-101",1339.0,784.0,"18","17");// "Natal"- "Aracaju"</v>
      </c>
    </row>
    <row r="152" spans="6:14" x14ac:dyDescent="0.3">
      <c r="F152">
        <v>151</v>
      </c>
      <c r="G152" t="s">
        <v>132</v>
      </c>
      <c r="H152" s="4">
        <f>(35*60)+0</f>
        <v>2100</v>
      </c>
      <c r="I152">
        <v>18</v>
      </c>
      <c r="J152">
        <v>3</v>
      </c>
      <c r="K152">
        <v>2334</v>
      </c>
      <c r="L152" t="str">
        <f>IF(Tabela2[[#This Row],[inicio]]="","",_xlfn.XLOOKUP(Tabela2[[#This Row],[inicio]],Tabela1[id],Tabela1[Cidade]))</f>
        <v xml:space="preserve"> "Natal"</v>
      </c>
      <c r="M152" t="str">
        <f>IF(Tabela2[[#This Row],[fim]]="","",_xlfn.XLOOKUP(Tabela2[[#This Row],[fim]],Tabela1[id],Tabela1[Cidade]))</f>
        <v xml:space="preserve"> "Belo Horizonte"</v>
      </c>
      <c r="N152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grafo.adicionarAresta(151,"BA-110 ",2100.0,2334.0,"18","3");// "Natal"- "Belo Horizonte"</v>
      </c>
    </row>
    <row r="153" spans="6:14" x14ac:dyDescent="0.3">
      <c r="F153">
        <v>152</v>
      </c>
      <c r="G153" t="s">
        <v>117</v>
      </c>
      <c r="H153" s="4">
        <f>(33*60)+0</f>
        <v>1980</v>
      </c>
      <c r="I153">
        <v>18</v>
      </c>
      <c r="J153">
        <v>5</v>
      </c>
      <c r="K153">
        <v>2408</v>
      </c>
      <c r="L153" t="str">
        <f>IF(Tabela2[[#This Row],[inicio]]="","",_xlfn.XLOOKUP(Tabela2[[#This Row],[inicio]],Tabela1[id],Tabela1[Cidade]))</f>
        <v xml:space="preserve"> "Natal"</v>
      </c>
      <c r="M153" t="str">
        <f>IF(Tabela2[[#This Row],[fim]]="","",_xlfn.XLOOKUP(Tabela2[[#This Row],[fim]],Tabela1[id],Tabela1[Cidade]))</f>
        <v xml:space="preserve"> "Brasília"</v>
      </c>
      <c r="N153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grafo.adicionarAresta(152,"BR-020 ",1980.0,2408.0,"18","5");// "Natal"- "Brasília"</v>
      </c>
    </row>
    <row r="154" spans="6:14" x14ac:dyDescent="0.3">
      <c r="F154">
        <v>153</v>
      </c>
      <c r="G154" t="s">
        <v>105</v>
      </c>
      <c r="H154" s="4">
        <f>(46*60)+0</f>
        <v>2760</v>
      </c>
      <c r="I154">
        <v>18</v>
      </c>
      <c r="J154">
        <v>14</v>
      </c>
      <c r="K154">
        <v>3467</v>
      </c>
      <c r="L154" t="str">
        <f>IF(Tabela2[[#This Row],[inicio]]="","",_xlfn.XLOOKUP(Tabela2[[#This Row],[inicio]],Tabela1[id],Tabela1[Cidade]))</f>
        <v xml:space="preserve"> "Natal"</v>
      </c>
      <c r="M154" t="str">
        <f>IF(Tabela2[[#This Row],[fim]]="","",_xlfn.XLOOKUP(Tabela2[[#This Row],[fim]],Tabela1[id],Tabela1[Cidade]))</f>
        <v xml:space="preserve"> "Cuiabá"</v>
      </c>
      <c r="N154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grafo.adicionarAresta(153,"BR-070 ",2760.0,3467.0,"18","14");// "Natal"- "Cuiabá"</v>
      </c>
    </row>
    <row r="155" spans="6:14" x14ac:dyDescent="0.3">
      <c r="F155">
        <v>154</v>
      </c>
      <c r="G155" t="s">
        <v>133</v>
      </c>
      <c r="H155" s="4">
        <f>(7*60)+13</f>
        <v>433</v>
      </c>
      <c r="I155">
        <v>18</v>
      </c>
      <c r="J155">
        <v>8</v>
      </c>
      <c r="K155">
        <v>522</v>
      </c>
      <c r="L155" t="str">
        <f>IF(Tabela2[[#This Row],[inicio]]="","",_xlfn.XLOOKUP(Tabela2[[#This Row],[inicio]],Tabela1[id],Tabela1[Cidade]))</f>
        <v xml:space="preserve"> "Natal"</v>
      </c>
      <c r="M155" t="str">
        <f>IF(Tabela2[[#This Row],[fim]]="","",_xlfn.XLOOKUP(Tabela2[[#This Row],[fim]],Tabela1[id],Tabela1[Cidade]))</f>
        <v xml:space="preserve"> "Fortaleza"</v>
      </c>
      <c r="N155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grafo.adicionarAresta(154,"BR-304 e CE-040 ",433.0,522.0,"18","8");// "Natal"- "Fortaleza"</v>
      </c>
    </row>
    <row r="156" spans="6:14" x14ac:dyDescent="0.3">
      <c r="F156">
        <v>155</v>
      </c>
      <c r="G156" t="s">
        <v>65</v>
      </c>
      <c r="H156" s="4">
        <f>(2*60)+32</f>
        <v>152</v>
      </c>
      <c r="I156">
        <v>18</v>
      </c>
      <c r="J156">
        <v>15</v>
      </c>
      <c r="K156">
        <v>181</v>
      </c>
      <c r="L156" t="str">
        <f>IF(Tabela2[[#This Row],[inicio]]="","",_xlfn.XLOOKUP(Tabela2[[#This Row],[inicio]],Tabela1[id],Tabela1[Cidade]))</f>
        <v xml:space="preserve"> "Natal"</v>
      </c>
      <c r="M156" t="str">
        <f>IF(Tabela2[[#This Row],[fim]]="","",_xlfn.XLOOKUP(Tabela2[[#This Row],[fim]],Tabela1[id],Tabela1[Cidade]))</f>
        <v xml:space="preserve"> "João Pessoa"</v>
      </c>
      <c r="N156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grafo.adicionarAresta(155,"BR-101",152.0,181.0,"18","15");// "Natal"- "João Pessoa"</v>
      </c>
    </row>
    <row r="157" spans="6:14" x14ac:dyDescent="0.3">
      <c r="F157">
        <v>156</v>
      </c>
      <c r="G157" t="s">
        <v>92</v>
      </c>
      <c r="H157" s="4">
        <f>(72*60)+0</f>
        <v>4320</v>
      </c>
      <c r="I157">
        <v>18</v>
      </c>
      <c r="J157">
        <v>10</v>
      </c>
      <c r="K157">
        <v>4649</v>
      </c>
      <c r="L157" t="str">
        <f>IF(Tabela2[[#This Row],[inicio]]="","",_xlfn.XLOOKUP(Tabela2[[#This Row],[inicio]],Tabela1[id],Tabela1[Cidade]))</f>
        <v xml:space="preserve"> "Natal"</v>
      </c>
      <c r="M157" t="str">
        <f>IF(Tabela2[[#This Row],[fim]]="","",_xlfn.XLOOKUP(Tabela2[[#This Row],[fim]],Tabela1[id],Tabela1[Cidade]))</f>
        <v xml:space="preserve"> "Manaus"</v>
      </c>
      <c r="N157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grafo.adicionarAresta(156,"Rod.Transamazonica e BR-230",4320.0,4649.0,"18","10");// "Natal"- "Manaus"</v>
      </c>
    </row>
    <row r="158" spans="6:14" x14ac:dyDescent="0.3">
      <c r="F158">
        <v>157</v>
      </c>
      <c r="G158" t="s">
        <v>130</v>
      </c>
      <c r="H158" s="4">
        <f>(29*60)+0</f>
        <v>1740</v>
      </c>
      <c r="I158">
        <v>18</v>
      </c>
      <c r="J158">
        <v>19</v>
      </c>
      <c r="K158">
        <v>2048</v>
      </c>
      <c r="L158" t="str">
        <f>IF(Tabela2[[#This Row],[inicio]]="","",_xlfn.XLOOKUP(Tabela2[[#This Row],[inicio]],Tabela1[id],Tabela1[Cidade]))</f>
        <v xml:space="preserve"> "Natal"</v>
      </c>
      <c r="M158" t="str">
        <f>IF(Tabela2[[#This Row],[fim]]="","",_xlfn.XLOOKUP(Tabela2[[#This Row],[fim]],Tabela1[id],Tabela1[Cidade]))</f>
        <v xml:space="preserve"> "Palmas"</v>
      </c>
      <c r="N158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grafo.adicionarAresta(157,"BR-230 ",1740.0,2048.0,"18","19");// "Natal"- "Palmas"</v>
      </c>
    </row>
    <row r="159" spans="6:14" x14ac:dyDescent="0.3">
      <c r="F159">
        <v>158</v>
      </c>
      <c r="G159" t="s">
        <v>92</v>
      </c>
      <c r="H159" s="4">
        <f>(62*60)+0</f>
        <v>3720</v>
      </c>
      <c r="I159">
        <v>18</v>
      </c>
      <c r="J159">
        <v>21</v>
      </c>
      <c r="K159">
        <v>4158</v>
      </c>
      <c r="L159" t="str">
        <f>IF(Tabela2[[#This Row],[inicio]]="","",_xlfn.XLOOKUP(Tabela2[[#This Row],[inicio]],Tabela1[id],Tabela1[Cidade]))</f>
        <v xml:space="preserve"> "Natal"</v>
      </c>
      <c r="M159" t="str">
        <f>IF(Tabela2[[#This Row],[fim]]="","",_xlfn.XLOOKUP(Tabela2[[#This Row],[fim]],Tabela1[id],Tabela1[Cidade]))</f>
        <v xml:space="preserve"> "Porto Velho"</v>
      </c>
      <c r="N159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grafo.adicionarAresta(158,"Rod.Transamazonica e BR-230",3720.0,4158.0,"18","21");// "Natal"- "Porto Velho"</v>
      </c>
    </row>
    <row r="160" spans="6:14" x14ac:dyDescent="0.3">
      <c r="F160">
        <v>159</v>
      </c>
      <c r="G160" t="s">
        <v>132</v>
      </c>
      <c r="H160" s="4">
        <f>(17*60)+22</f>
        <v>1042</v>
      </c>
      <c r="I160">
        <v>18</v>
      </c>
      <c r="J160">
        <v>7</v>
      </c>
      <c r="K160">
        <v>1111</v>
      </c>
      <c r="L160" t="str">
        <f>IF(Tabela2[[#This Row],[inicio]]="","",_xlfn.XLOOKUP(Tabela2[[#This Row],[inicio]],Tabela1[id],Tabela1[Cidade]))</f>
        <v xml:space="preserve"> "Natal"</v>
      </c>
      <c r="M160" t="str">
        <f>IF(Tabela2[[#This Row],[fim]]="","",_xlfn.XLOOKUP(Tabela2[[#This Row],[fim]],Tabela1[id],Tabela1[Cidade]))</f>
        <v xml:space="preserve"> "Salvador"</v>
      </c>
      <c r="N160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grafo.adicionarAresta(159,"BA-110 ",1042.0,1111.0,"18","7");// "Natal"- "Salvador"</v>
      </c>
    </row>
    <row r="161" spans="6:14" x14ac:dyDescent="0.3">
      <c r="F161">
        <v>160</v>
      </c>
      <c r="G161" t="s">
        <v>101</v>
      </c>
      <c r="H161" s="4">
        <f>(15*60)+16</f>
        <v>916</v>
      </c>
      <c r="I161">
        <v>18</v>
      </c>
      <c r="J161">
        <v>24</v>
      </c>
      <c r="K161">
        <v>1048</v>
      </c>
      <c r="L161" t="str">
        <f>IF(Tabela2[[#This Row],[inicio]]="","",_xlfn.XLOOKUP(Tabela2[[#This Row],[inicio]],Tabela1[id],Tabela1[Cidade]))</f>
        <v xml:space="preserve"> "Natal"</v>
      </c>
      <c r="M161" t="str">
        <f>IF(Tabela2[[#This Row],[fim]]="","",_xlfn.XLOOKUP(Tabela2[[#This Row],[fim]],Tabela1[id],Tabela1[Cidade]))</f>
        <v xml:space="preserve"> "Teresina"</v>
      </c>
      <c r="N161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grafo.adicionarAresta(160,"BR-226 ",916.0,1048.0,"18","24");// "Natal"- "Teresina"</v>
      </c>
    </row>
    <row r="162" spans="6:14" x14ac:dyDescent="0.3">
      <c r="F162">
        <v>161</v>
      </c>
      <c r="G162" t="s">
        <v>108</v>
      </c>
      <c r="H162" s="4">
        <f>(22*60)+41</f>
        <v>1361</v>
      </c>
      <c r="I162">
        <v>19</v>
      </c>
      <c r="J162">
        <v>17</v>
      </c>
      <c r="K162">
        <v>1669</v>
      </c>
      <c r="L162" t="str">
        <f>IF(Tabela2[[#This Row],[inicio]]="","",_xlfn.XLOOKUP(Tabela2[[#This Row],[inicio]],Tabela1[id],Tabela1[Cidade]))</f>
        <v xml:space="preserve"> "Palmas"</v>
      </c>
      <c r="M162" t="str">
        <f>IF(Tabela2[[#This Row],[fim]]="","",_xlfn.XLOOKUP(Tabela2[[#This Row],[fim]],Tabela1[id],Tabela1[Cidade]))</f>
        <v xml:space="preserve"> "Aracaju"</v>
      </c>
      <c r="N162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grafo.adicionarAresta(161,"BR-242 ",1361.0,1669.0,"19","17");// "Palmas"- "Aracaju"</v>
      </c>
    </row>
    <row r="163" spans="6:14" x14ac:dyDescent="0.3">
      <c r="F163">
        <v>162</v>
      </c>
      <c r="G163" t="s">
        <v>101</v>
      </c>
      <c r="H163" s="4">
        <f>(18*60)+28</f>
        <v>1108</v>
      </c>
      <c r="I163">
        <v>19</v>
      </c>
      <c r="J163">
        <v>11</v>
      </c>
      <c r="K163">
        <v>1144</v>
      </c>
      <c r="L163" t="str">
        <f>IF(Tabela2[[#This Row],[inicio]]="","",_xlfn.XLOOKUP(Tabela2[[#This Row],[inicio]],Tabela1[id],Tabela1[Cidade]))</f>
        <v xml:space="preserve"> "Palmas"</v>
      </c>
      <c r="M163" t="str">
        <f>IF(Tabela2[[#This Row],[fim]]="","",_xlfn.XLOOKUP(Tabela2[[#This Row],[fim]],Tabela1[id],Tabela1[Cidade]))</f>
        <v xml:space="preserve"> "Belém"</v>
      </c>
      <c r="N163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grafo.adicionarAresta(162,"BR-226 ",1108.0,1144.0,"19","11");// "Palmas"- "Belém"</v>
      </c>
    </row>
    <row r="164" spans="6:14" x14ac:dyDescent="0.3">
      <c r="F164">
        <v>163</v>
      </c>
      <c r="G164" t="s">
        <v>100</v>
      </c>
      <c r="H164" s="4">
        <f>(22*60)+5</f>
        <v>1325</v>
      </c>
      <c r="I164">
        <v>19</v>
      </c>
      <c r="J164">
        <v>3</v>
      </c>
      <c r="K164">
        <v>1670</v>
      </c>
      <c r="L164" t="str">
        <f>IF(Tabela2[[#This Row],[inicio]]="","",_xlfn.XLOOKUP(Tabela2[[#This Row],[inicio]],Tabela1[id],Tabela1[Cidade]))</f>
        <v xml:space="preserve"> "Palmas"</v>
      </c>
      <c r="M164" t="str">
        <f>IF(Tabela2[[#This Row],[fim]]="","",_xlfn.XLOOKUP(Tabela2[[#This Row],[fim]],Tabela1[id],Tabela1[Cidade]))</f>
        <v xml:space="preserve"> "Belo Horizonte"</v>
      </c>
      <c r="N164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grafo.adicionarAresta(163,"BR-010 ",1325.0,1670.0,"19","3");// "Palmas"- "Belo Horizonte"</v>
      </c>
    </row>
    <row r="165" spans="6:14" x14ac:dyDescent="0.3">
      <c r="F165">
        <v>164</v>
      </c>
      <c r="G165" t="s">
        <v>83</v>
      </c>
      <c r="H165" s="4">
        <f>(10*60)+50</f>
        <v>650</v>
      </c>
      <c r="I165">
        <v>19</v>
      </c>
      <c r="J165">
        <v>5</v>
      </c>
      <c r="K165">
        <v>822</v>
      </c>
      <c r="L165" t="str">
        <f>IF(Tabela2[[#This Row],[inicio]]="","",_xlfn.XLOOKUP(Tabela2[[#This Row],[inicio]],Tabela1[id],Tabela1[Cidade]))</f>
        <v xml:space="preserve"> "Palmas"</v>
      </c>
      <c r="M165" t="str">
        <f>IF(Tabela2[[#This Row],[fim]]="","",_xlfn.XLOOKUP(Tabela2[[#This Row],[fim]],Tabela1[id],Tabela1[Cidade]))</f>
        <v xml:space="preserve"> "Brasília"</v>
      </c>
      <c r="N165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grafo.adicionarAresta(164,"Rod. Bernardo Sayão",650.0,822.0,"19","5");// "Palmas"- "Brasília"</v>
      </c>
    </row>
    <row r="166" spans="6:14" x14ac:dyDescent="0.3">
      <c r="F166">
        <v>165</v>
      </c>
      <c r="G166" t="s">
        <v>106</v>
      </c>
      <c r="H166" s="4">
        <f>(21*60)+16</f>
        <v>1276</v>
      </c>
      <c r="I166">
        <v>19</v>
      </c>
      <c r="J166">
        <v>13</v>
      </c>
      <c r="K166">
        <v>1717</v>
      </c>
      <c r="L166" t="str">
        <f>IF(Tabela2[[#This Row],[inicio]]="","",_xlfn.XLOOKUP(Tabela2[[#This Row],[inicio]],Tabela1[id],Tabela1[Cidade]))</f>
        <v xml:space="preserve"> "Palmas"</v>
      </c>
      <c r="M166" t="str">
        <f>IF(Tabela2[[#This Row],[fim]]="","",_xlfn.XLOOKUP(Tabela2[[#This Row],[fim]],Tabela1[id],Tabela1[Cidade]))</f>
        <v xml:space="preserve"> "Campo Grande"</v>
      </c>
      <c r="N166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grafo.adicionarAresta(165,"BR-060 ",1276.0,1717.0,"19","13");// "Palmas"- "Campo Grande"</v>
      </c>
    </row>
    <row r="167" spans="6:14" x14ac:dyDescent="0.3">
      <c r="F167">
        <v>166</v>
      </c>
      <c r="G167" t="s">
        <v>105</v>
      </c>
      <c r="H167" s="4">
        <f>(19*60)+0</f>
        <v>1140</v>
      </c>
      <c r="I167">
        <v>19</v>
      </c>
      <c r="J167">
        <v>14</v>
      </c>
      <c r="K167">
        <v>1530</v>
      </c>
      <c r="L167" t="str">
        <f>IF(Tabela2[[#This Row],[inicio]]="","",_xlfn.XLOOKUP(Tabela2[[#This Row],[inicio]],Tabela1[id],Tabela1[Cidade]))</f>
        <v xml:space="preserve"> "Palmas"</v>
      </c>
      <c r="M167" t="str">
        <f>IF(Tabela2[[#This Row],[fim]]="","",_xlfn.XLOOKUP(Tabela2[[#This Row],[fim]],Tabela1[id],Tabela1[Cidade]))</f>
        <v xml:space="preserve"> "Cuiabá"</v>
      </c>
      <c r="N167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grafo.adicionarAresta(166,"BR-070 ",1140.0,1530.0,"19","14");// "Palmas"- "Cuiabá"</v>
      </c>
    </row>
    <row r="168" spans="6:14" x14ac:dyDescent="0.3">
      <c r="F168">
        <v>167</v>
      </c>
      <c r="G168" t="s">
        <v>111</v>
      </c>
      <c r="H168" s="4">
        <f>(24*60)+0</f>
        <v>1440</v>
      </c>
      <c r="I168">
        <v>19</v>
      </c>
      <c r="J168">
        <v>8</v>
      </c>
      <c r="K168">
        <v>1730</v>
      </c>
      <c r="L168" t="str">
        <f>IF(Tabela2[[#This Row],[inicio]]="","",_xlfn.XLOOKUP(Tabela2[[#This Row],[inicio]],Tabela1[id],Tabela1[Cidade]))</f>
        <v xml:space="preserve"> "Palmas"</v>
      </c>
      <c r="M168" t="str">
        <f>IF(Tabela2[[#This Row],[fim]]="","",_xlfn.XLOOKUP(Tabela2[[#This Row],[fim]],Tabela1[id],Tabela1[Cidade]))</f>
        <v xml:space="preserve"> "Fortaleza"</v>
      </c>
      <c r="N168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grafo.adicionarAresta(167,"BR-230 e BR-020",1440.0,1730.0,"19","8");// "Palmas"- "Fortaleza"</v>
      </c>
    </row>
    <row r="169" spans="6:14" x14ac:dyDescent="0.3">
      <c r="F169">
        <v>168</v>
      </c>
      <c r="G169" t="s">
        <v>83</v>
      </c>
      <c r="H169" s="4">
        <f>(11*60)+9</f>
        <v>669</v>
      </c>
      <c r="I169">
        <v>19</v>
      </c>
      <c r="J169">
        <v>12</v>
      </c>
      <c r="K169">
        <v>824</v>
      </c>
      <c r="L169" t="str">
        <f>IF(Tabela2[[#This Row],[inicio]]="","",_xlfn.XLOOKUP(Tabela2[[#This Row],[inicio]],Tabela1[id],Tabela1[Cidade]))</f>
        <v xml:space="preserve"> "Palmas"</v>
      </c>
      <c r="M169" t="str">
        <f>IF(Tabela2[[#This Row],[fim]]="","",_xlfn.XLOOKUP(Tabela2[[#This Row],[fim]],Tabela1[id],Tabela1[Cidade]))</f>
        <v xml:space="preserve"> "Goiânia"</v>
      </c>
      <c r="N169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grafo.adicionarAresta(168,"Rod. Bernardo Sayão",669.0,824.0,"19","12");// "Palmas"- "Goiânia"</v>
      </c>
    </row>
    <row r="170" spans="6:14" x14ac:dyDescent="0.3">
      <c r="F170">
        <v>169</v>
      </c>
      <c r="G170" t="s">
        <v>110</v>
      </c>
      <c r="H170" s="4">
        <f>(29*60)+0</f>
        <v>1740</v>
      </c>
      <c r="I170">
        <v>19</v>
      </c>
      <c r="J170">
        <v>15</v>
      </c>
      <c r="K170">
        <v>2042</v>
      </c>
      <c r="L170" t="str">
        <f>IF(Tabela2[[#This Row],[inicio]]="","",_xlfn.XLOOKUP(Tabela2[[#This Row],[inicio]],Tabela1[id],Tabela1[Cidade]))</f>
        <v xml:space="preserve"> "Palmas"</v>
      </c>
      <c r="M170" t="str">
        <f>IF(Tabela2[[#This Row],[fim]]="","",_xlfn.XLOOKUP(Tabela2[[#This Row],[fim]],Tabela1[id],Tabela1[Cidade]))</f>
        <v xml:space="preserve"> "João Pessoa"</v>
      </c>
      <c r="N170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grafo.adicionarAresta(169,"BR-230",1740.0,2042.0,"19","15");// "Palmas"- "João Pessoa"</v>
      </c>
    </row>
    <row r="171" spans="6:14" x14ac:dyDescent="0.3">
      <c r="F171">
        <v>170</v>
      </c>
      <c r="G171" t="s">
        <v>102</v>
      </c>
      <c r="H171" s="4">
        <f>(28*60)+0</f>
        <v>1680</v>
      </c>
      <c r="I171">
        <v>19</v>
      </c>
      <c r="J171">
        <v>16</v>
      </c>
      <c r="K171">
        <v>1878</v>
      </c>
      <c r="L171" t="str">
        <f>IF(Tabela2[[#This Row],[inicio]]="","",_xlfn.XLOOKUP(Tabela2[[#This Row],[inicio]],Tabela1[id],Tabela1[Cidade]))</f>
        <v xml:space="preserve"> "Palmas"</v>
      </c>
      <c r="M171" t="str">
        <f>IF(Tabela2[[#This Row],[fim]]="","",_xlfn.XLOOKUP(Tabela2[[#This Row],[fim]],Tabela1[id],Tabela1[Cidade]))</f>
        <v xml:space="preserve"> "Maceió"</v>
      </c>
      <c r="N171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grafo.adicionarAresta(170,"BR-316 ",1680.0,1878.0,"19","16");// "Palmas"- "Maceió"</v>
      </c>
    </row>
    <row r="172" spans="6:14" x14ac:dyDescent="0.3">
      <c r="F172">
        <v>171</v>
      </c>
      <c r="G172" t="s">
        <v>92</v>
      </c>
      <c r="H172" s="4">
        <f>(54*60)+0</f>
        <v>3240</v>
      </c>
      <c r="I172">
        <v>19</v>
      </c>
      <c r="J172">
        <v>10</v>
      </c>
      <c r="K172">
        <v>3393</v>
      </c>
      <c r="L172" t="str">
        <f>IF(Tabela2[[#This Row],[inicio]]="","",_xlfn.XLOOKUP(Tabela2[[#This Row],[inicio]],Tabela1[id],Tabela1[Cidade]))</f>
        <v xml:space="preserve"> "Palmas"</v>
      </c>
      <c r="M172" t="str">
        <f>IF(Tabela2[[#This Row],[fim]]="","",_xlfn.XLOOKUP(Tabela2[[#This Row],[fim]],Tabela1[id],Tabela1[Cidade]))</f>
        <v xml:space="preserve"> "Manaus"</v>
      </c>
      <c r="N172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grafo.adicionarAresta(171,"Rod.Transamazonica e BR-230",3240.0,3393.0,"19","10");// "Palmas"- "Manaus"</v>
      </c>
    </row>
    <row r="173" spans="6:14" x14ac:dyDescent="0.3">
      <c r="F173">
        <v>172</v>
      </c>
      <c r="G173" t="s">
        <v>110</v>
      </c>
      <c r="H173" s="4">
        <f>(29*60)+0</f>
        <v>1740</v>
      </c>
      <c r="I173">
        <v>19</v>
      </c>
      <c r="J173">
        <v>18</v>
      </c>
      <c r="K173">
        <v>2051</v>
      </c>
      <c r="L173" t="str">
        <f>IF(Tabela2[[#This Row],[inicio]]="","",_xlfn.XLOOKUP(Tabela2[[#This Row],[inicio]],Tabela1[id],Tabela1[Cidade]))</f>
        <v xml:space="preserve"> "Palmas"</v>
      </c>
      <c r="M173" t="str">
        <f>IF(Tabela2[[#This Row],[fim]]="","",_xlfn.XLOOKUP(Tabela2[[#This Row],[fim]],Tabela1[id],Tabela1[Cidade]))</f>
        <v xml:space="preserve"> "Natal"</v>
      </c>
      <c r="N173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grafo.adicionarAresta(172,"BR-230",1740.0,2051.0,"19","18");// "Palmas"- "Natal"</v>
      </c>
    </row>
    <row r="174" spans="6:14" x14ac:dyDescent="0.3">
      <c r="F174">
        <v>173</v>
      </c>
      <c r="G174" t="s">
        <v>104</v>
      </c>
      <c r="H174" s="4">
        <f>(36*60)+0</f>
        <v>2160</v>
      </c>
      <c r="I174">
        <v>19</v>
      </c>
      <c r="J174">
        <v>21</v>
      </c>
      <c r="K174">
        <v>2752</v>
      </c>
      <c r="L174" t="str">
        <f>IF(Tabela2[[#This Row],[inicio]]="","",_xlfn.XLOOKUP(Tabela2[[#This Row],[inicio]],Tabela1[id],Tabela1[Cidade]))</f>
        <v xml:space="preserve"> "Palmas"</v>
      </c>
      <c r="M174" t="str">
        <f>IF(Tabela2[[#This Row],[fim]]="","",_xlfn.XLOOKUP(Tabela2[[#This Row],[fim]],Tabela1[id],Tabela1[Cidade]))</f>
        <v xml:space="preserve"> "Porto Velho"</v>
      </c>
      <c r="N174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grafo.adicionarAresta(173,"BR-364 ",2160.0,2752.0,"19","21");// "Palmas"- "Porto Velho"</v>
      </c>
    </row>
    <row r="175" spans="6:14" x14ac:dyDescent="0.3">
      <c r="F175">
        <v>174</v>
      </c>
      <c r="G175" t="s">
        <v>109</v>
      </c>
      <c r="H175" s="4">
        <f>(28*60)+0</f>
        <v>1680</v>
      </c>
      <c r="I175">
        <v>19</v>
      </c>
      <c r="J175">
        <v>9</v>
      </c>
      <c r="K175">
        <v>1878</v>
      </c>
      <c r="L175" t="str">
        <f>IF(Tabela2[[#This Row],[inicio]]="","",_xlfn.XLOOKUP(Tabela2[[#This Row],[inicio]],Tabela1[id],Tabela1[Cidade]))</f>
        <v xml:space="preserve"> "Palmas"</v>
      </c>
      <c r="M175" t="str">
        <f>IF(Tabela2[[#This Row],[fim]]="","",_xlfn.XLOOKUP(Tabela2[[#This Row],[fim]],Tabela1[id],Tabela1[Cidade]))</f>
        <v xml:space="preserve"> "Recife"</v>
      </c>
      <c r="N175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grafo.adicionarAresta(174,"BR-235",1680.0,1878.0,"19","9");// "Palmas"- "Recife"</v>
      </c>
    </row>
    <row r="176" spans="6:14" x14ac:dyDescent="0.3">
      <c r="F176">
        <v>175</v>
      </c>
      <c r="G176" t="s">
        <v>108</v>
      </c>
      <c r="H176" s="4">
        <f>(19*60)+36</f>
        <v>1176</v>
      </c>
      <c r="I176">
        <v>19</v>
      </c>
      <c r="J176">
        <v>7</v>
      </c>
      <c r="K176">
        <v>1475</v>
      </c>
      <c r="L176" t="str">
        <f>IF(Tabela2[[#This Row],[inicio]]="","",_xlfn.XLOOKUP(Tabela2[[#This Row],[inicio]],Tabela1[id],Tabela1[Cidade]))</f>
        <v xml:space="preserve"> "Palmas"</v>
      </c>
      <c r="M176" t="str">
        <f>IF(Tabela2[[#This Row],[fim]]="","",_xlfn.XLOOKUP(Tabela2[[#This Row],[fim]],Tabela1[id],Tabela1[Cidade]))</f>
        <v xml:space="preserve"> "Salvador"</v>
      </c>
      <c r="N176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grafo.adicionarAresta(175,"BR-242 ",1176.0,1475.0,"19","7");// "Palmas"- "Salvador"</v>
      </c>
    </row>
    <row r="177" spans="6:14" x14ac:dyDescent="0.3">
      <c r="F177">
        <v>176</v>
      </c>
      <c r="G177" t="s">
        <v>101</v>
      </c>
      <c r="H177" s="4">
        <f>(18*60)+49</f>
        <v>1129</v>
      </c>
      <c r="I177">
        <v>19</v>
      </c>
      <c r="J177">
        <v>27</v>
      </c>
      <c r="K177">
        <v>1284</v>
      </c>
      <c r="L177" t="str">
        <f>IF(Tabela2[[#This Row],[inicio]]="","",_xlfn.XLOOKUP(Tabela2[[#This Row],[inicio]],Tabela1[id],Tabela1[Cidade]))</f>
        <v xml:space="preserve"> "Palmas"</v>
      </c>
      <c r="M177" t="str">
        <f>IF(Tabela2[[#This Row],[fim]]="","",_xlfn.XLOOKUP(Tabela2[[#This Row],[fim]],Tabela1[id],Tabela1[Cidade]))</f>
        <v xml:space="preserve"> "São Luís"</v>
      </c>
      <c r="N177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grafo.adicionarAresta(176,"BR-226 ",1129.0,1284.0,"19","27");// "Palmas"- "São Luís"</v>
      </c>
    </row>
    <row r="178" spans="6:14" x14ac:dyDescent="0.3">
      <c r="F178">
        <v>177</v>
      </c>
      <c r="G178" t="s">
        <v>101</v>
      </c>
      <c r="H178" s="4">
        <f>(15*60)+35</f>
        <v>935</v>
      </c>
      <c r="I178">
        <v>19</v>
      </c>
      <c r="J178">
        <v>24</v>
      </c>
      <c r="K178">
        <v>1109</v>
      </c>
      <c r="L178" t="str">
        <f>IF(Tabela2[[#This Row],[inicio]]="","",_xlfn.XLOOKUP(Tabela2[[#This Row],[inicio]],Tabela1[id],Tabela1[Cidade]))</f>
        <v xml:space="preserve"> "Palmas"</v>
      </c>
      <c r="M178" t="str">
        <f>IF(Tabela2[[#This Row],[fim]]="","",_xlfn.XLOOKUP(Tabela2[[#This Row],[fim]],Tabela1[id],Tabela1[Cidade]))</f>
        <v xml:space="preserve"> "Teresina"</v>
      </c>
      <c r="N178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grafo.adicionarAresta(177,"BR-226 ",935.0,1109.0,"19","24");// "Palmas"- "Teresina"</v>
      </c>
    </row>
    <row r="179" spans="6:14" x14ac:dyDescent="0.3">
      <c r="F179">
        <v>178</v>
      </c>
      <c r="G179" t="s">
        <v>107</v>
      </c>
      <c r="H179" s="4">
        <f>(30*60)+0</f>
        <v>1800</v>
      </c>
      <c r="I179">
        <v>19</v>
      </c>
      <c r="J179">
        <v>26</v>
      </c>
      <c r="K179">
        <v>2141</v>
      </c>
      <c r="L179" t="str">
        <f>IF(Tabela2[[#This Row],[inicio]]="","",_xlfn.XLOOKUP(Tabela2[[#This Row],[inicio]],Tabela1[id],Tabela1[Cidade]))</f>
        <v xml:space="preserve"> "Palmas"</v>
      </c>
      <c r="M179" t="str">
        <f>IF(Tabela2[[#This Row],[fim]]="","",_xlfn.XLOOKUP(Tabela2[[#This Row],[fim]],Tabela1[id],Tabela1[Cidade]))</f>
        <v xml:space="preserve"> "Vitória"</v>
      </c>
      <c r="N179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grafo.adicionarAresta(178,"BR-116 ",1800.0,2141.0,"19","26");// "Palmas"- "Vitória"</v>
      </c>
    </row>
    <row r="180" spans="6:14" x14ac:dyDescent="0.3">
      <c r="F180">
        <v>179</v>
      </c>
      <c r="G180" t="s">
        <v>97</v>
      </c>
      <c r="H180" s="4">
        <f>(9*60)+54</f>
        <v>594</v>
      </c>
      <c r="I180">
        <v>20</v>
      </c>
      <c r="J180">
        <v>10</v>
      </c>
      <c r="K180">
        <v>782</v>
      </c>
      <c r="L180" t="str">
        <f>IF(Tabela2[[#This Row],[inicio]]="","",_xlfn.XLOOKUP(Tabela2[[#This Row],[inicio]],Tabela1[id],Tabela1[Cidade]))</f>
        <v xml:space="preserve"> "Boa Vista"</v>
      </c>
      <c r="M180" t="str">
        <f>IF(Tabela2[[#This Row],[fim]]="","",_xlfn.XLOOKUP(Tabela2[[#This Row],[fim]],Tabela1[id],Tabela1[Cidade]))</f>
        <v xml:space="preserve"> "Manaus"</v>
      </c>
      <c r="N180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grafo.adicionarAresta(179,"BR-174 ",594.0,782.0,"20","10");// "Boa Vista"- "Manaus"</v>
      </c>
    </row>
    <row r="181" spans="6:14" x14ac:dyDescent="0.3">
      <c r="F181">
        <v>180</v>
      </c>
      <c r="G181" t="s">
        <v>92</v>
      </c>
      <c r="H181" s="4">
        <f>(41*60)+0</f>
        <v>2460</v>
      </c>
      <c r="I181">
        <v>21</v>
      </c>
      <c r="J181">
        <v>11</v>
      </c>
      <c r="K181">
        <v>2502</v>
      </c>
      <c r="L181" t="str">
        <f>IF(Tabela2[[#This Row],[inicio]]="","",_xlfn.XLOOKUP(Tabela2[[#This Row],[inicio]],Tabela1[id],Tabela1[Cidade]))</f>
        <v xml:space="preserve"> "Porto Velho"</v>
      </c>
      <c r="M181" t="str">
        <f>IF(Tabela2[[#This Row],[fim]]="","",_xlfn.XLOOKUP(Tabela2[[#This Row],[fim]],Tabela1[id],Tabela1[Cidade]))</f>
        <v xml:space="preserve"> "Belém"</v>
      </c>
      <c r="N181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grafo.adicionarAresta(180,"Rod.Transamazonica e BR-230",2460.0,2502.0,"21","11");// "Porto Velho"- "Belém"</v>
      </c>
    </row>
    <row r="182" spans="6:14" x14ac:dyDescent="0.3">
      <c r="F182">
        <v>181</v>
      </c>
      <c r="G182" t="s">
        <v>94</v>
      </c>
      <c r="H182" s="4">
        <f>(18*60)+48</f>
        <v>1128</v>
      </c>
      <c r="I182">
        <v>21</v>
      </c>
      <c r="J182">
        <v>14</v>
      </c>
      <c r="K182">
        <v>1461</v>
      </c>
      <c r="L182" t="str">
        <f>IF(Tabela2[[#This Row],[inicio]]="","",_xlfn.XLOOKUP(Tabela2[[#This Row],[inicio]],Tabela1[id],Tabela1[Cidade]))</f>
        <v xml:space="preserve"> "Porto Velho"</v>
      </c>
      <c r="M182" t="str">
        <f>IF(Tabela2[[#This Row],[fim]]="","",_xlfn.XLOOKUP(Tabela2[[#This Row],[fim]],Tabela1[id],Tabela1[Cidade]))</f>
        <v xml:space="preserve"> "Cuiabá"</v>
      </c>
      <c r="N182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grafo.adicionarAresta(181,"BR-364 e BR-174",1128.0,1461.0,"21","14");// "Porto Velho"- "Cuiabá"</v>
      </c>
    </row>
    <row r="183" spans="6:14" x14ac:dyDescent="0.3">
      <c r="F183">
        <v>182</v>
      </c>
      <c r="G183" t="s">
        <v>93</v>
      </c>
      <c r="H183" s="4">
        <f>(57*60)+0</f>
        <v>3420</v>
      </c>
      <c r="I183">
        <v>21</v>
      </c>
      <c r="J183">
        <v>8</v>
      </c>
      <c r="K183">
        <v>3840</v>
      </c>
      <c r="L183" t="str">
        <f>IF(Tabela2[[#This Row],[inicio]]="","",_xlfn.XLOOKUP(Tabela2[[#This Row],[inicio]],Tabela1[id],Tabela1[Cidade]))</f>
        <v xml:space="preserve"> "Porto Velho"</v>
      </c>
      <c r="M183" t="str">
        <f>IF(Tabela2[[#This Row],[fim]]="","",_xlfn.XLOOKUP(Tabela2[[#This Row],[fim]],Tabela1[id],Tabela1[Cidade]))</f>
        <v xml:space="preserve"> "Fortaleza"</v>
      </c>
      <c r="N183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grafo.adicionarAresta(182,"Rod.Transamazonica e BR-230 e BR-020",3420.0,3840.0,"21","8");// "Porto Velho"- "Fortaleza"</v>
      </c>
    </row>
    <row r="184" spans="6:14" x14ac:dyDescent="0.3">
      <c r="F184">
        <v>183</v>
      </c>
      <c r="G184" t="s">
        <v>76</v>
      </c>
      <c r="H184" s="4">
        <f>(60*60)+0</f>
        <v>3600</v>
      </c>
      <c r="I184">
        <v>21</v>
      </c>
      <c r="J184">
        <v>15</v>
      </c>
      <c r="K184">
        <v>4521</v>
      </c>
      <c r="L184" t="str">
        <f>IF(Tabela2[[#This Row],[inicio]]="","",_xlfn.XLOOKUP(Tabela2[[#This Row],[inicio]],Tabela1[id],Tabela1[Cidade]))</f>
        <v xml:space="preserve"> "Porto Velho"</v>
      </c>
      <c r="M184" t="str">
        <f>IF(Tabela2[[#This Row],[fim]]="","",_xlfn.XLOOKUP(Tabela2[[#This Row],[fim]],Tabela1[id],Tabela1[Cidade]))</f>
        <v xml:space="preserve"> "João Pessoa"</v>
      </c>
      <c r="N184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grafo.adicionarAresta(183,"BR-364",3600.0,4521.0,"21","15");// "Porto Velho"- "João Pessoa"</v>
      </c>
    </row>
    <row r="185" spans="6:14" x14ac:dyDescent="0.3">
      <c r="F185">
        <v>184</v>
      </c>
      <c r="G185" t="s">
        <v>91</v>
      </c>
      <c r="H185" s="4">
        <f>(14*60)+53</f>
        <v>893</v>
      </c>
      <c r="I185">
        <v>21</v>
      </c>
      <c r="J185">
        <v>10</v>
      </c>
      <c r="K185">
        <v>889</v>
      </c>
      <c r="L185" t="str">
        <f>IF(Tabela2[[#This Row],[inicio]]="","",_xlfn.XLOOKUP(Tabela2[[#This Row],[inicio]],Tabela1[id],Tabela1[Cidade]))</f>
        <v xml:space="preserve"> "Porto Velho"</v>
      </c>
      <c r="M185" t="str">
        <f>IF(Tabela2[[#This Row],[fim]]="","",_xlfn.XLOOKUP(Tabela2[[#This Row],[fim]],Tabela1[id],Tabela1[Cidade]))</f>
        <v xml:space="preserve"> "Manaus"</v>
      </c>
      <c r="N185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grafo.adicionarAresta(184,"Rod. Álvaro maia e BR-319",893.0,889.0,"21","10");// "Porto Velho"- "Manaus"</v>
      </c>
    </row>
    <row r="186" spans="6:14" x14ac:dyDescent="0.3">
      <c r="F186">
        <v>185</v>
      </c>
      <c r="G186" t="s">
        <v>92</v>
      </c>
      <c r="H186" s="4">
        <f>(62*60)+0</f>
        <v>3720</v>
      </c>
      <c r="I186">
        <v>21</v>
      </c>
      <c r="J186">
        <v>18</v>
      </c>
      <c r="K186">
        <v>4160</v>
      </c>
      <c r="L186" t="str">
        <f>IF(Tabela2[[#This Row],[inicio]]="","",_xlfn.XLOOKUP(Tabela2[[#This Row],[inicio]],Tabela1[id],Tabela1[Cidade]))</f>
        <v xml:space="preserve"> "Porto Velho"</v>
      </c>
      <c r="M186" t="str">
        <f>IF(Tabela2[[#This Row],[fim]]="","",_xlfn.XLOOKUP(Tabela2[[#This Row],[fim]],Tabela1[id],Tabela1[Cidade]))</f>
        <v xml:space="preserve"> "Natal"</v>
      </c>
      <c r="N186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grafo.adicionarAresta(185,"Rod.Transamazonica e BR-230",3720.0,4160.0,"21","18");// "Porto Velho"- "Natal"</v>
      </c>
    </row>
    <row r="187" spans="6:14" x14ac:dyDescent="0.3">
      <c r="F187">
        <v>186</v>
      </c>
      <c r="G187" t="s">
        <v>76</v>
      </c>
      <c r="H187" s="4">
        <f>(35*60)+0</f>
        <v>2100</v>
      </c>
      <c r="I187">
        <v>21</v>
      </c>
      <c r="J187">
        <v>19</v>
      </c>
      <c r="K187">
        <v>2751</v>
      </c>
      <c r="L187" t="str">
        <f>IF(Tabela2[[#This Row],[inicio]]="","",_xlfn.XLOOKUP(Tabela2[[#This Row],[inicio]],Tabela1[id],Tabela1[Cidade]))</f>
        <v xml:space="preserve"> "Porto Velho"</v>
      </c>
      <c r="M187" t="str">
        <f>IF(Tabela2[[#This Row],[fim]]="","",_xlfn.XLOOKUP(Tabela2[[#This Row],[fim]],Tabela1[id],Tabela1[Cidade]))</f>
        <v xml:space="preserve"> "Palmas"</v>
      </c>
      <c r="N187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grafo.adicionarAresta(186,"BR-364",2100.0,2751.0,"21","19");// "Porto Velho"- "Palmas"</v>
      </c>
    </row>
    <row r="188" spans="6:14" x14ac:dyDescent="0.3">
      <c r="F188">
        <v>187</v>
      </c>
      <c r="G188" t="s">
        <v>76</v>
      </c>
      <c r="H188" s="4">
        <f>(6*60)+25</f>
        <v>385</v>
      </c>
      <c r="I188">
        <v>21</v>
      </c>
      <c r="J188">
        <v>21</v>
      </c>
      <c r="K188">
        <v>510</v>
      </c>
      <c r="L188" t="str">
        <f>IF(Tabela2[[#This Row],[inicio]]="","",_xlfn.XLOOKUP(Tabela2[[#This Row],[inicio]],Tabela1[id],Tabela1[Cidade]))</f>
        <v xml:space="preserve"> "Porto Velho"</v>
      </c>
      <c r="M188" t="str">
        <f>IF(Tabela2[[#This Row],[fim]]="","",_xlfn.XLOOKUP(Tabela2[[#This Row],[fim]],Tabela1[id],Tabela1[Cidade]))</f>
        <v xml:space="preserve"> "Porto Velho"</v>
      </c>
      <c r="N188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grafo.adicionarAresta(187,"BR-364",385.0,510.0,"21","21");// "Porto Velho"- "Porto Velho"</v>
      </c>
    </row>
    <row r="189" spans="6:14" x14ac:dyDescent="0.3">
      <c r="F189">
        <v>188</v>
      </c>
      <c r="G189" t="s">
        <v>90</v>
      </c>
      <c r="H189" s="4">
        <f>(50*60)+0</f>
        <v>3000</v>
      </c>
      <c r="I189">
        <v>21</v>
      </c>
      <c r="J189">
        <v>7</v>
      </c>
      <c r="K189">
        <v>3821</v>
      </c>
      <c r="L189" t="str">
        <f>IF(Tabela2[[#This Row],[inicio]]="","",_xlfn.XLOOKUP(Tabela2[[#This Row],[inicio]],Tabela1[id],Tabela1[Cidade]))</f>
        <v xml:space="preserve"> "Porto Velho"</v>
      </c>
      <c r="M189" t="str">
        <f>IF(Tabela2[[#This Row],[fim]]="","",_xlfn.XLOOKUP(Tabela2[[#This Row],[fim]],Tabela1[id],Tabela1[Cidade]))</f>
        <v xml:space="preserve"> "Salvador"</v>
      </c>
      <c r="N189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grafo.adicionarAresta(188,"BR-242",3000.0,3821.0,"21","7");// "Porto Velho"- "Salvador"</v>
      </c>
    </row>
    <row r="190" spans="6:14" x14ac:dyDescent="0.3">
      <c r="F190">
        <v>189</v>
      </c>
      <c r="G190" t="s">
        <v>92</v>
      </c>
      <c r="H190" s="4">
        <f>(48*60)+0</f>
        <v>2880</v>
      </c>
      <c r="I190">
        <v>21</v>
      </c>
      <c r="J190">
        <v>27</v>
      </c>
      <c r="K190">
        <v>3047</v>
      </c>
      <c r="L190" t="str">
        <f>IF(Tabela2[[#This Row],[inicio]]="","",_xlfn.XLOOKUP(Tabela2[[#This Row],[inicio]],Tabela1[id],Tabela1[Cidade]))</f>
        <v xml:space="preserve"> "Porto Velho"</v>
      </c>
      <c r="M190" t="str">
        <f>IF(Tabela2[[#This Row],[fim]]="","",_xlfn.XLOOKUP(Tabela2[[#This Row],[fim]],Tabela1[id],Tabela1[Cidade]))</f>
        <v xml:space="preserve"> "São Luís"</v>
      </c>
      <c r="N190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grafo.adicionarAresta(189,"Rod.Transamazonica e BR-230",2880.0,3047.0,"21","27");// "Porto Velho"- "São Luís"</v>
      </c>
    </row>
    <row r="191" spans="6:14" x14ac:dyDescent="0.3">
      <c r="F191">
        <v>190</v>
      </c>
      <c r="G191" t="s">
        <v>92</v>
      </c>
      <c r="H191" s="4">
        <f>(47*60)+0</f>
        <v>2820</v>
      </c>
      <c r="I191">
        <v>21</v>
      </c>
      <c r="J191">
        <v>24</v>
      </c>
      <c r="K191">
        <v>3116</v>
      </c>
      <c r="L191" t="str">
        <f>IF(Tabela2[[#This Row],[inicio]]="","",_xlfn.XLOOKUP(Tabela2[[#This Row],[inicio]],Tabela1[id],Tabela1[Cidade]))</f>
        <v xml:space="preserve"> "Porto Velho"</v>
      </c>
      <c r="M191" t="str">
        <f>IF(Tabela2[[#This Row],[fim]]="","",_xlfn.XLOOKUP(Tabela2[[#This Row],[fim]],Tabela1[id],Tabela1[Cidade]))</f>
        <v xml:space="preserve"> "Teresina"</v>
      </c>
      <c r="N191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grafo.adicionarAresta(190,"Rod.Transamazonica e BR-230",2820.0,3116.0,"21","24");// "Porto Velho"- "Teresina"</v>
      </c>
    </row>
    <row r="192" spans="6:14" x14ac:dyDescent="0.3">
      <c r="F192">
        <v>191</v>
      </c>
      <c r="G192" t="s">
        <v>98</v>
      </c>
      <c r="H192" s="4">
        <f>(24*60)+0</f>
        <v>1440</v>
      </c>
      <c r="I192">
        <v>22</v>
      </c>
      <c r="J192">
        <v>11</v>
      </c>
      <c r="K192">
        <v>527</v>
      </c>
      <c r="L192" t="str">
        <f>IF(Tabela2[[#This Row],[inicio]]="","",_xlfn.XLOOKUP(Tabela2[[#This Row],[inicio]],Tabela1[id],Tabela1[Cidade]))</f>
        <v xml:space="preserve"> "Macapá"</v>
      </c>
      <c r="M192" t="str">
        <f>IF(Tabela2[[#This Row],[fim]]="","",_xlfn.XLOOKUP(Tabela2[[#This Row],[fim]],Tabela1[id],Tabela1[Cidade]))</f>
        <v xml:space="preserve"> "Belém"</v>
      </c>
      <c r="N192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grafo.adicionarAresta(191,"Av.  Arthur Bernardes",1440.0,527.0,"22","11");// "Macapá"- "Belém"</v>
      </c>
    </row>
    <row r="193" spans="6:14" x14ac:dyDescent="0.3">
      <c r="F193">
        <v>192</v>
      </c>
      <c r="G193" t="s">
        <v>76</v>
      </c>
      <c r="H193" s="4">
        <f>(6*60)+12</f>
        <v>372</v>
      </c>
      <c r="I193">
        <v>23</v>
      </c>
      <c r="J193">
        <v>21</v>
      </c>
      <c r="K193">
        <v>509</v>
      </c>
      <c r="L193" t="str">
        <f>IF(Tabela2[[#This Row],[inicio]]="","",_xlfn.XLOOKUP(Tabela2[[#This Row],[inicio]],Tabela1[id],Tabela1[Cidade]))</f>
        <v xml:space="preserve"> "Rio Branco"</v>
      </c>
      <c r="M193" t="str">
        <f>IF(Tabela2[[#This Row],[fim]]="","",_xlfn.XLOOKUP(Tabela2[[#This Row],[fim]],Tabela1[id],Tabela1[Cidade]))</f>
        <v xml:space="preserve"> "Porto Velho"</v>
      </c>
      <c r="N193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grafo.adicionarAresta(192,"BR-364",372.0,509.0,"23","21");// "Rio Branco"- "Porto Velho"</v>
      </c>
    </row>
    <row r="194" spans="6:14" x14ac:dyDescent="0.3">
      <c r="F194">
        <v>193</v>
      </c>
      <c r="G194" t="s">
        <v>144</v>
      </c>
      <c r="H194" s="4">
        <f>(15*60)+43</f>
        <v>943</v>
      </c>
      <c r="I194">
        <v>24</v>
      </c>
      <c r="J194">
        <v>17</v>
      </c>
      <c r="K194">
        <v>1119</v>
      </c>
      <c r="L194" t="str">
        <f>IF(Tabela2[[#This Row],[inicio]]="","",_xlfn.XLOOKUP(Tabela2[[#This Row],[inicio]],Tabela1[id],Tabela1[Cidade]))</f>
        <v xml:space="preserve"> "Teresina"</v>
      </c>
      <c r="M194" t="str">
        <f>IF(Tabela2[[#This Row],[fim]]="","",_xlfn.XLOOKUP(Tabela2[[#This Row],[fim]],Tabela1[id],Tabela1[Cidade]))</f>
        <v xml:space="preserve"> "Aracaju"</v>
      </c>
      <c r="N194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grafo.adicionarAresta(193,"BR-407 e BR-235",943.0,1119.0,"24","17");// "Teresina"- "Aracaju"</v>
      </c>
    </row>
    <row r="195" spans="6:14" x14ac:dyDescent="0.3">
      <c r="F195">
        <v>194</v>
      </c>
      <c r="G195" t="s">
        <v>143</v>
      </c>
      <c r="H195" s="4">
        <f>(14*60)+26</f>
        <v>866</v>
      </c>
      <c r="I195">
        <v>24</v>
      </c>
      <c r="J195">
        <v>11</v>
      </c>
      <c r="K195">
        <v>910</v>
      </c>
      <c r="L195" t="str">
        <f>IF(Tabela2[[#This Row],[inicio]]="","",_xlfn.XLOOKUP(Tabela2[[#This Row],[inicio]],Tabela1[id],Tabela1[Cidade]))</f>
        <v xml:space="preserve"> "Teresina"</v>
      </c>
      <c r="M195" t="str">
        <f>IF(Tabela2[[#This Row],[fim]]="","",_xlfn.XLOOKUP(Tabela2[[#This Row],[fim]],Tabela1[id],Tabela1[Cidade]))</f>
        <v xml:space="preserve"> "Belém"</v>
      </c>
      <c r="N195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grafo.adicionarAresta(194,"BR-316",866.0,910.0,"24","11");// "Teresina"- "Belém"</v>
      </c>
    </row>
    <row r="196" spans="6:14" x14ac:dyDescent="0.3">
      <c r="F196">
        <v>195</v>
      </c>
      <c r="G196" t="s">
        <v>147</v>
      </c>
      <c r="H196" s="4">
        <f>(29*60)+0</f>
        <v>1740</v>
      </c>
      <c r="I196">
        <v>24</v>
      </c>
      <c r="J196">
        <v>3</v>
      </c>
      <c r="K196">
        <v>2166</v>
      </c>
      <c r="L196" t="str">
        <f>IF(Tabela2[[#This Row],[inicio]]="","",_xlfn.XLOOKUP(Tabela2[[#This Row],[inicio]],Tabela1[id],Tabela1[Cidade]))</f>
        <v xml:space="preserve"> "Teresina"</v>
      </c>
      <c r="M196" t="str">
        <f>IF(Tabela2[[#This Row],[fim]]="","",_xlfn.XLOOKUP(Tabela2[[#This Row],[fim]],Tabela1[id],Tabela1[Cidade]))</f>
        <v xml:space="preserve"> "Belo Horizonte"</v>
      </c>
      <c r="N196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grafo.adicionarAresta(195,"BR-135",1740.0,2166.0,"24","3");// "Teresina"- "Belo Horizonte"</v>
      </c>
    </row>
    <row r="197" spans="6:14" x14ac:dyDescent="0.3">
      <c r="F197">
        <v>196</v>
      </c>
      <c r="G197" t="s">
        <v>117</v>
      </c>
      <c r="H197" s="4">
        <f>(24*60)+0</f>
        <v>1440</v>
      </c>
      <c r="I197">
        <v>24</v>
      </c>
      <c r="J197">
        <v>5</v>
      </c>
      <c r="K197">
        <v>1675</v>
      </c>
      <c r="L197" t="str">
        <f>IF(Tabela2[[#This Row],[inicio]]="","",_xlfn.XLOOKUP(Tabela2[[#This Row],[inicio]],Tabela1[id],Tabela1[Cidade]))</f>
        <v xml:space="preserve"> "Teresina"</v>
      </c>
      <c r="M197" t="str">
        <f>IF(Tabela2[[#This Row],[fim]]="","",_xlfn.XLOOKUP(Tabela2[[#This Row],[fim]],Tabela1[id],Tabela1[Cidade]))</f>
        <v xml:space="preserve"> "Brasília"</v>
      </c>
      <c r="N197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grafo.adicionarAresta(196,"BR-020 ",1440.0,1675.0,"24","5");// "Teresina"- "Brasília"</v>
      </c>
    </row>
    <row r="198" spans="6:14" x14ac:dyDescent="0.3">
      <c r="F198">
        <v>197</v>
      </c>
      <c r="G198" t="s">
        <v>84</v>
      </c>
      <c r="H198" s="4">
        <f>(34*60)+0</f>
        <v>2040</v>
      </c>
      <c r="I198">
        <v>24</v>
      </c>
      <c r="J198">
        <v>14</v>
      </c>
      <c r="K198">
        <v>2573</v>
      </c>
      <c r="L198" t="str">
        <f>IF(Tabela2[[#This Row],[inicio]]="","",_xlfn.XLOOKUP(Tabela2[[#This Row],[inicio]],Tabela1[id],Tabela1[Cidade]))</f>
        <v xml:space="preserve"> "Teresina"</v>
      </c>
      <c r="M198" t="str">
        <f>IF(Tabela2[[#This Row],[fim]]="","",_xlfn.XLOOKUP(Tabela2[[#This Row],[fim]],Tabela1[id],Tabela1[Cidade]))</f>
        <v xml:space="preserve"> "Cuiabá"</v>
      </c>
      <c r="N198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grafo.adicionarAresta(197,"BR-226",2040.0,2573.0,"24","14");// "Teresina"- "Cuiabá"</v>
      </c>
    </row>
    <row r="199" spans="6:14" x14ac:dyDescent="0.3">
      <c r="F199">
        <v>198</v>
      </c>
      <c r="G199" t="s">
        <v>142</v>
      </c>
      <c r="H199" s="4">
        <f>(8*60)+35</f>
        <v>515</v>
      </c>
      <c r="I199">
        <v>24</v>
      </c>
      <c r="J199">
        <v>8</v>
      </c>
      <c r="K199">
        <v>604</v>
      </c>
      <c r="L199" t="str">
        <f>IF(Tabela2[[#This Row],[inicio]]="","",_xlfn.XLOOKUP(Tabela2[[#This Row],[inicio]],Tabela1[id],Tabela1[Cidade]))</f>
        <v xml:space="preserve"> "Teresina"</v>
      </c>
      <c r="M199" t="str">
        <f>IF(Tabela2[[#This Row],[fim]]="","",_xlfn.XLOOKUP(Tabela2[[#This Row],[fim]],Tabela1[id],Tabela1[Cidade]))</f>
        <v xml:space="preserve"> "Fortaleza"</v>
      </c>
      <c r="N199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grafo.adicionarAresta(198,"BR-343 e BR-222",515.0,604.0,"24","8");// "Teresina"- "Fortaleza"</v>
      </c>
    </row>
    <row r="200" spans="6:14" x14ac:dyDescent="0.3">
      <c r="F200">
        <v>199</v>
      </c>
      <c r="G200" t="s">
        <v>83</v>
      </c>
      <c r="H200" s="4">
        <f>(26*60)+0</f>
        <v>1560</v>
      </c>
      <c r="I200">
        <v>24</v>
      </c>
      <c r="J200">
        <v>12</v>
      </c>
      <c r="K200">
        <v>1963</v>
      </c>
      <c r="L200" t="str">
        <f>IF(Tabela2[[#This Row],[inicio]]="","",_xlfn.XLOOKUP(Tabela2[[#This Row],[inicio]],Tabela1[id],Tabela1[Cidade]))</f>
        <v xml:space="preserve"> "Teresina"</v>
      </c>
      <c r="M200" t="str">
        <f>IF(Tabela2[[#This Row],[fim]]="","",_xlfn.XLOOKUP(Tabela2[[#This Row],[fim]],Tabela1[id],Tabela1[Cidade]))</f>
        <v xml:space="preserve"> "Goiânia"</v>
      </c>
      <c r="N200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grafo.adicionarAresta(199,"Rod. Bernardo Sayão",1560.0,1963.0,"24","12");// "Teresina"- "Goiânia"</v>
      </c>
    </row>
    <row r="201" spans="6:14" x14ac:dyDescent="0.3">
      <c r="F201">
        <v>200</v>
      </c>
      <c r="G201" t="s">
        <v>110</v>
      </c>
      <c r="H201" s="4">
        <f>(16*60)+58</f>
        <v>1018</v>
      </c>
      <c r="I201">
        <v>24</v>
      </c>
      <c r="J201">
        <v>15</v>
      </c>
      <c r="K201">
        <v>1154</v>
      </c>
      <c r="L201" t="str">
        <f>IF(Tabela2[[#This Row],[inicio]]="","",_xlfn.XLOOKUP(Tabela2[[#This Row],[inicio]],Tabela1[id],Tabela1[Cidade]))</f>
        <v xml:space="preserve"> "Teresina"</v>
      </c>
      <c r="M201" t="str">
        <f>IF(Tabela2[[#This Row],[fim]]="","",_xlfn.XLOOKUP(Tabela2[[#This Row],[fim]],Tabela1[id],Tabela1[Cidade]))</f>
        <v xml:space="preserve"> "João Pessoa"</v>
      </c>
      <c r="N201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grafo.adicionarAresta(200,"BR-230",1018.0,1154.0,"24","15");// "Teresina"- "João Pessoa"</v>
      </c>
    </row>
    <row r="202" spans="6:14" x14ac:dyDescent="0.3">
      <c r="F202">
        <v>201</v>
      </c>
      <c r="G202" t="s">
        <v>143</v>
      </c>
      <c r="H202" s="4">
        <f>(16*60)+47</f>
        <v>1007</v>
      </c>
      <c r="I202">
        <v>24</v>
      </c>
      <c r="J202">
        <v>16</v>
      </c>
      <c r="K202">
        <v>1173</v>
      </c>
      <c r="L202" t="str">
        <f>IF(Tabela2[[#This Row],[inicio]]="","",_xlfn.XLOOKUP(Tabela2[[#This Row],[inicio]],Tabela1[id],Tabela1[Cidade]))</f>
        <v xml:space="preserve"> "Teresina"</v>
      </c>
      <c r="M202" t="str">
        <f>IF(Tabela2[[#This Row],[fim]]="","",_xlfn.XLOOKUP(Tabela2[[#This Row],[fim]],Tabela1[id],Tabela1[Cidade]))</f>
        <v xml:space="preserve"> "Maceió"</v>
      </c>
      <c r="N202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grafo.adicionarAresta(201,"BR-316",1007.0,1173.0,"24","16");// "Teresina"- "Maceió"</v>
      </c>
    </row>
    <row r="203" spans="6:14" x14ac:dyDescent="0.3">
      <c r="F203">
        <v>202</v>
      </c>
      <c r="G203" t="s">
        <v>92</v>
      </c>
      <c r="H203" s="4">
        <f>(57*60)+0</f>
        <v>3420</v>
      </c>
      <c r="I203">
        <v>24</v>
      </c>
      <c r="J203">
        <v>10</v>
      </c>
      <c r="K203">
        <v>3607</v>
      </c>
      <c r="L203" t="str">
        <f>IF(Tabela2[[#This Row],[inicio]]="","",_xlfn.XLOOKUP(Tabela2[[#This Row],[inicio]],Tabela1[id],Tabela1[Cidade]))</f>
        <v xml:space="preserve"> "Teresina"</v>
      </c>
      <c r="M203" t="str">
        <f>IF(Tabela2[[#This Row],[fim]]="","",_xlfn.XLOOKUP(Tabela2[[#This Row],[fim]],Tabela1[id],Tabela1[Cidade]))</f>
        <v xml:space="preserve"> "Manaus"</v>
      </c>
      <c r="N203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grafo.adicionarAresta(202,"Rod.Transamazonica e BR-230",3420.0,3607.0,"24","10");// "Teresina"- "Manaus"</v>
      </c>
    </row>
    <row r="204" spans="6:14" x14ac:dyDescent="0.3">
      <c r="F204">
        <v>203</v>
      </c>
      <c r="G204" t="s">
        <v>84</v>
      </c>
      <c r="H204" s="4">
        <f>(15*60)+25</f>
        <v>925</v>
      </c>
      <c r="I204">
        <v>24</v>
      </c>
      <c r="J204">
        <v>18</v>
      </c>
      <c r="K204">
        <v>1056</v>
      </c>
      <c r="L204" t="str">
        <f>IF(Tabela2[[#This Row],[inicio]]="","",_xlfn.XLOOKUP(Tabela2[[#This Row],[inicio]],Tabela1[id],Tabela1[Cidade]))</f>
        <v xml:space="preserve"> "Teresina"</v>
      </c>
      <c r="M204" t="str">
        <f>IF(Tabela2[[#This Row],[fim]]="","",_xlfn.XLOOKUP(Tabela2[[#This Row],[fim]],Tabela1[id],Tabela1[Cidade]))</f>
        <v xml:space="preserve"> "Natal"</v>
      </c>
      <c r="N204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grafo.adicionarAresta(203,"BR-226",925.0,1056.0,"24","18");// "Teresina"- "Natal"</v>
      </c>
    </row>
    <row r="205" spans="6:14" x14ac:dyDescent="0.3">
      <c r="F205">
        <v>204</v>
      </c>
      <c r="G205" t="s">
        <v>84</v>
      </c>
      <c r="H205" s="4">
        <f>(15*60)+20</f>
        <v>920</v>
      </c>
      <c r="I205">
        <v>24</v>
      </c>
      <c r="J205">
        <v>19</v>
      </c>
      <c r="K205">
        <v>1107</v>
      </c>
      <c r="L205" t="str">
        <f>IF(Tabela2[[#This Row],[inicio]]="","",_xlfn.XLOOKUP(Tabela2[[#This Row],[inicio]],Tabela1[id],Tabela1[Cidade]))</f>
        <v xml:space="preserve"> "Teresina"</v>
      </c>
      <c r="M205" t="str">
        <f>IF(Tabela2[[#This Row],[fim]]="","",_xlfn.XLOOKUP(Tabela2[[#This Row],[fim]],Tabela1[id],Tabela1[Cidade]))</f>
        <v xml:space="preserve"> "Palmas"</v>
      </c>
      <c r="N205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grafo.adicionarAresta(204,"BR-226",920.0,1107.0,"24","19");// "Teresina"- "Palmas"</v>
      </c>
    </row>
    <row r="206" spans="6:14" x14ac:dyDescent="0.3">
      <c r="F206">
        <v>205</v>
      </c>
      <c r="G206" t="s">
        <v>92</v>
      </c>
      <c r="H206" s="4">
        <f>(47*60)+0</f>
        <v>2820</v>
      </c>
      <c r="I206">
        <v>24</v>
      </c>
      <c r="J206">
        <v>21</v>
      </c>
      <c r="K206">
        <v>3116</v>
      </c>
      <c r="L206" t="str">
        <f>IF(Tabela2[[#This Row],[inicio]]="","",_xlfn.XLOOKUP(Tabela2[[#This Row],[inicio]],Tabela1[id],Tabela1[Cidade]))</f>
        <v xml:space="preserve"> "Teresina"</v>
      </c>
      <c r="M206" t="str">
        <f>IF(Tabela2[[#This Row],[fim]]="","",_xlfn.XLOOKUP(Tabela2[[#This Row],[fim]],Tabela1[id],Tabela1[Cidade]))</f>
        <v xml:space="preserve"> "Porto Velho"</v>
      </c>
      <c r="N206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grafo.adicionarAresta(205,"Rod.Transamazonica e BR-230",2820.0,3116.0,"24","21");// "Teresina"- "Porto Velho"</v>
      </c>
    </row>
    <row r="207" spans="6:14" x14ac:dyDescent="0.3">
      <c r="F207">
        <v>206</v>
      </c>
      <c r="G207" t="s">
        <v>110</v>
      </c>
      <c r="H207" s="4">
        <f>(18*60)+32</f>
        <v>1112</v>
      </c>
      <c r="I207">
        <v>24</v>
      </c>
      <c r="J207">
        <v>9</v>
      </c>
      <c r="K207">
        <v>1225</v>
      </c>
      <c r="L207" t="str">
        <f>IF(Tabela2[[#This Row],[inicio]]="","",_xlfn.XLOOKUP(Tabela2[[#This Row],[inicio]],Tabela1[id],Tabela1[Cidade]))</f>
        <v xml:space="preserve"> "Teresina"</v>
      </c>
      <c r="M207" t="str">
        <f>IF(Tabela2[[#This Row],[fim]]="","",_xlfn.XLOOKUP(Tabela2[[#This Row],[fim]],Tabela1[id],Tabela1[Cidade]))</f>
        <v xml:space="preserve"> "Recife"</v>
      </c>
      <c r="N207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grafo.adicionarAresta(206,"BR-230",1112.0,1225.0,"24","9");// "Teresina"- "Recife"</v>
      </c>
    </row>
    <row r="208" spans="6:14" x14ac:dyDescent="0.3">
      <c r="F208">
        <v>207</v>
      </c>
      <c r="G208" t="s">
        <v>145</v>
      </c>
      <c r="H208" s="4">
        <f>(16*60)+20</f>
        <v>980</v>
      </c>
      <c r="I208">
        <v>24</v>
      </c>
      <c r="J208">
        <v>7</v>
      </c>
      <c r="K208">
        <v>1159</v>
      </c>
      <c r="L208" t="str">
        <f>IF(Tabela2[[#This Row],[inicio]]="","",_xlfn.XLOOKUP(Tabela2[[#This Row],[inicio]],Tabela1[id],Tabela1[Cidade]))</f>
        <v xml:space="preserve"> "Teresina"</v>
      </c>
      <c r="M208" t="str">
        <f>IF(Tabela2[[#This Row],[fim]]="","",_xlfn.XLOOKUP(Tabela2[[#This Row],[fim]],Tabela1[id],Tabela1[Cidade]))</f>
        <v xml:space="preserve"> "Salvador"</v>
      </c>
      <c r="N208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grafo.adicionarAresta(207,"BR-407",980.0,1159.0,"24","7");// "Teresina"- "Salvador"</v>
      </c>
    </row>
    <row r="209" spans="6:14" x14ac:dyDescent="0.3">
      <c r="F209">
        <v>208</v>
      </c>
      <c r="G209" t="s">
        <v>148</v>
      </c>
      <c r="H209" s="4">
        <f>(6*60)+50</f>
        <v>410</v>
      </c>
      <c r="I209">
        <v>24</v>
      </c>
      <c r="J209">
        <v>27</v>
      </c>
      <c r="K209">
        <v>433</v>
      </c>
      <c r="L209" t="str">
        <f>IF(Tabela2[[#This Row],[inicio]]="","",_xlfn.XLOOKUP(Tabela2[[#This Row],[inicio]],Tabela1[id],Tabela1[Cidade]))</f>
        <v xml:space="preserve"> "Teresina"</v>
      </c>
      <c r="M209" t="str">
        <f>IF(Tabela2[[#This Row],[fim]]="","",_xlfn.XLOOKUP(Tabela2[[#This Row],[fim]],Tabela1[id],Tabela1[Cidade]))</f>
        <v xml:space="preserve"> "São Luís"</v>
      </c>
      <c r="N209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grafo.adicionarAresta(208,"BR-316 e BR-135",410.0,433.0,"24","27");// "Teresina"- "São Luís"</v>
      </c>
    </row>
    <row r="210" spans="6:14" x14ac:dyDescent="0.3">
      <c r="F210">
        <v>209</v>
      </c>
      <c r="G210" t="s">
        <v>146</v>
      </c>
      <c r="H210" s="4">
        <f>(32*60)+0</f>
        <v>1920</v>
      </c>
      <c r="I210">
        <v>24</v>
      </c>
      <c r="J210">
        <v>26</v>
      </c>
      <c r="K210">
        <v>2129</v>
      </c>
      <c r="L210" t="str">
        <f>IF(Tabela2[[#This Row],[inicio]]="","",_xlfn.XLOOKUP(Tabela2[[#This Row],[inicio]],Tabela1[id],Tabela1[Cidade]))</f>
        <v xml:space="preserve"> "Teresina"</v>
      </c>
      <c r="M210" t="str">
        <f>IF(Tabela2[[#This Row],[fim]]="","",_xlfn.XLOOKUP(Tabela2[[#This Row],[fim]],Tabela1[id],Tabela1[Cidade]))</f>
        <v xml:space="preserve"> "Vitória"</v>
      </c>
      <c r="N210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grafo.adicionarAresta(209,"BR-407 e BR-101",1920.0,2129.0,"24","26");// "Teresina"- "Vitória"</v>
      </c>
    </row>
    <row r="211" spans="6:14" x14ac:dyDescent="0.3">
      <c r="F211">
        <v>210</v>
      </c>
      <c r="G211" t="s">
        <v>65</v>
      </c>
      <c r="H211" s="4">
        <f>(4*60)+4</f>
        <v>244</v>
      </c>
      <c r="I211">
        <v>25</v>
      </c>
      <c r="J211">
        <v>4</v>
      </c>
      <c r="K211">
        <v>306</v>
      </c>
      <c r="L211" t="str">
        <f>IF(Tabela2[[#This Row],[inicio]]="","",_xlfn.XLOOKUP(Tabela2[[#This Row],[inicio]],Tabela1[id],Tabela1[Cidade]))</f>
        <v xml:space="preserve"> "Florianópolis"</v>
      </c>
      <c r="M211" t="str">
        <f>IF(Tabela2[[#This Row],[fim]]="","",_xlfn.XLOOKUP(Tabela2[[#This Row],[fim]],Tabela1[id],Tabela1[Cidade]))</f>
        <v xml:space="preserve"> "Curitiba"</v>
      </c>
      <c r="N211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grafo.adicionarAresta(210,"BR-101",244.0,306.0,"25","4");// "Florianópolis"- "Curitiba"</v>
      </c>
    </row>
    <row r="212" spans="6:14" x14ac:dyDescent="0.3">
      <c r="F212">
        <v>211</v>
      </c>
      <c r="G212" t="s">
        <v>65</v>
      </c>
      <c r="H212" s="4">
        <f>(5*60)+35</f>
        <v>335</v>
      </c>
      <c r="I212">
        <v>25</v>
      </c>
      <c r="J212">
        <v>6</v>
      </c>
      <c r="K212">
        <v>463</v>
      </c>
      <c r="L212" t="str">
        <f>IF(Tabela2[[#This Row],[inicio]]="","",_xlfn.XLOOKUP(Tabela2[[#This Row],[inicio]],Tabela1[id],Tabela1[Cidade]))</f>
        <v xml:space="preserve"> "Florianópolis"</v>
      </c>
      <c r="M212" t="str">
        <f>IF(Tabela2[[#This Row],[fim]]="","",_xlfn.XLOOKUP(Tabela2[[#This Row],[fim]],Tabela1[id],Tabela1[Cidade]))</f>
        <v xml:space="preserve"> "Porto Alegre"</v>
      </c>
      <c r="N212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grafo.adicionarAresta(211,"BR-101",335.0,463.0,"25","6");// "Florianópolis"- "Porto Alegre"</v>
      </c>
    </row>
    <row r="213" spans="6:14" x14ac:dyDescent="0.3">
      <c r="F213">
        <v>212</v>
      </c>
      <c r="G213" t="s">
        <v>69</v>
      </c>
      <c r="H213" s="4">
        <f>(8*60)+33</f>
        <v>513</v>
      </c>
      <c r="I213">
        <v>26</v>
      </c>
      <c r="J213">
        <v>3</v>
      </c>
      <c r="K213">
        <v>515</v>
      </c>
      <c r="L213" t="str">
        <f>IF(Tabela2[[#This Row],[inicio]]="","",_xlfn.XLOOKUP(Tabela2[[#This Row],[inicio]],Tabela1[id],Tabela1[Cidade]))</f>
        <v xml:space="preserve"> "Vitória"</v>
      </c>
      <c r="M213" t="str">
        <f>IF(Tabela2[[#This Row],[fim]]="","",_xlfn.XLOOKUP(Tabela2[[#This Row],[fim]],Tabela1[id],Tabela1[Cidade]))</f>
        <v xml:space="preserve"> "Belo Horizonte"</v>
      </c>
      <c r="N213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grafo.adicionarAresta(212,"BR-262",513.0,515.0,"26","3");// "Vitória"- "Belo Horizonte"</v>
      </c>
    </row>
    <row r="214" spans="6:14" x14ac:dyDescent="0.3">
      <c r="F214">
        <v>213</v>
      </c>
      <c r="G214" t="s">
        <v>79</v>
      </c>
      <c r="H214" s="4">
        <f>(21*60)+23</f>
        <v>1283</v>
      </c>
      <c r="I214">
        <v>26</v>
      </c>
      <c r="J214">
        <v>5</v>
      </c>
      <c r="K214">
        <v>1242</v>
      </c>
      <c r="L214" t="str">
        <f>IF(Tabela2[[#This Row],[inicio]]="","",_xlfn.XLOOKUP(Tabela2[[#This Row],[inicio]],Tabela1[id],Tabela1[Cidade]))</f>
        <v xml:space="preserve"> "Vitória"</v>
      </c>
      <c r="M214" t="str">
        <f>IF(Tabela2[[#This Row],[fim]]="","",_xlfn.XLOOKUP(Tabela2[[#This Row],[fim]],Tabela1[id],Tabela1[Cidade]))</f>
        <v xml:space="preserve"> "Brasília"</v>
      </c>
      <c r="N214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grafo.adicionarAresta(213,"BR-040",1283.0,1242.0,"26","5");// "Vitória"- "Brasília"</v>
      </c>
    </row>
    <row r="215" spans="6:14" x14ac:dyDescent="0.3">
      <c r="F215">
        <v>214</v>
      </c>
      <c r="G215" t="s">
        <v>80</v>
      </c>
      <c r="H215" s="4">
        <f>(29*60)</f>
        <v>1740</v>
      </c>
      <c r="I215">
        <v>26</v>
      </c>
      <c r="J215">
        <v>19</v>
      </c>
      <c r="K215">
        <v>2145</v>
      </c>
      <c r="L215" t="str">
        <f>IF(Tabela2[[#This Row],[inicio]]="","",_xlfn.XLOOKUP(Tabela2[[#This Row],[inicio]],Tabela1[id],Tabela1[Cidade]))</f>
        <v xml:space="preserve"> "Vitória"</v>
      </c>
      <c r="M215" t="str">
        <f>IF(Tabela2[[#This Row],[fim]]="","",_xlfn.XLOOKUP(Tabela2[[#This Row],[fim]],Tabela1[id],Tabela1[Cidade]))</f>
        <v xml:space="preserve"> "Palmas"</v>
      </c>
      <c r="N215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grafo.adicionarAresta(214,"BR-259",1740.0,2145.0,"26","19");// "Vitória"- "Palmas"</v>
      </c>
    </row>
    <row r="216" spans="6:14" x14ac:dyDescent="0.3">
      <c r="F216">
        <v>215</v>
      </c>
      <c r="G216" t="s">
        <v>65</v>
      </c>
      <c r="H216" s="4">
        <f>(7*60)+17</f>
        <v>437</v>
      </c>
      <c r="I216">
        <v>26</v>
      </c>
      <c r="J216">
        <v>2</v>
      </c>
      <c r="K216">
        <v>218</v>
      </c>
      <c r="L216" t="str">
        <f>IF(Tabela2[[#This Row],[inicio]]="","",_xlfn.XLOOKUP(Tabela2[[#This Row],[inicio]],Tabela1[id],Tabela1[Cidade]))</f>
        <v xml:space="preserve"> "Vitória"</v>
      </c>
      <c r="M216" t="str">
        <f>IF(Tabela2[[#This Row],[fim]]="","",_xlfn.XLOOKUP(Tabela2[[#This Row],[fim]],Tabela1[id],Tabela1[Cidade]))</f>
        <v xml:space="preserve"> "Rio de Janeiro"</v>
      </c>
      <c r="N216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grafo.adicionarAresta(215,"BR-101",437.0,218.0,"26","2");// "Vitória"- "Rio de Janeiro"</v>
      </c>
    </row>
    <row r="217" spans="6:14" x14ac:dyDescent="0.3">
      <c r="F217">
        <v>216</v>
      </c>
      <c r="G217" t="s">
        <v>65</v>
      </c>
      <c r="H217" s="4">
        <f>(17*60)+19</f>
        <v>1039</v>
      </c>
      <c r="I217">
        <v>26</v>
      </c>
      <c r="J217">
        <v>7</v>
      </c>
      <c r="K217">
        <v>1056</v>
      </c>
      <c r="L217" t="str">
        <f>IF(Tabela2[[#This Row],[inicio]]="","",_xlfn.XLOOKUP(Tabela2[[#This Row],[inicio]],Tabela1[id],Tabela1[Cidade]))</f>
        <v xml:space="preserve"> "Vitória"</v>
      </c>
      <c r="M217" t="str">
        <f>IF(Tabela2[[#This Row],[fim]]="","",_xlfn.XLOOKUP(Tabela2[[#This Row],[fim]],Tabela1[id],Tabela1[Cidade]))</f>
        <v xml:space="preserve"> "Salvador"</v>
      </c>
      <c r="N217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grafo.adicionarAresta(216,"BR-101",1039.0,1056.0,"26","7");// "Vitória"- "Salvador"</v>
      </c>
    </row>
    <row r="218" spans="6:14" x14ac:dyDescent="0.3">
      <c r="F218">
        <v>217</v>
      </c>
      <c r="G218" t="s">
        <v>149</v>
      </c>
      <c r="H218" s="4">
        <f>(6*60)+42</f>
        <v>402</v>
      </c>
      <c r="I218">
        <v>27</v>
      </c>
      <c r="J218">
        <v>24</v>
      </c>
      <c r="K218">
        <v>436</v>
      </c>
      <c r="L218" t="str">
        <f>IF(Tabela2[[#This Row],[inicio]]="","",_xlfn.XLOOKUP(Tabela2[[#This Row],[inicio]],Tabela1[id],Tabela1[Cidade]))</f>
        <v xml:space="preserve"> "São Luís"</v>
      </c>
      <c r="M218" t="str">
        <f>IF(Tabela2[[#This Row],[fim]]="","",_xlfn.XLOOKUP(Tabela2[[#This Row],[fim]],Tabela1[id],Tabela1[Cidade]))</f>
        <v xml:space="preserve"> "Teresina"</v>
      </c>
      <c r="N218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grafo.adicionarAresta(217,"BR-135 e BR-316",402.0,436.0,"27","24");// "São Luís"- "Teresina"</v>
      </c>
    </row>
    <row r="219" spans="6:14" x14ac:dyDescent="0.3">
      <c r="F219">
        <v>218</v>
      </c>
      <c r="G219" t="s">
        <v>150</v>
      </c>
      <c r="H219" s="4">
        <f>(13*60)+12</f>
        <v>792</v>
      </c>
      <c r="I219">
        <v>27</v>
      </c>
      <c r="J219">
        <v>8</v>
      </c>
      <c r="K219">
        <v>899</v>
      </c>
      <c r="L219" t="str">
        <f>IF(Tabela2[[#This Row],[inicio]]="","",_xlfn.XLOOKUP(Tabela2[[#This Row],[inicio]],Tabela1[id],Tabela1[Cidade]))</f>
        <v xml:space="preserve"> "São Luís"</v>
      </c>
      <c r="M219" t="str">
        <f>IF(Tabela2[[#This Row],[fim]]="","",_xlfn.XLOOKUP(Tabela2[[#This Row],[fim]],Tabela1[id],Tabela1[Cidade]))</f>
        <v xml:space="preserve"> "Fortaleza"</v>
      </c>
      <c r="N219" s="3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grafo.adicionarAresta(218,"BR-402",792.0,899.0,"27","8");// "São Luís"- "Fortaleza"</v>
      </c>
    </row>
    <row r="220" spans="6:14" x14ac:dyDescent="0.3">
      <c r="F220">
        <v>219</v>
      </c>
      <c r="G220" t="s">
        <v>143</v>
      </c>
      <c r="H220" s="4">
        <f>(13*60)+29</f>
        <v>809</v>
      </c>
      <c r="I220">
        <v>27</v>
      </c>
      <c r="J220">
        <v>11</v>
      </c>
      <c r="K220">
        <v>799</v>
      </c>
      <c r="L220" t="str">
        <f>IF(Tabela2[[#This Row],[inicio]]="","",_xlfn.XLOOKUP(Tabela2[[#This Row],[inicio]],Tabela1[id],Tabela1[Cidade]))</f>
        <v xml:space="preserve"> "São Luís"</v>
      </c>
      <c r="M220" t="str">
        <f>IF(Tabela2[[#This Row],[fim]]="","",_xlfn.XLOOKUP(Tabela2[[#This Row],[fim]],Tabela1[id],Tabela1[Cidade]))</f>
        <v xml:space="preserve"> "Belém"</v>
      </c>
      <c r="N220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grafo.adicionarAresta(219,"BR-316",809.0,799.0,"27","11");// "São Luís"- "Belém"</v>
      </c>
    </row>
    <row r="221" spans="6:14" x14ac:dyDescent="0.3">
      <c r="F221">
        <v>220</v>
      </c>
      <c r="G221" t="s">
        <v>147</v>
      </c>
      <c r="H221" s="4">
        <f>(28*60)+0</f>
        <v>1680</v>
      </c>
      <c r="I221">
        <v>27</v>
      </c>
      <c r="J221">
        <v>5</v>
      </c>
      <c r="K221">
        <v>2018</v>
      </c>
      <c r="L221" t="str">
        <f>IF(Tabela2[[#This Row],[inicio]]="","",_xlfn.XLOOKUP(Tabela2[[#This Row],[inicio]],Tabela1[id],Tabela1[Cidade]))</f>
        <v xml:space="preserve"> "São Luís"</v>
      </c>
      <c r="M221" t="str">
        <f>IF(Tabela2[[#This Row],[fim]]="","",_xlfn.XLOOKUP(Tabela2[[#This Row],[fim]],Tabela1[id],Tabela1[Cidade]))</f>
        <v xml:space="preserve"> "Brasília"</v>
      </c>
      <c r="N221" s="3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grafo.adicionarAresta(220,"BR-135",1680.0,2018.0,"27","5");// "São Luís"- "Brasília"</v>
      </c>
    </row>
    <row r="222" spans="6:14" x14ac:dyDescent="0.3">
      <c r="F222">
        <v>221</v>
      </c>
      <c r="G222" t="s">
        <v>84</v>
      </c>
      <c r="H222" s="6">
        <f>(37*60)+0</f>
        <v>2220</v>
      </c>
      <c r="I222">
        <v>27</v>
      </c>
      <c r="J222">
        <v>14</v>
      </c>
      <c r="K222">
        <v>2715</v>
      </c>
      <c r="L222" t="str">
        <f>IF(Tabela2[[#This Row],[inicio]]="","",_xlfn.XLOOKUP(Tabela2[[#This Row],[inicio]],Tabela1[id],Tabela1[Cidade]))</f>
        <v xml:space="preserve"> "São Luís"</v>
      </c>
      <c r="M222" t="str">
        <f>IF(Tabela2[[#This Row],[fim]]="","",_xlfn.XLOOKUP(Tabela2[[#This Row],[fim]],Tabela1[id],Tabela1[Cidade]))</f>
        <v xml:space="preserve"> "Cuiabá"</v>
      </c>
      <c r="N222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grafo.adicionarAresta(221,"BR-226",2220.0,2715.0,"27","14");// "São Luís"- "Cuiabá"</v>
      </c>
    </row>
    <row r="223" spans="6:14" x14ac:dyDescent="0.3">
      <c r="F223">
        <v>222</v>
      </c>
      <c r="G223" t="s">
        <v>84</v>
      </c>
      <c r="H223" s="6">
        <f>(29*60)+0</f>
        <v>1740</v>
      </c>
      <c r="I223">
        <v>27</v>
      </c>
      <c r="J223">
        <v>12</v>
      </c>
      <c r="K223">
        <v>2010</v>
      </c>
      <c r="L223" t="str">
        <f>IF(Tabela2[[#This Row],[inicio]]="","",_xlfn.XLOOKUP(Tabela2[[#This Row],[inicio]],Tabela1[id],Tabela1[Cidade]))</f>
        <v xml:space="preserve"> "São Luís"</v>
      </c>
      <c r="M223" t="str">
        <f>IF(Tabela2[[#This Row],[fim]]="","",_xlfn.XLOOKUP(Tabela2[[#This Row],[fim]],Tabela1[id],Tabela1[Cidade]))</f>
        <v xml:space="preserve"> "Goiânia"</v>
      </c>
      <c r="N223" s="3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grafo.adicionarAresta(222,"BR-226",1740.0,2010.0,"27","12");// "São Luís"- "Goiânia"</v>
      </c>
    </row>
    <row r="224" spans="6:14" x14ac:dyDescent="0.3">
      <c r="F224">
        <v>223</v>
      </c>
      <c r="G224" t="s">
        <v>92</v>
      </c>
      <c r="H224" s="6">
        <f>(58*60)+0</f>
        <v>3480</v>
      </c>
      <c r="I224">
        <v>27</v>
      </c>
      <c r="J224">
        <v>10</v>
      </c>
      <c r="K224">
        <v>3538</v>
      </c>
      <c r="L224" t="str">
        <f>IF(Tabela2[[#This Row],[inicio]]="","",_xlfn.XLOOKUP(Tabela2[[#This Row],[inicio]],Tabela1[id],Tabela1[Cidade]))</f>
        <v xml:space="preserve"> "São Luís"</v>
      </c>
      <c r="M224" t="str">
        <f>IF(Tabela2[[#This Row],[fim]]="","",_xlfn.XLOOKUP(Tabela2[[#This Row],[fim]],Tabela1[id],Tabela1[Cidade]))</f>
        <v xml:space="preserve"> "Manaus"</v>
      </c>
      <c r="N224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grafo.adicionarAresta(223,"Rod.Transamazonica e BR-230",3480.0,3538.0,"27","10");// "São Luís"- "Manaus"</v>
      </c>
    </row>
    <row r="225" spans="6:14" x14ac:dyDescent="0.3">
      <c r="F225">
        <v>224</v>
      </c>
      <c r="G225" t="s">
        <v>84</v>
      </c>
      <c r="H225" s="6">
        <f>(18*60)+51</f>
        <v>1131</v>
      </c>
      <c r="I225">
        <v>27</v>
      </c>
      <c r="J225">
        <v>19</v>
      </c>
      <c r="K225">
        <v>1249</v>
      </c>
      <c r="L225" t="str">
        <f>IF(Tabela2[[#This Row],[inicio]]="","",_xlfn.XLOOKUP(Tabela2[[#This Row],[inicio]],Tabela1[id],Tabela1[Cidade]))</f>
        <v xml:space="preserve"> "São Luís"</v>
      </c>
      <c r="M225" t="str">
        <f>IF(Tabela2[[#This Row],[fim]]="","",_xlfn.XLOOKUP(Tabela2[[#This Row],[fim]],Tabela1[id],Tabela1[Cidade]))</f>
        <v xml:space="preserve"> "Palmas"</v>
      </c>
      <c r="N225" s="3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grafo.adicionarAresta(224,"BR-226",1131.0,1249.0,"27","19");// "São Luís"- "Palmas"</v>
      </c>
    </row>
    <row r="226" spans="6:14" x14ac:dyDescent="0.3">
      <c r="F226">
        <v>225</v>
      </c>
      <c r="G226" t="s">
        <v>92</v>
      </c>
      <c r="H226" s="6">
        <f>(48*60)+0</f>
        <v>2880</v>
      </c>
      <c r="I226">
        <v>27</v>
      </c>
      <c r="J226">
        <v>21</v>
      </c>
      <c r="K226">
        <v>3047</v>
      </c>
      <c r="L226" t="str">
        <f>IF(Tabela2[[#This Row],[inicio]]="","",_xlfn.XLOOKUP(Tabela2[[#This Row],[inicio]],Tabela1[id],Tabela1[Cidade]))</f>
        <v xml:space="preserve"> "São Luís"</v>
      </c>
      <c r="M226" t="str">
        <f>IF(Tabela2[[#This Row],[fim]]="","",_xlfn.XLOOKUP(Tabela2[[#This Row],[fim]],Tabela1[id],Tabela1[Cidade]))</f>
        <v xml:space="preserve"> "Porto Velho"</v>
      </c>
      <c r="N226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grafo.adicionarAresta(225,"Rod.Transamazonica e BR-230",2880.0,3047.0,"27","21");// "São Luís"- "Porto Velho"</v>
      </c>
    </row>
    <row r="227" spans="6:14" x14ac:dyDescent="0.3">
      <c r="F227">
        <v>226</v>
      </c>
      <c r="G227" t="s">
        <v>147</v>
      </c>
      <c r="H227" s="6">
        <f>(41*60)+0</f>
        <v>2460</v>
      </c>
      <c r="I227">
        <v>27</v>
      </c>
      <c r="J227">
        <v>26</v>
      </c>
      <c r="K227">
        <v>2798</v>
      </c>
      <c r="L227" t="str">
        <f>IF(Tabela2[[#This Row],[inicio]]="","",_xlfn.XLOOKUP(Tabela2[[#This Row],[inicio]],Tabela1[id],Tabela1[Cidade]))</f>
        <v xml:space="preserve"> "São Luís"</v>
      </c>
      <c r="M227" t="str">
        <f>IF(Tabela2[[#This Row],[fim]]="","",_xlfn.XLOOKUP(Tabela2[[#This Row],[fim]],Tabela1[id],Tabela1[Cidade]))</f>
        <v xml:space="preserve"> "Vitória"</v>
      </c>
      <c r="N227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grafo.adicionarAresta(226,"BR-135",2460.0,2798.0,"27","26");// "São Luís"- "Vitória"</v>
      </c>
    </row>
    <row r="228" spans="6:14" x14ac:dyDescent="0.3">
      <c r="F228">
        <v>227</v>
      </c>
      <c r="G228" t="s">
        <v>147</v>
      </c>
      <c r="H228" s="6">
        <f>(35*60)+0</f>
        <v>2100</v>
      </c>
      <c r="I228">
        <v>27</v>
      </c>
      <c r="J228">
        <v>3</v>
      </c>
      <c r="K228">
        <v>2522</v>
      </c>
      <c r="L228" t="str">
        <f>IF(Tabela2[[#This Row],[inicio]]="","",_xlfn.XLOOKUP(Tabela2[[#This Row],[inicio]],Tabela1[id],Tabela1[Cidade]))</f>
        <v xml:space="preserve"> "São Luís"</v>
      </c>
      <c r="M228" t="str">
        <f>IF(Tabela2[[#This Row],[fim]]="","",_xlfn.XLOOKUP(Tabela2[[#This Row],[fim]],Tabela1[id],Tabela1[Cidade]))</f>
        <v xml:space="preserve"> "Belo Horizonte"</v>
      </c>
      <c r="N228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grafo.adicionarAresta(227,"BR-135",2100.0,2522.0,"27","3");// "São Luís"- "Belo Horizonte"</v>
      </c>
    </row>
    <row r="229" spans="6:14" x14ac:dyDescent="0.3">
      <c r="F229">
        <v>228</v>
      </c>
      <c r="G229" t="s">
        <v>76</v>
      </c>
      <c r="H229" s="4">
        <f>(6*60)+16</f>
        <v>376</v>
      </c>
      <c r="I229">
        <v>21</v>
      </c>
      <c r="J229">
        <v>23</v>
      </c>
      <c r="K229" s="7">
        <v>509</v>
      </c>
      <c r="L229" s="7" t="str">
        <f>IF(Tabela2[[#This Row],[inicio]]="","",_xlfn.XLOOKUP(Tabela2[[#This Row],[inicio]],Tabela1[id],Tabela1[Cidade]))</f>
        <v xml:space="preserve"> "Porto Velho"</v>
      </c>
      <c r="M229" s="7" t="str">
        <f>IF(Tabela2[[#This Row],[fim]]="","",_xlfn.XLOOKUP(Tabela2[[#This Row],[fim]],Tabela1[id],Tabela1[Cidade]))</f>
        <v xml:space="preserve"> "Rio Branco"</v>
      </c>
      <c r="N229" s="7" t="str">
        <f>CONCATENATE("grafo.adicionarAresta(",Tabela2[[#This Row],[idest]],",",Tabela2[[#This Row],[nomeRodovia]],",",Tabela2[[#This Row],[tempo]],".0,",Tabela2[[#This Row],[KM]],".0,""",Tabela2[[#This Row],[inicio]],""",""",Tabela2[[#This Row],[fim]],""");","//",Tabela2[[#This Row],[cid-ini]],"-",Tabela2[[#This Row],[cid-fim]])</f>
        <v>grafo.adicionarAresta(228,"BR-364",376.0,509.0,"21","23");// "Porto Velho"- "Rio Branco"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FENUCHI</dc:creator>
  <cp:lastModifiedBy>PAULO FENUCHI</cp:lastModifiedBy>
  <dcterms:created xsi:type="dcterms:W3CDTF">2024-11-05T03:07:38Z</dcterms:created>
  <dcterms:modified xsi:type="dcterms:W3CDTF">2024-11-07T20:56:35Z</dcterms:modified>
</cp:coreProperties>
</file>