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es\Documents\GitHub\PPB2-Fortgeschrittenes-Praktikum\2. Laser\Auswertung\Dominik\"/>
    </mc:Choice>
  </mc:AlternateContent>
  <xr:revisionPtr revIDLastSave="0" documentId="13_ncr:1_{EEEE874C-9770-4796-821B-556E1A1A5035}" xr6:coauthVersionLast="47" xr6:coauthVersionMax="47" xr10:uidLastSave="{00000000-0000-0000-0000-000000000000}"/>
  <bookViews>
    <workbookView xWindow="-98" yWindow="-98" windowWidth="20715" windowHeight="13276" activeTab="2" xr2:uid="{F9697B5D-1E1B-40EA-8211-F0F1B88E92D3}"/>
  </bookViews>
  <sheets>
    <sheet name="Fehler Verst" sheetId="1" r:id="rId1"/>
    <sheet name="Dicke" sheetId="2" r:id="rId2"/>
    <sheet name="Exp Laser" sheetId="3" r:id="rId3"/>
    <sheet name="Hilfslaser" sheetId="4" r:id="rId4"/>
    <sheet name="Rech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17" i="1" s="1"/>
  <c r="E18" i="1"/>
  <c r="J27" i="1"/>
  <c r="J26" i="1"/>
  <c r="C13" i="5"/>
  <c r="F4" i="5"/>
  <c r="F3" i="5"/>
  <c r="C9" i="5"/>
  <c r="C8" i="5"/>
  <c r="C5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M2" i="4"/>
  <c r="L2" i="4"/>
  <c r="M3" i="3"/>
  <c r="M4" i="3"/>
  <c r="M5" i="3"/>
  <c r="M6" i="3"/>
  <c r="M7" i="3"/>
  <c r="M8" i="3"/>
  <c r="M9" i="3"/>
  <c r="M10" i="3"/>
  <c r="M11" i="3"/>
  <c r="M12" i="3"/>
  <c r="M13" i="3"/>
  <c r="M15" i="3"/>
  <c r="M16" i="3"/>
  <c r="M17" i="3"/>
  <c r="M18" i="3"/>
  <c r="M19" i="3"/>
  <c r="M20" i="3"/>
  <c r="M21" i="3"/>
  <c r="M2" i="3"/>
  <c r="L3" i="3"/>
  <c r="L4" i="3"/>
  <c r="L5" i="3"/>
  <c r="L6" i="3"/>
  <c r="L7" i="3"/>
  <c r="L8" i="3"/>
  <c r="L9" i="3"/>
  <c r="L10" i="3"/>
  <c r="L11" i="3"/>
  <c r="L12" i="3"/>
  <c r="L13" i="3"/>
  <c r="L15" i="3"/>
  <c r="L16" i="3"/>
  <c r="L17" i="3"/>
  <c r="L18" i="3"/>
  <c r="L19" i="3"/>
  <c r="L20" i="3"/>
  <c r="L21" i="3"/>
  <c r="L2" i="3"/>
  <c r="M26" i="3"/>
  <c r="M45" i="4"/>
  <c r="L45" i="4"/>
  <c r="L26" i="3"/>
  <c r="E11" i="2"/>
  <c r="E10" i="2"/>
  <c r="D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G2" i="2"/>
  <c r="I22" i="1"/>
  <c r="I21" i="1"/>
  <c r="H21" i="1"/>
  <c r="H22" i="1"/>
  <c r="G17" i="1"/>
  <c r="K17" i="1" s="1"/>
  <c r="G18" i="1"/>
  <c r="K18" i="1" s="1"/>
  <c r="J19" i="1"/>
  <c r="G22" i="1"/>
  <c r="G7" i="1" s="1"/>
  <c r="G6" i="1"/>
  <c r="K3" i="1"/>
  <c r="K2" i="1"/>
  <c r="G21" i="1" s="1"/>
  <c r="F22" i="1"/>
  <c r="F21" i="1"/>
  <c r="F7" i="1"/>
  <c r="F6" i="1"/>
  <c r="E7" i="1"/>
  <c r="E6" i="1"/>
  <c r="D3" i="1"/>
  <c r="D5" i="1"/>
  <c r="D6" i="1"/>
  <c r="D7" i="1"/>
  <c r="D2" i="1"/>
  <c r="B7" i="1"/>
  <c r="C7" i="1"/>
  <c r="C6" i="1"/>
  <c r="B6" i="1"/>
  <c r="B3" i="1"/>
  <c r="C3" i="1"/>
  <c r="C2" i="1"/>
  <c r="B2" i="1"/>
  <c r="F3" i="1" l="1"/>
  <c r="F18" i="1" s="1"/>
  <c r="H18" i="1" s="1"/>
  <c r="F29" i="1"/>
  <c r="I18" i="1" s="1"/>
  <c r="F2" i="1"/>
  <c r="F17" i="1" s="1"/>
  <c r="H17" i="1" s="1"/>
  <c r="F28" i="1"/>
  <c r="I17" i="1" s="1"/>
  <c r="M23" i="3"/>
  <c r="L23" i="4"/>
  <c r="L23" i="3"/>
  <c r="M23" i="4"/>
  <c r="J20" i="1"/>
</calcChain>
</file>

<file path=xl/sharedStrings.xml><?xml version="1.0" encoding="utf-8"?>
<sst xmlns="http://schemas.openxmlformats.org/spreadsheetml/2006/main" count="68" uniqueCount="41">
  <si>
    <t>Fehler R</t>
  </si>
  <si>
    <t>Fehler B</t>
  </si>
  <si>
    <t>Fehler A</t>
  </si>
  <si>
    <t>Fehler n</t>
  </si>
  <si>
    <t>Fehler F</t>
  </si>
  <si>
    <t>Fehler D</t>
  </si>
  <si>
    <t>A</t>
  </si>
  <si>
    <t>B</t>
  </si>
  <si>
    <t>N</t>
  </si>
  <si>
    <t>R</t>
  </si>
  <si>
    <t>F</t>
  </si>
  <si>
    <t>D</t>
  </si>
  <si>
    <t>Bogenmaß</t>
  </si>
  <si>
    <t>Grad</t>
  </si>
  <si>
    <t>Fehler T</t>
  </si>
  <si>
    <t>T</t>
  </si>
  <si>
    <t>Fehler Verst</t>
  </si>
  <si>
    <t>Messung</t>
  </si>
  <si>
    <t>Durchmesser x</t>
  </si>
  <si>
    <t>Halbwertsbreite x</t>
  </si>
  <si>
    <t>Durchmesser y</t>
  </si>
  <si>
    <t>Halbwertsbreite y</t>
  </si>
  <si>
    <t>Abstand</t>
  </si>
  <si>
    <t>Fehler</t>
  </si>
  <si>
    <t>Graufilter</t>
  </si>
  <si>
    <t>Halbwertsbreite x (mm)</t>
  </si>
  <si>
    <t>Halbwertsbreite y (mm)</t>
  </si>
  <si>
    <t>Durchmesser x (mm)</t>
  </si>
  <si>
    <t>Durchmesser y (mm)</t>
  </si>
  <si>
    <t>Position (cm)</t>
  </si>
  <si>
    <t>Fehler Linse</t>
  </si>
  <si>
    <t>w_0</t>
  </si>
  <si>
    <t>L_0</t>
  </si>
  <si>
    <t>lambda</t>
  </si>
  <si>
    <t>sL_0</t>
  </si>
  <si>
    <t>s_w0</t>
  </si>
  <si>
    <t>z</t>
  </si>
  <si>
    <t>s_z</t>
  </si>
  <si>
    <t>f</t>
  </si>
  <si>
    <t>s_f</t>
  </si>
  <si>
    <t>Fehler 1mW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</si>
</sst>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C2D1-DE69-4853-8F41-1D644E50E0AB}">
  <dimension ref="A1:K29"/>
  <sheetViews>
    <sheetView workbookViewId="0">
      <selection activeCell="E2" sqref="E2:E3"/>
    </sheetView>
  </sheetViews>
  <sheetFormatPr baseColWidth="10" defaultRowHeight="15" x14ac:dyDescent="0.25"/>
  <cols>
    <col min="2" max="2" width="12" bestFit="1" customWidth="1"/>
    <col min="5" max="5" width="12" bestFit="1" customWidth="1"/>
    <col min="6" max="6" width="12.7109375" bestFit="1" customWidth="1"/>
    <col min="7" max="9" width="12" bestFit="1" customWidth="1"/>
    <col min="10" max="10" width="12.5703125" bestFit="1" customWidth="1"/>
    <col min="11" max="11" width="12.7109375" bestFit="1" customWidth="1"/>
  </cols>
  <sheetData>
    <row r="1" spans="1:11" x14ac:dyDescent="0.25">
      <c r="A1" t="s">
        <v>12</v>
      </c>
      <c r="B1" t="s">
        <v>2</v>
      </c>
      <c r="C1" t="s">
        <v>1</v>
      </c>
      <c r="D1" t="s">
        <v>3</v>
      </c>
      <c r="E1" t="s">
        <v>0</v>
      </c>
      <c r="F1" t="s">
        <v>4</v>
      </c>
      <c r="G1" t="s">
        <v>5</v>
      </c>
      <c r="H1" t="s">
        <v>14</v>
      </c>
      <c r="I1" t="s">
        <v>16</v>
      </c>
    </row>
    <row r="2" spans="1:11" x14ac:dyDescent="0.25">
      <c r="A2">
        <v>1</v>
      </c>
      <c r="B2">
        <f>RADIANS(B17)</f>
        <v>3.4906585039886593E-4</v>
      </c>
      <c r="C2">
        <f>RADIANS(C17)</f>
        <v>3.4906585039886593E-4</v>
      </c>
      <c r="D2">
        <f>D17</f>
        <v>7.0000000000000007E-2</v>
      </c>
      <c r="E2">
        <f>SQRT((B2*(2*TAN((B6)-(C6))*(_xlfn.SEC((B6)-(C6))^2*TAN((B6)+(C6))-TAN((B6)-(C6))*_xlfn.SEC((B6)+(C6))^2))/(TAN((B6)+(C6))^3))^2+(C2*((2*TAN((C6)-(B6))*(_xlfn.SEC((C6)-(B6))^2*TAN((B6)+(C6))-TAN((C6)-(B6))*_xlfn.SEC((B6)+(C6))^2))/(TAN((B6)+(C6))^3)))^2)</f>
        <v>5.2616110733124776E-5</v>
      </c>
      <c r="F2">
        <f>4*(E6+1)/(1-E6)^3*E17</f>
        <v>2.1995314896165865E-4</v>
      </c>
      <c r="K2">
        <f>632.8*10^(-9)</f>
        <v>6.328E-7</v>
      </c>
    </row>
    <row r="3" spans="1:11" x14ac:dyDescent="0.25">
      <c r="A3">
        <v>2</v>
      </c>
      <c r="B3">
        <f>RADIANS(B18)</f>
        <v>3.4906585039886593E-4</v>
      </c>
      <c r="C3">
        <f>RADIANS(C18)</f>
        <v>5.2359877559829881E-4</v>
      </c>
      <c r="D3">
        <f t="shared" ref="D3:D7" si="0">D18</f>
        <v>7.0000000000000007E-2</v>
      </c>
      <c r="E3">
        <f>SQRT((B3*(2*TAN((B7)-(C7))*(_xlfn.SEC((B7)-(C7))^2*TAN((B7)+(C7))-TAN((B7)-(C7))*_xlfn.SEC((B7)+(C7))^2))/(TAN((B7)+(C7))^3))^2+(C3*((2*TAN((C7)-(B7))*(_xlfn.SEC((C7)-(B7))^2*TAN((B7)+(C7))-TAN((C7)-(B7))*_xlfn.SEC((B7)+(C7))^2))/(TAN((B7)+(C7))^3)))^2)</f>
        <v>5.6834513780710567E-5</v>
      </c>
      <c r="F3">
        <f>4*(E7+1)/(1-E7)^3*E18</f>
        <v>2.3389316696868751E-4</v>
      </c>
      <c r="K3">
        <f>150*10^(-6)</f>
        <v>1.4999999999999999E-4</v>
      </c>
    </row>
    <row r="5" spans="1:11" x14ac:dyDescent="0.25">
      <c r="B5" t="s">
        <v>6</v>
      </c>
      <c r="C5" t="s">
        <v>7</v>
      </c>
      <c r="D5" t="str">
        <f t="shared" si="0"/>
        <v>N</v>
      </c>
      <c r="E5" t="s">
        <v>9</v>
      </c>
      <c r="F5" t="s">
        <v>10</v>
      </c>
      <c r="G5" t="s">
        <v>11</v>
      </c>
      <c r="H5" t="s">
        <v>15</v>
      </c>
    </row>
    <row r="6" spans="1:11" x14ac:dyDescent="0.25">
      <c r="A6">
        <v>1</v>
      </c>
      <c r="B6">
        <f>RADIANS(B21)</f>
        <v>0.80721477904737737</v>
      </c>
      <c r="C6">
        <f>RADIANS(C21)</f>
        <v>0.47158796388886781</v>
      </c>
      <c r="D6">
        <f t="shared" si="0"/>
        <v>1.59</v>
      </c>
      <c r="E6">
        <f>E21</f>
        <v>1.09938E-2</v>
      </c>
      <c r="F6">
        <f>4*E21/(1-E21)^2</f>
        <v>4.4958291098722028E-2</v>
      </c>
      <c r="G6">
        <f>G21</f>
        <v>4219.2138686619946</v>
      </c>
    </row>
    <row r="7" spans="1:11" x14ac:dyDescent="0.25">
      <c r="A7">
        <v>2</v>
      </c>
      <c r="B7">
        <f>RADIANS(B22)</f>
        <v>1.1171852542015703</v>
      </c>
      <c r="C7">
        <f>RADIANS(C22)</f>
        <v>0.60091686146164769</v>
      </c>
      <c r="D7">
        <f t="shared" si="0"/>
        <v>1.59</v>
      </c>
      <c r="E7">
        <f>E22</f>
        <v>7.0938800000000003E-3</v>
      </c>
      <c r="F7">
        <f>4*E22/(1-E22)^2</f>
        <v>2.8782429783936178E-2</v>
      </c>
      <c r="G7">
        <f>G22</f>
        <v>3906.7489876534987</v>
      </c>
    </row>
    <row r="16" spans="1:11" x14ac:dyDescent="0.25">
      <c r="A16" t="s">
        <v>13</v>
      </c>
      <c r="B16" t="s">
        <v>2</v>
      </c>
      <c r="C16" t="s">
        <v>1</v>
      </c>
      <c r="D16" t="s">
        <v>3</v>
      </c>
      <c r="E16" t="s">
        <v>0</v>
      </c>
      <c r="F16" t="s">
        <v>4</v>
      </c>
      <c r="G16" t="s">
        <v>5</v>
      </c>
      <c r="H16" t="s">
        <v>14</v>
      </c>
      <c r="I16" t="s">
        <v>16</v>
      </c>
    </row>
    <row r="17" spans="2:11" x14ac:dyDescent="0.25">
      <c r="B17">
        <v>0.02</v>
      </c>
      <c r="C17">
        <v>0.02</v>
      </c>
      <c r="D17">
        <v>7.0000000000000007E-2</v>
      </c>
      <c r="E17">
        <f>E2</f>
        <v>5.2616110733124776E-5</v>
      </c>
      <c r="F17">
        <f>F2</f>
        <v>2.1995314896165865E-4</v>
      </c>
      <c r="G17">
        <f>SQRT((B2*(COS(B6)*SIN(B6))/(SQRT(D21^2-SIN(B6)^2)))^2+(D17*D21/(SQRT(D21^2-SIN(B6)^2)))^2)*4*(PI()/$K$2)*$K$3</f>
        <v>234.06337476869308</v>
      </c>
      <c r="H17">
        <f>SQRT((F17*(SIN((G21)/2)^2)/(SIN((G21)/2)^2*F21+1)^2)^2+(G17*F21*COS((G21)/2)*SIN((G21)/2)/(F21*SIN((G21)/2)^2+1)^2)^2)</f>
        <v>0.26459002571027695</v>
      </c>
      <c r="I17">
        <f>1/(0.6*H21)*F28</f>
        <v>3.446820359340517E-4</v>
      </c>
      <c r="K17">
        <f>G17*F21*COS(G21/2)*SIN(G21/2)/((F21*SIN(G21/2)^2+1)^2)</f>
        <v>-0.26458994913966488</v>
      </c>
    </row>
    <row r="18" spans="2:11" x14ac:dyDescent="0.25">
      <c r="B18">
        <v>0.02</v>
      </c>
      <c r="C18">
        <v>0.03</v>
      </c>
      <c r="D18">
        <v>7.0000000000000007E-2</v>
      </c>
      <c r="E18">
        <f>E3</f>
        <v>5.6834513780710567E-5</v>
      </c>
      <c r="F18">
        <f>F3</f>
        <v>2.3389316696868751E-4</v>
      </c>
      <c r="G18">
        <f>SQRT((B3*(COS(B7)*SIN(B7))/(SQRT(D22^2-SIN(B7)^2)))^2+(D18*D22/(SQRT(D22^2-SIN(B7)^2)))^2)*4*(PI()/$K$2)*$K$3</f>
        <v>252.78383171069365</v>
      </c>
      <c r="H18">
        <f>SQRT((F18*(SIN((G22)/2)^2)/(SIN((G22)/2)^2*F22+1)^2)^2+(G18*F22*COS((G22)/2)*SIN((G22)/2)/(F22*SIN((G22)/2)^2+1)^2)^2)</f>
        <v>3.4967865346346465</v>
      </c>
      <c r="I18">
        <f>1/(0.6*H22)*F29</f>
        <v>3.7044398565200173E-4</v>
      </c>
      <c r="K18">
        <f>G18*F22*COS(G22/2)*SIN(G22/2)/((F22*SIN(G22/2)^2+1)^2)</f>
        <v>-3.4967865333727395</v>
      </c>
    </row>
    <row r="19" spans="2:11" x14ac:dyDescent="0.25">
      <c r="J19">
        <f>COS(G22/2)</f>
        <v>0.76732527571072473</v>
      </c>
    </row>
    <row r="20" spans="2:11" x14ac:dyDescent="0.25">
      <c r="B20" t="s">
        <v>6</v>
      </c>
      <c r="C20" t="s">
        <v>7</v>
      </c>
      <c r="D20" t="s">
        <v>8</v>
      </c>
      <c r="E20" t="s">
        <v>9</v>
      </c>
      <c r="F20" t="s">
        <v>10</v>
      </c>
      <c r="G20" t="s">
        <v>11</v>
      </c>
      <c r="H20" t="s">
        <v>15</v>
      </c>
      <c r="J20">
        <f>COS(G22/2)</f>
        <v>0.76732527571072473</v>
      </c>
    </row>
    <row r="21" spans="2:11" x14ac:dyDescent="0.25">
      <c r="B21">
        <v>46.25</v>
      </c>
      <c r="C21">
        <v>27.02</v>
      </c>
      <c r="D21">
        <v>1.59</v>
      </c>
      <c r="E21">
        <v>1.09938E-2</v>
      </c>
      <c r="F21">
        <f>F6</f>
        <v>4.4958291098722028E-2</v>
      </c>
      <c r="G21">
        <f>(2*PI()/$K$2)*2*$K$3*SQRT(D21^2-SIN(B6)^2)</f>
        <v>4219.2138686619946</v>
      </c>
      <c r="H21">
        <f>1/(1+F21*SIN(RADIANS(G21)/2)^2)</f>
        <v>0.97400765842718395</v>
      </c>
      <c r="I21">
        <f>LN(1/(0.999*0.98*H21^2))/0.6</f>
        <v>0.12312572111493475</v>
      </c>
    </row>
    <row r="22" spans="2:11" x14ac:dyDescent="0.25">
      <c r="B22">
        <v>64.010000000000005</v>
      </c>
      <c r="C22">
        <v>34.43</v>
      </c>
      <c r="D22">
        <v>1.59</v>
      </c>
      <c r="E22">
        <v>7.0938800000000003E-3</v>
      </c>
      <c r="F22">
        <f>F7</f>
        <v>2.8782429783936178E-2</v>
      </c>
      <c r="G22">
        <f>(2*PI()/$K$2)*2*$K$3*SQRT(D22^2-SIN(B7)^2)</f>
        <v>3906.7489876534987</v>
      </c>
      <c r="H22">
        <f>1/(1+F22*SIN(RADIANS(G22)/2)^2)</f>
        <v>0.99425242485626253</v>
      </c>
      <c r="I22">
        <f>LN(1/(0.999*0.98*H22^2))/0.6</f>
        <v>5.4552532810137187E-2</v>
      </c>
    </row>
    <row r="26" spans="2:11" x14ac:dyDescent="0.25">
      <c r="J26">
        <f>30*PI()/180</f>
        <v>0.52359877559829882</v>
      </c>
    </row>
    <row r="27" spans="2:11" x14ac:dyDescent="0.25">
      <c r="J27">
        <f>RADIANS(30)</f>
        <v>0.52359877559829882</v>
      </c>
    </row>
    <row r="28" spans="2:11" x14ac:dyDescent="0.25">
      <c r="F28">
        <f>ABS((4*(E21-1))/((1+E21)^3)*E17)</f>
        <v>2.0143376563322413E-4</v>
      </c>
    </row>
    <row r="29" spans="2:11" x14ac:dyDescent="0.25">
      <c r="F29">
        <f>ABS((4*(E22-1))/((1+E22)^3)*E18)</f>
        <v>2.2098889860475273E-4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9634-0111-4756-B1E8-8A15426D14AC}">
  <dimension ref="B2:G21"/>
  <sheetViews>
    <sheetView workbookViewId="0">
      <selection activeCell="D2" sqref="D2"/>
    </sheetView>
  </sheetViews>
  <sheetFormatPr baseColWidth="10" defaultRowHeight="15" x14ac:dyDescent="0.25"/>
  <cols>
    <col min="4" max="4" width="12.7109375" bestFit="1" customWidth="1"/>
    <col min="5" max="5" width="12" bestFit="1" customWidth="1"/>
  </cols>
  <sheetData>
    <row r="2" spans="2:7" x14ac:dyDescent="0.25">
      <c r="B2">
        <v>46.07</v>
      </c>
      <c r="C2">
        <v>0.02</v>
      </c>
      <c r="D2">
        <f>-$G$2/(2*(SQRT(1.59^2-SIN(RADIANS(B2))^2)-SQRT(1.59^2-SIN(RADIANS(B3))^2)))</f>
        <v>165.98901535534915</v>
      </c>
      <c r="G2">
        <f>632.8*10^(-3)</f>
        <v>0.63279999999999992</v>
      </c>
    </row>
    <row r="3" spans="2:7" x14ac:dyDescent="0.25">
      <c r="B3">
        <v>45.76</v>
      </c>
      <c r="C3">
        <v>0.02</v>
      </c>
      <c r="D3">
        <f t="shared" ref="D3:D20" si="0">-$G$2/(2*(SQRT(1.59^2-SIN(RADIANS(B3))^2)-SQRT(1.59^2-SIN(RADIANS(B4))^2)))</f>
        <v>135.57246848243591</v>
      </c>
    </row>
    <row r="4" spans="2:7" x14ac:dyDescent="0.25">
      <c r="B4">
        <v>45.38</v>
      </c>
      <c r="C4">
        <v>0.02</v>
      </c>
      <c r="D4">
        <f t="shared" si="0"/>
        <v>143.3080350124886</v>
      </c>
    </row>
    <row r="5" spans="2:7" x14ac:dyDescent="0.25">
      <c r="B5">
        <v>45.02</v>
      </c>
      <c r="C5">
        <v>0.02</v>
      </c>
      <c r="D5">
        <f t="shared" si="0"/>
        <v>147.62643307360318</v>
      </c>
    </row>
    <row r="6" spans="2:7" x14ac:dyDescent="0.25">
      <c r="B6">
        <v>44.67</v>
      </c>
      <c r="C6">
        <v>0.02</v>
      </c>
      <c r="D6">
        <f t="shared" si="0"/>
        <v>143.7651840755893</v>
      </c>
    </row>
    <row r="7" spans="2:7" x14ac:dyDescent="0.25">
      <c r="B7">
        <v>44.31</v>
      </c>
      <c r="C7">
        <v>0.02</v>
      </c>
      <c r="D7">
        <f t="shared" si="0"/>
        <v>144.03026322519025</v>
      </c>
    </row>
    <row r="8" spans="2:7" x14ac:dyDescent="0.25">
      <c r="B8">
        <v>43.95</v>
      </c>
      <c r="C8">
        <v>0.02</v>
      </c>
      <c r="D8">
        <f t="shared" si="0"/>
        <v>148.43692411769828</v>
      </c>
    </row>
    <row r="9" spans="2:7" x14ac:dyDescent="0.25">
      <c r="B9">
        <v>43.6</v>
      </c>
      <c r="C9">
        <v>0.02</v>
      </c>
      <c r="D9">
        <f t="shared" si="0"/>
        <v>144.6192164925811</v>
      </c>
    </row>
    <row r="10" spans="2:7" x14ac:dyDescent="0.25">
      <c r="B10">
        <v>43.24</v>
      </c>
      <c r="C10">
        <v>0.02</v>
      </c>
      <c r="D10">
        <f t="shared" si="0"/>
        <v>144.95164743030179</v>
      </c>
      <c r="E10">
        <f>AVERAGE(D2:D20)</f>
        <v>144.74858394721139</v>
      </c>
    </row>
    <row r="11" spans="2:7" x14ac:dyDescent="0.25">
      <c r="B11">
        <v>42.88</v>
      </c>
      <c r="C11">
        <v>0.02</v>
      </c>
      <c r="D11">
        <f t="shared" si="0"/>
        <v>130.79489526298775</v>
      </c>
      <c r="E11">
        <f>SQRT(_xlfn.VAR.P(D2:D20))</f>
        <v>6.7307890940044333</v>
      </c>
    </row>
    <row r="12" spans="2:7" x14ac:dyDescent="0.25">
      <c r="B12">
        <v>42.48</v>
      </c>
      <c r="C12">
        <v>0.02</v>
      </c>
      <c r="D12">
        <f t="shared" si="0"/>
        <v>149.88707607636184</v>
      </c>
    </row>
    <row r="13" spans="2:7" x14ac:dyDescent="0.25">
      <c r="B13">
        <v>42.13</v>
      </c>
      <c r="C13">
        <v>0.02</v>
      </c>
      <c r="D13">
        <f t="shared" si="0"/>
        <v>138.44236315875955</v>
      </c>
    </row>
    <row r="14" spans="2:7" x14ac:dyDescent="0.25">
      <c r="B14">
        <v>41.75</v>
      </c>
      <c r="C14">
        <v>0.02</v>
      </c>
      <c r="D14">
        <f t="shared" si="0"/>
        <v>142.61831680091657</v>
      </c>
    </row>
    <row r="15" spans="2:7" x14ac:dyDescent="0.25">
      <c r="B15">
        <v>41.38</v>
      </c>
      <c r="C15">
        <v>0.02</v>
      </c>
      <c r="D15">
        <f t="shared" si="0"/>
        <v>147.03919052398692</v>
      </c>
    </row>
    <row r="16" spans="2:7" x14ac:dyDescent="0.25">
      <c r="B16">
        <v>41.02</v>
      </c>
      <c r="C16">
        <v>0.02</v>
      </c>
      <c r="D16">
        <f t="shared" si="0"/>
        <v>143.53619053450163</v>
      </c>
    </row>
    <row r="17" spans="2:4" x14ac:dyDescent="0.25">
      <c r="B17">
        <v>40.65</v>
      </c>
      <c r="C17">
        <v>0.02</v>
      </c>
      <c r="D17">
        <f t="shared" si="0"/>
        <v>148.03238125331052</v>
      </c>
    </row>
    <row r="18" spans="2:4" x14ac:dyDescent="0.25">
      <c r="B18">
        <v>40.29</v>
      </c>
      <c r="C18">
        <v>0.02</v>
      </c>
      <c r="D18">
        <f t="shared" si="0"/>
        <v>140.75476889739389</v>
      </c>
    </row>
    <row r="19" spans="2:4" x14ac:dyDescent="0.25">
      <c r="B19">
        <v>39.909999999999997</v>
      </c>
      <c r="C19">
        <v>0.02</v>
      </c>
      <c r="D19">
        <f t="shared" si="0"/>
        <v>145.11961443507266</v>
      </c>
    </row>
    <row r="20" spans="2:4" x14ac:dyDescent="0.25">
      <c r="B20">
        <v>39.54</v>
      </c>
      <c r="C20">
        <v>0.02</v>
      </c>
      <c r="D20">
        <f t="shared" si="0"/>
        <v>145.69911078848779</v>
      </c>
    </row>
    <row r="21" spans="2:4" x14ac:dyDescent="0.25">
      <c r="B21">
        <v>39.17</v>
      </c>
      <c r="C21">
        <v>0.02</v>
      </c>
      <c r="D21">
        <f>-$G$2/(2*(SQRT(1.59^2-SIN(RADIANS(B21))^2)-SQRT(1.59^2-SIN(RADIANS(B22))^2)))</f>
        <v>2.4182454535946531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56AF-723E-432B-8CF7-DB9A0E690633}">
  <dimension ref="A1:O44"/>
  <sheetViews>
    <sheetView tabSelected="1" workbookViewId="0">
      <selection activeCell="G5" sqref="G5"/>
    </sheetView>
  </sheetViews>
  <sheetFormatPr baseColWidth="10" defaultRowHeight="15" x14ac:dyDescent="0.25"/>
  <cols>
    <col min="3" max="3" width="14.5703125" customWidth="1"/>
    <col min="4" max="4" width="14.7109375" customWidth="1"/>
    <col min="5" max="5" width="15.42578125" customWidth="1"/>
    <col min="6" max="6" width="16" customWidth="1"/>
    <col min="7" max="7" width="13.28515625" customWidth="1"/>
    <col min="9" max="9" width="15.7109375" customWidth="1"/>
    <col min="12" max="13" width="12" bestFit="1" customWidth="1"/>
  </cols>
  <sheetData>
    <row r="1" spans="1:15" x14ac:dyDescent="0.25">
      <c r="A1" t="s">
        <v>17</v>
      </c>
      <c r="B1" t="s">
        <v>22</v>
      </c>
      <c r="C1" t="s">
        <v>18</v>
      </c>
      <c r="D1" t="s">
        <v>23</v>
      </c>
      <c r="E1" t="s">
        <v>19</v>
      </c>
      <c r="F1" t="s">
        <v>23</v>
      </c>
      <c r="G1" t="s">
        <v>20</v>
      </c>
      <c r="H1" t="s">
        <v>23</v>
      </c>
      <c r="I1" t="s">
        <v>21</v>
      </c>
      <c r="J1" t="s">
        <v>23</v>
      </c>
    </row>
    <row r="2" spans="1:15" x14ac:dyDescent="0.25">
      <c r="A2">
        <v>1</v>
      </c>
      <c r="B2">
        <v>3</v>
      </c>
      <c r="C2">
        <v>2.6</v>
      </c>
      <c r="D2">
        <v>0.05</v>
      </c>
      <c r="E2">
        <v>1.1599999999999999</v>
      </c>
      <c r="F2">
        <v>0.02</v>
      </c>
      <c r="G2">
        <v>2.74</v>
      </c>
      <c r="H2">
        <v>0.05</v>
      </c>
      <c r="I2">
        <v>1.0900000000000001</v>
      </c>
      <c r="J2">
        <v>0.02</v>
      </c>
      <c r="L2">
        <f>ABS(PI()*($C$14/1000)^2/(2*632.8*10^(-9)*(($B$14-B2)/100))*SQRT((C2^2/$C$14^2)-1))</f>
        <v>4.2263570063629627</v>
      </c>
      <c r="M2">
        <f>ABS(PI()*($G$14/1000)^2/(2*632.8*10^(-9)*(($B$14-B2)/100))*SQRT((G2^2/$G$14^2)-1))</f>
        <v>4.4559990164476604</v>
      </c>
      <c r="N2">
        <v>4.2263570063629627</v>
      </c>
      <c r="O2">
        <v>4.4559990164476604</v>
      </c>
    </row>
    <row r="3" spans="1:15" x14ac:dyDescent="0.25">
      <c r="A3">
        <v>2</v>
      </c>
      <c r="B3">
        <v>10</v>
      </c>
      <c r="C3">
        <v>2.2000000000000002</v>
      </c>
      <c r="D3">
        <v>0.05</v>
      </c>
      <c r="E3">
        <v>0.92</v>
      </c>
      <c r="F3">
        <v>0.02</v>
      </c>
      <c r="G3">
        <v>2.1800000000000002</v>
      </c>
      <c r="H3">
        <v>0.05</v>
      </c>
      <c r="I3">
        <v>0.88</v>
      </c>
      <c r="J3">
        <v>0.02</v>
      </c>
      <c r="L3">
        <f t="shared" ref="L3:L21" si="0">ABS(PI()*($C$14/1000)^2/(2*632.8*10^(-9)*(($B$14-B3)/100))*SQRT((C3^2/$C$14^2)-1))</f>
        <v>4.3755441392760153</v>
      </c>
      <c r="M3">
        <f t="shared" ref="M3:M21" si="1">ABS(PI()*($G$14/1000)^2/(2*632.8*10^(-9)*(($B$14-B3)/100))*SQRT((G3^2/$G$14^2)-1))</f>
        <v>4.3352436689759246</v>
      </c>
      <c r="N3">
        <v>4.3755441392760153</v>
      </c>
      <c r="O3">
        <v>4.3352436689759246</v>
      </c>
    </row>
    <row r="4" spans="1:15" x14ac:dyDescent="0.25">
      <c r="A4">
        <v>3</v>
      </c>
      <c r="B4">
        <v>15</v>
      </c>
      <c r="C4">
        <v>1.87</v>
      </c>
      <c r="D4">
        <v>0.05</v>
      </c>
      <c r="E4">
        <v>0.78</v>
      </c>
      <c r="F4">
        <v>0.02</v>
      </c>
      <c r="G4">
        <v>1.77</v>
      </c>
      <c r="H4">
        <v>0.05</v>
      </c>
      <c r="I4">
        <v>0.74</v>
      </c>
      <c r="J4">
        <v>0.02</v>
      </c>
      <c r="L4">
        <f t="shared" si="0"/>
        <v>4.4232909312551918</v>
      </c>
      <c r="M4">
        <f t="shared" si="1"/>
        <v>4.1823227658076716</v>
      </c>
      <c r="N4">
        <v>4.4232909312551918</v>
      </c>
      <c r="O4">
        <v>6.5126139471158124</v>
      </c>
    </row>
    <row r="5" spans="1:15" x14ac:dyDescent="0.25">
      <c r="A5">
        <v>4</v>
      </c>
      <c r="B5">
        <v>20</v>
      </c>
      <c r="C5">
        <v>1.56</v>
      </c>
      <c r="D5">
        <v>0.05</v>
      </c>
      <c r="E5">
        <v>0.63</v>
      </c>
      <c r="F5">
        <v>0.02</v>
      </c>
      <c r="G5">
        <v>1.48</v>
      </c>
      <c r="H5">
        <v>0.05</v>
      </c>
      <c r="I5">
        <v>0.56000000000000005</v>
      </c>
      <c r="J5">
        <v>0.02</v>
      </c>
      <c r="L5">
        <f t="shared" si="0"/>
        <v>4.5503945623735049</v>
      </c>
      <c r="M5">
        <f t="shared" si="1"/>
        <v>4.3107191395022042</v>
      </c>
      <c r="N5">
        <v>4.5503945623735049</v>
      </c>
      <c r="O5">
        <v>4.3107191395022042</v>
      </c>
    </row>
    <row r="6" spans="1:15" x14ac:dyDescent="0.25">
      <c r="A6">
        <v>5</v>
      </c>
      <c r="B6">
        <v>25</v>
      </c>
      <c r="C6">
        <v>1.2</v>
      </c>
      <c r="D6">
        <v>0.05</v>
      </c>
      <c r="E6">
        <v>0.41</v>
      </c>
      <c r="F6">
        <v>0.02</v>
      </c>
      <c r="G6">
        <v>1.2</v>
      </c>
      <c r="H6">
        <v>0.05</v>
      </c>
      <c r="I6">
        <v>0.45</v>
      </c>
      <c r="J6">
        <v>0.02</v>
      </c>
      <c r="L6">
        <f t="shared" si="0"/>
        <v>4.5521780078244998</v>
      </c>
      <c r="M6">
        <f t="shared" si="1"/>
        <v>4.5521780078244998</v>
      </c>
      <c r="N6">
        <v>4.5521780078244998</v>
      </c>
      <c r="O6">
        <v>1.9868054741171954</v>
      </c>
    </row>
    <row r="7" spans="1:15" x14ac:dyDescent="0.25">
      <c r="A7">
        <v>6</v>
      </c>
      <c r="B7">
        <v>30</v>
      </c>
      <c r="C7">
        <v>0.77</v>
      </c>
      <c r="D7">
        <v>0.05</v>
      </c>
      <c r="E7">
        <v>0.3</v>
      </c>
      <c r="F7">
        <v>0.01</v>
      </c>
      <c r="G7">
        <v>0.7</v>
      </c>
      <c r="H7">
        <v>0.05</v>
      </c>
      <c r="I7">
        <v>0.28999999999999998</v>
      </c>
      <c r="J7">
        <v>0.01</v>
      </c>
      <c r="L7">
        <f t="shared" si="0"/>
        <v>4.1086816056447413</v>
      </c>
      <c r="M7">
        <f t="shared" si="1"/>
        <v>3.6886613873677474</v>
      </c>
      <c r="N7">
        <v>4.1086816056447413</v>
      </c>
      <c r="O7">
        <v>3.6886613873677474</v>
      </c>
    </row>
    <row r="8" spans="1:15" x14ac:dyDescent="0.25">
      <c r="A8">
        <v>7</v>
      </c>
      <c r="B8">
        <v>35</v>
      </c>
      <c r="C8">
        <v>0.54</v>
      </c>
      <c r="D8">
        <v>0.05</v>
      </c>
      <c r="E8">
        <v>0.17</v>
      </c>
      <c r="F8">
        <v>0.01</v>
      </c>
      <c r="G8">
        <v>0.5</v>
      </c>
      <c r="H8">
        <v>0.05</v>
      </c>
      <c r="I8">
        <v>0.16</v>
      </c>
      <c r="J8">
        <v>0.01</v>
      </c>
      <c r="L8">
        <f t="shared" si="0"/>
        <v>4.950564342643454</v>
      </c>
      <c r="M8">
        <f t="shared" si="1"/>
        <v>4.4786054150062657</v>
      </c>
      <c r="N8">
        <v>4.950564342643454</v>
      </c>
      <c r="O8">
        <v>4.4786054150062657</v>
      </c>
    </row>
    <row r="9" spans="1:15" x14ac:dyDescent="0.25">
      <c r="A9">
        <v>8</v>
      </c>
      <c r="B9">
        <v>36</v>
      </c>
      <c r="C9">
        <v>0.46</v>
      </c>
      <c r="D9">
        <v>0.05</v>
      </c>
      <c r="E9">
        <v>0.16</v>
      </c>
      <c r="F9">
        <v>0.01</v>
      </c>
      <c r="G9">
        <v>0.45</v>
      </c>
      <c r="H9">
        <v>0.05</v>
      </c>
      <c r="I9">
        <v>0.13</v>
      </c>
      <c r="J9">
        <v>0.01</v>
      </c>
      <c r="L9">
        <f t="shared" si="0"/>
        <v>4.7925012254848838</v>
      </c>
      <c r="M9">
        <f t="shared" si="1"/>
        <v>4.6439488616225493</v>
      </c>
      <c r="N9">
        <v>4.7925012254848838</v>
      </c>
      <c r="O9">
        <v>4.6439488616225493</v>
      </c>
    </row>
    <row r="10" spans="1:15" x14ac:dyDescent="0.25">
      <c r="A10">
        <v>9</v>
      </c>
      <c r="B10">
        <v>37</v>
      </c>
      <c r="C10">
        <v>0.42</v>
      </c>
      <c r="D10">
        <v>0.05</v>
      </c>
      <c r="E10">
        <v>0.14000000000000001</v>
      </c>
      <c r="F10">
        <v>0.01</v>
      </c>
      <c r="G10">
        <v>0.38</v>
      </c>
      <c r="H10">
        <v>0.05</v>
      </c>
      <c r="I10">
        <v>0.12</v>
      </c>
      <c r="J10">
        <v>0.01</v>
      </c>
      <c r="L10">
        <f t="shared" si="0"/>
        <v>5.2359475316384216</v>
      </c>
      <c r="M10">
        <f t="shared" si="1"/>
        <v>4.4399223497888203</v>
      </c>
      <c r="N10">
        <v>5.2359475316384216</v>
      </c>
      <c r="O10">
        <v>4.4399223497888203</v>
      </c>
    </row>
    <row r="11" spans="1:15" x14ac:dyDescent="0.25">
      <c r="A11">
        <v>10</v>
      </c>
      <c r="B11">
        <v>38</v>
      </c>
      <c r="C11">
        <v>0.35</v>
      </c>
      <c r="D11">
        <v>0.05</v>
      </c>
      <c r="E11">
        <v>0.12</v>
      </c>
      <c r="F11">
        <v>0.01</v>
      </c>
      <c r="G11">
        <v>0.28999999999999998</v>
      </c>
      <c r="H11">
        <v>0.05</v>
      </c>
      <c r="I11">
        <v>0.11</v>
      </c>
      <c r="J11">
        <v>0.01</v>
      </c>
      <c r="L11">
        <f t="shared" si="0"/>
        <v>5.0669636147355552</v>
      </c>
      <c r="M11">
        <f t="shared" si="1"/>
        <v>3.040178168841333</v>
      </c>
      <c r="N11">
        <v>5.0669636147355552</v>
      </c>
      <c r="O11">
        <v>3.040178168841333</v>
      </c>
    </row>
    <row r="12" spans="1:15" x14ac:dyDescent="0.25">
      <c r="A12">
        <v>11</v>
      </c>
      <c r="B12">
        <v>39</v>
      </c>
      <c r="C12">
        <v>0.32</v>
      </c>
      <c r="D12">
        <v>0.05</v>
      </c>
      <c r="E12">
        <v>0.12</v>
      </c>
      <c r="F12">
        <v>0.01</v>
      </c>
      <c r="G12">
        <v>0.28000000000000003</v>
      </c>
      <c r="H12">
        <v>0.05</v>
      </c>
      <c r="I12">
        <v>0.11</v>
      </c>
      <c r="J12">
        <v>0.01</v>
      </c>
      <c r="L12">
        <f t="shared" si="0"/>
        <v>6.1979756742469609</v>
      </c>
      <c r="M12">
        <f t="shared" si="1"/>
        <v>3.9125687486366885</v>
      </c>
      <c r="N12">
        <v>6.1979756742469609</v>
      </c>
      <c r="O12">
        <v>3.9125687486366885</v>
      </c>
    </row>
    <row r="13" spans="1:15" x14ac:dyDescent="0.25">
      <c r="A13">
        <v>12</v>
      </c>
      <c r="B13">
        <v>40</v>
      </c>
      <c r="C13">
        <v>0.31</v>
      </c>
      <c r="D13">
        <v>0.05</v>
      </c>
      <c r="E13">
        <v>0.11</v>
      </c>
      <c r="F13">
        <v>0.01</v>
      </c>
      <c r="G13">
        <v>0.27</v>
      </c>
      <c r="H13">
        <v>0.05</v>
      </c>
      <c r="I13">
        <v>0.1</v>
      </c>
      <c r="J13">
        <v>0.01</v>
      </c>
      <c r="L13">
        <f t="shared" si="0"/>
        <v>11.375305102554051</v>
      </c>
      <c r="M13">
        <f t="shared" si="1"/>
        <v>6.3286355263962131</v>
      </c>
      <c r="N13">
        <v>11.375305102554051</v>
      </c>
      <c r="O13">
        <v>6.3286355263962131</v>
      </c>
    </row>
    <row r="14" spans="1:15" x14ac:dyDescent="0.25">
      <c r="A14">
        <v>13</v>
      </c>
      <c r="B14">
        <v>41</v>
      </c>
      <c r="C14">
        <v>0.25</v>
      </c>
      <c r="D14">
        <v>0.05</v>
      </c>
      <c r="E14">
        <v>0.1</v>
      </c>
      <c r="F14">
        <v>0.01</v>
      </c>
      <c r="G14">
        <v>0.25</v>
      </c>
      <c r="H14">
        <v>0.05</v>
      </c>
      <c r="I14">
        <v>0.1</v>
      </c>
      <c r="J14">
        <v>0.01</v>
      </c>
      <c r="L14">
        <v>0</v>
      </c>
      <c r="M14">
        <v>0</v>
      </c>
      <c r="N14">
        <v>6.3286355263962131</v>
      </c>
      <c r="O14">
        <v>7.8251374972733769</v>
      </c>
    </row>
    <row r="15" spans="1:15" x14ac:dyDescent="0.25">
      <c r="A15">
        <v>14</v>
      </c>
      <c r="B15">
        <v>42</v>
      </c>
      <c r="C15">
        <v>0.27</v>
      </c>
      <c r="D15">
        <v>0.05</v>
      </c>
      <c r="E15">
        <v>0.09</v>
      </c>
      <c r="F15">
        <v>0.01</v>
      </c>
      <c r="G15">
        <v>0.28000000000000003</v>
      </c>
      <c r="H15">
        <v>0.05</v>
      </c>
      <c r="I15">
        <v>0.09</v>
      </c>
      <c r="J15">
        <v>0.01</v>
      </c>
      <c r="L15">
        <f t="shared" si="0"/>
        <v>6.3286355263962131</v>
      </c>
      <c r="M15">
        <f t="shared" si="1"/>
        <v>7.8251374972733769</v>
      </c>
      <c r="N15">
        <v>5.1455258751255872</v>
      </c>
      <c r="O15">
        <v>5.6876525512770257</v>
      </c>
    </row>
    <row r="16" spans="1:15" x14ac:dyDescent="0.25">
      <c r="A16">
        <v>15</v>
      </c>
      <c r="B16">
        <v>43</v>
      </c>
      <c r="C16">
        <v>0.3</v>
      </c>
      <c r="D16">
        <v>0.05</v>
      </c>
      <c r="E16">
        <v>0.11</v>
      </c>
      <c r="F16">
        <v>0.01</v>
      </c>
      <c r="G16">
        <v>0.31</v>
      </c>
      <c r="H16">
        <v>0.05</v>
      </c>
      <c r="I16">
        <v>0.11</v>
      </c>
      <c r="J16">
        <v>0.01</v>
      </c>
      <c r="L16">
        <f t="shared" si="0"/>
        <v>5.1455258751255872</v>
      </c>
      <c r="M16">
        <f t="shared" si="1"/>
        <v>5.6876525512770257</v>
      </c>
      <c r="N16">
        <v>5.6423318883762033</v>
      </c>
      <c r="O16">
        <v>5.6423318883762033</v>
      </c>
    </row>
    <row r="17" spans="1:15" x14ac:dyDescent="0.25">
      <c r="A17">
        <v>16</v>
      </c>
      <c r="B17">
        <v>44</v>
      </c>
      <c r="C17">
        <v>0.37</v>
      </c>
      <c r="D17">
        <v>0.05</v>
      </c>
      <c r="E17">
        <v>0.13</v>
      </c>
      <c r="F17">
        <v>0.01</v>
      </c>
      <c r="G17">
        <v>0.37</v>
      </c>
      <c r="H17">
        <v>0.05</v>
      </c>
      <c r="I17">
        <v>0.14000000000000001</v>
      </c>
      <c r="J17">
        <v>0.01</v>
      </c>
      <c r="L17">
        <f t="shared" si="0"/>
        <v>5.6423318883762033</v>
      </c>
      <c r="M17">
        <f t="shared" si="1"/>
        <v>5.6423318883762033</v>
      </c>
      <c r="N17">
        <v>5.4278037006997097</v>
      </c>
      <c r="O17">
        <v>5.0415651409382249</v>
      </c>
    </row>
    <row r="18" spans="1:15" x14ac:dyDescent="0.25">
      <c r="A18">
        <v>17</v>
      </c>
      <c r="B18">
        <v>45</v>
      </c>
      <c r="C18">
        <v>0.43</v>
      </c>
      <c r="D18">
        <v>0.05</v>
      </c>
      <c r="E18">
        <v>0.16</v>
      </c>
      <c r="F18">
        <v>0.01</v>
      </c>
      <c r="G18">
        <v>0.41</v>
      </c>
      <c r="H18">
        <v>0.05</v>
      </c>
      <c r="I18">
        <v>0.16</v>
      </c>
      <c r="J18">
        <v>0.01</v>
      </c>
      <c r="L18">
        <f t="shared" si="0"/>
        <v>5.4278037006997097</v>
      </c>
      <c r="M18">
        <f t="shared" si="1"/>
        <v>5.0415651409382249</v>
      </c>
      <c r="N18">
        <v>4.8756880115693546</v>
      </c>
      <c r="O18">
        <v>4.8756880115693546</v>
      </c>
    </row>
    <row r="19" spans="1:15" x14ac:dyDescent="0.25">
      <c r="A19">
        <v>18</v>
      </c>
      <c r="B19">
        <v>50</v>
      </c>
      <c r="C19">
        <v>0.75</v>
      </c>
      <c r="D19">
        <v>0.05</v>
      </c>
      <c r="E19">
        <v>0.33</v>
      </c>
      <c r="F19">
        <v>0.02</v>
      </c>
      <c r="G19">
        <v>0.75</v>
      </c>
      <c r="H19">
        <v>0.05</v>
      </c>
      <c r="I19">
        <v>0.35</v>
      </c>
      <c r="J19">
        <v>0.02</v>
      </c>
      <c r="L19">
        <f t="shared" si="0"/>
        <v>4.8756880115693546</v>
      </c>
      <c r="M19">
        <f t="shared" si="1"/>
        <v>4.8756880115693546</v>
      </c>
      <c r="N19">
        <v>4.3834151327224573</v>
      </c>
      <c r="O19">
        <v>4.4748015550232827</v>
      </c>
    </row>
    <row r="20" spans="1:15" x14ac:dyDescent="0.25">
      <c r="A20">
        <v>19</v>
      </c>
      <c r="B20">
        <v>55</v>
      </c>
      <c r="C20">
        <v>1.02</v>
      </c>
      <c r="D20">
        <v>0.05</v>
      </c>
      <c r="E20">
        <v>0.44</v>
      </c>
      <c r="F20">
        <v>0.02</v>
      </c>
      <c r="G20">
        <v>1.04</v>
      </c>
      <c r="H20">
        <v>0.05</v>
      </c>
      <c r="I20">
        <v>0.49</v>
      </c>
      <c r="J20">
        <v>0.02</v>
      </c>
      <c r="L20">
        <f t="shared" si="0"/>
        <v>4.3834151327224573</v>
      </c>
      <c r="M20">
        <f t="shared" si="1"/>
        <v>4.4748015550232827</v>
      </c>
      <c r="N20">
        <v>3.5993219386594197</v>
      </c>
      <c r="O20">
        <v>4.0335642096564683</v>
      </c>
    </row>
    <row r="21" spans="1:15" x14ac:dyDescent="0.25">
      <c r="A21">
        <v>20</v>
      </c>
      <c r="B21">
        <v>60</v>
      </c>
      <c r="C21">
        <v>1.1299999999999999</v>
      </c>
      <c r="D21">
        <v>0.05</v>
      </c>
      <c r="E21">
        <v>0.56999999999999995</v>
      </c>
      <c r="F21">
        <v>0.02</v>
      </c>
      <c r="G21">
        <v>1.26</v>
      </c>
      <c r="H21">
        <v>0.05</v>
      </c>
      <c r="I21">
        <v>0.55000000000000004</v>
      </c>
      <c r="J21">
        <v>0.02</v>
      </c>
      <c r="L21">
        <f t="shared" si="0"/>
        <v>3.5993219386594197</v>
      </c>
      <c r="M21">
        <f t="shared" si="1"/>
        <v>4.0335642096564683</v>
      </c>
    </row>
    <row r="23" spans="1:15" x14ac:dyDescent="0.25">
      <c r="L23">
        <f>SUM(L2:L21)/19</f>
        <v>5.2241276746099574</v>
      </c>
      <c r="M23">
        <f>SUM(M2:M21)/19</f>
        <v>4.7341959952806052</v>
      </c>
    </row>
    <row r="24" spans="1:15" x14ac:dyDescent="0.25">
      <c r="A24" t="s">
        <v>29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</row>
    <row r="25" spans="1:15" x14ac:dyDescent="0.25">
      <c r="A25">
        <v>3</v>
      </c>
      <c r="B25">
        <v>4</v>
      </c>
      <c r="C25">
        <v>1.1599999999999999</v>
      </c>
      <c r="D25">
        <v>1.0900000000000001</v>
      </c>
      <c r="E25">
        <v>2.6</v>
      </c>
      <c r="F25">
        <v>2.74</v>
      </c>
      <c r="H25">
        <v>0.05</v>
      </c>
      <c r="J25">
        <v>0.02</v>
      </c>
    </row>
    <row r="26" spans="1:15" x14ac:dyDescent="0.25">
      <c r="A26">
        <v>10</v>
      </c>
      <c r="B26">
        <v>4</v>
      </c>
      <c r="C26">
        <v>0.92</v>
      </c>
      <c r="D26">
        <v>0.88</v>
      </c>
      <c r="E26">
        <v>2.2000000000000002</v>
      </c>
      <c r="F26">
        <v>2.1800000000000002</v>
      </c>
      <c r="H26">
        <v>0.05</v>
      </c>
      <c r="J26">
        <v>0.02</v>
      </c>
      <c r="L26">
        <f>_xlfn.VAR.P(N2:N19)</f>
        <v>2.5390005893667102</v>
      </c>
      <c r="M26">
        <f>_xlfn.VAR.P(O2:O19)</f>
        <v>1.6624711088541904</v>
      </c>
    </row>
    <row r="27" spans="1:15" x14ac:dyDescent="0.25">
      <c r="A27">
        <v>15</v>
      </c>
      <c r="B27">
        <v>4.3</v>
      </c>
      <c r="C27">
        <v>0.78</v>
      </c>
      <c r="D27">
        <v>0.74</v>
      </c>
      <c r="E27">
        <v>1.87</v>
      </c>
      <c r="F27">
        <v>2.74</v>
      </c>
      <c r="H27">
        <v>0.05</v>
      </c>
      <c r="J27">
        <v>0.02</v>
      </c>
    </row>
    <row r="28" spans="1:15" x14ac:dyDescent="0.25">
      <c r="A28">
        <v>20</v>
      </c>
      <c r="B28">
        <v>4.3</v>
      </c>
      <c r="C28">
        <v>0.63</v>
      </c>
      <c r="D28">
        <v>0.56000000000000005</v>
      </c>
      <c r="E28">
        <v>1.56</v>
      </c>
      <c r="F28">
        <v>1.48</v>
      </c>
      <c r="H28">
        <v>0.05</v>
      </c>
      <c r="J28">
        <v>0.02</v>
      </c>
    </row>
    <row r="29" spans="1:15" x14ac:dyDescent="0.25">
      <c r="A29">
        <v>25</v>
      </c>
      <c r="B29">
        <v>4.5999999999999996</v>
      </c>
      <c r="C29">
        <v>0.41</v>
      </c>
      <c r="D29">
        <v>0.45</v>
      </c>
      <c r="E29">
        <v>1.2</v>
      </c>
      <c r="F29">
        <v>0.56999999999999995</v>
      </c>
      <c r="H29">
        <v>0.05</v>
      </c>
      <c r="J29">
        <v>0.02</v>
      </c>
    </row>
    <row r="30" spans="1:15" x14ac:dyDescent="0.25">
      <c r="A30">
        <v>30</v>
      </c>
      <c r="B30">
        <v>5</v>
      </c>
      <c r="C30">
        <v>0.3</v>
      </c>
      <c r="D30">
        <v>0.28999999999999998</v>
      </c>
      <c r="E30">
        <v>0.77</v>
      </c>
      <c r="F30">
        <v>0.7</v>
      </c>
      <c r="H30">
        <v>0.05</v>
      </c>
      <c r="J30">
        <v>0.02</v>
      </c>
    </row>
    <row r="31" spans="1:15" x14ac:dyDescent="0.25">
      <c r="A31">
        <v>35</v>
      </c>
      <c r="B31">
        <v>5.3</v>
      </c>
      <c r="C31">
        <v>0.17</v>
      </c>
      <c r="D31">
        <v>0.16</v>
      </c>
      <c r="E31">
        <v>0.54</v>
      </c>
      <c r="F31">
        <v>0.5</v>
      </c>
      <c r="H31">
        <v>0.05</v>
      </c>
      <c r="J31">
        <v>0.02</v>
      </c>
    </row>
    <row r="32" spans="1:15" x14ac:dyDescent="0.25">
      <c r="A32">
        <v>36</v>
      </c>
      <c r="B32">
        <v>5.3</v>
      </c>
      <c r="C32">
        <v>0.16</v>
      </c>
      <c r="D32">
        <v>0.13</v>
      </c>
      <c r="E32">
        <v>0.46</v>
      </c>
      <c r="F32">
        <v>0.45</v>
      </c>
      <c r="H32">
        <v>0.05</v>
      </c>
      <c r="J32">
        <v>0.02</v>
      </c>
    </row>
    <row r="33" spans="1:10" x14ac:dyDescent="0.25">
      <c r="A33">
        <v>37</v>
      </c>
      <c r="B33">
        <v>5.3</v>
      </c>
      <c r="C33">
        <v>0.14000000000000001</v>
      </c>
      <c r="D33">
        <v>0.12</v>
      </c>
      <c r="E33">
        <v>0.42</v>
      </c>
      <c r="F33">
        <v>0.38</v>
      </c>
      <c r="H33">
        <v>0.05</v>
      </c>
      <c r="J33">
        <v>0.02</v>
      </c>
    </row>
    <row r="34" spans="1:10" x14ac:dyDescent="0.25">
      <c r="A34">
        <v>38</v>
      </c>
      <c r="B34">
        <v>5.3</v>
      </c>
      <c r="C34">
        <v>0.12</v>
      </c>
      <c r="D34">
        <v>0.11</v>
      </c>
      <c r="E34">
        <v>0.35</v>
      </c>
      <c r="F34">
        <v>0.28999999999999998</v>
      </c>
      <c r="H34">
        <v>0.05</v>
      </c>
      <c r="J34">
        <v>0.02</v>
      </c>
    </row>
    <row r="35" spans="1:10" x14ac:dyDescent="0.25">
      <c r="A35">
        <v>39</v>
      </c>
      <c r="B35">
        <v>5.9</v>
      </c>
      <c r="C35">
        <v>0.12</v>
      </c>
      <c r="D35">
        <v>0.11</v>
      </c>
      <c r="E35">
        <v>0.32</v>
      </c>
      <c r="F35">
        <v>0.28000000000000003</v>
      </c>
      <c r="H35">
        <v>0.05</v>
      </c>
      <c r="J35">
        <v>0.02</v>
      </c>
    </row>
    <row r="36" spans="1:10" x14ac:dyDescent="0.25">
      <c r="A36">
        <v>40</v>
      </c>
      <c r="B36">
        <v>5.9</v>
      </c>
      <c r="C36">
        <v>0.11</v>
      </c>
      <c r="D36">
        <v>0.1</v>
      </c>
      <c r="E36">
        <v>0.31</v>
      </c>
      <c r="F36">
        <v>0.27</v>
      </c>
      <c r="H36">
        <v>0.05</v>
      </c>
      <c r="J36">
        <v>0.02</v>
      </c>
    </row>
    <row r="37" spans="1:10" x14ac:dyDescent="0.25">
      <c r="A37">
        <v>41</v>
      </c>
      <c r="B37">
        <v>5.9</v>
      </c>
      <c r="C37">
        <v>0.1</v>
      </c>
      <c r="D37">
        <v>0.1</v>
      </c>
      <c r="E37">
        <v>0.25</v>
      </c>
      <c r="F37">
        <v>0.25</v>
      </c>
      <c r="H37">
        <v>0.05</v>
      </c>
      <c r="J37">
        <v>0.02</v>
      </c>
    </row>
    <row r="38" spans="1:10" x14ac:dyDescent="0.25">
      <c r="A38">
        <v>42</v>
      </c>
      <c r="B38">
        <v>5.9</v>
      </c>
      <c r="C38">
        <v>0.09</v>
      </c>
      <c r="D38">
        <v>0.09</v>
      </c>
      <c r="E38">
        <v>0.27</v>
      </c>
      <c r="F38">
        <v>0.28000000000000003</v>
      </c>
      <c r="H38">
        <v>0.05</v>
      </c>
      <c r="J38">
        <v>0.02</v>
      </c>
    </row>
    <row r="39" spans="1:10" x14ac:dyDescent="0.25">
      <c r="A39">
        <v>43</v>
      </c>
      <c r="B39">
        <v>5.9</v>
      </c>
      <c r="C39">
        <v>0.11</v>
      </c>
      <c r="D39">
        <v>0.11</v>
      </c>
      <c r="E39">
        <v>0.3</v>
      </c>
      <c r="F39">
        <v>0.31</v>
      </c>
      <c r="H39">
        <v>0.05</v>
      </c>
      <c r="J39">
        <v>0.02</v>
      </c>
    </row>
    <row r="40" spans="1:10" x14ac:dyDescent="0.25">
      <c r="A40">
        <v>44</v>
      </c>
      <c r="B40">
        <v>5.9</v>
      </c>
      <c r="C40">
        <v>0.13</v>
      </c>
      <c r="D40">
        <v>0.14000000000000001</v>
      </c>
      <c r="E40">
        <v>0.37</v>
      </c>
      <c r="F40">
        <v>0.37</v>
      </c>
      <c r="H40">
        <v>0.05</v>
      </c>
      <c r="J40">
        <v>0.02</v>
      </c>
    </row>
    <row r="41" spans="1:10" x14ac:dyDescent="0.25">
      <c r="A41">
        <v>45</v>
      </c>
      <c r="B41">
        <v>5.9</v>
      </c>
      <c r="C41">
        <v>0.16</v>
      </c>
      <c r="D41">
        <v>0.16</v>
      </c>
      <c r="E41">
        <v>0.43</v>
      </c>
      <c r="F41">
        <v>0.41</v>
      </c>
      <c r="H41">
        <v>0.05</v>
      </c>
      <c r="J41">
        <v>0.02</v>
      </c>
    </row>
    <row r="42" spans="1:10" x14ac:dyDescent="0.25">
      <c r="A42">
        <v>50</v>
      </c>
      <c r="B42">
        <v>5</v>
      </c>
      <c r="C42">
        <v>0.33</v>
      </c>
      <c r="D42">
        <v>0.35</v>
      </c>
      <c r="E42">
        <v>0.75</v>
      </c>
      <c r="F42">
        <v>0.75</v>
      </c>
      <c r="H42">
        <v>0.05</v>
      </c>
      <c r="J42">
        <v>0.02</v>
      </c>
    </row>
    <row r="43" spans="1:10" x14ac:dyDescent="0.25">
      <c r="A43">
        <v>55</v>
      </c>
      <c r="B43">
        <v>4.5999999999999996</v>
      </c>
      <c r="C43">
        <v>0.44</v>
      </c>
      <c r="D43">
        <v>0.49</v>
      </c>
      <c r="E43">
        <v>1.02</v>
      </c>
      <c r="F43">
        <v>1.04</v>
      </c>
      <c r="H43">
        <v>0.05</v>
      </c>
      <c r="J43">
        <v>0.02</v>
      </c>
    </row>
    <row r="44" spans="1:10" x14ac:dyDescent="0.25">
      <c r="A44">
        <v>60</v>
      </c>
      <c r="B44">
        <v>4.5999999999999996</v>
      </c>
      <c r="C44">
        <v>0.56999999999999995</v>
      </c>
      <c r="D44">
        <v>0.55000000000000004</v>
      </c>
      <c r="E44">
        <v>1.1299999999999999</v>
      </c>
      <c r="F44">
        <v>1.26</v>
      </c>
      <c r="H44">
        <v>0.05</v>
      </c>
      <c r="J44">
        <v>0.02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343C-B7A9-40F8-8F15-E04E0DC2C963}">
  <dimension ref="A1:M45"/>
  <sheetViews>
    <sheetView workbookViewId="0">
      <selection activeCell="A2" sqref="A2:J21"/>
    </sheetView>
  </sheetViews>
  <sheetFormatPr baseColWidth="10" defaultRowHeight="15" x14ac:dyDescent="0.25"/>
  <cols>
    <col min="3" max="3" width="12.28515625" bestFit="1" customWidth="1"/>
    <col min="5" max="5" width="14.7109375" bestFit="1" customWidth="1"/>
    <col min="7" max="7" width="12.28515625" bestFit="1" customWidth="1"/>
    <col min="9" max="9" width="14.7109375" bestFit="1" customWidth="1"/>
    <col min="12" max="12" width="12.7109375" bestFit="1" customWidth="1"/>
    <col min="13" max="13" width="12" bestFit="1" customWidth="1"/>
  </cols>
  <sheetData>
    <row r="1" spans="1:13" x14ac:dyDescent="0.25">
      <c r="A1" t="s">
        <v>17</v>
      </c>
      <c r="B1" t="s">
        <v>22</v>
      </c>
      <c r="C1" t="s">
        <v>18</v>
      </c>
      <c r="D1" t="s">
        <v>23</v>
      </c>
      <c r="E1" t="s">
        <v>19</v>
      </c>
      <c r="F1" t="s">
        <v>23</v>
      </c>
      <c r="G1" t="s">
        <v>20</v>
      </c>
      <c r="H1" t="s">
        <v>23</v>
      </c>
      <c r="I1" t="s">
        <v>21</v>
      </c>
      <c r="J1" t="s">
        <v>23</v>
      </c>
    </row>
    <row r="2" spans="1:13" x14ac:dyDescent="0.25">
      <c r="A2">
        <v>1</v>
      </c>
      <c r="B2">
        <v>3</v>
      </c>
      <c r="C2">
        <v>2.31</v>
      </c>
      <c r="D2">
        <v>0.05</v>
      </c>
      <c r="E2">
        <v>0.95</v>
      </c>
      <c r="F2">
        <v>0.02</v>
      </c>
      <c r="G2">
        <v>2.04</v>
      </c>
      <c r="H2">
        <v>0.05</v>
      </c>
      <c r="I2">
        <v>0.86</v>
      </c>
      <c r="J2">
        <v>0.02</v>
      </c>
      <c r="L2">
        <f>ABS(PI()*($C$13/1000)^2/(2*632.8*10^(-9)*(($B$13-B2)/100))*SQRT((C2^2/$C$13^2)-1))</f>
        <v>4.6593803898742578</v>
      </c>
      <c r="M2">
        <f>ABS(PI()*($G$13/1000)^2/(2*632.8*10^(-9)*(($B$13-B2)/100))*SQRT((G2^2/$G$13^2)-1))</f>
        <v>4.1067271931308769</v>
      </c>
    </row>
    <row r="3" spans="1:13" x14ac:dyDescent="0.25">
      <c r="A3">
        <v>2</v>
      </c>
      <c r="B3">
        <v>10</v>
      </c>
      <c r="C3">
        <v>1.96</v>
      </c>
      <c r="D3">
        <v>0.05</v>
      </c>
      <c r="E3">
        <v>0.81</v>
      </c>
      <c r="F3">
        <v>0.02</v>
      </c>
      <c r="G3">
        <v>1.77</v>
      </c>
      <c r="H3">
        <v>0.05</v>
      </c>
      <c r="I3">
        <v>0.8</v>
      </c>
      <c r="J3">
        <v>0.02</v>
      </c>
      <c r="L3">
        <f t="shared" ref="L3:L21" si="0">ABS(PI()*($C$13/1000)^2/(2*632.8*10^(-9)*(($B$13-B3)/100))*SQRT((C3^2/$C$13^2)-1))</f>
        <v>5.0042570140408884</v>
      </c>
      <c r="M3">
        <f t="shared" ref="M3:M21" si="1">ABS(PI()*($G$13/1000)^2/(2*632.8*10^(-9)*(($B$13-B3)/100))*SQRT((G3^2/$G$13^2)-1))</f>
        <v>4.5092523051966831</v>
      </c>
    </row>
    <row r="4" spans="1:13" x14ac:dyDescent="0.25">
      <c r="A4">
        <v>3</v>
      </c>
      <c r="B4">
        <v>15</v>
      </c>
      <c r="C4">
        <v>1.6</v>
      </c>
      <c r="D4">
        <v>0.05</v>
      </c>
      <c r="E4">
        <v>0.69</v>
      </c>
      <c r="F4">
        <v>0.02</v>
      </c>
      <c r="G4">
        <v>1.45</v>
      </c>
      <c r="H4">
        <v>0.05</v>
      </c>
      <c r="I4">
        <v>0.64</v>
      </c>
      <c r="J4">
        <v>0.02</v>
      </c>
      <c r="L4">
        <f t="shared" si="0"/>
        <v>5.033203613403308</v>
      </c>
      <c r="M4">
        <f t="shared" si="1"/>
        <v>4.5467712275773611</v>
      </c>
    </row>
    <row r="5" spans="1:13" x14ac:dyDescent="0.25">
      <c r="A5">
        <v>4</v>
      </c>
      <c r="B5">
        <v>20</v>
      </c>
      <c r="C5">
        <v>1.27</v>
      </c>
      <c r="D5">
        <v>0.05</v>
      </c>
      <c r="E5">
        <v>0.55000000000000004</v>
      </c>
      <c r="F5">
        <v>0.02</v>
      </c>
      <c r="G5">
        <v>1.19</v>
      </c>
      <c r="H5">
        <v>0.05</v>
      </c>
      <c r="I5">
        <v>0.54</v>
      </c>
      <c r="J5">
        <v>0.02</v>
      </c>
      <c r="L5">
        <f t="shared" si="0"/>
        <v>5.1982546228650284</v>
      </c>
      <c r="M5">
        <f t="shared" si="1"/>
        <v>4.8547573688446812</v>
      </c>
    </row>
    <row r="6" spans="1:13" x14ac:dyDescent="0.25">
      <c r="A6">
        <v>5</v>
      </c>
      <c r="B6">
        <v>25</v>
      </c>
      <c r="C6">
        <v>0.88</v>
      </c>
      <c r="D6">
        <v>0.05</v>
      </c>
      <c r="E6">
        <v>0.4</v>
      </c>
      <c r="F6">
        <v>0.02</v>
      </c>
      <c r="G6">
        <v>0.84</v>
      </c>
      <c r="H6">
        <v>0.05</v>
      </c>
      <c r="I6">
        <v>0.37</v>
      </c>
      <c r="J6">
        <v>0.02</v>
      </c>
      <c r="L6">
        <f t="shared" si="0"/>
        <v>5.1031498733430398</v>
      </c>
      <c r="M6">
        <f t="shared" si="1"/>
        <v>4.8464462751922905</v>
      </c>
    </row>
    <row r="7" spans="1:13" x14ac:dyDescent="0.25">
      <c r="A7">
        <v>6</v>
      </c>
      <c r="B7">
        <v>30</v>
      </c>
      <c r="C7">
        <v>0.54</v>
      </c>
      <c r="D7">
        <v>0.05</v>
      </c>
      <c r="E7">
        <v>0.24</v>
      </c>
      <c r="F7">
        <v>0.02</v>
      </c>
      <c r="G7">
        <v>0.51</v>
      </c>
      <c r="H7">
        <v>0.05</v>
      </c>
      <c r="I7">
        <v>0.22</v>
      </c>
      <c r="J7">
        <v>0.02</v>
      </c>
      <c r="L7">
        <f t="shared" si="0"/>
        <v>5.2238453560633085</v>
      </c>
      <c r="M7">
        <f t="shared" si="1"/>
        <v>4.8330227840826856</v>
      </c>
    </row>
    <row r="8" spans="1:13" x14ac:dyDescent="0.25">
      <c r="A8">
        <v>7</v>
      </c>
      <c r="B8">
        <v>31</v>
      </c>
      <c r="C8">
        <v>0.49</v>
      </c>
      <c r="D8">
        <v>0.05</v>
      </c>
      <c r="E8">
        <v>0.21</v>
      </c>
      <c r="F8">
        <v>0.01</v>
      </c>
      <c r="G8">
        <v>0.46</v>
      </c>
      <c r="H8">
        <v>0.05</v>
      </c>
      <c r="I8">
        <v>0.2</v>
      </c>
      <c r="J8">
        <v>0.01</v>
      </c>
      <c r="L8">
        <f t="shared" si="0"/>
        <v>5.4810694236551099</v>
      </c>
      <c r="M8">
        <f t="shared" si="1"/>
        <v>4.9921243746863055</v>
      </c>
    </row>
    <row r="9" spans="1:13" x14ac:dyDescent="0.25">
      <c r="A9">
        <v>8</v>
      </c>
      <c r="B9">
        <v>32</v>
      </c>
      <c r="C9">
        <v>0.45</v>
      </c>
      <c r="D9">
        <v>0.05</v>
      </c>
      <c r="E9">
        <v>0.18</v>
      </c>
      <c r="F9">
        <v>0.01</v>
      </c>
      <c r="G9">
        <v>0.43</v>
      </c>
      <c r="H9">
        <v>0.05</v>
      </c>
      <c r="I9">
        <v>0.17</v>
      </c>
      <c r="J9">
        <v>0.01</v>
      </c>
      <c r="L9">
        <f t="shared" si="0"/>
        <v>6.0319770450562551</v>
      </c>
      <c r="M9">
        <f t="shared" si="1"/>
        <v>5.6074600828552219</v>
      </c>
    </row>
    <row r="10" spans="1:13" x14ac:dyDescent="0.25">
      <c r="A10">
        <v>9</v>
      </c>
      <c r="B10">
        <v>33</v>
      </c>
      <c r="C10">
        <v>0.39</v>
      </c>
      <c r="D10">
        <v>0.05</v>
      </c>
      <c r="E10">
        <v>0.15</v>
      </c>
      <c r="F10">
        <v>0.01</v>
      </c>
      <c r="G10">
        <v>0.35</v>
      </c>
      <c r="H10">
        <v>0.05</v>
      </c>
      <c r="I10">
        <v>0.14000000000000001</v>
      </c>
      <c r="J10">
        <v>0.01</v>
      </c>
      <c r="L10">
        <f t="shared" si="0"/>
        <v>6.2872178211166716</v>
      </c>
      <c r="M10">
        <f t="shared" si="1"/>
        <v>4.9755002709441412</v>
      </c>
    </row>
    <row r="11" spans="1:13" x14ac:dyDescent="0.25">
      <c r="A11">
        <v>10</v>
      </c>
      <c r="B11">
        <v>34</v>
      </c>
      <c r="C11">
        <v>0.38</v>
      </c>
      <c r="D11">
        <v>0.05</v>
      </c>
      <c r="E11">
        <v>0.14000000000000001</v>
      </c>
      <c r="F11">
        <v>0.01</v>
      </c>
      <c r="G11">
        <v>0.35</v>
      </c>
      <c r="H11">
        <v>0.05</v>
      </c>
      <c r="I11">
        <v>0.13</v>
      </c>
      <c r="J11">
        <v>0.01</v>
      </c>
      <c r="L11">
        <f t="shared" si="0"/>
        <v>8.960664064853221</v>
      </c>
      <c r="M11">
        <f t="shared" si="1"/>
        <v>7.4632504064162113</v>
      </c>
    </row>
    <row r="12" spans="1:13" x14ac:dyDescent="0.25">
      <c r="A12">
        <v>11</v>
      </c>
      <c r="B12">
        <v>35</v>
      </c>
      <c r="C12">
        <v>0.34</v>
      </c>
      <c r="D12">
        <v>0.05</v>
      </c>
      <c r="E12">
        <v>0.11</v>
      </c>
      <c r="F12">
        <v>0.01</v>
      </c>
      <c r="G12">
        <v>0.27</v>
      </c>
      <c r="H12">
        <v>0.05</v>
      </c>
      <c r="I12">
        <v>0.1</v>
      </c>
      <c r="J12">
        <v>0.01</v>
      </c>
      <c r="L12">
        <f t="shared" si="0"/>
        <v>13.849404764933753</v>
      </c>
      <c r="M12">
        <f t="shared" si="1"/>
        <v>0</v>
      </c>
    </row>
    <row r="13" spans="1:13" x14ac:dyDescent="0.25">
      <c r="A13">
        <v>12</v>
      </c>
      <c r="B13">
        <v>36</v>
      </c>
      <c r="C13">
        <v>0.27</v>
      </c>
      <c r="D13">
        <v>0.05</v>
      </c>
      <c r="E13">
        <v>0.1</v>
      </c>
      <c r="F13">
        <v>0.01</v>
      </c>
      <c r="G13">
        <v>0.27</v>
      </c>
      <c r="H13">
        <v>0.05</v>
      </c>
      <c r="I13">
        <v>0.1</v>
      </c>
      <c r="J13">
        <v>0.01</v>
      </c>
      <c r="L13">
        <v>0</v>
      </c>
      <c r="M13">
        <v>0</v>
      </c>
    </row>
    <row r="14" spans="1:13" x14ac:dyDescent="0.25">
      <c r="A14">
        <v>13</v>
      </c>
      <c r="B14">
        <v>37</v>
      </c>
      <c r="C14">
        <v>0.3</v>
      </c>
      <c r="D14">
        <v>0.05</v>
      </c>
      <c r="E14">
        <v>0.11</v>
      </c>
      <c r="F14">
        <v>0.01</v>
      </c>
      <c r="G14">
        <v>0.32</v>
      </c>
      <c r="H14">
        <v>0.05</v>
      </c>
      <c r="I14">
        <v>0.11</v>
      </c>
      <c r="J14">
        <v>0.01</v>
      </c>
      <c r="L14">
        <f t="shared" si="0"/>
        <v>8.7642594563857674</v>
      </c>
      <c r="M14">
        <f t="shared" si="1"/>
        <v>11.511400889888211</v>
      </c>
    </row>
    <row r="15" spans="1:13" x14ac:dyDescent="0.25">
      <c r="A15">
        <v>14</v>
      </c>
      <c r="B15">
        <v>38</v>
      </c>
      <c r="C15">
        <v>0.32</v>
      </c>
      <c r="D15">
        <v>0.05</v>
      </c>
      <c r="E15">
        <v>0.12</v>
      </c>
      <c r="F15">
        <v>0.01</v>
      </c>
      <c r="G15">
        <v>0.28999999999999998</v>
      </c>
      <c r="H15">
        <v>0.05</v>
      </c>
      <c r="I15">
        <v>0.12</v>
      </c>
      <c r="J15">
        <v>0.01</v>
      </c>
      <c r="L15">
        <f t="shared" si="0"/>
        <v>5.7557004449441056</v>
      </c>
      <c r="M15">
        <f t="shared" si="1"/>
        <v>3.5464691500597985</v>
      </c>
    </row>
    <row r="16" spans="1:13" x14ac:dyDescent="0.25">
      <c r="A16">
        <v>15</v>
      </c>
      <c r="B16">
        <v>39</v>
      </c>
      <c r="C16">
        <v>0.39</v>
      </c>
      <c r="D16">
        <v>0.05</v>
      </c>
      <c r="E16">
        <v>0.13</v>
      </c>
      <c r="F16">
        <v>0.01</v>
      </c>
      <c r="G16">
        <v>0.31</v>
      </c>
      <c r="H16">
        <v>0.05</v>
      </c>
      <c r="I16">
        <v>0.13</v>
      </c>
      <c r="J16">
        <v>0.01</v>
      </c>
      <c r="L16">
        <f t="shared" si="0"/>
        <v>6.2872178211166716</v>
      </c>
      <c r="M16">
        <f t="shared" si="1"/>
        <v>3.4028273003650278</v>
      </c>
    </row>
    <row r="17" spans="1:13" x14ac:dyDescent="0.25">
      <c r="A17">
        <v>16</v>
      </c>
      <c r="B17">
        <v>40</v>
      </c>
      <c r="C17">
        <v>0.4</v>
      </c>
      <c r="D17">
        <v>0.05</v>
      </c>
      <c r="E17">
        <v>0.14000000000000001</v>
      </c>
      <c r="F17">
        <v>0.01</v>
      </c>
      <c r="G17">
        <v>0.35</v>
      </c>
      <c r="H17">
        <v>0.05</v>
      </c>
      <c r="I17">
        <v>0.14000000000000001</v>
      </c>
      <c r="J17">
        <v>0.01</v>
      </c>
      <c r="L17">
        <f t="shared" si="0"/>
        <v>4.9449995552767403</v>
      </c>
      <c r="M17">
        <f t="shared" si="1"/>
        <v>3.7316252032081056</v>
      </c>
    </row>
    <row r="18" spans="1:13" x14ac:dyDescent="0.25">
      <c r="A18">
        <v>17</v>
      </c>
      <c r="B18">
        <v>45</v>
      </c>
      <c r="C18">
        <v>0.77</v>
      </c>
      <c r="D18">
        <v>0.05</v>
      </c>
      <c r="E18">
        <v>0.22</v>
      </c>
      <c r="F18">
        <v>0.01</v>
      </c>
      <c r="G18">
        <v>0.69</v>
      </c>
      <c r="H18">
        <v>0.05</v>
      </c>
      <c r="I18">
        <v>0.21</v>
      </c>
      <c r="J18">
        <v>0.01</v>
      </c>
      <c r="L18">
        <f t="shared" si="0"/>
        <v>5.3700253156474282</v>
      </c>
      <c r="M18">
        <f t="shared" si="1"/>
        <v>4.7286255334130667</v>
      </c>
    </row>
    <row r="19" spans="1:13" x14ac:dyDescent="0.25">
      <c r="A19">
        <v>18</v>
      </c>
      <c r="B19">
        <v>50</v>
      </c>
      <c r="C19">
        <v>1.03</v>
      </c>
      <c r="D19">
        <v>0.05</v>
      </c>
      <c r="E19">
        <v>0.39</v>
      </c>
      <c r="F19">
        <v>0.01</v>
      </c>
      <c r="G19">
        <v>0.83</v>
      </c>
      <c r="H19">
        <v>0.05</v>
      </c>
      <c r="I19">
        <v>0.36</v>
      </c>
      <c r="J19">
        <v>0.01</v>
      </c>
      <c r="L19">
        <f t="shared" si="0"/>
        <v>4.7584729768398963</v>
      </c>
      <c r="M19">
        <f t="shared" si="1"/>
        <v>3.7573313064578477</v>
      </c>
    </row>
    <row r="20" spans="1:13" x14ac:dyDescent="0.25">
      <c r="A20">
        <v>19</v>
      </c>
      <c r="B20">
        <v>55</v>
      </c>
      <c r="C20">
        <v>1.34</v>
      </c>
      <c r="D20">
        <v>0.05</v>
      </c>
      <c r="E20">
        <v>0.55000000000000004</v>
      </c>
      <c r="F20">
        <v>0.02</v>
      </c>
      <c r="G20">
        <v>1.1499999999999999</v>
      </c>
      <c r="H20">
        <v>0.05</v>
      </c>
      <c r="I20">
        <v>0.5</v>
      </c>
      <c r="J20">
        <v>0.02</v>
      </c>
      <c r="L20">
        <f t="shared" si="0"/>
        <v>4.6298657333033857</v>
      </c>
      <c r="M20">
        <f t="shared" si="1"/>
        <v>3.943202477508005</v>
      </c>
    </row>
    <row r="21" spans="1:13" x14ac:dyDescent="0.25">
      <c r="A21">
        <v>20</v>
      </c>
      <c r="B21">
        <v>60</v>
      </c>
      <c r="C21">
        <v>1.57</v>
      </c>
      <c r="D21">
        <v>0.05</v>
      </c>
      <c r="E21">
        <v>0.64</v>
      </c>
      <c r="F21">
        <v>0.02</v>
      </c>
      <c r="G21">
        <v>1.6</v>
      </c>
      <c r="H21">
        <v>0.05</v>
      </c>
      <c r="I21">
        <v>0.63</v>
      </c>
      <c r="J21">
        <v>0.02</v>
      </c>
      <c r="L21">
        <f t="shared" si="0"/>
        <v>4.3190329434715879</v>
      </c>
      <c r="M21">
        <f t="shared" si="1"/>
        <v>4.4040531617278944</v>
      </c>
    </row>
    <row r="23" spans="1:13" x14ac:dyDescent="0.25">
      <c r="L23">
        <f>SUM(L2:L21)/19</f>
        <v>6.0874735913784432</v>
      </c>
      <c r="M23">
        <f>SUM(M2:M21)/18</f>
        <v>4.986713739530801</v>
      </c>
    </row>
    <row r="25" spans="1:13" x14ac:dyDescent="0.25">
      <c r="A25">
        <v>3</v>
      </c>
      <c r="B25">
        <v>3.6</v>
      </c>
      <c r="C25">
        <v>0.95</v>
      </c>
      <c r="D25">
        <v>0.86</v>
      </c>
      <c r="E25">
        <v>2.31</v>
      </c>
      <c r="F25">
        <v>2.04</v>
      </c>
      <c r="L25">
        <v>4.6593803898742578</v>
      </c>
      <c r="M25">
        <v>4.1067271931308769</v>
      </c>
    </row>
    <row r="26" spans="1:13" x14ac:dyDescent="0.25">
      <c r="A26">
        <v>10</v>
      </c>
      <c r="B26">
        <v>4</v>
      </c>
      <c r="C26">
        <v>0.81</v>
      </c>
      <c r="D26">
        <v>0.8</v>
      </c>
      <c r="E26">
        <v>1.96</v>
      </c>
      <c r="F26">
        <v>1.77</v>
      </c>
      <c r="L26">
        <v>5.0042570140408884</v>
      </c>
      <c r="M26">
        <v>4.5092523051966831</v>
      </c>
    </row>
    <row r="27" spans="1:13" x14ac:dyDescent="0.25">
      <c r="A27">
        <v>15</v>
      </c>
      <c r="B27">
        <v>4</v>
      </c>
      <c r="C27">
        <v>0.69</v>
      </c>
      <c r="D27">
        <v>0.64</v>
      </c>
      <c r="E27">
        <v>1.6</v>
      </c>
      <c r="F27">
        <v>1.45</v>
      </c>
      <c r="L27">
        <v>5.033203613403308</v>
      </c>
      <c r="M27">
        <v>4.5467712275773611</v>
      </c>
    </row>
    <row r="28" spans="1:13" x14ac:dyDescent="0.25">
      <c r="A28">
        <v>20</v>
      </c>
      <c r="B28">
        <v>4.3</v>
      </c>
      <c r="C28">
        <v>0.55000000000000004</v>
      </c>
      <c r="D28">
        <v>0.54</v>
      </c>
      <c r="E28">
        <v>1.27</v>
      </c>
      <c r="F28">
        <v>1.19</v>
      </c>
      <c r="L28">
        <v>5.1982546228650284</v>
      </c>
      <c r="M28">
        <v>4.8547573688446812</v>
      </c>
    </row>
    <row r="29" spans="1:13" x14ac:dyDescent="0.25">
      <c r="A29">
        <v>25</v>
      </c>
      <c r="B29">
        <v>4.5999999999999996</v>
      </c>
      <c r="C29">
        <v>0.4</v>
      </c>
      <c r="D29">
        <v>0.37</v>
      </c>
      <c r="E29">
        <v>0.88</v>
      </c>
      <c r="F29">
        <v>0.84</v>
      </c>
      <c r="L29">
        <v>5.1031498733430398</v>
      </c>
      <c r="M29">
        <v>4.8464462751922905</v>
      </c>
    </row>
    <row r="30" spans="1:13" x14ac:dyDescent="0.25">
      <c r="A30">
        <v>30</v>
      </c>
      <c r="B30">
        <v>5</v>
      </c>
      <c r="C30">
        <v>0.24</v>
      </c>
      <c r="D30">
        <v>0.22</v>
      </c>
      <c r="E30">
        <v>0.54</v>
      </c>
      <c r="F30">
        <v>0.51</v>
      </c>
      <c r="L30">
        <v>5.2238453560633085</v>
      </c>
      <c r="M30">
        <v>4.8330227840826856</v>
      </c>
    </row>
    <row r="31" spans="1:13" x14ac:dyDescent="0.25">
      <c r="A31">
        <v>31</v>
      </c>
      <c r="B31">
        <v>5.3</v>
      </c>
      <c r="C31">
        <v>0.21</v>
      </c>
      <c r="D31">
        <v>0.2</v>
      </c>
      <c r="E31">
        <v>0.49</v>
      </c>
      <c r="F31">
        <v>0.46</v>
      </c>
      <c r="L31">
        <v>5.4810694236551099</v>
      </c>
      <c r="M31">
        <v>4.9921243746863055</v>
      </c>
    </row>
    <row r="32" spans="1:13" x14ac:dyDescent="0.25">
      <c r="A32">
        <v>32</v>
      </c>
      <c r="B32">
        <v>5.3</v>
      </c>
      <c r="C32">
        <v>0.18</v>
      </c>
      <c r="D32">
        <v>0.17</v>
      </c>
      <c r="E32">
        <v>0.45</v>
      </c>
      <c r="F32">
        <v>0.43</v>
      </c>
      <c r="L32">
        <v>6.0319770450562551</v>
      </c>
      <c r="M32">
        <v>5.6074600828552219</v>
      </c>
    </row>
    <row r="33" spans="1:13" x14ac:dyDescent="0.25">
      <c r="A33">
        <v>33</v>
      </c>
      <c r="B33">
        <v>5.3</v>
      </c>
      <c r="C33">
        <v>0.15</v>
      </c>
      <c r="D33">
        <v>0.14000000000000001</v>
      </c>
      <c r="E33">
        <v>0.39</v>
      </c>
      <c r="F33">
        <v>0.35</v>
      </c>
      <c r="L33">
        <v>6.2872178211166716</v>
      </c>
      <c r="M33">
        <v>4.9755002709441412</v>
      </c>
    </row>
    <row r="34" spans="1:13" x14ac:dyDescent="0.25">
      <c r="A34">
        <v>34</v>
      </c>
      <c r="B34">
        <v>5.6</v>
      </c>
      <c r="C34">
        <v>0.14000000000000001</v>
      </c>
      <c r="D34">
        <v>0.13</v>
      </c>
      <c r="E34">
        <v>0.38</v>
      </c>
      <c r="F34">
        <v>0.35</v>
      </c>
      <c r="L34">
        <v>8.960664064853221</v>
      </c>
      <c r="M34">
        <v>7.4632504064162113</v>
      </c>
    </row>
    <row r="35" spans="1:13" x14ac:dyDescent="0.25">
      <c r="A35">
        <v>35</v>
      </c>
      <c r="B35">
        <v>5.6</v>
      </c>
      <c r="C35">
        <v>0.11</v>
      </c>
      <c r="D35">
        <v>0.1</v>
      </c>
      <c r="E35">
        <v>0.34</v>
      </c>
      <c r="F35">
        <v>0.27</v>
      </c>
      <c r="L35">
        <v>13.849404764933753</v>
      </c>
      <c r="M35">
        <v>11.511400889888211</v>
      </c>
    </row>
    <row r="36" spans="1:13" x14ac:dyDescent="0.25">
      <c r="A36">
        <v>36</v>
      </c>
      <c r="B36">
        <v>5.6</v>
      </c>
      <c r="C36">
        <v>0.1</v>
      </c>
      <c r="D36">
        <v>0.1</v>
      </c>
      <c r="E36">
        <v>0.27</v>
      </c>
      <c r="F36">
        <v>0.27</v>
      </c>
      <c r="L36">
        <v>8.7642594563857674</v>
      </c>
      <c r="M36">
        <v>3.5464691500597985</v>
      </c>
    </row>
    <row r="37" spans="1:13" x14ac:dyDescent="0.25">
      <c r="A37">
        <v>37</v>
      </c>
      <c r="B37">
        <v>5.6</v>
      </c>
      <c r="C37">
        <v>0.11</v>
      </c>
      <c r="D37">
        <v>0.11</v>
      </c>
      <c r="E37">
        <v>0.3</v>
      </c>
      <c r="F37">
        <v>0.32</v>
      </c>
      <c r="L37">
        <v>5.7557004449441056</v>
      </c>
      <c r="M37">
        <v>3.4028273003650278</v>
      </c>
    </row>
    <row r="38" spans="1:13" x14ac:dyDescent="0.25">
      <c r="A38">
        <v>38</v>
      </c>
      <c r="B38">
        <v>5.6</v>
      </c>
      <c r="C38">
        <v>0.12</v>
      </c>
      <c r="D38">
        <v>0.12</v>
      </c>
      <c r="E38">
        <v>0.32</v>
      </c>
      <c r="F38">
        <v>0.28999999999999998</v>
      </c>
      <c r="L38">
        <v>6.2872178211166716</v>
      </c>
      <c r="M38">
        <v>3.7316252032081056</v>
      </c>
    </row>
    <row r="39" spans="1:13" x14ac:dyDescent="0.25">
      <c r="A39">
        <v>39</v>
      </c>
      <c r="B39">
        <v>5.6</v>
      </c>
      <c r="C39">
        <v>0.13</v>
      </c>
      <c r="D39">
        <v>0.13</v>
      </c>
      <c r="E39">
        <v>0.39</v>
      </c>
      <c r="F39">
        <v>0.31</v>
      </c>
      <c r="L39">
        <v>4.9449995552767403</v>
      </c>
      <c r="M39">
        <v>4.7286255334130667</v>
      </c>
    </row>
    <row r="40" spans="1:13" x14ac:dyDescent="0.25">
      <c r="A40">
        <v>40</v>
      </c>
      <c r="B40">
        <v>5.3</v>
      </c>
      <c r="C40">
        <v>0.14000000000000001</v>
      </c>
      <c r="D40">
        <v>0.14000000000000001</v>
      </c>
      <c r="E40">
        <v>0.4</v>
      </c>
      <c r="F40">
        <v>0.35</v>
      </c>
      <c r="L40">
        <v>5.3700253156474282</v>
      </c>
      <c r="M40">
        <v>3.7573313064578477</v>
      </c>
    </row>
    <row r="41" spans="1:13" x14ac:dyDescent="0.25">
      <c r="A41">
        <v>45</v>
      </c>
      <c r="B41">
        <v>5</v>
      </c>
      <c r="C41">
        <v>0.22</v>
      </c>
      <c r="D41">
        <v>0.21</v>
      </c>
      <c r="E41">
        <v>0.77</v>
      </c>
      <c r="F41">
        <v>0.69</v>
      </c>
      <c r="L41">
        <v>4.7584729768398963</v>
      </c>
      <c r="M41">
        <v>3.943202477508005</v>
      </c>
    </row>
    <row r="42" spans="1:13" x14ac:dyDescent="0.25">
      <c r="A42">
        <v>50</v>
      </c>
      <c r="B42">
        <v>4.5999999999999996</v>
      </c>
      <c r="C42">
        <v>0.39</v>
      </c>
      <c r="D42">
        <v>0.36</v>
      </c>
      <c r="E42">
        <v>1.03</v>
      </c>
      <c r="F42">
        <v>0.83</v>
      </c>
      <c r="L42">
        <v>4.6298657333033857</v>
      </c>
      <c r="M42">
        <v>4.4040531617278944</v>
      </c>
    </row>
    <row r="43" spans="1:13" x14ac:dyDescent="0.25">
      <c r="A43">
        <v>55</v>
      </c>
      <c r="B43">
        <v>4.3</v>
      </c>
      <c r="C43">
        <v>0.55000000000000004</v>
      </c>
      <c r="D43">
        <v>0.5</v>
      </c>
      <c r="E43">
        <v>1.34</v>
      </c>
      <c r="F43">
        <v>1.1499999999999999</v>
      </c>
      <c r="L43">
        <v>4.3190329434715879</v>
      </c>
    </row>
    <row r="44" spans="1:13" x14ac:dyDescent="0.25">
      <c r="A44">
        <v>60</v>
      </c>
      <c r="B44">
        <v>4</v>
      </c>
      <c r="C44">
        <v>0.64</v>
      </c>
      <c r="D44">
        <v>0.63</v>
      </c>
      <c r="E44">
        <v>1.57</v>
      </c>
      <c r="F44">
        <v>1.6</v>
      </c>
    </row>
    <row r="45" spans="1:13" x14ac:dyDescent="0.25">
      <c r="L45">
        <f>_xlfn.VAR.P(L25:L42)</f>
        <v>4.9219725572614008</v>
      </c>
      <c r="M45">
        <f>_xlfn.VAR.P(M25:M40)</f>
        <v>3.6198638936496508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09B5-B47B-4556-87AE-D954A7584100}">
  <dimension ref="B2:F13"/>
  <sheetViews>
    <sheetView workbookViewId="0">
      <selection activeCell="C14" sqref="C14"/>
    </sheetView>
  </sheetViews>
  <sheetFormatPr baseColWidth="10" defaultRowHeight="15" x14ac:dyDescent="0.25"/>
  <cols>
    <col min="3" max="3" width="12" bestFit="1" customWidth="1"/>
    <col min="6" max="6" width="12" bestFit="1" customWidth="1"/>
  </cols>
  <sheetData>
    <row r="2" spans="2:6" x14ac:dyDescent="0.25">
      <c r="B2" t="s">
        <v>30</v>
      </c>
    </row>
    <row r="3" spans="2:6" x14ac:dyDescent="0.25">
      <c r="B3" t="s">
        <v>31</v>
      </c>
      <c r="C3">
        <v>0.125</v>
      </c>
      <c r="E3" t="s">
        <v>38</v>
      </c>
      <c r="F3">
        <f>(C4^3+C4*C8^2)/(C4^2-C8^2)</f>
        <v>440.44277507716907</v>
      </c>
    </row>
    <row r="4" spans="2:6" x14ac:dyDescent="0.25">
      <c r="B4" t="s">
        <v>32</v>
      </c>
      <c r="C4">
        <v>410</v>
      </c>
      <c r="E4" t="s">
        <v>39</v>
      </c>
      <c r="F4">
        <f>SQRT((C6*(((C4^2-C8^2)*(3*C4^2+C8^2))-((C4^3+C4*C8^2)*(2*C4)))/((C4^2-C8^2)^2))^2+(C9*(((C4^2-C8^2)*(2*C4*C8))+((C4^3+C4*C8^2)*(2*C8)))/((C4^2-C8^2)^2))^2)</f>
        <v>5.1348088851334008</v>
      </c>
    </row>
    <row r="5" spans="2:6" x14ac:dyDescent="0.25">
      <c r="B5" t="s">
        <v>33</v>
      </c>
      <c r="C5">
        <f>632.8*10^(-6)</f>
        <v>6.3279999999999988E-4</v>
      </c>
    </row>
    <row r="6" spans="2:6" x14ac:dyDescent="0.25">
      <c r="B6" t="s">
        <v>34</v>
      </c>
      <c r="C6">
        <v>1</v>
      </c>
    </row>
    <row r="7" spans="2:6" x14ac:dyDescent="0.25">
      <c r="B7" t="s">
        <v>35</v>
      </c>
      <c r="C7">
        <v>5.0000000000000001E-3</v>
      </c>
    </row>
    <row r="8" spans="2:6" x14ac:dyDescent="0.25">
      <c r="B8" t="s">
        <v>36</v>
      </c>
      <c r="C8">
        <f>PI()*C3^2/C5</f>
        <v>77.571721258439524</v>
      </c>
    </row>
    <row r="9" spans="2:6" x14ac:dyDescent="0.25">
      <c r="B9" t="s">
        <v>37</v>
      </c>
      <c r="C9">
        <f>C3*2*PI()*C7/C5</f>
        <v>6.2057377006751624</v>
      </c>
    </row>
    <row r="11" spans="2:6" x14ac:dyDescent="0.25">
      <c r="B11" t="s">
        <v>40</v>
      </c>
    </row>
    <row r="13" spans="2:6" x14ac:dyDescent="0.25">
      <c r="C13">
        <f>(1-1/EXP(2))/((C3/10)^3*PI())*(C7/10)/1000</f>
        <v>7.0459219860503908E-2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Fehler Verst</vt:lpstr>
      <vt:lpstr>Dicke</vt:lpstr>
      <vt:lpstr>Exp Laser</vt:lpstr>
      <vt:lpstr>Hilfslaser</vt:lpstr>
      <vt:lpstr>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Müller</dc:creator>
  <cp:lastModifiedBy>Dominik Müller</cp:lastModifiedBy>
  <dcterms:created xsi:type="dcterms:W3CDTF">2021-09-16T09:53:50Z</dcterms:created>
  <dcterms:modified xsi:type="dcterms:W3CDTF">2021-09-21T14:18:55Z</dcterms:modified>
</cp:coreProperties>
</file>