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ät\Fächer\3.Semester\PPA2\MM\"/>
    </mc:Choice>
  </mc:AlternateContent>
  <xr:revisionPtr revIDLastSave="0" documentId="8_{C88C6EAD-38DD-413D-9799-6CDEE2CBFE20}" xr6:coauthVersionLast="45" xr6:coauthVersionMax="45" xr10:uidLastSave="{00000000-0000-0000-0000-000000000000}"/>
  <bookViews>
    <workbookView xWindow="-28920" yWindow="-1020" windowWidth="29040" windowHeight="15840" activeTab="2" xr2:uid="{97B4D65D-0CAD-4879-80C8-813E3B7C57AC}"/>
  </bookViews>
  <sheets>
    <sheet name="6.2.2" sheetId="1" r:id="rId1"/>
    <sheet name="6.3.3" sheetId="4" r:id="rId2"/>
    <sheet name="6.4.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4" l="1"/>
  <c r="F18" i="4"/>
  <c r="G17" i="4"/>
  <c r="J15" i="1"/>
  <c r="H15" i="1"/>
  <c r="I13" i="5" l="1"/>
  <c r="H12" i="5"/>
  <c r="I12" i="5" s="1"/>
  <c r="J13" i="5"/>
  <c r="H13" i="5"/>
  <c r="I4" i="5"/>
  <c r="K4" i="5"/>
  <c r="K5" i="5"/>
  <c r="K6" i="5"/>
  <c r="K8" i="5"/>
  <c r="K9" i="5"/>
  <c r="J5" i="5"/>
  <c r="J6" i="5"/>
  <c r="J8" i="5"/>
  <c r="J9" i="5"/>
  <c r="J4" i="5"/>
  <c r="E6" i="5"/>
  <c r="E5" i="5"/>
  <c r="E7" i="5"/>
  <c r="J7" i="5" s="1"/>
  <c r="K7" i="5" s="1"/>
  <c r="E8" i="5"/>
  <c r="E9" i="5"/>
  <c r="E4" i="5"/>
  <c r="F5" i="5"/>
  <c r="H5" i="5" s="1"/>
  <c r="H4" i="5"/>
  <c r="G4" i="5"/>
  <c r="J12" i="5" l="1"/>
  <c r="F6" i="5"/>
  <c r="F7" i="5" s="1"/>
  <c r="F8" i="5"/>
  <c r="F9" i="5" s="1"/>
  <c r="H9" i="5" s="1"/>
  <c r="H7" i="5"/>
  <c r="G7" i="5"/>
  <c r="I7" i="5" s="1"/>
  <c r="G6" i="5"/>
  <c r="I6" i="5" s="1"/>
  <c r="H6" i="5"/>
  <c r="G5" i="5"/>
  <c r="I5" i="5" s="1"/>
  <c r="I11" i="5"/>
  <c r="J11" i="5"/>
  <c r="H11" i="5"/>
  <c r="F17" i="4"/>
  <c r="G19" i="4"/>
  <c r="F19" i="4"/>
  <c r="H19" i="4"/>
  <c r="H17" i="4"/>
  <c r="G5" i="4"/>
  <c r="G6" i="4"/>
  <c r="G7" i="4"/>
  <c r="G8" i="4"/>
  <c r="G9" i="4"/>
  <c r="G10" i="4"/>
  <c r="G11" i="4"/>
  <c r="G12" i="4"/>
  <c r="G13" i="4"/>
  <c r="G14" i="4"/>
  <c r="G15" i="4"/>
  <c r="G4" i="4"/>
  <c r="H4" i="4" s="1"/>
  <c r="E5" i="4"/>
  <c r="C5" i="4"/>
  <c r="C6" i="4"/>
  <c r="C7" i="4"/>
  <c r="C8" i="4"/>
  <c r="C9" i="4"/>
  <c r="C10" i="4"/>
  <c r="C11" i="4"/>
  <c r="C12" i="4"/>
  <c r="C13" i="4"/>
  <c r="C14" i="4"/>
  <c r="C15" i="4"/>
  <c r="C4" i="4"/>
  <c r="B2" i="4"/>
  <c r="D6" i="4" s="1"/>
  <c r="F4" i="4"/>
  <c r="I16" i="1"/>
  <c r="I15" i="1"/>
  <c r="I14" i="1"/>
  <c r="J16" i="1"/>
  <c r="H14" i="1"/>
  <c r="H16" i="1"/>
  <c r="J14" i="1"/>
  <c r="J7" i="1"/>
  <c r="J10" i="1"/>
  <c r="J11" i="1"/>
  <c r="D5" i="1"/>
  <c r="J5" i="1" s="1"/>
  <c r="D6" i="1"/>
  <c r="J6" i="1" s="1"/>
  <c r="D7" i="1"/>
  <c r="D8" i="1"/>
  <c r="J8" i="1" s="1"/>
  <c r="D9" i="1"/>
  <c r="J9" i="1" s="1"/>
  <c r="D10" i="1"/>
  <c r="D11" i="1"/>
  <c r="D12" i="1"/>
  <c r="J12" i="1" s="1"/>
  <c r="D4" i="1"/>
  <c r="J4" i="1" s="1"/>
  <c r="C5" i="1"/>
  <c r="C6" i="1"/>
  <c r="C7" i="1"/>
  <c r="C8" i="1"/>
  <c r="C9" i="1"/>
  <c r="C10" i="1"/>
  <c r="C11" i="1"/>
  <c r="C12" i="1"/>
  <c r="C4" i="1"/>
  <c r="F2" i="1"/>
  <c r="E7" i="1" s="1"/>
  <c r="K7" i="1" s="1"/>
  <c r="H2" i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4" i="1"/>
  <c r="I4" i="1" s="1"/>
  <c r="H5" i="1"/>
  <c r="H6" i="1"/>
  <c r="H7" i="1"/>
  <c r="H8" i="1"/>
  <c r="H9" i="1"/>
  <c r="H10" i="1"/>
  <c r="H11" i="1"/>
  <c r="H12" i="1"/>
  <c r="H4" i="1"/>
  <c r="G9" i="5" l="1"/>
  <c r="I9" i="5" s="1"/>
  <c r="G8" i="5"/>
  <c r="I8" i="5" s="1"/>
  <c r="H8" i="5"/>
  <c r="D11" i="4"/>
  <c r="D12" i="4"/>
  <c r="D9" i="4"/>
  <c r="E6" i="4"/>
  <c r="D13" i="4"/>
  <c r="D10" i="4"/>
  <c r="F5" i="4"/>
  <c r="H5" i="4" s="1"/>
  <c r="D4" i="4"/>
  <c r="D8" i="4"/>
  <c r="D5" i="4"/>
  <c r="D15" i="4"/>
  <c r="D7" i="4"/>
  <c r="D14" i="4"/>
  <c r="E12" i="1"/>
  <c r="K12" i="1" s="1"/>
  <c r="E10" i="1"/>
  <c r="K10" i="1" s="1"/>
  <c r="E6" i="1"/>
  <c r="K6" i="1" s="1"/>
  <c r="E9" i="1"/>
  <c r="K9" i="1" s="1"/>
  <c r="E4" i="1"/>
  <c r="K4" i="1" s="1"/>
  <c r="E5" i="1"/>
  <c r="K5" i="1" s="1"/>
  <c r="E11" i="1"/>
  <c r="K11" i="1" s="1"/>
  <c r="E8" i="1"/>
  <c r="K8" i="1" s="1"/>
  <c r="E7" i="4" l="1"/>
  <c r="F6" i="4"/>
  <c r="H6" i="4"/>
  <c r="E8" i="4" l="1"/>
  <c r="F7" i="4"/>
  <c r="H7" i="4" l="1"/>
  <c r="E9" i="4"/>
  <c r="F8" i="4"/>
  <c r="E10" i="4" l="1"/>
  <c r="F9" i="4"/>
  <c r="H8" i="4"/>
  <c r="F10" i="4" l="1"/>
  <c r="E11" i="4"/>
  <c r="H9" i="4"/>
  <c r="E12" i="4" l="1"/>
  <c r="F11" i="4"/>
  <c r="H10" i="4"/>
  <c r="E13" i="4" l="1"/>
  <c r="F12" i="4"/>
  <c r="H11" i="4"/>
  <c r="G18" i="4"/>
  <c r="E14" i="4" l="1"/>
  <c r="F13" i="4"/>
  <c r="H13" i="4"/>
  <c r="H12" i="4"/>
  <c r="E15" i="4" l="1"/>
  <c r="F14" i="4"/>
  <c r="H14" i="4"/>
  <c r="F15" i="4" l="1"/>
  <c r="H15" i="4" l="1"/>
</calcChain>
</file>

<file path=xl/sharedStrings.xml><?xml version="1.0" encoding="utf-8"?>
<sst xmlns="http://schemas.openxmlformats.org/spreadsheetml/2006/main" count="56" uniqueCount="40">
  <si>
    <t>g in m/s^2</t>
  </si>
  <si>
    <t>m in g</t>
  </si>
  <si>
    <t>sm in g</t>
  </si>
  <si>
    <t>l in mm</t>
  </si>
  <si>
    <t>I in A</t>
  </si>
  <si>
    <t>B in mT</t>
  </si>
  <si>
    <t>sI in A</t>
  </si>
  <si>
    <t>sB in mT</t>
  </si>
  <si>
    <t>sl in mm</t>
  </si>
  <si>
    <t>dk in mm</t>
  </si>
  <si>
    <t>sdk in mm</t>
  </si>
  <si>
    <t>lg in mm</t>
  </si>
  <si>
    <t>slg in mm</t>
  </si>
  <si>
    <t>s in mm</t>
  </si>
  <si>
    <t>ss in mm</t>
  </si>
  <si>
    <t>sAlpha in 10^-6*Nm</t>
  </si>
  <si>
    <t>alpha in 10^-6*Nm</t>
  </si>
  <si>
    <t>Schwerpunkte</t>
  </si>
  <si>
    <t>Stützstelle  1</t>
  </si>
  <si>
    <t>Stützstelle 2</t>
  </si>
  <si>
    <t>Max</t>
  </si>
  <si>
    <t>Min</t>
  </si>
  <si>
    <t>J in kgm^2</t>
  </si>
  <si>
    <t>sJ in kgm^2</t>
  </si>
  <si>
    <t>T10 in s</t>
  </si>
  <si>
    <t>T^2 in s</t>
  </si>
  <si>
    <t>sT^2 in s</t>
  </si>
  <si>
    <t>sT10 in s</t>
  </si>
  <si>
    <t>1/B in 1/T</t>
  </si>
  <si>
    <t>s1/B in 1/T</t>
  </si>
  <si>
    <t>sTp in s</t>
  </si>
  <si>
    <t>Omega in Nm</t>
  </si>
  <si>
    <t>sOmega in Nm</t>
  </si>
  <si>
    <t>Tp in s</t>
  </si>
  <si>
    <t>T1 in s</t>
  </si>
  <si>
    <t>T2 in s</t>
  </si>
  <si>
    <t>T3 in s</t>
  </si>
  <si>
    <t>Alpha gegen B</t>
  </si>
  <si>
    <t>1/B gegen T^2</t>
  </si>
  <si>
    <t>B gegen 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</si>
</sst>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2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Messwerte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721464408214287E-2"/>
                  <c:y val="0.35890634638412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'6.2.2'!$I$4:$I$12</c:f>
                <c:numCache>
                  <c:formatCode>General</c:formatCode>
                  <c:ptCount val="9"/>
                  <c:pt idx="0">
                    <c:v>0.19698000000000004</c:v>
                  </c:pt>
                  <c:pt idx="1">
                    <c:v>0.20435000000000003</c:v>
                  </c:pt>
                  <c:pt idx="2">
                    <c:v>0.21172000000000002</c:v>
                  </c:pt>
                  <c:pt idx="3">
                    <c:v>0.21875500000000003</c:v>
                  </c:pt>
                  <c:pt idx="4">
                    <c:v>0.22645999999999999</c:v>
                  </c:pt>
                  <c:pt idx="5">
                    <c:v>0.23316000000000001</c:v>
                  </c:pt>
                  <c:pt idx="6">
                    <c:v>0.24086500000000005</c:v>
                  </c:pt>
                  <c:pt idx="7">
                    <c:v>0.24790000000000001</c:v>
                  </c:pt>
                  <c:pt idx="8">
                    <c:v>0.25527</c:v>
                  </c:pt>
                </c:numCache>
              </c:numRef>
            </c:plus>
            <c:minus>
              <c:numRef>
                <c:f>'6.2.2'!$I$4:$I$12</c:f>
                <c:numCache>
                  <c:formatCode>General</c:formatCode>
                  <c:ptCount val="9"/>
                  <c:pt idx="0">
                    <c:v>0.19698000000000004</c:v>
                  </c:pt>
                  <c:pt idx="1">
                    <c:v>0.20435000000000003</c:v>
                  </c:pt>
                  <c:pt idx="2">
                    <c:v>0.21172000000000002</c:v>
                  </c:pt>
                  <c:pt idx="3">
                    <c:v>0.21875500000000003</c:v>
                  </c:pt>
                  <c:pt idx="4">
                    <c:v>0.22645999999999999</c:v>
                  </c:pt>
                  <c:pt idx="5">
                    <c:v>0.23316000000000001</c:v>
                  </c:pt>
                  <c:pt idx="6">
                    <c:v>0.24086500000000005</c:v>
                  </c:pt>
                  <c:pt idx="7">
                    <c:v>0.24790000000000001</c:v>
                  </c:pt>
                  <c:pt idx="8">
                    <c:v>0.25527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'6.2.2'!$K$4:$K$12</c:f>
                <c:numCache>
                  <c:formatCode>General</c:formatCode>
                  <c:ptCount val="9"/>
                  <c:pt idx="0">
                    <c:v>5.807966336986695</c:v>
                  </c:pt>
                  <c:pt idx="1">
                    <c:v>7.1435812725548171</c:v>
                  </c:pt>
                  <c:pt idx="2">
                    <c:v>8.4912833904199463</c:v>
                  </c:pt>
                  <c:pt idx="3">
                    <c:v>9.8461105837811864</c:v>
                  </c:pt>
                  <c:pt idx="4">
                    <c:v>11.205478723931193</c:v>
                  </c:pt>
                  <c:pt idx="5">
                    <c:v>12.567914426415461</c:v>
                  </c:pt>
                  <c:pt idx="6">
                    <c:v>13.932517806187427</c:v>
                  </c:pt>
                  <c:pt idx="7">
                    <c:v>15.298708821418817</c:v>
                  </c:pt>
                  <c:pt idx="8">
                    <c:v>16.666097040944731</c:v>
                  </c:pt>
                </c:numCache>
              </c:numRef>
            </c:plus>
            <c:minus>
              <c:numRef>
                <c:f>'6.2.2'!$K$4:$K$12</c:f>
                <c:numCache>
                  <c:formatCode>General</c:formatCode>
                  <c:ptCount val="9"/>
                  <c:pt idx="0">
                    <c:v>5.807966336986695</c:v>
                  </c:pt>
                  <c:pt idx="1">
                    <c:v>7.1435812725548171</c:v>
                  </c:pt>
                  <c:pt idx="2">
                    <c:v>8.4912833904199463</c:v>
                  </c:pt>
                  <c:pt idx="3">
                    <c:v>9.8461105837811864</c:v>
                  </c:pt>
                  <c:pt idx="4">
                    <c:v>11.205478723931193</c:v>
                  </c:pt>
                  <c:pt idx="5">
                    <c:v>12.567914426415461</c:v>
                  </c:pt>
                  <c:pt idx="6">
                    <c:v>13.932517806187427</c:v>
                  </c:pt>
                  <c:pt idx="7">
                    <c:v>15.298708821418817</c:v>
                  </c:pt>
                  <c:pt idx="8">
                    <c:v>16.666097040944731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'6.2.2'!$H$4:$H$12</c:f>
              <c:numCache>
                <c:formatCode>0.00</c:formatCode>
                <c:ptCount val="9"/>
                <c:pt idx="0">
                  <c:v>2.5192000000000001</c:v>
                </c:pt>
                <c:pt idx="1">
                  <c:v>2.8140000000000001</c:v>
                </c:pt>
                <c:pt idx="2">
                  <c:v>3.1088</c:v>
                </c:pt>
                <c:pt idx="3">
                  <c:v>3.3902000000000001</c:v>
                </c:pt>
                <c:pt idx="4">
                  <c:v>3.6983999999999999</c:v>
                </c:pt>
                <c:pt idx="5">
                  <c:v>3.9664000000000001</c:v>
                </c:pt>
                <c:pt idx="6">
                  <c:v>4.2745999999999995</c:v>
                </c:pt>
                <c:pt idx="7">
                  <c:v>4.556</c:v>
                </c:pt>
                <c:pt idx="8">
                  <c:v>4.8508000000000004</c:v>
                </c:pt>
              </c:numCache>
            </c:numRef>
          </c:xVal>
          <c:yVal>
            <c:numRef>
              <c:f>'6.2.2'!$J$4:$J$12</c:f>
              <c:numCache>
                <c:formatCode>0.0</c:formatCode>
                <c:ptCount val="9"/>
                <c:pt idx="0">
                  <c:v>580.3596</c:v>
                </c:pt>
                <c:pt idx="1">
                  <c:v>722.6046</c:v>
                </c:pt>
                <c:pt idx="2">
                  <c:v>864.84960000000001</c:v>
                </c:pt>
                <c:pt idx="3">
                  <c:v>1007.0946</c:v>
                </c:pt>
                <c:pt idx="4">
                  <c:v>1149.3396</c:v>
                </c:pt>
                <c:pt idx="5">
                  <c:v>1291.5846000000001</c:v>
                </c:pt>
                <c:pt idx="6">
                  <c:v>1433.8296</c:v>
                </c:pt>
                <c:pt idx="7">
                  <c:v>1576.0746000000001</c:v>
                </c:pt>
                <c:pt idx="8">
                  <c:v>1718.3196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9-4395-A2A1-84271A149316}"/>
            </c:ext>
          </c:extLst>
        </c:ser>
        <c:ser>
          <c:idx val="0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458703300385235E-2"/>
                  <c:y val="0.408209659276461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Min: y = 408,99x - 384,9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'6.2.2'!$H$14:$H$16</c:f>
              <c:numCache>
                <c:formatCode>0.00</c:formatCode>
                <c:ptCount val="3"/>
                <c:pt idx="0">
                  <c:v>2.3222200000000002</c:v>
                </c:pt>
                <c:pt idx="1">
                  <c:v>3.6864888888888894</c:v>
                </c:pt>
                <c:pt idx="2">
                  <c:v>5.1060700000000008</c:v>
                </c:pt>
              </c:numCache>
            </c:numRef>
          </c:xVal>
          <c:yVal>
            <c:numRef>
              <c:f>'6.2.2'!$J$14:$J$16</c:f>
              <c:numCache>
                <c:formatCode>0.0</c:formatCode>
                <c:ptCount val="3"/>
                <c:pt idx="0">
                  <c:v>580.3596</c:v>
                </c:pt>
                <c:pt idx="1">
                  <c:v>1149.3396000000002</c:v>
                </c:pt>
                <c:pt idx="2">
                  <c:v>1718.3196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F9-4395-A2A1-84271A149316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95390217880099"/>
                  <c:y val="0.462548921016209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Max: y = 604,64x - 1086,3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'6.2.2'!$I$14:$I$16</c:f>
              <c:numCache>
                <c:formatCode>0.00</c:formatCode>
                <c:ptCount val="3"/>
                <c:pt idx="0">
                  <c:v>2.71618</c:v>
                </c:pt>
                <c:pt idx="1">
                  <c:v>3.6864888888888894</c:v>
                </c:pt>
                <c:pt idx="2">
                  <c:v>4.5955300000000001</c:v>
                </c:pt>
              </c:numCache>
            </c:numRef>
          </c:xVal>
          <c:yVal>
            <c:numRef>
              <c:f>'6.2.2'!$J$14:$J$16</c:f>
              <c:numCache>
                <c:formatCode>0.0</c:formatCode>
                <c:ptCount val="3"/>
                <c:pt idx="0">
                  <c:v>580.3596</c:v>
                </c:pt>
                <c:pt idx="1">
                  <c:v>1149.3396000000002</c:v>
                </c:pt>
                <c:pt idx="2">
                  <c:v>1718.3196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F9-4395-A2A1-84271A14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02191"/>
        <c:axId val="1168831055"/>
      </c:scatterChart>
      <c:valAx>
        <c:axId val="11749021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831055"/>
        <c:crosses val="autoZero"/>
        <c:crossBetween val="midCat"/>
      </c:valAx>
      <c:valAx>
        <c:axId val="116883105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9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Messwerte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193947135961372E-2"/>
                  <c:y val="0.52626700794097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'6.3.3'!$H$4:$H$15</c:f>
                <c:numCache>
                  <c:formatCode>General</c:formatCode>
                  <c:ptCount val="12"/>
                  <c:pt idx="0">
                    <c:v>1268.6567164179105</c:v>
                  </c:pt>
                  <c:pt idx="1">
                    <c:v>335.82089552238807</c:v>
                  </c:pt>
                  <c:pt idx="2">
                    <c:v>157.54560530679936</c:v>
                  </c:pt>
                  <c:pt idx="3">
                    <c:v>93.28358208955224</c:v>
                  </c:pt>
                  <c:pt idx="4">
                    <c:v>62.686567164179117</c:v>
                  </c:pt>
                  <c:pt idx="5">
                    <c:v>45.605306799336653</c:v>
                  </c:pt>
                  <c:pt idx="6">
                    <c:v>35.0289369479135</c:v>
                  </c:pt>
                  <c:pt idx="7">
                    <c:v>27.985074626865675</c:v>
                  </c:pt>
                  <c:pt idx="8">
                    <c:v>23.032983231988204</c:v>
                  </c:pt>
                  <c:pt idx="9">
                    <c:v>19.402985074626866</c:v>
                  </c:pt>
                  <c:pt idx="10">
                    <c:v>16.652275811027508</c:v>
                  </c:pt>
                  <c:pt idx="11">
                    <c:v>14.510779436152571</c:v>
                  </c:pt>
                </c:numCache>
              </c:numRef>
            </c:plus>
            <c:minus>
              <c:numRef>
                <c:f>'6.3.3'!$H$4:$H$15</c:f>
                <c:numCache>
                  <c:formatCode>General</c:formatCode>
                  <c:ptCount val="12"/>
                  <c:pt idx="0">
                    <c:v>1268.6567164179105</c:v>
                  </c:pt>
                  <c:pt idx="1">
                    <c:v>335.82089552238807</c:v>
                  </c:pt>
                  <c:pt idx="2">
                    <c:v>157.54560530679936</c:v>
                  </c:pt>
                  <c:pt idx="3">
                    <c:v>93.28358208955224</c:v>
                  </c:pt>
                  <c:pt idx="4">
                    <c:v>62.686567164179117</c:v>
                  </c:pt>
                  <c:pt idx="5">
                    <c:v>45.605306799336653</c:v>
                  </c:pt>
                  <c:pt idx="6">
                    <c:v>35.0289369479135</c:v>
                  </c:pt>
                  <c:pt idx="7">
                    <c:v>27.985074626865675</c:v>
                  </c:pt>
                  <c:pt idx="8">
                    <c:v>23.032983231988204</c:v>
                  </c:pt>
                  <c:pt idx="9">
                    <c:v>19.402985074626866</c:v>
                  </c:pt>
                  <c:pt idx="10">
                    <c:v>16.652275811027508</c:v>
                  </c:pt>
                  <c:pt idx="11">
                    <c:v>14.510779436152571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'6.3.3'!$D$4:$D$15</c:f>
                <c:numCache>
                  <c:formatCode>General</c:formatCode>
                  <c:ptCount val="12"/>
                  <c:pt idx="0">
                    <c:v>0.14671074748974597</c:v>
                  </c:pt>
                  <c:pt idx="1">
                    <c:v>0.10320602005697148</c:v>
                  </c:pt>
                  <c:pt idx="2">
                    <c:v>8.6482124836060784E-2</c:v>
                  </c:pt>
                  <c:pt idx="3">
                    <c:v>7.326120766817866E-2</c:v>
                  </c:pt>
                  <c:pt idx="4">
                    <c:v>6.5727921532633293E-2</c:v>
                  </c:pt>
                  <c:pt idx="5">
                    <c:v>6.0228622653685192E-2</c:v>
                  </c:pt>
                  <c:pt idx="6">
                    <c:v>5.5896983125746605E-2</c:v>
                  </c:pt>
                  <c:pt idx="7">
                    <c:v>5.2130340057973915E-2</c:v>
                  </c:pt>
                  <c:pt idx="8">
                    <c:v>4.9230024895788954E-2</c:v>
                  </c:pt>
                  <c:pt idx="9">
                    <c:v>4.6631041179025806E-2</c:v>
                  </c:pt>
                  <c:pt idx="10">
                    <c:v>4.4333388907684464E-2</c:v>
                  </c:pt>
                  <c:pt idx="11">
                    <c:v>4.2638399527186767E-2</c:v>
                  </c:pt>
                </c:numCache>
              </c:numRef>
            </c:plus>
            <c:minus>
              <c:numRef>
                <c:f>'6.3.3'!$D$4:$D$15</c:f>
                <c:numCache>
                  <c:formatCode>General</c:formatCode>
                  <c:ptCount val="12"/>
                  <c:pt idx="0">
                    <c:v>0.14671074748974597</c:v>
                  </c:pt>
                  <c:pt idx="1">
                    <c:v>0.10320602005697148</c:v>
                  </c:pt>
                  <c:pt idx="2">
                    <c:v>8.6482124836060784E-2</c:v>
                  </c:pt>
                  <c:pt idx="3">
                    <c:v>7.326120766817866E-2</c:v>
                  </c:pt>
                  <c:pt idx="4">
                    <c:v>6.5727921532633293E-2</c:v>
                  </c:pt>
                  <c:pt idx="5">
                    <c:v>6.0228622653685192E-2</c:v>
                  </c:pt>
                  <c:pt idx="6">
                    <c:v>5.5896983125746605E-2</c:v>
                  </c:pt>
                  <c:pt idx="7">
                    <c:v>5.2130340057973915E-2</c:v>
                  </c:pt>
                  <c:pt idx="8">
                    <c:v>4.9230024895788954E-2</c:v>
                  </c:pt>
                  <c:pt idx="9">
                    <c:v>4.6631041179025806E-2</c:v>
                  </c:pt>
                  <c:pt idx="10">
                    <c:v>4.4333388907684464E-2</c:v>
                  </c:pt>
                  <c:pt idx="11">
                    <c:v>4.2638399527186767E-2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'6.3.3'!$G$4:$G$15</c:f>
              <c:numCache>
                <c:formatCode>0.00</c:formatCode>
                <c:ptCount val="12"/>
                <c:pt idx="0">
                  <c:v>2985.0746268656717</c:v>
                </c:pt>
                <c:pt idx="1">
                  <c:v>1492.5373134328358</c:v>
                </c:pt>
                <c:pt idx="2">
                  <c:v>995.02487562189049</c:v>
                </c:pt>
                <c:pt idx="3">
                  <c:v>746.26865671641792</c:v>
                </c:pt>
                <c:pt idx="4">
                  <c:v>597.01492537313436</c:v>
                </c:pt>
                <c:pt idx="5">
                  <c:v>497.51243781094524</c:v>
                </c:pt>
                <c:pt idx="6">
                  <c:v>426.4392324093817</c:v>
                </c:pt>
                <c:pt idx="7">
                  <c:v>373.13432835820896</c:v>
                </c:pt>
                <c:pt idx="8">
                  <c:v>331.67495854063014</c:v>
                </c:pt>
                <c:pt idx="9">
                  <c:v>298.50746268656718</c:v>
                </c:pt>
                <c:pt idx="10">
                  <c:v>271.37042062415196</c:v>
                </c:pt>
                <c:pt idx="11">
                  <c:v>248.75621890547262</c:v>
                </c:pt>
              </c:numCache>
            </c:numRef>
          </c:xVal>
          <c:yVal>
            <c:numRef>
              <c:f>'6.3.3'!$C$4:$C$15</c:f>
              <c:numCache>
                <c:formatCode>0.00</c:formatCode>
                <c:ptCount val="12"/>
                <c:pt idx="0">
                  <c:v>15.171025000000002</c:v>
                </c:pt>
                <c:pt idx="1">
                  <c:v>7.5075999999999992</c:v>
                </c:pt>
                <c:pt idx="2">
                  <c:v>5.2716159999999999</c:v>
                </c:pt>
                <c:pt idx="3">
                  <c:v>3.7830249999999994</c:v>
                </c:pt>
                <c:pt idx="4">
                  <c:v>3.0450249999999999</c:v>
                </c:pt>
                <c:pt idx="5">
                  <c:v>2.5568010000000001</c:v>
                </c:pt>
                <c:pt idx="6">
                  <c:v>2.2022559999999998</c:v>
                </c:pt>
                <c:pt idx="7">
                  <c:v>1.915456</c:v>
                </c:pt>
                <c:pt idx="8">
                  <c:v>1.7082490000000001</c:v>
                </c:pt>
                <c:pt idx="9">
                  <c:v>1.5326440000000003</c:v>
                </c:pt>
                <c:pt idx="10">
                  <c:v>1.3853289999999998</c:v>
                </c:pt>
                <c:pt idx="11">
                  <c:v>1.2814240000000001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D-423A-BD14-33954C6AB79A}"/>
            </c:ext>
          </c:extLst>
        </c:ser>
        <c:ser>
          <c:idx val="0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3763532550059217E-2"/>
                  <c:y val="8.31037025581025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Max: y = 0,0061x - 0,5169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'6.3.3'!$F$17:$F$19</c:f>
              <c:numCache>
                <c:formatCode>0.00</c:formatCode>
                <c:ptCount val="3"/>
                <c:pt idx="0">
                  <c:v>2562.1890547263683</c:v>
                </c:pt>
                <c:pt idx="1">
                  <c:v>771.94295477877586</c:v>
                </c:pt>
                <c:pt idx="2">
                  <c:v>263.2669983416252</c:v>
                </c:pt>
              </c:numCache>
            </c:numRef>
          </c:xVal>
          <c:yVal>
            <c:numRef>
              <c:f>'6.3.3'!$H$17:$H$19</c:f>
              <c:numCache>
                <c:formatCode>0.0</c:formatCode>
                <c:ptCount val="3"/>
                <c:pt idx="0">
                  <c:v>15.171025000000002</c:v>
                </c:pt>
                <c:pt idx="1">
                  <c:v>3.9467041666666662</c:v>
                </c:pt>
                <c:pt idx="2">
                  <c:v>1.2814240000000001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D-423A-BD14-33954C6AB79A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136949795806351E-2"/>
                  <c:y val="0.2226767491515612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Min: y = 0,0043x + 0,4159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'6.3.3'!$G$17:$G$19</c:f>
              <c:numCache>
                <c:formatCode>0.00</c:formatCode>
                <c:ptCount val="3"/>
                <c:pt idx="0">
                  <c:v>3407.960199004975</c:v>
                </c:pt>
                <c:pt idx="1">
                  <c:v>771.94295477877586</c:v>
                </c:pt>
                <c:pt idx="2">
                  <c:v>234.24543946932005</c:v>
                </c:pt>
              </c:numCache>
            </c:numRef>
          </c:xVal>
          <c:yVal>
            <c:numRef>
              <c:f>'6.3.3'!$H$17:$H$19</c:f>
              <c:numCache>
                <c:formatCode>0.0</c:formatCode>
                <c:ptCount val="3"/>
                <c:pt idx="0">
                  <c:v>15.171025000000002</c:v>
                </c:pt>
                <c:pt idx="1">
                  <c:v>3.9467041666666662</c:v>
                </c:pt>
                <c:pt idx="2">
                  <c:v>1.2814240000000001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FD-423A-BD14-33954C6A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02191"/>
        <c:axId val="1168831055"/>
      </c:scatterChart>
      <c:valAx>
        <c:axId val="11749021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831055"/>
        <c:crosses val="autoZero"/>
        <c:crossBetween val="midCat"/>
      </c:valAx>
      <c:valAx>
        <c:axId val="11688310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9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Messwerte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721464408214287E-2"/>
                  <c:y val="0.35890634638412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'6.4.3'!$I$4:$I$9</c:f>
                <c:numCache>
                  <c:formatCode>General</c:formatCode>
                  <c:ptCount val="6"/>
                  <c:pt idx="0">
                    <c:v>0.15075000000000002</c:v>
                  </c:pt>
                  <c:pt idx="1">
                    <c:v>0.16750000000000001</c:v>
                  </c:pt>
                  <c:pt idx="2">
                    <c:v>0.18425000000000002</c:v>
                  </c:pt>
                  <c:pt idx="3">
                    <c:v>0.20100000000000004</c:v>
                  </c:pt>
                  <c:pt idx="4">
                    <c:v>0.21775000000000003</c:v>
                  </c:pt>
                  <c:pt idx="5">
                    <c:v>0.23450000000000004</c:v>
                  </c:pt>
                </c:numCache>
              </c:numRef>
            </c:plus>
            <c:minus>
              <c:numRef>
                <c:f>'6.4.3'!$I$4:$I$9</c:f>
                <c:numCache>
                  <c:formatCode>General</c:formatCode>
                  <c:ptCount val="6"/>
                  <c:pt idx="0">
                    <c:v>0.15075000000000002</c:v>
                  </c:pt>
                  <c:pt idx="1">
                    <c:v>0.16750000000000001</c:v>
                  </c:pt>
                  <c:pt idx="2">
                    <c:v>0.18425000000000002</c:v>
                  </c:pt>
                  <c:pt idx="3">
                    <c:v>0.20100000000000004</c:v>
                  </c:pt>
                  <c:pt idx="4">
                    <c:v>0.21775000000000003</c:v>
                  </c:pt>
                  <c:pt idx="5">
                    <c:v>0.23450000000000004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'6.4.3'!$K$4:$K$9</c:f>
                <c:numCache>
                  <c:formatCode>General</c:formatCode>
                  <c:ptCount val="6"/>
                  <c:pt idx="0">
                    <c:v>8.7958975651476333E-4</c:v>
                  </c:pt>
                  <c:pt idx="1">
                    <c:v>2.6595259115206348E-3</c:v>
                  </c:pt>
                  <c:pt idx="2">
                    <c:v>5.8955578927307505E-3</c:v>
                  </c:pt>
                  <c:pt idx="3">
                    <c:v>1.2300608442857987E-2</c:v>
                  </c:pt>
                  <c:pt idx="4">
                    <c:v>1.7712876157715503E-2</c:v>
                  </c:pt>
                  <c:pt idx="5">
                    <c:v>2.5474688355615664E-2</c:v>
                  </c:pt>
                </c:numCache>
              </c:numRef>
            </c:plus>
            <c:minus>
              <c:numRef>
                <c:f>'6.4.3'!$K$4:$K$9</c:f>
                <c:numCache>
                  <c:formatCode>General</c:formatCode>
                  <c:ptCount val="6"/>
                  <c:pt idx="0">
                    <c:v>8.7958975651476333E-4</c:v>
                  </c:pt>
                  <c:pt idx="1">
                    <c:v>2.6595259115206348E-3</c:v>
                  </c:pt>
                  <c:pt idx="2">
                    <c:v>5.8955578927307505E-3</c:v>
                  </c:pt>
                  <c:pt idx="3">
                    <c:v>1.2300608442857987E-2</c:v>
                  </c:pt>
                  <c:pt idx="4">
                    <c:v>1.7712876157715503E-2</c:v>
                  </c:pt>
                  <c:pt idx="5">
                    <c:v>2.5474688355615664E-2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'6.4.3'!$H$4:$H$9</c:f>
              <c:numCache>
                <c:formatCode>0.00</c:formatCode>
                <c:ptCount val="6"/>
                <c:pt idx="0">
                  <c:v>0.67</c:v>
                </c:pt>
                <c:pt idx="1">
                  <c:v>1.34</c:v>
                </c:pt>
                <c:pt idx="2">
                  <c:v>2.0100000000000002</c:v>
                </c:pt>
                <c:pt idx="3">
                  <c:v>2.68</c:v>
                </c:pt>
                <c:pt idx="4">
                  <c:v>3.35</c:v>
                </c:pt>
                <c:pt idx="5">
                  <c:v>4.0200000000000005</c:v>
                </c:pt>
              </c:numCache>
            </c:numRef>
          </c:xVal>
          <c:yVal>
            <c:numRef>
              <c:f>'6.4.3'!$J$4:$J$9</c:f>
              <c:numCache>
                <c:formatCode>0.000</c:formatCode>
                <c:ptCount val="6"/>
                <c:pt idx="0">
                  <c:v>0.21877386167059842</c:v>
                </c:pt>
                <c:pt idx="1">
                  <c:v>0.38041485209967224</c:v>
                </c:pt>
                <c:pt idx="2">
                  <c:v>0.56639290629623673</c:v>
                </c:pt>
                <c:pt idx="3">
                  <c:v>0.81812308687234203</c:v>
                </c:pt>
                <c:pt idx="4">
                  <c:v>0.98174770424681046</c:v>
                </c:pt>
                <c:pt idx="5">
                  <c:v>1.177361394224782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9-404E-A58A-6A405CCCF058}"/>
            </c:ext>
          </c:extLst>
        </c:ser>
        <c:ser>
          <c:idx val="0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6042919303832523E-2"/>
                  <c:y val="0.30375764127432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Min: y = 0,2566x + 0,087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'6.4.3'!$H$11:$H$13</c:f>
              <c:numCache>
                <c:formatCode>0.00</c:formatCode>
                <c:ptCount val="3"/>
                <c:pt idx="0">
                  <c:v>0.51924999999999999</c:v>
                </c:pt>
                <c:pt idx="1">
                  <c:v>2.3450000000000002</c:v>
                </c:pt>
                <c:pt idx="2">
                  <c:v>4.2545000000000002</c:v>
                </c:pt>
              </c:numCache>
            </c:numRef>
          </c:xVal>
          <c:yVal>
            <c:numRef>
              <c:f>'6.4.3'!$J$11:$J$13</c:f>
              <c:numCache>
                <c:formatCode>0.0</c:formatCode>
                <c:ptCount val="3"/>
                <c:pt idx="0">
                  <c:v>0.21877386167059842</c:v>
                </c:pt>
                <c:pt idx="1">
                  <c:v>0.69046896756840714</c:v>
                </c:pt>
                <c:pt idx="2">
                  <c:v>1.177361394224782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79-404E-A58A-6A405CCCF058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3906542463547"/>
                  <c:y val="0.236246627551122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Max: y = 0,3232x - 0,053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'6.4.3'!$I$11:$I$13</c:f>
              <c:numCache>
                <c:formatCode>0.00</c:formatCode>
                <c:ptCount val="3"/>
                <c:pt idx="0">
                  <c:v>0.82075000000000009</c:v>
                </c:pt>
                <c:pt idx="1">
                  <c:v>2.3450000000000002</c:v>
                </c:pt>
                <c:pt idx="2">
                  <c:v>3.7855000000000003</c:v>
                </c:pt>
              </c:numCache>
            </c:numRef>
          </c:xVal>
          <c:yVal>
            <c:numRef>
              <c:f>'6.4.3'!$J$11:$J$13</c:f>
              <c:numCache>
                <c:formatCode>0.0</c:formatCode>
                <c:ptCount val="3"/>
                <c:pt idx="0">
                  <c:v>0.21877386167059842</c:v>
                </c:pt>
                <c:pt idx="1">
                  <c:v>0.69046896756840714</c:v>
                </c:pt>
                <c:pt idx="2">
                  <c:v>1.177361394224782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79-404E-A58A-6A405CCC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02191"/>
        <c:axId val="1168831055"/>
      </c:scatterChart>
      <c:valAx>
        <c:axId val="11749021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831055"/>
        <c:crosses val="autoZero"/>
        <c:crossBetween val="midCat"/>
      </c:valAx>
      <c:valAx>
        <c:axId val="1168831055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490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</xdr:row>
      <xdr:rowOff>19050</xdr:rowOff>
    </xdr:from>
    <xdr:to>
      <xdr:col>19</xdr:col>
      <xdr:colOff>259080</xdr:colOff>
      <xdr:row>21</xdr:row>
      <xdr:rowOff>167640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173507-D3E9-46D4-9DD8-9936E2330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130387</xdr:colOff>
      <xdr:row>0</xdr:row>
      <xdr:rowOff>0</xdr:rowOff>
    </xdr:from>
    <xdr:to>
      <xdr:col>16</xdr:col>
      <xdr:colOff>7620</xdr:colOff>
      <xdr:row>23</xdr:row>
      <xdr:rowOff>151977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ED619D-4297-4F08-8E27-03CC80D12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1</xdr:row>
      <xdr:rowOff>148590</xdr:rowOff>
    </xdr:from>
    <xdr:to>
      <xdr:col>19</xdr:col>
      <xdr:colOff>236220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6B5FFB-5C9F-483C-ABF5-51D493700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6C31-6332-4673-950D-EFB7CF034CBF}">
  <dimension ref="A1:L17"/>
  <sheetViews>
    <sheetView topLeftCell="E1" zoomScaleNormal="100" workbookViewId="0">
      <selection activeCell="K16" sqref="K16"/>
    </sheetView>
  </sheetViews>
  <sheetFormatPr baseColWidth="10" defaultRowHeight="15" x14ac:dyDescent="0.25"/>
  <cols>
    <col min="1" max="1" width="5.28515625" customWidth="1"/>
    <col min="2" max="9" width="9.140625" customWidth="1"/>
    <col min="10" max="10" width="16.7109375" customWidth="1"/>
    <col min="11" max="11" width="17.7109375" customWidth="1"/>
    <col min="12" max="12" width="3.42578125" customWidth="1"/>
  </cols>
  <sheetData>
    <row r="1" spans="1:12" x14ac:dyDescent="0.25">
      <c r="A1" s="2"/>
      <c r="B1" s="2" t="s">
        <v>1</v>
      </c>
      <c r="C1" s="2" t="s">
        <v>2</v>
      </c>
      <c r="D1" s="7" t="s">
        <v>0</v>
      </c>
      <c r="E1" s="2" t="s">
        <v>9</v>
      </c>
      <c r="F1" s="2" t="s">
        <v>10</v>
      </c>
      <c r="G1" s="2" t="s">
        <v>11</v>
      </c>
      <c r="H1" s="2" t="s">
        <v>12</v>
      </c>
      <c r="I1" s="1"/>
      <c r="J1" s="1" t="s">
        <v>37</v>
      </c>
      <c r="K1" s="1"/>
      <c r="L1" s="1"/>
    </row>
    <row r="2" spans="1:12" x14ac:dyDescent="0.25">
      <c r="A2" s="2"/>
      <c r="B2" s="3">
        <v>1.45</v>
      </c>
      <c r="C2" s="6">
        <v>1.4E-2</v>
      </c>
      <c r="D2" s="6">
        <v>9.81</v>
      </c>
      <c r="E2" s="4">
        <v>53.6</v>
      </c>
      <c r="F2" s="8">
        <f>SQRT(SUMSQ(0.05,0.05+0.0001*E2))</f>
        <v>7.4597115225724389E-2</v>
      </c>
      <c r="G2" s="4">
        <v>14</v>
      </c>
      <c r="H2" s="9">
        <f>SQRT(SUMSQ(0.05,0.05+0.0001*G2))</f>
        <v>7.1707461257528846E-2</v>
      </c>
      <c r="I2" s="1"/>
      <c r="J2" s="1"/>
      <c r="K2" s="1"/>
      <c r="L2" s="1"/>
    </row>
    <row r="3" spans="1:12" x14ac:dyDescent="0.25">
      <c r="A3" s="2"/>
      <c r="B3" s="2" t="s">
        <v>13</v>
      </c>
      <c r="C3" s="7" t="s">
        <v>14</v>
      </c>
      <c r="D3" s="2" t="s">
        <v>3</v>
      </c>
      <c r="E3" s="7" t="s">
        <v>8</v>
      </c>
      <c r="F3" s="7" t="s">
        <v>4</v>
      </c>
      <c r="G3" s="2" t="s">
        <v>6</v>
      </c>
      <c r="H3" s="2" t="s">
        <v>5</v>
      </c>
      <c r="I3" s="7" t="s">
        <v>7</v>
      </c>
      <c r="J3" s="10" t="s">
        <v>16</v>
      </c>
      <c r="K3" s="10" t="s">
        <v>15</v>
      </c>
      <c r="L3" s="1"/>
    </row>
    <row r="4" spans="1:12" x14ac:dyDescent="0.25">
      <c r="A4" s="2">
        <v>1</v>
      </c>
      <c r="B4" s="4">
        <v>0</v>
      </c>
      <c r="C4" s="8">
        <f>SQRT(SUMSQ(0.05,0.05+0.0001*B4))</f>
        <v>7.0710678118654766E-2</v>
      </c>
      <c r="D4" s="4">
        <f>$E$2/2 + $G$2 +B4</f>
        <v>40.799999999999997</v>
      </c>
      <c r="E4" s="9">
        <f t="shared" ref="E4:E12" si="0">SQRT(SUMSQ($F$2/2,$H$2,C4))</f>
        <v>0.10739246900970292</v>
      </c>
      <c r="F4" s="4">
        <v>1.88</v>
      </c>
      <c r="G4" s="8">
        <f>0.025*F4+0.1</f>
        <v>0.14700000000000002</v>
      </c>
      <c r="H4" s="4">
        <f t="shared" ref="H4:H12" si="1">0.00134*F4*1000</f>
        <v>2.5192000000000001</v>
      </c>
      <c r="I4" s="8">
        <f xml:space="preserve"> 1.34*G4</f>
        <v>0.19698000000000004</v>
      </c>
      <c r="J4" s="5">
        <f>D4*$B$2*$D$2</f>
        <v>580.3596</v>
      </c>
      <c r="K4" s="5">
        <f t="shared" ref="K4:K12" si="2">$D$2*SQRT(SUMSQ($B$2*E4, D4*$C$2))</f>
        <v>5.807966336986695</v>
      </c>
      <c r="L4" s="1"/>
    </row>
    <row r="5" spans="1:12" x14ac:dyDescent="0.25">
      <c r="A5" s="2">
        <v>2</v>
      </c>
      <c r="B5" s="4">
        <v>10</v>
      </c>
      <c r="C5" s="8">
        <f t="shared" ref="C5:C12" si="3">SQRT(SUMSQ(0.05,0.05+0.0001*B5))</f>
        <v>7.1421285342676388E-2</v>
      </c>
      <c r="D5" s="4">
        <f t="shared" ref="D5:D12" si="4">$E$2/2 + $G$2 +B5</f>
        <v>50.8</v>
      </c>
      <c r="E5" s="9">
        <f t="shared" si="0"/>
        <v>0.10786168179664177</v>
      </c>
      <c r="F5" s="4">
        <v>2.1</v>
      </c>
      <c r="G5" s="8">
        <f t="shared" ref="G5:G12" si="5">0.025*F5+0.1</f>
        <v>0.15250000000000002</v>
      </c>
      <c r="H5" s="4">
        <f t="shared" si="1"/>
        <v>2.8140000000000001</v>
      </c>
      <c r="I5" s="8">
        <f t="shared" ref="I5:I12" si="6" xml:space="preserve"> 1.34*G5</f>
        <v>0.20435000000000003</v>
      </c>
      <c r="J5" s="5">
        <f t="shared" ref="J5:J12" si="7">D5*$B$2*$D$2</f>
        <v>722.6046</v>
      </c>
      <c r="K5" s="5">
        <f t="shared" si="2"/>
        <v>7.1435812725548171</v>
      </c>
      <c r="L5" s="1"/>
    </row>
    <row r="6" spans="1:12" x14ac:dyDescent="0.25">
      <c r="A6" s="2">
        <v>3</v>
      </c>
      <c r="B6" s="4">
        <v>20</v>
      </c>
      <c r="C6" s="8">
        <f t="shared" si="3"/>
        <v>7.2138755187485748E-2</v>
      </c>
      <c r="D6" s="4">
        <f t="shared" si="4"/>
        <v>60.8</v>
      </c>
      <c r="E6" s="9">
        <f t="shared" si="0"/>
        <v>0.10833809302364521</v>
      </c>
      <c r="F6" s="4">
        <v>2.3199999999999998</v>
      </c>
      <c r="G6" s="8">
        <f t="shared" si="5"/>
        <v>0.158</v>
      </c>
      <c r="H6" s="4">
        <f t="shared" si="1"/>
        <v>3.1088</v>
      </c>
      <c r="I6" s="8">
        <f t="shared" si="6"/>
        <v>0.21172000000000002</v>
      </c>
      <c r="J6" s="5">
        <f t="shared" si="7"/>
        <v>864.84960000000001</v>
      </c>
      <c r="K6" s="5">
        <f t="shared" si="2"/>
        <v>8.4912833904199463</v>
      </c>
      <c r="L6" s="1"/>
    </row>
    <row r="7" spans="1:12" x14ac:dyDescent="0.25">
      <c r="A7" s="2">
        <v>4</v>
      </c>
      <c r="B7" s="4">
        <v>30</v>
      </c>
      <c r="C7" s="8">
        <f t="shared" si="3"/>
        <v>7.2862884927787488E-2</v>
      </c>
      <c r="D7" s="4">
        <f t="shared" si="4"/>
        <v>70.8</v>
      </c>
      <c r="E7" s="9">
        <f t="shared" si="0"/>
        <v>0.10882160814838202</v>
      </c>
      <c r="F7" s="4">
        <v>2.5299999999999998</v>
      </c>
      <c r="G7" s="8">
        <f t="shared" si="5"/>
        <v>0.16325000000000001</v>
      </c>
      <c r="H7" s="4">
        <f t="shared" si="1"/>
        <v>3.3902000000000001</v>
      </c>
      <c r="I7" s="8">
        <f t="shared" si="6"/>
        <v>0.21875500000000003</v>
      </c>
      <c r="J7" s="5">
        <f t="shared" si="7"/>
        <v>1007.0946</v>
      </c>
      <c r="K7" s="5">
        <f t="shared" si="2"/>
        <v>9.8461105837811864</v>
      </c>
      <c r="L7" s="1"/>
    </row>
    <row r="8" spans="1:12" x14ac:dyDescent="0.25">
      <c r="A8" s="2">
        <v>5</v>
      </c>
      <c r="B8" s="4">
        <v>40</v>
      </c>
      <c r="C8" s="8">
        <f t="shared" si="3"/>
        <v>7.3593477971896401E-2</v>
      </c>
      <c r="D8" s="4">
        <f t="shared" si="4"/>
        <v>80.8</v>
      </c>
      <c r="E8" s="9">
        <f t="shared" si="0"/>
        <v>0.10931213290390047</v>
      </c>
      <c r="F8" s="4">
        <v>2.76</v>
      </c>
      <c r="G8" s="8">
        <f t="shared" si="5"/>
        <v>0.16899999999999998</v>
      </c>
      <c r="H8" s="4">
        <f t="shared" si="1"/>
        <v>3.6983999999999999</v>
      </c>
      <c r="I8" s="8">
        <f t="shared" si="6"/>
        <v>0.22645999999999999</v>
      </c>
      <c r="J8" s="5">
        <f t="shared" si="7"/>
        <v>1149.3396</v>
      </c>
      <c r="K8" s="5">
        <f t="shared" si="2"/>
        <v>11.205478723931193</v>
      </c>
      <c r="L8" s="1"/>
    </row>
    <row r="9" spans="1:12" x14ac:dyDescent="0.25">
      <c r="A9" s="2">
        <v>6</v>
      </c>
      <c r="B9" s="4">
        <v>50</v>
      </c>
      <c r="C9" s="8">
        <f t="shared" si="3"/>
        <v>7.433034373659253E-2</v>
      </c>
      <c r="D9" s="4">
        <f t="shared" si="4"/>
        <v>90.8</v>
      </c>
      <c r="E9" s="9">
        <f t="shared" si="0"/>
        <v>0.10980957335314623</v>
      </c>
      <c r="F9" s="4">
        <v>2.96</v>
      </c>
      <c r="G9" s="8">
        <f t="shared" si="5"/>
        <v>0.17399999999999999</v>
      </c>
      <c r="H9" s="4">
        <f t="shared" si="1"/>
        <v>3.9664000000000001</v>
      </c>
      <c r="I9" s="8">
        <f t="shared" si="6"/>
        <v>0.23316000000000001</v>
      </c>
      <c r="J9" s="5">
        <f t="shared" si="7"/>
        <v>1291.5846000000001</v>
      </c>
      <c r="K9" s="5">
        <f t="shared" si="2"/>
        <v>12.567914426415461</v>
      </c>
      <c r="L9" s="1"/>
    </row>
    <row r="10" spans="1:12" x14ac:dyDescent="0.25">
      <c r="A10" s="2">
        <v>7</v>
      </c>
      <c r="B10" s="4">
        <v>60</v>
      </c>
      <c r="C10" s="8">
        <f t="shared" si="3"/>
        <v>7.5073297516493845E-2</v>
      </c>
      <c r="D10" s="4">
        <f t="shared" si="4"/>
        <v>100.8</v>
      </c>
      <c r="E10" s="9">
        <f t="shared" si="0"/>
        <v>0.11031383594091905</v>
      </c>
      <c r="F10" s="4">
        <v>3.19</v>
      </c>
      <c r="G10" s="8">
        <f t="shared" si="5"/>
        <v>0.17975000000000002</v>
      </c>
      <c r="H10" s="4">
        <f t="shared" si="1"/>
        <v>4.2745999999999995</v>
      </c>
      <c r="I10" s="8">
        <f t="shared" si="6"/>
        <v>0.24086500000000005</v>
      </c>
      <c r="J10" s="5">
        <f t="shared" si="7"/>
        <v>1433.8296</v>
      </c>
      <c r="K10" s="5">
        <f t="shared" si="2"/>
        <v>13.932517806187427</v>
      </c>
      <c r="L10" s="1"/>
    </row>
    <row r="11" spans="1:12" x14ac:dyDescent="0.25">
      <c r="A11" s="2">
        <v>8</v>
      </c>
      <c r="B11" s="4">
        <v>70</v>
      </c>
      <c r="C11" s="8">
        <f t="shared" si="3"/>
        <v>7.5822160349069453E-2</v>
      </c>
      <c r="D11" s="4">
        <f t="shared" si="4"/>
        <v>110.8</v>
      </c>
      <c r="E11" s="9">
        <f t="shared" si="0"/>
        <v>0.11082482754329014</v>
      </c>
      <c r="F11" s="4">
        <v>3.4</v>
      </c>
      <c r="G11" s="8">
        <f t="shared" si="5"/>
        <v>0.185</v>
      </c>
      <c r="H11" s="4">
        <f t="shared" si="1"/>
        <v>4.556</v>
      </c>
      <c r="I11" s="8">
        <f t="shared" si="6"/>
        <v>0.24790000000000001</v>
      </c>
      <c r="J11" s="5">
        <f t="shared" si="7"/>
        <v>1576.0746000000001</v>
      </c>
      <c r="K11" s="5">
        <f t="shared" si="2"/>
        <v>15.298708821418817</v>
      </c>
      <c r="L11" s="1"/>
    </row>
    <row r="12" spans="1:12" x14ac:dyDescent="0.25">
      <c r="A12" s="2">
        <v>9</v>
      </c>
      <c r="B12" s="4">
        <v>80</v>
      </c>
      <c r="C12" s="8">
        <f t="shared" si="3"/>
        <v>7.6576758876306592E-2</v>
      </c>
      <c r="D12" s="4">
        <f t="shared" si="4"/>
        <v>120.8</v>
      </c>
      <c r="E12" s="9">
        <f t="shared" si="0"/>
        <v>0.11134245551450714</v>
      </c>
      <c r="F12" s="4">
        <v>3.62</v>
      </c>
      <c r="G12" s="8">
        <f t="shared" si="5"/>
        <v>0.1905</v>
      </c>
      <c r="H12" s="4">
        <f t="shared" si="1"/>
        <v>4.8508000000000004</v>
      </c>
      <c r="I12" s="8">
        <f t="shared" si="6"/>
        <v>0.25527</v>
      </c>
      <c r="J12" s="5">
        <f t="shared" si="7"/>
        <v>1718.3196</v>
      </c>
      <c r="K12" s="5">
        <f t="shared" si="2"/>
        <v>16.666097040944731</v>
      </c>
      <c r="L12" s="1"/>
    </row>
    <row r="13" spans="1:12" x14ac:dyDescent="0.25">
      <c r="A13" s="2"/>
      <c r="B13" s="16"/>
      <c r="C13" s="17"/>
      <c r="D13" s="16"/>
      <c r="E13" s="18"/>
      <c r="F13" s="16"/>
      <c r="G13" s="17"/>
      <c r="H13" s="16" t="s">
        <v>21</v>
      </c>
      <c r="I13" s="17" t="s">
        <v>20</v>
      </c>
      <c r="J13" s="19"/>
      <c r="K13" s="19"/>
      <c r="L13" s="1"/>
    </row>
    <row r="14" spans="1:12" ht="15.75" thickBot="1" x14ac:dyDescent="0.3">
      <c r="A14" s="1"/>
      <c r="B14" s="1"/>
      <c r="C14" s="1"/>
      <c r="D14" s="1"/>
      <c r="E14" s="1"/>
      <c r="F14" s="1" t="s">
        <v>18</v>
      </c>
      <c r="G14" s="1"/>
      <c r="H14" s="12">
        <f>H4-I4</f>
        <v>2.3222200000000002</v>
      </c>
      <c r="I14" s="13">
        <f>H4+I4</f>
        <v>2.71618</v>
      </c>
      <c r="J14" s="15">
        <f>J4</f>
        <v>580.3596</v>
      </c>
      <c r="K14" s="1"/>
      <c r="L14" s="1"/>
    </row>
    <row r="15" spans="1:12" ht="16.5" thickTop="1" thickBot="1" x14ac:dyDescent="0.3">
      <c r="A15" s="1"/>
      <c r="B15" s="1"/>
      <c r="C15" s="1"/>
      <c r="D15" s="1"/>
      <c r="E15" s="1"/>
      <c r="F15" s="1" t="s">
        <v>17</v>
      </c>
      <c r="G15" s="11"/>
      <c r="H15" s="13">
        <f xml:space="preserve"> AVERAGE(H4:H12)</f>
        <v>3.6864888888888894</v>
      </c>
      <c r="I15" s="13">
        <f>H15</f>
        <v>3.6864888888888894</v>
      </c>
      <c r="J15" s="14">
        <f>AVERAGE(J4:J12)</f>
        <v>1149.3396000000002</v>
      </c>
      <c r="K15" s="1"/>
      <c r="L15" s="1"/>
    </row>
    <row r="16" spans="1:12" ht="15.75" thickTop="1" x14ac:dyDescent="0.25">
      <c r="A16" s="1"/>
      <c r="B16" s="1"/>
      <c r="C16" s="1"/>
      <c r="D16" s="1"/>
      <c r="E16" s="1"/>
      <c r="F16" s="1" t="s">
        <v>19</v>
      </c>
      <c r="G16" s="1"/>
      <c r="H16" s="4">
        <f>H12+I12</f>
        <v>5.1060700000000008</v>
      </c>
      <c r="I16" s="13">
        <f xml:space="preserve"> H12-I12</f>
        <v>4.5955300000000001</v>
      </c>
      <c r="J16" s="5">
        <f>J12</f>
        <v>1718.3196</v>
      </c>
      <c r="K16" s="1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964-0DFF-49F6-8F66-DF9255AA7264}">
  <dimension ref="A1:I20"/>
  <sheetViews>
    <sheetView zoomScale="110" zoomScaleNormal="110" workbookViewId="0">
      <selection activeCell="H9" sqref="H9"/>
    </sheetView>
  </sheetViews>
  <sheetFormatPr baseColWidth="10" defaultRowHeight="15" x14ac:dyDescent="0.25"/>
  <cols>
    <col min="1" max="1" width="5.28515625" customWidth="1"/>
    <col min="2" max="2" width="10.28515625" customWidth="1"/>
    <col min="3" max="3" width="10.85546875" customWidth="1"/>
    <col min="4" max="4" width="10.7109375" customWidth="1"/>
    <col min="5" max="6" width="9.140625" customWidth="1"/>
    <col min="7" max="7" width="11.28515625" customWidth="1"/>
    <col min="8" max="8" width="11.7109375" customWidth="1"/>
    <col min="9" max="9" width="3.42578125" customWidth="1"/>
  </cols>
  <sheetData>
    <row r="1" spans="1:9" x14ac:dyDescent="0.25">
      <c r="A1" s="2"/>
      <c r="B1" s="2" t="s">
        <v>27</v>
      </c>
      <c r="C1" s="2" t="s">
        <v>22</v>
      </c>
      <c r="D1" s="2" t="s">
        <v>23</v>
      </c>
      <c r="E1" s="1"/>
      <c r="F1" s="2" t="s">
        <v>38</v>
      </c>
      <c r="G1" s="2"/>
      <c r="H1" s="2"/>
      <c r="I1" s="1"/>
    </row>
    <row r="2" spans="1:9" x14ac:dyDescent="0.25">
      <c r="A2" s="2"/>
      <c r="B2" s="4">
        <f>SQRT(SUMSQ(0.005,0.01,0.188))</f>
        <v>0.1883321533886341</v>
      </c>
      <c r="C2" s="3">
        <v>1.45</v>
      </c>
      <c r="D2" s="20">
        <v>1.4E-2</v>
      </c>
      <c r="E2" s="21"/>
      <c r="F2" s="17"/>
      <c r="G2" s="17"/>
      <c r="H2" s="22"/>
      <c r="I2" s="1"/>
    </row>
    <row r="3" spans="1:9" x14ac:dyDescent="0.25">
      <c r="A3" s="2"/>
      <c r="B3" s="7" t="s">
        <v>24</v>
      </c>
      <c r="C3" s="7" t="s">
        <v>25</v>
      </c>
      <c r="D3" s="7" t="s">
        <v>26</v>
      </c>
      <c r="E3" s="7" t="s">
        <v>4</v>
      </c>
      <c r="F3" s="7" t="s">
        <v>6</v>
      </c>
      <c r="G3" s="2" t="s">
        <v>28</v>
      </c>
      <c r="H3" s="7" t="s">
        <v>29</v>
      </c>
      <c r="I3" s="1"/>
    </row>
    <row r="4" spans="1:9" x14ac:dyDescent="0.25">
      <c r="A4" s="2">
        <v>1</v>
      </c>
      <c r="B4" s="8">
        <v>38.950000000000003</v>
      </c>
      <c r="C4" s="12">
        <f>(B4^2/100)</f>
        <v>15.171025000000002</v>
      </c>
      <c r="D4" s="8">
        <f>(B4/50)*$B$2</f>
        <v>0.14671074748974597</v>
      </c>
      <c r="E4" s="4">
        <v>0.25</v>
      </c>
      <c r="F4" s="8">
        <f>0.025*E4+0.1</f>
        <v>0.10625000000000001</v>
      </c>
      <c r="G4" s="4">
        <f>1/(0.00134*E4)</f>
        <v>2985.0746268656717</v>
      </c>
      <c r="H4" s="12">
        <f>G4*(F4/E4)</f>
        <v>1268.6567164179105</v>
      </c>
      <c r="I4" s="1"/>
    </row>
    <row r="5" spans="1:9" x14ac:dyDescent="0.25">
      <c r="A5" s="2">
        <v>2</v>
      </c>
      <c r="B5" s="8">
        <v>27.4</v>
      </c>
      <c r="C5" s="12">
        <f t="shared" ref="C5:C15" si="0">(B5^2/100)</f>
        <v>7.5075999999999992</v>
      </c>
      <c r="D5" s="8">
        <f t="shared" ref="D5:D15" si="1">(B5/50)*$B$2</f>
        <v>0.10320602005697148</v>
      </c>
      <c r="E5" s="4">
        <f>E4+0.25</f>
        <v>0.5</v>
      </c>
      <c r="F5" s="8">
        <f t="shared" ref="F5:F15" si="2">0.025*E5+0.1</f>
        <v>0.1125</v>
      </c>
      <c r="G5" s="4">
        <f t="shared" ref="G5:G15" si="3">1/(0.00134*E5)</f>
        <v>1492.5373134328358</v>
      </c>
      <c r="H5" s="12">
        <f t="shared" ref="H5:H15" si="4">G5*(F5/E5)</f>
        <v>335.82089552238807</v>
      </c>
      <c r="I5" s="1"/>
    </row>
    <row r="6" spans="1:9" x14ac:dyDescent="0.25">
      <c r="A6" s="2">
        <v>3</v>
      </c>
      <c r="B6" s="8">
        <v>22.96</v>
      </c>
      <c r="C6" s="12">
        <f t="shared" si="0"/>
        <v>5.2716159999999999</v>
      </c>
      <c r="D6" s="8">
        <f t="shared" si="1"/>
        <v>8.6482124836060784E-2</v>
      </c>
      <c r="E6" s="4">
        <f t="shared" ref="E6:E15" si="5">E5+0.25</f>
        <v>0.75</v>
      </c>
      <c r="F6" s="8">
        <f t="shared" si="2"/>
        <v>0.11875000000000001</v>
      </c>
      <c r="G6" s="4">
        <f t="shared" si="3"/>
        <v>995.02487562189049</v>
      </c>
      <c r="H6" s="12">
        <f t="shared" si="4"/>
        <v>157.54560530679936</v>
      </c>
      <c r="I6" s="1"/>
    </row>
    <row r="7" spans="1:9" x14ac:dyDescent="0.25">
      <c r="A7" s="2">
        <v>4</v>
      </c>
      <c r="B7" s="8">
        <v>19.45</v>
      </c>
      <c r="C7" s="12">
        <f t="shared" si="0"/>
        <v>3.7830249999999994</v>
      </c>
      <c r="D7" s="8">
        <f t="shared" si="1"/>
        <v>7.326120766817866E-2</v>
      </c>
      <c r="E7" s="4">
        <f t="shared" si="5"/>
        <v>1</v>
      </c>
      <c r="F7" s="8">
        <f t="shared" si="2"/>
        <v>0.125</v>
      </c>
      <c r="G7" s="4">
        <f t="shared" si="3"/>
        <v>746.26865671641792</v>
      </c>
      <c r="H7" s="12">
        <f t="shared" si="4"/>
        <v>93.28358208955224</v>
      </c>
      <c r="I7" s="1"/>
    </row>
    <row r="8" spans="1:9" x14ac:dyDescent="0.25">
      <c r="A8" s="2">
        <v>5</v>
      </c>
      <c r="B8" s="8">
        <v>17.45</v>
      </c>
      <c r="C8" s="12">
        <f t="shared" si="0"/>
        <v>3.0450249999999999</v>
      </c>
      <c r="D8" s="8">
        <f t="shared" si="1"/>
        <v>6.5727921532633293E-2</v>
      </c>
      <c r="E8" s="4">
        <f t="shared" si="5"/>
        <v>1.25</v>
      </c>
      <c r="F8" s="8">
        <f t="shared" si="2"/>
        <v>0.13125000000000001</v>
      </c>
      <c r="G8" s="4">
        <f t="shared" si="3"/>
        <v>597.01492537313436</v>
      </c>
      <c r="H8" s="12">
        <f t="shared" si="4"/>
        <v>62.686567164179117</v>
      </c>
      <c r="I8" s="1"/>
    </row>
    <row r="9" spans="1:9" x14ac:dyDescent="0.25">
      <c r="A9" s="2">
        <v>6</v>
      </c>
      <c r="B9" s="8">
        <v>15.99</v>
      </c>
      <c r="C9" s="12">
        <f t="shared" si="0"/>
        <v>2.5568010000000001</v>
      </c>
      <c r="D9" s="8">
        <f t="shared" si="1"/>
        <v>6.0228622653685192E-2</v>
      </c>
      <c r="E9" s="4">
        <f t="shared" si="5"/>
        <v>1.5</v>
      </c>
      <c r="F9" s="8">
        <f t="shared" si="2"/>
        <v>0.13750000000000001</v>
      </c>
      <c r="G9" s="4">
        <f t="shared" si="3"/>
        <v>497.51243781094524</v>
      </c>
      <c r="H9" s="12">
        <f t="shared" si="4"/>
        <v>45.605306799336653</v>
      </c>
      <c r="I9" s="1"/>
    </row>
    <row r="10" spans="1:9" x14ac:dyDescent="0.25">
      <c r="A10" s="2">
        <v>7</v>
      </c>
      <c r="B10" s="8">
        <v>14.84</v>
      </c>
      <c r="C10" s="12">
        <f t="shared" si="0"/>
        <v>2.2022559999999998</v>
      </c>
      <c r="D10" s="8">
        <f t="shared" si="1"/>
        <v>5.5896983125746605E-2</v>
      </c>
      <c r="E10" s="4">
        <f t="shared" si="5"/>
        <v>1.75</v>
      </c>
      <c r="F10" s="8">
        <f t="shared" si="2"/>
        <v>0.14375000000000002</v>
      </c>
      <c r="G10" s="4">
        <f t="shared" si="3"/>
        <v>426.4392324093817</v>
      </c>
      <c r="H10" s="12">
        <f t="shared" si="4"/>
        <v>35.0289369479135</v>
      </c>
      <c r="I10" s="1"/>
    </row>
    <row r="11" spans="1:9" x14ac:dyDescent="0.25">
      <c r="A11" s="2">
        <v>8</v>
      </c>
      <c r="B11" s="8">
        <v>13.84</v>
      </c>
      <c r="C11" s="12">
        <f t="shared" si="0"/>
        <v>1.915456</v>
      </c>
      <c r="D11" s="8">
        <f t="shared" si="1"/>
        <v>5.2130340057973915E-2</v>
      </c>
      <c r="E11" s="4">
        <f t="shared" si="5"/>
        <v>2</v>
      </c>
      <c r="F11" s="8">
        <f t="shared" si="2"/>
        <v>0.15000000000000002</v>
      </c>
      <c r="G11" s="4">
        <f t="shared" si="3"/>
        <v>373.13432835820896</v>
      </c>
      <c r="H11" s="12">
        <f t="shared" si="4"/>
        <v>27.985074626865675</v>
      </c>
      <c r="I11" s="1"/>
    </row>
    <row r="12" spans="1:9" x14ac:dyDescent="0.25">
      <c r="A12" s="2">
        <v>9</v>
      </c>
      <c r="B12" s="8">
        <v>13.07</v>
      </c>
      <c r="C12" s="12">
        <f t="shared" si="0"/>
        <v>1.7082490000000001</v>
      </c>
      <c r="D12" s="8">
        <f t="shared" si="1"/>
        <v>4.9230024895788954E-2</v>
      </c>
      <c r="E12" s="4">
        <f t="shared" si="5"/>
        <v>2.25</v>
      </c>
      <c r="F12" s="8">
        <f t="shared" si="2"/>
        <v>0.15625</v>
      </c>
      <c r="G12" s="4">
        <f t="shared" si="3"/>
        <v>331.67495854063014</v>
      </c>
      <c r="H12" s="12">
        <f t="shared" si="4"/>
        <v>23.032983231988204</v>
      </c>
      <c r="I12" s="1"/>
    </row>
    <row r="13" spans="1:9" x14ac:dyDescent="0.25">
      <c r="A13" s="2">
        <v>10</v>
      </c>
      <c r="B13" s="8">
        <v>12.38</v>
      </c>
      <c r="C13" s="12">
        <f t="shared" si="0"/>
        <v>1.5326440000000003</v>
      </c>
      <c r="D13" s="8">
        <f t="shared" si="1"/>
        <v>4.6631041179025806E-2</v>
      </c>
      <c r="E13" s="4">
        <f t="shared" si="5"/>
        <v>2.5</v>
      </c>
      <c r="F13" s="8">
        <f t="shared" si="2"/>
        <v>0.16250000000000001</v>
      </c>
      <c r="G13" s="4">
        <f t="shared" si="3"/>
        <v>298.50746268656718</v>
      </c>
      <c r="H13" s="12">
        <f t="shared" si="4"/>
        <v>19.402985074626866</v>
      </c>
      <c r="I13" s="1"/>
    </row>
    <row r="14" spans="1:9" x14ac:dyDescent="0.25">
      <c r="A14" s="2">
        <v>11</v>
      </c>
      <c r="B14" s="8">
        <v>11.77</v>
      </c>
      <c r="C14" s="12">
        <f t="shared" si="0"/>
        <v>1.3853289999999998</v>
      </c>
      <c r="D14" s="8">
        <f t="shared" si="1"/>
        <v>4.4333388907684464E-2</v>
      </c>
      <c r="E14" s="4">
        <f t="shared" si="5"/>
        <v>2.75</v>
      </c>
      <c r="F14" s="8">
        <f t="shared" si="2"/>
        <v>0.16875000000000001</v>
      </c>
      <c r="G14" s="4">
        <f t="shared" si="3"/>
        <v>271.37042062415196</v>
      </c>
      <c r="H14" s="12">
        <f t="shared" si="4"/>
        <v>16.652275811027508</v>
      </c>
      <c r="I14" s="1"/>
    </row>
    <row r="15" spans="1:9" x14ac:dyDescent="0.25">
      <c r="A15" s="2">
        <v>12</v>
      </c>
      <c r="B15" s="8">
        <v>11.32</v>
      </c>
      <c r="C15" s="12">
        <f t="shared" si="0"/>
        <v>1.2814240000000001</v>
      </c>
      <c r="D15" s="8">
        <f t="shared" si="1"/>
        <v>4.2638399527186767E-2</v>
      </c>
      <c r="E15" s="4">
        <f t="shared" si="5"/>
        <v>3</v>
      </c>
      <c r="F15" s="8">
        <f t="shared" si="2"/>
        <v>0.17500000000000002</v>
      </c>
      <c r="G15" s="4">
        <f t="shared" si="3"/>
        <v>248.75621890547262</v>
      </c>
      <c r="H15" s="12">
        <f t="shared" si="4"/>
        <v>14.510779436152571</v>
      </c>
      <c r="I15" s="1"/>
    </row>
    <row r="16" spans="1:9" x14ac:dyDescent="0.25">
      <c r="A16" s="2"/>
      <c r="B16" s="16"/>
      <c r="C16" s="17"/>
      <c r="D16" s="16"/>
      <c r="E16" s="17"/>
      <c r="F16" s="23" t="s">
        <v>21</v>
      </c>
      <c r="G16" s="17" t="s">
        <v>20</v>
      </c>
      <c r="H16" s="19"/>
      <c r="I16" s="1"/>
    </row>
    <row r="17" spans="1:9" ht="15.75" thickBot="1" x14ac:dyDescent="0.3">
      <c r="A17" s="1"/>
      <c r="B17" s="1"/>
      <c r="C17" s="1"/>
      <c r="D17" s="1" t="s">
        <v>18</v>
      </c>
      <c r="E17" s="1"/>
      <c r="F17" s="12">
        <f>G4-H4/3</f>
        <v>2562.1890547263683</v>
      </c>
      <c r="G17" s="13">
        <f>G4+H4/3</f>
        <v>3407.960199004975</v>
      </c>
      <c r="H17" s="15">
        <f>C4</f>
        <v>15.171025000000002</v>
      </c>
      <c r="I17" s="1"/>
    </row>
    <row r="18" spans="1:9" ht="16.5" thickTop="1" thickBot="1" x14ac:dyDescent="0.3">
      <c r="A18" s="1"/>
      <c r="B18" s="1"/>
      <c r="C18" s="1"/>
      <c r="D18" s="1" t="s">
        <v>17</v>
      </c>
      <c r="E18" s="11"/>
      <c r="F18" s="13">
        <f xml:space="preserve"> AVERAGE(G4:G15)</f>
        <v>771.94295477877586</v>
      </c>
      <c r="G18" s="13">
        <f>F18</f>
        <v>771.94295477877586</v>
      </c>
      <c r="H18" s="14">
        <f>AVERAGE(C4:C15)</f>
        <v>3.9467041666666662</v>
      </c>
      <c r="I18" s="1"/>
    </row>
    <row r="19" spans="1:9" ht="15.75" thickTop="1" x14ac:dyDescent="0.25">
      <c r="A19" s="1"/>
      <c r="B19" s="1"/>
      <c r="C19" s="1"/>
      <c r="D19" s="1" t="s">
        <v>19</v>
      </c>
      <c r="E19" s="1"/>
      <c r="F19" s="4">
        <f>G15+H15</f>
        <v>263.2669983416252</v>
      </c>
      <c r="G19" s="13">
        <f xml:space="preserve"> G15-H15</f>
        <v>234.24543946932005</v>
      </c>
      <c r="H19" s="5">
        <f>C15</f>
        <v>1.2814240000000001</v>
      </c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CA0D8-FBD9-4AE4-8266-A4EF87DA1A76}">
  <dimension ref="A1:L14"/>
  <sheetViews>
    <sheetView tabSelected="1" zoomScale="95" zoomScaleNormal="95" workbookViewId="0">
      <selection activeCell="A7" sqref="A7:XFD7"/>
    </sheetView>
  </sheetViews>
  <sheetFormatPr baseColWidth="10" defaultRowHeight="15" x14ac:dyDescent="0.25"/>
  <cols>
    <col min="1" max="1" width="5.28515625" customWidth="1"/>
    <col min="2" max="9" width="9.140625" customWidth="1"/>
    <col min="10" max="11" width="11.140625" customWidth="1"/>
    <col min="12" max="12" width="3.42578125" customWidth="1"/>
  </cols>
  <sheetData>
    <row r="1" spans="1:12" x14ac:dyDescent="0.25">
      <c r="A1" s="2"/>
      <c r="B1" s="2" t="s">
        <v>30</v>
      </c>
      <c r="C1" s="2"/>
      <c r="D1" s="7"/>
      <c r="E1" s="2" t="s">
        <v>39</v>
      </c>
      <c r="F1" s="2"/>
      <c r="G1" s="2"/>
      <c r="H1" s="2"/>
      <c r="I1" s="1"/>
      <c r="J1" s="1"/>
      <c r="K1" s="1"/>
      <c r="L1" s="1"/>
    </row>
    <row r="2" spans="1:12" x14ac:dyDescent="0.25">
      <c r="A2" s="2"/>
      <c r="B2" s="3">
        <v>0.11547</v>
      </c>
      <c r="C2" s="7"/>
      <c r="D2" s="7"/>
      <c r="E2" s="16"/>
      <c r="F2" s="23"/>
      <c r="G2" s="16"/>
      <c r="H2" s="22"/>
      <c r="I2" s="1"/>
      <c r="J2" s="1"/>
      <c r="K2" s="1"/>
      <c r="L2" s="1"/>
    </row>
    <row r="3" spans="1:12" x14ac:dyDescent="0.25">
      <c r="A3" s="2"/>
      <c r="B3" s="2" t="s">
        <v>34</v>
      </c>
      <c r="C3" s="7" t="s">
        <v>35</v>
      </c>
      <c r="D3" s="2" t="s">
        <v>36</v>
      </c>
      <c r="E3" s="7" t="s">
        <v>33</v>
      </c>
      <c r="F3" s="7" t="s">
        <v>4</v>
      </c>
      <c r="G3" s="2" t="s">
        <v>6</v>
      </c>
      <c r="H3" s="2" t="s">
        <v>5</v>
      </c>
      <c r="I3" s="7" t="s">
        <v>7</v>
      </c>
      <c r="J3" s="10" t="s">
        <v>31</v>
      </c>
      <c r="K3" s="10" t="s">
        <v>32</v>
      </c>
      <c r="L3" s="1"/>
    </row>
    <row r="4" spans="1:12" x14ac:dyDescent="0.25">
      <c r="A4" s="2">
        <v>1</v>
      </c>
      <c r="B4" s="4">
        <v>27.15</v>
      </c>
      <c r="C4" s="12">
        <v>29.1</v>
      </c>
      <c r="D4" s="12">
        <v>29.91</v>
      </c>
      <c r="E4" s="9">
        <f>AVERAGE(B4:D4)</f>
        <v>28.72</v>
      </c>
      <c r="F4" s="4">
        <v>0.5</v>
      </c>
      <c r="G4" s="8">
        <f>0.025*F4+0.1</f>
        <v>0.1125</v>
      </c>
      <c r="H4" s="4">
        <f t="shared" ref="H4:H9" si="0">0.00134*F4*1000</f>
        <v>0.67</v>
      </c>
      <c r="I4" s="8">
        <f xml:space="preserve"> 1.34*G4</f>
        <v>0.15075000000000002</v>
      </c>
      <c r="J4" s="3">
        <f>2*PI()/E4</f>
        <v>0.21877386167059842</v>
      </c>
      <c r="K4" s="3">
        <f>J4*$B$2/E4</f>
        <v>8.7958975651476333E-4</v>
      </c>
      <c r="L4" s="1"/>
    </row>
    <row r="5" spans="1:12" x14ac:dyDescent="0.25">
      <c r="A5" s="2">
        <v>2</v>
      </c>
      <c r="B5" s="4">
        <v>16.739999999999998</v>
      </c>
      <c r="C5" s="12">
        <v>16.52</v>
      </c>
      <c r="D5" s="12">
        <v>16.29</v>
      </c>
      <c r="E5" s="9">
        <f t="shared" ref="E5:E9" si="1">AVERAGE(B5:D5)</f>
        <v>16.516666666666666</v>
      </c>
      <c r="F5" s="4">
        <f>F4+0.5</f>
        <v>1</v>
      </c>
      <c r="G5" s="8">
        <f t="shared" ref="G5:G9" si="2">0.025*F5+0.1</f>
        <v>0.125</v>
      </c>
      <c r="H5" s="4">
        <f t="shared" si="0"/>
        <v>1.34</v>
      </c>
      <c r="I5" s="8">
        <f t="shared" ref="I5:I9" si="3" xml:space="preserve"> 1.34*G5</f>
        <v>0.16750000000000001</v>
      </c>
      <c r="J5" s="3">
        <f t="shared" ref="J5:J9" si="4">2*PI()/E5</f>
        <v>0.38041485209967224</v>
      </c>
      <c r="K5" s="3">
        <f t="shared" ref="K5:K9" si="5">J5*$B$2/E5</f>
        <v>2.6595259115206348E-3</v>
      </c>
      <c r="L5" s="1"/>
    </row>
    <row r="6" spans="1:12" x14ac:dyDescent="0.25">
      <c r="A6" s="2">
        <v>3</v>
      </c>
      <c r="B6" s="4">
        <v>10.86</v>
      </c>
      <c r="C6" s="12">
        <v>11.16</v>
      </c>
      <c r="D6" s="12">
        <v>11.26</v>
      </c>
      <c r="E6" s="9">
        <f>AVERAGE(B6:D6)</f>
        <v>11.093333333333334</v>
      </c>
      <c r="F6" s="4">
        <f t="shared" ref="F6:F8" si="6">F5+0.5</f>
        <v>1.5</v>
      </c>
      <c r="G6" s="8">
        <f t="shared" si="2"/>
        <v>0.13750000000000001</v>
      </c>
      <c r="H6" s="4">
        <f t="shared" si="0"/>
        <v>2.0100000000000002</v>
      </c>
      <c r="I6" s="8">
        <f t="shared" si="3"/>
        <v>0.18425000000000002</v>
      </c>
      <c r="J6" s="3">
        <f t="shared" si="4"/>
        <v>0.56639290629623673</v>
      </c>
      <c r="K6" s="3">
        <f t="shared" si="5"/>
        <v>5.8955578927307505E-3</v>
      </c>
      <c r="L6" s="1"/>
    </row>
    <row r="7" spans="1:12" x14ac:dyDescent="0.25">
      <c r="A7" s="2">
        <v>4</v>
      </c>
      <c r="B7" s="4">
        <v>7.53</v>
      </c>
      <c r="C7" s="12">
        <v>7.7</v>
      </c>
      <c r="D7" s="13">
        <v>7.81</v>
      </c>
      <c r="E7" s="9">
        <f t="shared" si="1"/>
        <v>7.68</v>
      </c>
      <c r="F7" s="4">
        <f t="shared" si="6"/>
        <v>2</v>
      </c>
      <c r="G7" s="8">
        <f t="shared" si="2"/>
        <v>0.15000000000000002</v>
      </c>
      <c r="H7" s="4">
        <f t="shared" si="0"/>
        <v>2.68</v>
      </c>
      <c r="I7" s="8">
        <f t="shared" si="3"/>
        <v>0.20100000000000004</v>
      </c>
      <c r="J7" s="3">
        <f t="shared" si="4"/>
        <v>0.81812308687234203</v>
      </c>
      <c r="K7" s="3">
        <f t="shared" si="5"/>
        <v>1.2300608442857987E-2</v>
      </c>
      <c r="L7" s="1"/>
    </row>
    <row r="8" spans="1:12" x14ac:dyDescent="0.25">
      <c r="A8" s="2">
        <v>5</v>
      </c>
      <c r="B8" s="4">
        <v>5.99</v>
      </c>
      <c r="C8" s="12">
        <v>6.58</v>
      </c>
      <c r="D8" s="12">
        <v>6.63</v>
      </c>
      <c r="E8" s="9">
        <f t="shared" si="1"/>
        <v>6.3999999999999995</v>
      </c>
      <c r="F8" s="4">
        <f t="shared" si="6"/>
        <v>2.5</v>
      </c>
      <c r="G8" s="8">
        <f t="shared" si="2"/>
        <v>0.16250000000000001</v>
      </c>
      <c r="H8" s="4">
        <f t="shared" si="0"/>
        <v>3.35</v>
      </c>
      <c r="I8" s="8">
        <f t="shared" si="3"/>
        <v>0.21775000000000003</v>
      </c>
      <c r="J8" s="3">
        <f t="shared" si="4"/>
        <v>0.98174770424681046</v>
      </c>
      <c r="K8" s="3">
        <f t="shared" si="5"/>
        <v>1.7712876157715503E-2</v>
      </c>
      <c r="L8" s="1"/>
    </row>
    <row r="9" spans="1:12" x14ac:dyDescent="0.25">
      <c r="A9" s="2">
        <v>6</v>
      </c>
      <c r="B9" s="4">
        <v>5.41</v>
      </c>
      <c r="C9" s="12">
        <v>5.33</v>
      </c>
      <c r="D9" s="12">
        <v>5.27</v>
      </c>
      <c r="E9" s="9">
        <f t="shared" si="1"/>
        <v>5.336666666666666</v>
      </c>
      <c r="F9" s="4">
        <f>F8+0.5</f>
        <v>3</v>
      </c>
      <c r="G9" s="8">
        <f t="shared" si="2"/>
        <v>0.17500000000000002</v>
      </c>
      <c r="H9" s="4">
        <f t="shared" si="0"/>
        <v>4.0200000000000005</v>
      </c>
      <c r="I9" s="8">
        <f t="shared" si="3"/>
        <v>0.23450000000000004</v>
      </c>
      <c r="J9" s="3">
        <f t="shared" si="4"/>
        <v>1.177361394224782</v>
      </c>
      <c r="K9" s="3">
        <f t="shared" si="5"/>
        <v>2.5474688355615664E-2</v>
      </c>
      <c r="L9" s="1"/>
    </row>
    <row r="10" spans="1:12" x14ac:dyDescent="0.25">
      <c r="A10" s="2"/>
      <c r="B10" s="16"/>
      <c r="C10" s="17"/>
      <c r="D10" s="16"/>
      <c r="E10" s="22"/>
      <c r="F10" s="16"/>
      <c r="G10" s="17"/>
      <c r="H10" s="16" t="s">
        <v>21</v>
      </c>
      <c r="I10" s="17" t="s">
        <v>20</v>
      </c>
      <c r="J10" s="19"/>
      <c r="K10" s="19"/>
      <c r="L10" s="1"/>
    </row>
    <row r="11" spans="1:12" ht="15.75" thickBot="1" x14ac:dyDescent="0.3">
      <c r="A11" s="1"/>
      <c r="B11" s="1"/>
      <c r="C11" s="1"/>
      <c r="D11" s="1"/>
      <c r="E11" s="1"/>
      <c r="F11" s="1" t="s">
        <v>18</v>
      </c>
      <c r="G11" s="1"/>
      <c r="H11" s="12">
        <f>H4-I4</f>
        <v>0.51924999999999999</v>
      </c>
      <c r="I11" s="13">
        <f>H4+I4</f>
        <v>0.82075000000000009</v>
      </c>
      <c r="J11" s="15">
        <f>J4</f>
        <v>0.21877386167059842</v>
      </c>
      <c r="K11" s="1"/>
      <c r="L11" s="1"/>
    </row>
    <row r="12" spans="1:12" ht="16.5" thickTop="1" thickBot="1" x14ac:dyDescent="0.3">
      <c r="A12" s="1"/>
      <c r="B12" s="1"/>
      <c r="C12" s="1"/>
      <c r="D12" s="1"/>
      <c r="E12" s="1"/>
      <c r="F12" s="1" t="s">
        <v>17</v>
      </c>
      <c r="G12" s="11"/>
      <c r="H12" s="13">
        <f xml:space="preserve"> AVERAGE(H4:H9)</f>
        <v>2.3450000000000002</v>
      </c>
      <c r="I12" s="13">
        <f>H12</f>
        <v>2.3450000000000002</v>
      </c>
      <c r="J12" s="14">
        <f>AVERAGE(J4:J9)</f>
        <v>0.69046896756840714</v>
      </c>
      <c r="K12" s="1"/>
      <c r="L12" s="1"/>
    </row>
    <row r="13" spans="1:12" ht="15.75" thickTop="1" x14ac:dyDescent="0.25">
      <c r="A13" s="1"/>
      <c r="B13" s="1"/>
      <c r="C13" s="1"/>
      <c r="D13" s="1"/>
      <c r="E13" s="1"/>
      <c r="F13" s="1" t="s">
        <v>19</v>
      </c>
      <c r="G13" s="1"/>
      <c r="H13" s="4">
        <f>H9+I9</f>
        <v>4.2545000000000002</v>
      </c>
      <c r="I13" s="13">
        <f>H9 -I9</f>
        <v>3.7855000000000003</v>
      </c>
      <c r="J13" s="5">
        <f>J9</f>
        <v>1.177361394224782</v>
      </c>
      <c r="K13" s="1"/>
      <c r="L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8740157499999996" bottom="0.78740157499999996" header="0.3" footer="0.3"/>
  <ignoredErrors>
    <ignoredError sqref="E4:E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6.2.2</vt:lpstr>
      <vt:lpstr>6.3.3</vt:lpstr>
      <vt:lpstr>6.4.3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Lippert Manuel</dc:creator>
  <cp:lastModifiedBy>Studieren</cp:lastModifiedBy>
  <dcterms:created xsi:type="dcterms:W3CDTF">2020-11-19T21:26:08Z</dcterms:created>
  <dcterms:modified xsi:type="dcterms:W3CDTF">2020-11-24T09:10:54Z</dcterms:modified>
</cp:coreProperties>
</file>