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Notability\Physikalisches Praktikum\02 PPA1 DOK SS20\ES_Files\"/>
    </mc:Choice>
  </mc:AlternateContent>
  <xr:revisionPtr revIDLastSave="1159" documentId="8_{502442DF-B7A7-403D-A7EB-A91A75312287}" xr6:coauthVersionLast="45" xr6:coauthVersionMax="45" xr10:uidLastSave="{46874BFB-D279-4159-874F-3AC274FE99E8}"/>
  <bookViews>
    <workbookView xWindow="-108" yWindow="-108" windowWidth="23256" windowHeight="12576" activeTab="2" xr2:uid="{2AC2A1E4-4842-40B5-9EE3-CADE28962185}"/>
  </bookViews>
  <sheets>
    <sheet name="w0, wA" sheetId="2" r:id="rId1"/>
    <sheet name="w, tau" sheetId="1" r:id="rId2"/>
    <sheet name="phi0-phi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3" l="1"/>
  <c r="F40" i="3" l="1"/>
  <c r="D40" i="3"/>
  <c r="N27" i="3"/>
  <c r="G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L27" i="3"/>
  <c r="H38" i="3"/>
  <c r="G27" i="3"/>
  <c r="G26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N4" i="3"/>
  <c r="L4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G31" i="1"/>
  <c r="G32" i="1"/>
  <c r="G30" i="1"/>
  <c r="G28" i="1"/>
  <c r="D28" i="1"/>
  <c r="G20" i="1"/>
  <c r="G21" i="1"/>
  <c r="G22" i="1"/>
  <c r="G23" i="1"/>
  <c r="G24" i="1"/>
  <c r="G19" i="1"/>
  <c r="G17" i="1"/>
  <c r="D17" i="1"/>
  <c r="O17" i="1"/>
  <c r="D5" i="1"/>
  <c r="G5" i="1"/>
  <c r="G6" i="1"/>
  <c r="G7" i="1"/>
  <c r="G8" i="1"/>
  <c r="G9" i="1"/>
  <c r="G10" i="1"/>
  <c r="G11" i="1"/>
  <c r="G12" i="1"/>
  <c r="G13" i="1"/>
  <c r="G2" i="1"/>
  <c r="D2" i="1"/>
  <c r="O21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M2" i="1"/>
  <c r="M23" i="1"/>
  <c r="M34" i="1"/>
  <c r="M30" i="1"/>
  <c r="M4" i="1"/>
  <c r="M8" i="1"/>
  <c r="H31" i="1"/>
  <c r="H32" i="1"/>
  <c r="A31" i="1"/>
  <c r="A32" i="1"/>
  <c r="E30" i="1"/>
  <c r="H28" i="1"/>
  <c r="B31" i="1"/>
  <c r="B32" i="1"/>
  <c r="H20" i="1"/>
  <c r="H21" i="1"/>
  <c r="H22" i="1"/>
  <c r="H23" i="1"/>
  <c r="H24" i="1"/>
  <c r="H19" i="1"/>
  <c r="A20" i="1"/>
  <c r="E19" i="1"/>
  <c r="H17" i="1"/>
  <c r="B20" i="1"/>
  <c r="H34" i="3"/>
  <c r="H30" i="3"/>
  <c r="J37" i="3"/>
  <c r="H36" i="3"/>
  <c r="H37" i="3"/>
  <c r="J36" i="3"/>
  <c r="J28" i="3"/>
  <c r="H35" i="3"/>
  <c r="H40" i="3"/>
  <c r="H28" i="3"/>
  <c r="J35" i="3"/>
  <c r="J27" i="3"/>
  <c r="H29" i="3"/>
  <c r="J33" i="3"/>
  <c r="H27" i="3"/>
  <c r="J26" i="3"/>
  <c r="H26" i="3"/>
  <c r="H33" i="3"/>
  <c r="J32" i="3"/>
  <c r="H25" i="3"/>
  <c r="J25" i="3"/>
  <c r="H32" i="3"/>
  <c r="J39" i="3"/>
  <c r="J31" i="3"/>
  <c r="H39" i="3"/>
  <c r="J29" i="3"/>
  <c r="H31" i="3"/>
  <c r="J38" i="3"/>
  <c r="J30" i="3"/>
  <c r="J34" i="3"/>
  <c r="J40" i="3"/>
  <c r="H9" i="3"/>
  <c r="H21" i="3"/>
  <c r="J6" i="3"/>
  <c r="J4" i="3"/>
  <c r="H19" i="3"/>
  <c r="H7" i="3"/>
  <c r="H18" i="3"/>
  <c r="H5" i="3"/>
  <c r="H3" i="3"/>
  <c r="H11" i="3"/>
  <c r="H6" i="3"/>
  <c r="H15" i="3"/>
  <c r="H14" i="3"/>
  <c r="H13" i="3"/>
  <c r="H2" i="3"/>
  <c r="H10" i="3"/>
  <c r="J19" i="3"/>
  <c r="J11" i="3"/>
  <c r="J3" i="3"/>
  <c r="J18" i="3"/>
  <c r="J10" i="3"/>
  <c r="J2" i="3"/>
  <c r="J17" i="3"/>
  <c r="J9" i="3"/>
  <c r="H20" i="3"/>
  <c r="H12" i="3"/>
  <c r="H4" i="3"/>
  <c r="J16" i="3"/>
  <c r="J8" i="3"/>
  <c r="J21" i="3"/>
  <c r="J13" i="3"/>
  <c r="J5" i="3"/>
  <c r="J15" i="3"/>
  <c r="J7" i="3"/>
  <c r="J14" i="3"/>
  <c r="H17" i="3"/>
  <c r="H16" i="3"/>
  <c r="H8" i="3"/>
  <c r="J20" i="3"/>
  <c r="J12" i="3"/>
  <c r="J22" i="1"/>
  <c r="K22" i="1"/>
  <c r="M19" i="1"/>
  <c r="D20" i="1"/>
  <c r="J24" i="1"/>
  <c r="K24" i="1"/>
  <c r="D31" i="1"/>
  <c r="D32" i="1"/>
  <c r="J19" i="1"/>
  <c r="K19" i="1"/>
  <c r="J30" i="1"/>
  <c r="J32" i="1"/>
  <c r="K32" i="1"/>
  <c r="B21" i="1"/>
  <c r="J20" i="1"/>
  <c r="K20" i="1"/>
  <c r="O23" i="1"/>
  <c r="O19" i="1"/>
  <c r="J21" i="1"/>
  <c r="K21" i="1"/>
  <c r="D21" i="1"/>
  <c r="J23" i="1"/>
  <c r="K23" i="1"/>
  <c r="J31" i="1"/>
  <c r="K31" i="1"/>
  <c r="O34" i="1"/>
  <c r="H30" i="1"/>
  <c r="O28" i="1"/>
  <c r="M28" i="1"/>
  <c r="A21" i="1"/>
  <c r="B22" i="1"/>
  <c r="M17" i="1"/>
  <c r="J5" i="1"/>
  <c r="H5" i="1"/>
  <c r="H6" i="1"/>
  <c r="H7" i="1"/>
  <c r="H8" i="1"/>
  <c r="H9" i="1"/>
  <c r="H10" i="1"/>
  <c r="H11" i="1"/>
  <c r="H12" i="1"/>
  <c r="H13" i="1"/>
  <c r="E4" i="1"/>
  <c r="A5" i="1"/>
  <c r="A6" i="1"/>
  <c r="J7" i="1"/>
  <c r="J12" i="1"/>
  <c r="H2" i="1"/>
  <c r="K7" i="1"/>
  <c r="K12" i="1"/>
  <c r="K5" i="1"/>
  <c r="H4" i="1"/>
  <c r="G4" i="1"/>
  <c r="J4" i="1"/>
  <c r="K30" i="1"/>
  <c r="O32" i="1"/>
  <c r="O30" i="1"/>
  <c r="O6" i="1"/>
  <c r="D6" i="1"/>
  <c r="D22" i="1"/>
  <c r="A22" i="1"/>
  <c r="B23" i="1"/>
  <c r="J10" i="1"/>
  <c r="K10" i="1"/>
  <c r="J9" i="1"/>
  <c r="K9" i="1"/>
  <c r="J11" i="1"/>
  <c r="K11" i="1"/>
  <c r="O2" i="1"/>
  <c r="J8" i="1"/>
  <c r="K8" i="1"/>
  <c r="O8" i="1"/>
  <c r="J6" i="1"/>
  <c r="K6" i="1"/>
  <c r="B5" i="1"/>
  <c r="J13" i="1"/>
  <c r="K13" i="1"/>
  <c r="A7" i="1"/>
  <c r="H10" i="2"/>
  <c r="B5" i="2"/>
  <c r="C13" i="2"/>
  <c r="E13" i="2"/>
  <c r="C5" i="2"/>
  <c r="C9" i="2"/>
  <c r="E9" i="2"/>
  <c r="C10" i="2"/>
  <c r="E10" i="2"/>
  <c r="C11" i="2"/>
  <c r="E11" i="2"/>
  <c r="C12" i="2"/>
  <c r="E12" i="2"/>
  <c r="C3" i="2"/>
  <c r="C8" i="2"/>
  <c r="C2" i="2"/>
  <c r="A3" i="2"/>
  <c r="K4" i="1"/>
  <c r="F9" i="2"/>
  <c r="F12" i="2"/>
  <c r="E8" i="2"/>
  <c r="O4" i="1"/>
  <c r="D7" i="1"/>
  <c r="D23" i="1"/>
  <c r="B6" i="1"/>
  <c r="B7" i="1"/>
  <c r="A23" i="1"/>
  <c r="A8" i="1"/>
  <c r="D8" i="1"/>
  <c r="B8" i="1"/>
  <c r="F10" i="2"/>
  <c r="F8" i="2"/>
  <c r="F13" i="2"/>
  <c r="F11" i="2"/>
  <c r="B24" i="1"/>
  <c r="D24" i="1"/>
  <c r="A24" i="1"/>
  <c r="A9" i="1"/>
  <c r="B9" i="1"/>
  <c r="D9" i="1"/>
  <c r="A10" i="1"/>
  <c r="B10" i="1"/>
  <c r="D10" i="1"/>
  <c r="A11" i="1"/>
  <c r="D11" i="1"/>
  <c r="B11" i="1"/>
  <c r="A12" i="1"/>
  <c r="D12" i="1"/>
  <c r="B12" i="1"/>
  <c r="A13" i="1"/>
  <c r="D13" i="1"/>
  <c r="B13" i="1"/>
</calcChain>
</file>

<file path=xl/sharedStrings.xml><?xml version="1.0" encoding="utf-8"?>
<sst xmlns="http://schemas.openxmlformats.org/spreadsheetml/2006/main" count="237" uniqueCount="45">
  <si>
    <t>Messreihe</t>
  </si>
  <si>
    <t>T in s</t>
  </si>
  <si>
    <t>Anzahl</t>
  </si>
  <si>
    <t>Einstellung</t>
  </si>
  <si>
    <t>Ablesefehler</t>
  </si>
  <si>
    <t>wA/w0</t>
  </si>
  <si>
    <t>0,0 A</t>
  </si>
  <si>
    <t>1,0 A</t>
  </si>
  <si>
    <t>2,0 A</t>
  </si>
  <si>
    <t>3,0 A</t>
  </si>
  <si>
    <t>4,0 A</t>
  </si>
  <si>
    <t>5,0 A</t>
  </si>
  <si>
    <t>Fehler T</t>
  </si>
  <si>
    <t>s wA/w0</t>
  </si>
  <si>
    <t>Mittel</t>
  </si>
  <si>
    <t>w0 in 1/s</t>
  </si>
  <si>
    <t>wA in 1/s</t>
  </si>
  <si>
    <t>0,3 A</t>
  </si>
  <si>
    <t>v in cm/s</t>
  </si>
  <si>
    <t>A0 in cm</t>
  </si>
  <si>
    <t>w in 1/s</t>
  </si>
  <si>
    <t>A(t) in cm</t>
  </si>
  <si>
    <t>A(t)/A0</t>
  </si>
  <si>
    <t xml:space="preserve"> +/- </t>
  </si>
  <si>
    <t>l in cm</t>
  </si>
  <si>
    <t>t in s</t>
  </si>
  <si>
    <t>ID</t>
  </si>
  <si>
    <t>0,5 A</t>
  </si>
  <si>
    <t>0,8 A</t>
  </si>
  <si>
    <t>sk</t>
  </si>
  <si>
    <t>T2 in s</t>
  </si>
  <si>
    <t>A(T2)/A0</t>
  </si>
  <si>
    <t>ln(A(T2)/A0)</t>
  </si>
  <si>
    <t xml:space="preserve"> tau in s</t>
  </si>
  <si>
    <t>tau in s</t>
  </si>
  <si>
    <t>Skalierung</t>
  </si>
  <si>
    <t>Nr.</t>
  </si>
  <si>
    <t>2phiA in cm</t>
  </si>
  <si>
    <t>2phi0 in cm</t>
  </si>
  <si>
    <t>wa/w0</t>
  </si>
  <si>
    <t>phi0/phiA</t>
  </si>
  <si>
    <t>phiA in cm</t>
  </si>
  <si>
    <t>phi0 in cm</t>
  </si>
  <si>
    <t>ID = 0,8 A</t>
  </si>
  <si>
    <t>ID = 0,3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</si>
</sst>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Border="1"/>
    <xf numFmtId="2" fontId="0" fillId="3" borderId="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0,3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'w, tau'!$K$4:$K$13</c:f>
                <c:numCache>
                  <c:formatCode>General</c:formatCode>
                  <c:ptCount val="10"/>
                  <c:pt idx="0">
                    <c:v>5.5076852201723378E-3</c:v>
                  </c:pt>
                  <c:pt idx="1">
                    <c:v>6.2989431809950987E-3</c:v>
                  </c:pt>
                  <c:pt idx="2">
                    <c:v>7.2973869587872782E-3</c:v>
                  </c:pt>
                  <c:pt idx="3">
                    <c:v>8.868236167033007E-3</c:v>
                  </c:pt>
                  <c:pt idx="4">
                    <c:v>1.1046892326070317E-2</c:v>
                  </c:pt>
                  <c:pt idx="5">
                    <c:v>1.3724663657325354E-2</c:v>
                  </c:pt>
                  <c:pt idx="6">
                    <c:v>1.7315113132152178E-2</c:v>
                  </c:pt>
                  <c:pt idx="7">
                    <c:v>2.177749021786048E-2</c:v>
                  </c:pt>
                  <c:pt idx="8">
                    <c:v>2.6438893662928342E-2</c:v>
                  </c:pt>
                  <c:pt idx="9">
                    <c:v>3.3799512275198833E-2</c:v>
                  </c:pt>
                </c:numCache>
              </c:numRef>
            </c:plus>
            <c:minus>
              <c:numRef>
                <c:f>'w, tau'!$K$4:$K$13</c:f>
                <c:numCache>
                  <c:formatCode>General</c:formatCode>
                  <c:ptCount val="10"/>
                  <c:pt idx="0">
                    <c:v>5.5076852201723378E-3</c:v>
                  </c:pt>
                  <c:pt idx="1">
                    <c:v>6.2989431809950987E-3</c:v>
                  </c:pt>
                  <c:pt idx="2">
                    <c:v>7.2973869587872782E-3</c:v>
                  </c:pt>
                  <c:pt idx="3">
                    <c:v>8.868236167033007E-3</c:v>
                  </c:pt>
                  <c:pt idx="4">
                    <c:v>1.1046892326070317E-2</c:v>
                  </c:pt>
                  <c:pt idx="5">
                    <c:v>1.3724663657325354E-2</c:v>
                  </c:pt>
                  <c:pt idx="6">
                    <c:v>1.7315113132152178E-2</c:v>
                  </c:pt>
                  <c:pt idx="7">
                    <c:v>2.177749021786048E-2</c:v>
                  </c:pt>
                  <c:pt idx="8">
                    <c:v>2.6438893662928342E-2</c:v>
                  </c:pt>
                  <c:pt idx="9">
                    <c:v>3.3799512275198833E-2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'w, tau'!$B$4:$B$13</c:f>
              <c:numCache>
                <c:formatCode>0.00</c:formatCode>
                <c:ptCount val="10"/>
                <c:pt idx="0">
                  <c:v>0</c:v>
                </c:pt>
                <c:pt idx="1">
                  <c:v>1.68</c:v>
                </c:pt>
                <c:pt idx="2">
                  <c:v>3.36</c:v>
                </c:pt>
                <c:pt idx="3">
                  <c:v>5.04</c:v>
                </c:pt>
                <c:pt idx="4">
                  <c:v>6.72</c:v>
                </c:pt>
                <c:pt idx="5">
                  <c:v>8.4</c:v>
                </c:pt>
                <c:pt idx="6">
                  <c:v>10.08</c:v>
                </c:pt>
                <c:pt idx="7">
                  <c:v>11.76</c:v>
                </c:pt>
                <c:pt idx="8">
                  <c:v>13.44</c:v>
                </c:pt>
                <c:pt idx="9">
                  <c:v>15.12</c:v>
                </c:pt>
              </c:numCache>
            </c:numRef>
          </c:xVal>
          <c:yVal>
            <c:numRef>
              <c:f>'w, tau'!$H$4:$H$13</c:f>
              <c:numCache>
                <c:formatCode>0.00</c:formatCode>
                <c:ptCount val="10"/>
                <c:pt idx="0">
                  <c:v>1</c:v>
                </c:pt>
                <c:pt idx="1">
                  <c:v>0.7777777777777779</c:v>
                </c:pt>
                <c:pt idx="2">
                  <c:v>0.61904761904761907</c:v>
                </c:pt>
                <c:pt idx="3">
                  <c:v>0.47619047619047622</c:v>
                </c:pt>
                <c:pt idx="4">
                  <c:v>0.36507936507936506</c:v>
                </c:pt>
                <c:pt idx="5">
                  <c:v>0.28571428571428575</c:v>
                </c:pt>
                <c:pt idx="6">
                  <c:v>0.22222222222222221</c:v>
                </c:pt>
                <c:pt idx="7">
                  <c:v>0.17460317460317462</c:v>
                </c:pt>
                <c:pt idx="8">
                  <c:v>0.14285714285714288</c:v>
                </c:pt>
                <c:pt idx="9">
                  <c:v>0.1111111111111111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8-4106-B236-3CA771B0E8F4}"/>
            </c:ext>
          </c:extLst>
        </c:ser>
        <c:ser>
          <c:idx val="1"/>
          <c:order val="1"/>
          <c:tx>
            <c:v>0,5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'w, tau'!$K$19:$K$24</c:f>
                <c:numCache>
                  <c:formatCode>General</c:formatCode>
                  <c:ptCount val="6"/>
                  <c:pt idx="0">
                    <c:v>5.8631889481652417E-3</c:v>
                  </c:pt>
                  <c:pt idx="1">
                    <c:v>8.9246324730541185E-3</c:v>
                  </c:pt>
                  <c:pt idx="2">
                    <c:v>1.5327375024005286E-2</c:v>
                  </c:pt>
                  <c:pt idx="3">
                    <c:v>2.9756861352029689E-2</c:v>
                  </c:pt>
                  <c:pt idx="4">
                    <c:v>5.9047862583706416E-2</c:v>
                  </c:pt>
                  <c:pt idx="5">
                    <c:v>0.11785324249084997</c:v>
                  </c:pt>
                </c:numCache>
              </c:numRef>
            </c:plus>
            <c:minus>
              <c:numRef>
                <c:f>'w, tau'!$K$19:$K$24</c:f>
                <c:numCache>
                  <c:formatCode>General</c:formatCode>
                  <c:ptCount val="6"/>
                  <c:pt idx="0">
                    <c:v>5.8631889481652417E-3</c:v>
                  </c:pt>
                  <c:pt idx="1">
                    <c:v>8.9246324730541185E-3</c:v>
                  </c:pt>
                  <c:pt idx="2">
                    <c:v>1.5327375024005286E-2</c:v>
                  </c:pt>
                  <c:pt idx="3">
                    <c:v>2.9756861352029689E-2</c:v>
                  </c:pt>
                  <c:pt idx="4">
                    <c:v>5.9047862583706416E-2</c:v>
                  </c:pt>
                  <c:pt idx="5">
                    <c:v>0.11785324249084997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'w, tau'!$B$19:$B$24</c:f>
              <c:numCache>
                <c:formatCode>0.00</c:formatCode>
                <c:ptCount val="6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4.8000000000000007</c:v>
                </c:pt>
                <c:pt idx="4">
                  <c:v>6.4</c:v>
                </c:pt>
                <c:pt idx="5">
                  <c:v>8</c:v>
                </c:pt>
              </c:numCache>
            </c:numRef>
          </c:xVal>
          <c:yVal>
            <c:numRef>
              <c:f>'w, tau'!$H$19:$H$24</c:f>
              <c:numCache>
                <c:formatCode>0.00</c:formatCode>
                <c:ptCount val="6"/>
                <c:pt idx="0">
                  <c:v>1</c:v>
                </c:pt>
                <c:pt idx="1">
                  <c:v>0.51724137931034486</c:v>
                </c:pt>
                <c:pt idx="2">
                  <c:v>0.27586206896551724</c:v>
                </c:pt>
                <c:pt idx="3">
                  <c:v>0.13793103448275862</c:v>
                </c:pt>
                <c:pt idx="4">
                  <c:v>6.8965517241379309E-2</c:v>
                </c:pt>
                <c:pt idx="5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D8-4106-B236-3CA771B0E8F4}"/>
            </c:ext>
          </c:extLst>
        </c:ser>
        <c:ser>
          <c:idx val="2"/>
          <c:order val="2"/>
          <c:tx>
            <c:v>0,8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'w, tau'!$K$30:$K$32</c:f>
                <c:numCache>
                  <c:formatCode>General</c:formatCode>
                  <c:ptCount val="3"/>
                  <c:pt idx="0">
                    <c:v>9.1849795335601815E-3</c:v>
                  </c:pt>
                  <c:pt idx="1">
                    <c:v>3.4196807691874158E-2</c:v>
                  </c:pt>
                  <c:pt idx="2">
                    <c:v>0.11727932856627933</c:v>
                  </c:pt>
                </c:numCache>
              </c:numRef>
            </c:plus>
            <c:minus>
              <c:numRef>
                <c:f>'w, tau'!$K$30:$K$32</c:f>
                <c:numCache>
                  <c:formatCode>General</c:formatCode>
                  <c:ptCount val="3"/>
                  <c:pt idx="0">
                    <c:v>9.1849795335601815E-3</c:v>
                  </c:pt>
                  <c:pt idx="1">
                    <c:v>3.4196807691874158E-2</c:v>
                  </c:pt>
                  <c:pt idx="2">
                    <c:v>0.11727932856627933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'w, tau'!$B$30:$B$32</c:f>
              <c:numCache>
                <c:formatCode>0.00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numCache>
            </c:numRef>
          </c:xVal>
          <c:yVal>
            <c:numRef>
              <c:f>'w, tau'!$H$30:$H$32</c:f>
              <c:numCache>
                <c:formatCode>0.00</c:formatCode>
                <c:ptCount val="3"/>
                <c:pt idx="0">
                  <c:v>1</c:v>
                </c:pt>
                <c:pt idx="1">
                  <c:v>0.18918918918918917</c:v>
                </c:pt>
                <c:pt idx="2">
                  <c:v>5.4054054054054057E-2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D8-4106-B236-3CA771B0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70912"/>
        <c:axId val="653852848"/>
      </c:scatterChart>
      <c:valAx>
        <c:axId val="4521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3852848"/>
        <c:crosses val="autoZero"/>
        <c:crossBetween val="midCat"/>
      </c:valAx>
      <c:valAx>
        <c:axId val="653852848"/>
        <c:scaling>
          <c:logBase val="10"/>
          <c:orientation val="minMax"/>
          <c:max val="1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21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0,8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'phi0-phiA'!$J$2:$J$21</c:f>
                <c:numCache>
                  <c:formatCode>General</c:formatCode>
                  <c:ptCount val="20"/>
                  <c:pt idx="0">
                    <c:v>2.3085201877292419E-2</c:v>
                  </c:pt>
                  <c:pt idx="1">
                    <c:v>2.4914952919391806E-2</c:v>
                  </c:pt>
                  <c:pt idx="2">
                    <c:v>2.3085201877292419E-2</c:v>
                  </c:pt>
                  <c:pt idx="3">
                    <c:v>2.3639877318106343E-2</c:v>
                  </c:pt>
                  <c:pt idx="4">
                    <c:v>2.4041381005511335E-2</c:v>
                  </c:pt>
                  <c:pt idx="5">
                    <c:v>2.5384592891394126E-2</c:v>
                  </c:pt>
                  <c:pt idx="6">
                    <c:v>2.6126818019940119E-2</c:v>
                  </c:pt>
                  <c:pt idx="7">
                    <c:v>2.6911011512376612E-2</c:v>
                  </c:pt>
                  <c:pt idx="8">
                    <c:v>2.6911011512376612E-2</c:v>
                  </c:pt>
                  <c:pt idx="9">
                    <c:v>2.6911011512376612E-2</c:v>
                  </c:pt>
                  <c:pt idx="10">
                    <c:v>2.6911011512376612E-2</c:v>
                  </c:pt>
                  <c:pt idx="11">
                    <c:v>2.6911011512376612E-2</c:v>
                  </c:pt>
                  <c:pt idx="12">
                    <c:v>2.6911011512376612E-2</c:v>
                  </c:pt>
                  <c:pt idx="13">
                    <c:v>2.6383733380317794E-2</c:v>
                  </c:pt>
                  <c:pt idx="14">
                    <c:v>2.5384592891394126E-2</c:v>
                  </c:pt>
                  <c:pt idx="15">
                    <c:v>2.4041381005511335E-2</c:v>
                  </c:pt>
                  <c:pt idx="16">
                    <c:v>2.2591329066757461E-2</c:v>
                  </c:pt>
                  <c:pt idx="17">
                    <c:v>2.1601701414833592E-2</c:v>
                  </c:pt>
                  <c:pt idx="18">
                    <c:v>2.1363307725824576E-2</c:v>
                  </c:pt>
                  <c:pt idx="19">
                    <c:v>2.1165042481474512E-2</c:v>
                  </c:pt>
                </c:numCache>
              </c:numRef>
            </c:plus>
            <c:minus>
              <c:numRef>
                <c:f>'phi0-phiA'!$J$2:$J$21</c:f>
                <c:numCache>
                  <c:formatCode>General</c:formatCode>
                  <c:ptCount val="20"/>
                  <c:pt idx="0">
                    <c:v>2.3085201877292419E-2</c:v>
                  </c:pt>
                  <c:pt idx="1">
                    <c:v>2.4914952919391806E-2</c:v>
                  </c:pt>
                  <c:pt idx="2">
                    <c:v>2.3085201877292419E-2</c:v>
                  </c:pt>
                  <c:pt idx="3">
                    <c:v>2.3639877318106343E-2</c:v>
                  </c:pt>
                  <c:pt idx="4">
                    <c:v>2.4041381005511335E-2</c:v>
                  </c:pt>
                  <c:pt idx="5">
                    <c:v>2.5384592891394126E-2</c:v>
                  </c:pt>
                  <c:pt idx="6">
                    <c:v>2.6126818019940119E-2</c:v>
                  </c:pt>
                  <c:pt idx="7">
                    <c:v>2.6911011512376612E-2</c:v>
                  </c:pt>
                  <c:pt idx="8">
                    <c:v>2.6911011512376612E-2</c:v>
                  </c:pt>
                  <c:pt idx="9">
                    <c:v>2.6911011512376612E-2</c:v>
                  </c:pt>
                  <c:pt idx="10">
                    <c:v>2.6911011512376612E-2</c:v>
                  </c:pt>
                  <c:pt idx="11">
                    <c:v>2.6911011512376612E-2</c:v>
                  </c:pt>
                  <c:pt idx="12">
                    <c:v>2.6911011512376612E-2</c:v>
                  </c:pt>
                  <c:pt idx="13">
                    <c:v>2.6383733380317794E-2</c:v>
                  </c:pt>
                  <c:pt idx="14">
                    <c:v>2.5384592891394126E-2</c:v>
                  </c:pt>
                  <c:pt idx="15">
                    <c:v>2.4041381005511335E-2</c:v>
                  </c:pt>
                  <c:pt idx="16">
                    <c:v>2.2591329066757461E-2</c:v>
                  </c:pt>
                  <c:pt idx="17">
                    <c:v>2.1601701414833592E-2</c:v>
                  </c:pt>
                  <c:pt idx="18">
                    <c:v>2.1363307725824576E-2</c:v>
                  </c:pt>
                  <c:pt idx="19">
                    <c:v>2.1165042481474512E-2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'phi0-phiA'!$G$2:$G$21</c:f>
              <c:numCache>
                <c:formatCode>0.00</c:formatCode>
                <c:ptCount val="20"/>
                <c:pt idx="0">
                  <c:v>0.31340000000000001</c:v>
                </c:pt>
                <c:pt idx="1">
                  <c:v>0.38680000000000003</c:v>
                </c:pt>
                <c:pt idx="2">
                  <c:v>0.42349999999999999</c:v>
                </c:pt>
                <c:pt idx="3">
                  <c:v>0.51524999999999999</c:v>
                </c:pt>
                <c:pt idx="4">
                  <c:v>0.55194999999999994</c:v>
                </c:pt>
                <c:pt idx="5">
                  <c:v>0.68039999999999989</c:v>
                </c:pt>
                <c:pt idx="6">
                  <c:v>0.79049999999999998</c:v>
                </c:pt>
                <c:pt idx="7">
                  <c:v>0.84554999999999991</c:v>
                </c:pt>
                <c:pt idx="8">
                  <c:v>0.88224999999999998</c:v>
                </c:pt>
                <c:pt idx="9">
                  <c:v>0.91895000000000004</c:v>
                </c:pt>
                <c:pt idx="10">
                  <c:v>0.95565</c:v>
                </c:pt>
                <c:pt idx="11">
                  <c:v>0.97399999999999998</c:v>
                </c:pt>
                <c:pt idx="12">
                  <c:v>0.99234999999999995</c:v>
                </c:pt>
                <c:pt idx="13">
                  <c:v>1.0106999999999999</c:v>
                </c:pt>
                <c:pt idx="14">
                  <c:v>1.06575</c:v>
                </c:pt>
                <c:pt idx="15">
                  <c:v>1.1575</c:v>
                </c:pt>
                <c:pt idx="16">
                  <c:v>1.341</c:v>
                </c:pt>
                <c:pt idx="17">
                  <c:v>1.708</c:v>
                </c:pt>
                <c:pt idx="18">
                  <c:v>2.0750000000000002</c:v>
                </c:pt>
                <c:pt idx="19">
                  <c:v>3.7264999999999997</c:v>
                </c:pt>
              </c:numCache>
            </c:numRef>
          </c:xVal>
          <c:yVal>
            <c:numRef>
              <c:f>'phi0-phiA'!$H$2:$H$21</c:f>
              <c:numCache>
                <c:formatCode>0.00</c:formatCode>
                <c:ptCount val="20"/>
                <c:pt idx="0">
                  <c:v>0.78431372549019618</c:v>
                </c:pt>
                <c:pt idx="1">
                  <c:v>1.1372549019607843</c:v>
                </c:pt>
                <c:pt idx="2">
                  <c:v>0.78431372549019618</c:v>
                </c:pt>
                <c:pt idx="3">
                  <c:v>0.90196078431372551</c:v>
                </c:pt>
                <c:pt idx="4">
                  <c:v>0.98039215686274517</c:v>
                </c:pt>
                <c:pt idx="5">
                  <c:v>1.215686274509804</c:v>
                </c:pt>
                <c:pt idx="6">
                  <c:v>1.3333333333333335</c:v>
                </c:pt>
                <c:pt idx="7">
                  <c:v>1.4509803921568629</c:v>
                </c:pt>
                <c:pt idx="8">
                  <c:v>1.4509803921568629</c:v>
                </c:pt>
                <c:pt idx="9">
                  <c:v>1.4509803921568629</c:v>
                </c:pt>
                <c:pt idx="10">
                  <c:v>1.4509803921568629</c:v>
                </c:pt>
                <c:pt idx="11">
                  <c:v>1.4509803921568629</c:v>
                </c:pt>
                <c:pt idx="12">
                  <c:v>1.4509803921568629</c:v>
                </c:pt>
                <c:pt idx="13">
                  <c:v>1.3725490196078431</c:v>
                </c:pt>
                <c:pt idx="14">
                  <c:v>1.215686274509804</c:v>
                </c:pt>
                <c:pt idx="15">
                  <c:v>0.98039215686274517</c:v>
                </c:pt>
                <c:pt idx="16">
                  <c:v>0.66666666666666674</c:v>
                </c:pt>
                <c:pt idx="17">
                  <c:v>0.35294117647058826</c:v>
                </c:pt>
                <c:pt idx="18">
                  <c:v>0.23529411764705882</c:v>
                </c:pt>
                <c:pt idx="19">
                  <c:v>7.8431372549019621E-2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B-4143-9BCA-D8945C04BCC9}"/>
            </c:ext>
          </c:extLst>
        </c:ser>
        <c:ser>
          <c:idx val="1"/>
          <c:order val="1"/>
          <c:tx>
            <c:v>0,3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'phi0-phiA'!$J$25:$J$40</c:f>
                <c:numCache>
                  <c:formatCode>General</c:formatCode>
                  <c:ptCount val="16"/>
                  <c:pt idx="0">
                    <c:v>9.5143144548517508E-2</c:v>
                  </c:pt>
                  <c:pt idx="1">
                    <c:v>0.11716852669908427</c:v>
                  </c:pt>
                  <c:pt idx="2">
                    <c:v>0.14693059347490356</c:v>
                  </c:pt>
                  <c:pt idx="3">
                    <c:v>0.15924662979878412</c:v>
                  </c:pt>
                  <c:pt idx="4">
                    <c:v>0.41289879403275348</c:v>
                  </c:pt>
                  <c:pt idx="5">
                    <c:v>0.71883641709606971</c:v>
                  </c:pt>
                  <c:pt idx="6">
                    <c:v>1.1595148285846399</c:v>
                  </c:pt>
                  <c:pt idx="7">
                    <c:v>1.0058505126370871</c:v>
                  </c:pt>
                  <c:pt idx="8">
                    <c:v>0.68550150056016146</c:v>
                  </c:pt>
                  <c:pt idx="9">
                    <c:v>0.28769590331569989</c:v>
                  </c:pt>
                  <c:pt idx="10">
                    <c:v>0.17800964389069421</c:v>
                  </c:pt>
                  <c:pt idx="11">
                    <c:v>0.47256572675420322</c:v>
                  </c:pt>
                  <c:pt idx="12">
                    <c:v>0.1408455760730333</c:v>
                  </c:pt>
                  <c:pt idx="13">
                    <c:v>9.003902691573093E-2</c:v>
                  </c:pt>
                  <c:pt idx="14">
                    <c:v>6.8733452235286874E-2</c:v>
                  </c:pt>
                  <c:pt idx="15">
                    <c:v>0.12278793631822643</c:v>
                  </c:pt>
                </c:numCache>
              </c:numRef>
            </c:plus>
            <c:minus>
              <c:numRef>
                <c:f>'phi0-phiA'!$J$25:$J$40</c:f>
                <c:numCache>
                  <c:formatCode>General</c:formatCode>
                  <c:ptCount val="16"/>
                  <c:pt idx="0">
                    <c:v>9.5143144548517508E-2</c:v>
                  </c:pt>
                  <c:pt idx="1">
                    <c:v>0.11716852669908427</c:v>
                  </c:pt>
                  <c:pt idx="2">
                    <c:v>0.14693059347490356</c:v>
                  </c:pt>
                  <c:pt idx="3">
                    <c:v>0.15924662979878412</c:v>
                  </c:pt>
                  <c:pt idx="4">
                    <c:v>0.41289879403275348</c:v>
                  </c:pt>
                  <c:pt idx="5">
                    <c:v>0.71883641709606971</c:v>
                  </c:pt>
                  <c:pt idx="6">
                    <c:v>1.1595148285846399</c:v>
                  </c:pt>
                  <c:pt idx="7">
                    <c:v>1.0058505126370871</c:v>
                  </c:pt>
                  <c:pt idx="8">
                    <c:v>0.68550150056016146</c:v>
                  </c:pt>
                  <c:pt idx="9">
                    <c:v>0.28769590331569989</c:v>
                  </c:pt>
                  <c:pt idx="10">
                    <c:v>0.17800964389069421</c:v>
                  </c:pt>
                  <c:pt idx="11">
                    <c:v>0.47256572675420322</c:v>
                  </c:pt>
                  <c:pt idx="12">
                    <c:v>0.1408455760730333</c:v>
                  </c:pt>
                  <c:pt idx="13">
                    <c:v>9.003902691573093E-2</c:v>
                  </c:pt>
                  <c:pt idx="14">
                    <c:v>6.8733452235286874E-2</c:v>
                  </c:pt>
                  <c:pt idx="15">
                    <c:v>0.12278793631822643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'phi0-phiA'!$G$25:$G$40</c:f>
              <c:numCache>
                <c:formatCode>0.00</c:formatCode>
                <c:ptCount val="16"/>
                <c:pt idx="0">
                  <c:v>0.42349999999999999</c:v>
                </c:pt>
                <c:pt idx="1">
                  <c:v>0.60699999999999998</c:v>
                </c:pt>
                <c:pt idx="2">
                  <c:v>0.68039999999999989</c:v>
                </c:pt>
                <c:pt idx="3">
                  <c:v>0.79049999999999998</c:v>
                </c:pt>
                <c:pt idx="4">
                  <c:v>0.88224999999999998</c:v>
                </c:pt>
                <c:pt idx="5">
                  <c:v>0.91895000000000004</c:v>
                </c:pt>
                <c:pt idx="6">
                  <c:v>0.95565</c:v>
                </c:pt>
                <c:pt idx="7">
                  <c:v>0.97399999999999998</c:v>
                </c:pt>
                <c:pt idx="8">
                  <c:v>0.99234999999999995</c:v>
                </c:pt>
                <c:pt idx="9">
                  <c:v>1.0474000000000001</c:v>
                </c:pt>
                <c:pt idx="10">
                  <c:v>1.1208</c:v>
                </c:pt>
                <c:pt idx="11">
                  <c:v>1.1575</c:v>
                </c:pt>
                <c:pt idx="12">
                  <c:v>1.5245</c:v>
                </c:pt>
                <c:pt idx="13">
                  <c:v>2.0750000000000002</c:v>
                </c:pt>
                <c:pt idx="14">
                  <c:v>2.8090000000000002</c:v>
                </c:pt>
                <c:pt idx="15">
                  <c:v>3.7264999999999997</c:v>
                </c:pt>
              </c:numCache>
            </c:numRef>
          </c:xVal>
          <c:yVal>
            <c:numRef>
              <c:f>'phi0-phiA'!$H$25:$H$40</c:f>
              <c:numCache>
                <c:formatCode>0.00</c:formatCode>
                <c:ptCount val="16"/>
                <c:pt idx="0">
                  <c:v>1.2222222222222223</c:v>
                </c:pt>
                <c:pt idx="1">
                  <c:v>1.6666666666666665</c:v>
                </c:pt>
                <c:pt idx="2">
                  <c:v>2.2222222222222223</c:v>
                </c:pt>
                <c:pt idx="3">
                  <c:v>2.4444444444444446</c:v>
                </c:pt>
                <c:pt idx="4">
                  <c:v>6.7777777777777768</c:v>
                </c:pt>
                <c:pt idx="5">
                  <c:v>11.888888888888888</c:v>
                </c:pt>
                <c:pt idx="6">
                  <c:v>19.222222222222221</c:v>
                </c:pt>
                <c:pt idx="7">
                  <c:v>16.666666666666668</c:v>
                </c:pt>
                <c:pt idx="8">
                  <c:v>11.333333333333332</c:v>
                </c:pt>
                <c:pt idx="9">
                  <c:v>4.666666666666667</c:v>
                </c:pt>
                <c:pt idx="10">
                  <c:v>2.7777777777777777</c:v>
                </c:pt>
                <c:pt idx="11">
                  <c:v>7.7777777777777777</c:v>
                </c:pt>
                <c:pt idx="12">
                  <c:v>2.1111111111111112</c:v>
                </c:pt>
                <c:pt idx="13">
                  <c:v>1.1111111111111112</c:v>
                </c:pt>
                <c:pt idx="14">
                  <c:v>0.55555555555555558</c:v>
                </c:pt>
                <c:pt idx="15">
                  <c:v>0.44444444444444448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B-4143-9BCA-D8945C04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67184"/>
        <c:axId val="491707232"/>
      </c:scatterChart>
      <c:valAx>
        <c:axId val="4864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1707232"/>
        <c:crosses val="autoZero"/>
        <c:crossBetween val="midCat"/>
      </c:valAx>
      <c:valAx>
        <c:axId val="4917072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0</xdr:row>
      <xdr:rowOff>123825</xdr:rowOff>
    </xdr:from>
    <xdr:to>
      <xdr:col>25</xdr:col>
      <xdr:colOff>361950</xdr:colOff>
      <xdr:row>33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491554-A640-4442-8A34-399E84D22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351803</xdr:colOff>
      <xdr:row>1</xdr:row>
      <xdr:rowOff>72731</xdr:rowOff>
    </xdr:from>
    <xdr:to>
      <xdr:col>31</xdr:col>
      <xdr:colOff>542305</xdr:colOff>
      <xdr:row>40</xdr:row>
      <xdr:rowOff>172480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F53355-4F8D-4E67-99E4-965A97D0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556D-5BDB-4DB1-B39B-2EBC5BE3914A}">
  <dimension ref="A1:L27"/>
  <sheetViews>
    <sheetView zoomScale="70" zoomScaleNormal="70" workbookViewId="0">
      <selection activeCell="Y20" sqref="Y20"/>
    </sheetView>
  </sheetViews>
  <sheetFormatPr baseColWidth="10" defaultColWidth="10.77734375" defaultRowHeight="14.4" x14ac:dyDescent="0.3"/>
  <cols>
    <col min="10" max="10" width="12" bestFit="1" customWidth="1"/>
    <col min="11" max="11" width="3.77734375" customWidth="1"/>
    <col min="13" max="13" width="3.6640625" customWidth="1"/>
  </cols>
  <sheetData>
    <row r="1" spans="1:12" x14ac:dyDescent="0.3">
      <c r="A1" s="2" t="s">
        <v>0</v>
      </c>
      <c r="B1" s="2" t="s">
        <v>1</v>
      </c>
      <c r="C1" s="2" t="s">
        <v>15</v>
      </c>
      <c r="D1" s="2" t="s">
        <v>2</v>
      </c>
      <c r="E1" s="1"/>
    </row>
    <row r="2" spans="1:12" x14ac:dyDescent="0.3">
      <c r="A2" s="2">
        <v>1</v>
      </c>
      <c r="B2" s="3">
        <v>93.41</v>
      </c>
      <c r="C2" s="3">
        <f>2*PI()*D2/B2</f>
        <v>3.3632294760622989</v>
      </c>
      <c r="D2" s="3">
        <v>50</v>
      </c>
      <c r="E2" s="1"/>
    </row>
    <row r="3" spans="1:12" x14ac:dyDescent="0.3">
      <c r="A3" s="2">
        <f>A2+1</f>
        <v>2</v>
      </c>
      <c r="B3" s="3">
        <v>93.53</v>
      </c>
      <c r="C3" s="3">
        <f t="shared" ref="C3" si="0">2*PI()*D3/B3</f>
        <v>3.3589144163260913</v>
      </c>
      <c r="D3" s="3">
        <v>50</v>
      </c>
      <c r="E3" s="1"/>
    </row>
    <row r="4" spans="1:12" x14ac:dyDescent="0.3">
      <c r="A4" s="2"/>
      <c r="B4" s="2" t="s">
        <v>1</v>
      </c>
      <c r="C4" s="2" t="s">
        <v>15</v>
      </c>
      <c r="D4" s="2" t="s">
        <v>2</v>
      </c>
      <c r="E4" s="1"/>
    </row>
    <row r="5" spans="1:12" x14ac:dyDescent="0.3">
      <c r="A5" s="2" t="s">
        <v>14</v>
      </c>
      <c r="B5" s="3">
        <f>AVERAGE(B2:B3)</f>
        <v>93.47</v>
      </c>
      <c r="C5" s="3">
        <f>AVERAGE(C2:C3)</f>
        <v>3.3610719461941949</v>
      </c>
      <c r="D5" s="3">
        <v>50</v>
      </c>
      <c r="E5" s="1"/>
    </row>
    <row r="6" spans="1:12" x14ac:dyDescent="0.3">
      <c r="A6" s="2"/>
      <c r="B6" s="2"/>
      <c r="C6" s="2"/>
      <c r="D6" s="2"/>
      <c r="E6" s="1"/>
    </row>
    <row r="7" spans="1:12" x14ac:dyDescent="0.3">
      <c r="A7" s="2" t="s">
        <v>3</v>
      </c>
      <c r="B7" s="2" t="s">
        <v>1</v>
      </c>
      <c r="C7" s="2" t="s">
        <v>16</v>
      </c>
      <c r="D7" s="2" t="s">
        <v>2</v>
      </c>
      <c r="E7" s="2" t="s">
        <v>5</v>
      </c>
      <c r="F7" s="2" t="s">
        <v>13</v>
      </c>
      <c r="G7" s="2"/>
      <c r="H7" s="2" t="s">
        <v>4</v>
      </c>
      <c r="I7" s="1"/>
    </row>
    <row r="8" spans="1:12" x14ac:dyDescent="0.3">
      <c r="A8" s="2" t="s">
        <v>6</v>
      </c>
      <c r="B8" s="3">
        <v>140.6</v>
      </c>
      <c r="C8" s="3">
        <f>2*PI()*D8/B8</f>
        <v>0.71501397521247068</v>
      </c>
      <c r="D8" s="3">
        <v>16</v>
      </c>
      <c r="E8" s="3">
        <f>C8/$C$5</f>
        <v>0.21273390949637197</v>
      </c>
      <c r="F8" s="3">
        <f t="shared" ref="F8:F13" si="1">(D8*$H$10)/(B8*$D$5)*SQRT(1+($B$5/B8)^2)</f>
        <v>1.1595143266395075E-3</v>
      </c>
      <c r="G8" s="2"/>
      <c r="H8" s="3">
        <v>0.3</v>
      </c>
      <c r="I8" s="1"/>
    </row>
    <row r="9" spans="1:12" x14ac:dyDescent="0.3">
      <c r="A9" s="2" t="s">
        <v>7</v>
      </c>
      <c r="B9" s="3">
        <v>114.72</v>
      </c>
      <c r="C9" s="3">
        <f t="shared" ref="C9:C13" si="2">2*PI()*D9/B9</f>
        <v>2.190789856059828</v>
      </c>
      <c r="D9" s="3">
        <v>40</v>
      </c>
      <c r="E9" s="3">
        <f t="shared" ref="E9:E13" si="3">C9/$C$5</f>
        <v>0.6518128415967116</v>
      </c>
      <c r="F9" s="3">
        <f t="shared" si="1"/>
        <v>3.8163081822743441E-3</v>
      </c>
      <c r="G9" s="2"/>
      <c r="H9" s="2" t="s">
        <v>12</v>
      </c>
      <c r="I9" s="1"/>
      <c r="J9" s="3"/>
      <c r="K9" s="3"/>
      <c r="L9" s="3"/>
    </row>
    <row r="10" spans="1:12" x14ac:dyDescent="0.3">
      <c r="A10" s="2" t="s">
        <v>8</v>
      </c>
      <c r="B10" s="3">
        <v>101.8</v>
      </c>
      <c r="C10" s="3">
        <f t="shared" si="2"/>
        <v>3.3946482504408375</v>
      </c>
      <c r="D10" s="3">
        <v>55</v>
      </c>
      <c r="E10" s="3">
        <f t="shared" si="3"/>
        <v>1.0099897606430774</v>
      </c>
      <c r="F10" s="3">
        <f t="shared" si="1"/>
        <v>6.2237008745169003E-3</v>
      </c>
      <c r="G10" s="2"/>
      <c r="H10" s="3">
        <f>SQRT(2)*H8</f>
        <v>0.42426406871192851</v>
      </c>
      <c r="I10" s="1"/>
      <c r="J10" s="3"/>
      <c r="K10" s="3"/>
      <c r="L10" s="3"/>
    </row>
    <row r="11" spans="1:12" x14ac:dyDescent="0.3">
      <c r="A11" s="2" t="s">
        <v>9</v>
      </c>
      <c r="B11" s="3">
        <v>103.16</v>
      </c>
      <c r="C11" s="3">
        <f t="shared" si="2"/>
        <v>4.5071317635836508</v>
      </c>
      <c r="D11" s="3">
        <v>74</v>
      </c>
      <c r="E11" s="3">
        <f t="shared" si="3"/>
        <v>1.3409804478262244</v>
      </c>
      <c r="F11" s="3">
        <f t="shared" si="1"/>
        <v>8.2136614308397169E-3</v>
      </c>
      <c r="G11" s="2"/>
      <c r="H11" s="2"/>
      <c r="I11" s="1"/>
      <c r="J11" s="3"/>
      <c r="K11" s="3"/>
      <c r="L11" s="3"/>
    </row>
    <row r="12" spans="1:12" x14ac:dyDescent="0.3">
      <c r="A12" s="2" t="s">
        <v>10</v>
      </c>
      <c r="B12" s="3">
        <v>106.31</v>
      </c>
      <c r="C12" s="3">
        <f t="shared" si="2"/>
        <v>5.7329411607226017</v>
      </c>
      <c r="D12" s="3">
        <v>97</v>
      </c>
      <c r="E12" s="3">
        <f t="shared" si="3"/>
        <v>1.7056883198272859</v>
      </c>
      <c r="F12" s="3">
        <f t="shared" si="1"/>
        <v>1.0309126877863974E-2</v>
      </c>
      <c r="G12" s="2"/>
      <c r="H12" s="3"/>
      <c r="J12" s="3"/>
      <c r="K12" s="3"/>
      <c r="L12" s="3"/>
    </row>
    <row r="13" spans="1:12" x14ac:dyDescent="0.3">
      <c r="A13" s="2" t="s">
        <v>11</v>
      </c>
      <c r="B13" s="3">
        <v>103.69</v>
      </c>
      <c r="C13" s="3">
        <f t="shared" si="2"/>
        <v>6.96852454745542</v>
      </c>
      <c r="D13" s="3">
        <v>115</v>
      </c>
      <c r="E13" s="3">
        <f t="shared" si="3"/>
        <v>2.0733041895595279</v>
      </c>
      <c r="F13" s="3">
        <f t="shared" si="1"/>
        <v>1.2670006530252766E-2</v>
      </c>
      <c r="G13" s="2"/>
      <c r="H13" s="3"/>
      <c r="J13" s="3"/>
      <c r="K13" s="3"/>
      <c r="L13" s="3"/>
    </row>
    <row r="14" spans="1:12" x14ac:dyDescent="0.3">
      <c r="A14" s="2"/>
      <c r="B14" s="2"/>
      <c r="C14" s="2"/>
      <c r="D14" s="2"/>
      <c r="E14" s="2"/>
      <c r="F14" s="2"/>
      <c r="G14" s="2"/>
      <c r="H14" s="3"/>
      <c r="J14" s="3"/>
      <c r="K14" s="3"/>
      <c r="L14" s="3"/>
    </row>
    <row r="15" spans="1:12" x14ac:dyDescent="0.3">
      <c r="A15" s="4"/>
      <c r="B15" s="4"/>
      <c r="C15" s="4"/>
      <c r="D15" s="3"/>
      <c r="E15" s="4"/>
      <c r="F15" s="3"/>
      <c r="G15" s="3"/>
      <c r="H15" s="3"/>
      <c r="I15" s="3"/>
      <c r="J15" s="3"/>
      <c r="K15" s="3"/>
      <c r="L15" s="3"/>
    </row>
    <row r="16" spans="1:12" x14ac:dyDescent="0.3">
      <c r="A16" s="4"/>
      <c r="B16" s="4"/>
      <c r="C16" s="4"/>
      <c r="D16" s="3"/>
      <c r="E16" s="4"/>
      <c r="F16" s="3"/>
      <c r="G16" s="3"/>
      <c r="H16" s="3"/>
      <c r="I16" s="3"/>
      <c r="J16" s="3"/>
      <c r="K16" s="3"/>
      <c r="L16" s="3"/>
    </row>
    <row r="17" spans="1:12" x14ac:dyDescent="0.3">
      <c r="A17" s="4"/>
      <c r="B17" s="4"/>
      <c r="C17" s="4"/>
      <c r="D17" s="3"/>
      <c r="E17" s="4"/>
      <c r="F17" s="3"/>
      <c r="G17" s="3"/>
      <c r="H17" s="3"/>
      <c r="I17" s="3"/>
      <c r="J17" s="3"/>
      <c r="K17" s="3"/>
      <c r="L17" s="3"/>
    </row>
    <row r="18" spans="1:12" x14ac:dyDescent="0.3">
      <c r="A18" s="4"/>
      <c r="B18" s="4"/>
      <c r="C18" s="4"/>
      <c r="D18" s="3"/>
      <c r="E18" s="4"/>
      <c r="F18" s="3"/>
      <c r="G18" s="3"/>
      <c r="H18" s="3"/>
      <c r="I18" s="3"/>
      <c r="J18" s="3"/>
      <c r="K18" s="3"/>
      <c r="L18" s="3"/>
    </row>
    <row r="19" spans="1:12" x14ac:dyDescent="0.3">
      <c r="A19" s="4"/>
      <c r="B19" s="4"/>
      <c r="C19" s="4"/>
      <c r="D19" s="3"/>
      <c r="E19" s="4"/>
      <c r="F19" s="3"/>
      <c r="G19" s="3"/>
      <c r="H19" s="3"/>
      <c r="I19" s="3"/>
      <c r="J19" s="3"/>
      <c r="K19" s="3"/>
      <c r="L19" s="3"/>
    </row>
    <row r="20" spans="1:12" x14ac:dyDescent="0.3">
      <c r="A20" s="4"/>
      <c r="B20" s="4"/>
      <c r="C20" s="4"/>
      <c r="D20" s="3"/>
      <c r="E20" s="4"/>
      <c r="F20" s="3"/>
      <c r="G20" s="3"/>
      <c r="H20" s="3"/>
      <c r="I20" s="3"/>
      <c r="J20" s="3"/>
      <c r="K20" s="3"/>
      <c r="L20" s="3"/>
    </row>
    <row r="21" spans="1:12" x14ac:dyDescent="0.3">
      <c r="A21" s="4"/>
      <c r="B21" s="4"/>
      <c r="C21" s="4"/>
      <c r="D21" s="3"/>
      <c r="E21" s="4"/>
      <c r="F21" s="3"/>
      <c r="G21" s="3"/>
      <c r="H21" s="3"/>
      <c r="I21" s="3"/>
      <c r="J21" s="3"/>
      <c r="K21" s="3"/>
      <c r="L21" s="3"/>
    </row>
    <row r="22" spans="1:12" x14ac:dyDescent="0.3">
      <c r="A22" s="4"/>
      <c r="B22" s="4"/>
      <c r="C22" s="4"/>
      <c r="D22" s="3"/>
      <c r="E22" s="4"/>
      <c r="F22" s="3"/>
      <c r="G22" s="3"/>
      <c r="H22" s="3"/>
      <c r="I22" s="3"/>
      <c r="J22" s="3"/>
      <c r="K22" s="3"/>
      <c r="L22" s="3"/>
    </row>
    <row r="23" spans="1:12" x14ac:dyDescent="0.3">
      <c r="A23" s="4"/>
      <c r="B23" s="4"/>
      <c r="C23" s="4"/>
      <c r="D23" s="3"/>
      <c r="E23" s="4"/>
      <c r="F23" s="3"/>
      <c r="G23" s="3"/>
      <c r="H23" s="3"/>
      <c r="I23" s="3"/>
      <c r="J23" s="3"/>
      <c r="K23" s="3"/>
      <c r="L23" s="3"/>
    </row>
    <row r="24" spans="1:12" x14ac:dyDescent="0.3">
      <c r="A24" s="4"/>
      <c r="B24" s="4"/>
      <c r="C24" s="4"/>
      <c r="D24" s="3"/>
      <c r="E24" s="4"/>
      <c r="F24" s="3"/>
      <c r="G24" s="3"/>
      <c r="H24" s="3"/>
      <c r="I24" s="3"/>
      <c r="J24" s="3"/>
      <c r="K24" s="3"/>
      <c r="L24" s="3"/>
    </row>
    <row r="25" spans="1:12" x14ac:dyDescent="0.3">
      <c r="A25" s="4"/>
      <c r="B25" s="4"/>
      <c r="C25" s="4"/>
      <c r="D25" s="3"/>
      <c r="E25" s="4"/>
      <c r="F25" s="3"/>
      <c r="G25" s="3"/>
      <c r="H25" s="3"/>
      <c r="I25" s="3"/>
      <c r="J25" s="3"/>
      <c r="K25" s="3"/>
      <c r="L25" s="3"/>
    </row>
    <row r="26" spans="1:12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6BA1-7A28-49EB-B218-016326E8FBC6}">
  <dimension ref="A1:P36"/>
  <sheetViews>
    <sheetView topLeftCell="A18" workbookViewId="0">
      <selection sqref="A1:P36"/>
    </sheetView>
  </sheetViews>
  <sheetFormatPr baseColWidth="10" defaultColWidth="10.77734375" defaultRowHeight="14.4" x14ac:dyDescent="0.3"/>
  <cols>
    <col min="1" max="1" width="7.21875" customWidth="1"/>
    <col min="2" max="2" width="8.44140625" customWidth="1"/>
    <col min="3" max="3" width="4.33203125" customWidth="1"/>
    <col min="4" max="5" width="8.44140625" customWidth="1"/>
    <col min="6" max="6" width="4.33203125" customWidth="1"/>
    <col min="7" max="8" width="8.44140625" customWidth="1"/>
    <col min="9" max="9" width="4.33203125" customWidth="1"/>
    <col min="10" max="11" width="8.44140625" customWidth="1"/>
    <col min="12" max="12" width="2.77734375" customWidth="1"/>
    <col min="13" max="13" width="8.44140625" customWidth="1"/>
    <col min="14" max="14" width="4.33203125" customWidth="1"/>
    <col min="15" max="15" width="8.44140625" customWidth="1"/>
    <col min="16" max="16" width="2.77734375" customWidth="1"/>
    <col min="17" max="17" width="2.6640625" customWidth="1"/>
  </cols>
  <sheetData>
    <row r="1" spans="1:16" x14ac:dyDescent="0.3">
      <c r="A1" s="14" t="s">
        <v>26</v>
      </c>
      <c r="B1" s="38" t="s">
        <v>24</v>
      </c>
      <c r="C1" s="38"/>
      <c r="D1" s="39"/>
      <c r="E1" s="38" t="s">
        <v>19</v>
      </c>
      <c r="F1" s="38"/>
      <c r="G1" s="39"/>
      <c r="H1" s="38" t="s">
        <v>18</v>
      </c>
      <c r="I1" s="38"/>
      <c r="J1" s="39"/>
      <c r="K1" s="2" t="s">
        <v>2</v>
      </c>
      <c r="L1" s="12"/>
      <c r="M1" s="38" t="s">
        <v>20</v>
      </c>
      <c r="N1" s="38"/>
      <c r="O1" s="39"/>
      <c r="P1" s="12"/>
    </row>
    <row r="2" spans="1:16" x14ac:dyDescent="0.3">
      <c r="A2" s="14" t="s">
        <v>17</v>
      </c>
      <c r="B2" s="6">
        <v>2.8</v>
      </c>
      <c r="C2" s="3" t="s">
        <v>23</v>
      </c>
      <c r="D2" s="9">
        <f>SQRT(0.05^2+(1/10*(0.2+1*10^(-3)*(B2*10)))^2)</f>
        <v>5.49530708878039E-2</v>
      </c>
      <c r="E2" s="6">
        <v>6.3</v>
      </c>
      <c r="F2" s="3" t="s">
        <v>23</v>
      </c>
      <c r="G2" s="9">
        <f>SQRT(0.05^2+(1/10*(0.2+1*10^(-3)*(E2*10)))^2)</f>
        <v>5.6495044030428015E-2</v>
      </c>
      <c r="H2" s="7">
        <f>1/6</f>
        <v>0.16666666666666666</v>
      </c>
      <c r="I2" s="3" t="s">
        <v>23</v>
      </c>
      <c r="J2" s="5">
        <v>1E-3</v>
      </c>
      <c r="K2" s="3">
        <v>10</v>
      </c>
      <c r="L2" s="12"/>
      <c r="M2" s="6">
        <f>2*PI()*H2*K2/B2</f>
        <v>3.7399912542735629</v>
      </c>
      <c r="N2" s="3" t="s">
        <v>23</v>
      </c>
      <c r="O2" s="9">
        <f>2*PI()*H2*K2*D2/(B2^2)</f>
        <v>7.3401430184236338E-2</v>
      </c>
      <c r="P2" s="20"/>
    </row>
    <row r="3" spans="1:16" x14ac:dyDescent="0.3">
      <c r="A3" s="2"/>
      <c r="B3" s="38" t="s">
        <v>25</v>
      </c>
      <c r="C3" s="38"/>
      <c r="D3" s="39"/>
      <c r="E3" s="38" t="s">
        <v>21</v>
      </c>
      <c r="F3" s="38"/>
      <c r="G3" s="39"/>
      <c r="H3" s="38" t="s">
        <v>22</v>
      </c>
      <c r="I3" s="38"/>
      <c r="J3" s="39"/>
      <c r="K3" s="2" t="s">
        <v>29</v>
      </c>
      <c r="L3" s="12"/>
      <c r="M3" s="40" t="s">
        <v>33</v>
      </c>
      <c r="N3" s="41"/>
      <c r="O3" s="41"/>
      <c r="P3" s="2"/>
    </row>
    <row r="4" spans="1:16" x14ac:dyDescent="0.3">
      <c r="A4" s="2">
        <v>1</v>
      </c>
      <c r="B4" s="6">
        <v>0</v>
      </c>
      <c r="C4" s="3" t="s">
        <v>23</v>
      </c>
      <c r="D4" s="9">
        <v>0</v>
      </c>
      <c r="E4" s="6">
        <f>E2</f>
        <v>6.3</v>
      </c>
      <c r="F4" s="3" t="s">
        <v>23</v>
      </c>
      <c r="G4" s="9">
        <f>SQRT(0.05^2+(1/10*(0.2+1*10^(-3)*(E4*10)))^2)</f>
        <v>5.6495044030428015E-2</v>
      </c>
      <c r="H4" s="6">
        <f>E4/$E$2</f>
        <v>1</v>
      </c>
      <c r="I4" s="3" t="s">
        <v>23</v>
      </c>
      <c r="J4" s="8">
        <f>SQRT((G4/$E$2)^2+((E4/($E$2)^2)*$G$2)^2)</f>
        <v>1.2681913884872454E-2</v>
      </c>
      <c r="K4" s="28">
        <f t="shared" ref="K4:K13" si="0">J4/(LN(10)*H4)</f>
        <v>5.5076852201723378E-3</v>
      </c>
      <c r="L4" s="21"/>
      <c r="M4" s="6">
        <f>-M6/M8</f>
        <v>6.7294892959394872</v>
      </c>
      <c r="N4" s="3" t="s">
        <v>23</v>
      </c>
      <c r="O4" s="9">
        <f>SQRT((O6/M8)^2+(M6*O8/(O9*M8^2))^2)</f>
        <v>0.20669677948937532</v>
      </c>
      <c r="P4" s="20"/>
    </row>
    <row r="5" spans="1:16" x14ac:dyDescent="0.3">
      <c r="A5" s="2">
        <f>1+A4</f>
        <v>2</v>
      </c>
      <c r="B5" s="6">
        <f>$B$2/(H2*K2)</f>
        <v>1.68</v>
      </c>
      <c r="C5" s="3" t="s">
        <v>23</v>
      </c>
      <c r="D5" s="9">
        <f>$D$2/(H2*K2)</f>
        <v>3.2971842532682344E-2</v>
      </c>
      <c r="E5" s="6">
        <v>4.9000000000000004</v>
      </c>
      <c r="F5" s="3" t="s">
        <v>23</v>
      </c>
      <c r="G5" s="9">
        <f t="shared" ref="G5:G13" si="1">SQRT(0.05^2+(1/10*(0.2+1*10^(-3)*(E5*10)))^2)</f>
        <v>5.5857049689363295E-2</v>
      </c>
      <c r="H5" s="6">
        <f t="shared" ref="H5:H13" si="2">E5/$E$2</f>
        <v>0.7777777777777779</v>
      </c>
      <c r="I5" s="3" t="s">
        <v>23</v>
      </c>
      <c r="J5" s="8">
        <f>SQRT((G5/$E$2)^2+((E5/($E$2)^2)*$G$2)^2)</f>
        <v>1.1280774299025633E-2</v>
      </c>
      <c r="K5" s="28">
        <f t="shared" si="0"/>
        <v>6.2989431809950987E-3</v>
      </c>
      <c r="L5" s="21"/>
      <c r="M5" s="40" t="s">
        <v>30</v>
      </c>
      <c r="N5" s="38"/>
      <c r="O5" s="39"/>
      <c r="P5" s="12"/>
    </row>
    <row r="6" spans="1:16" x14ac:dyDescent="0.3">
      <c r="A6" s="2">
        <f t="shared" ref="A6:A13" si="3">1+A5</f>
        <v>3</v>
      </c>
      <c r="B6" s="6">
        <f t="shared" ref="B6:B13" si="4">A5*$B$5</f>
        <v>3.36</v>
      </c>
      <c r="C6" s="3" t="s">
        <v>23</v>
      </c>
      <c r="D6" s="9">
        <f t="shared" ref="D6:D13" si="5">A5*$D$5</f>
        <v>6.5943685065364688E-2</v>
      </c>
      <c r="E6" s="6">
        <v>3.9</v>
      </c>
      <c r="F6" s="3" t="s">
        <v>23</v>
      </c>
      <c r="G6" s="9">
        <f t="shared" si="1"/>
        <v>5.5418498716583803E-2</v>
      </c>
      <c r="H6" s="6">
        <f t="shared" si="2"/>
        <v>0.61904761904761907</v>
      </c>
      <c r="I6" s="3" t="s">
        <v>23</v>
      </c>
      <c r="J6" s="8">
        <f t="shared" ref="J6:J13" si="6">SQRT((G6/$E$2)^2+((E6/($E$2)^2)*$G$2)^2)</f>
        <v>1.0401767027545984E-2</v>
      </c>
      <c r="K6" s="28">
        <f t="shared" si="0"/>
        <v>7.2973869587872782E-3</v>
      </c>
      <c r="L6" s="21"/>
      <c r="M6" s="17">
        <v>6</v>
      </c>
      <c r="N6" s="3" t="s">
        <v>23</v>
      </c>
      <c r="O6" s="9">
        <f>$D$2/(H2*K2)</f>
        <v>3.2971842532682344E-2</v>
      </c>
      <c r="P6" s="20"/>
    </row>
    <row r="7" spans="1:16" x14ac:dyDescent="0.3">
      <c r="A7" s="2">
        <f t="shared" si="3"/>
        <v>4</v>
      </c>
      <c r="B7" s="6">
        <f t="shared" si="4"/>
        <v>5.04</v>
      </c>
      <c r="C7" s="3" t="s">
        <v>23</v>
      </c>
      <c r="D7" s="9">
        <f t="shared" si="5"/>
        <v>9.8915527598047032E-2</v>
      </c>
      <c r="E7" s="6">
        <v>3</v>
      </c>
      <c r="F7" s="3" t="s">
        <v>23</v>
      </c>
      <c r="G7" s="9">
        <f t="shared" si="1"/>
        <v>5.5036351623268059E-2</v>
      </c>
      <c r="H7" s="6">
        <f t="shared" si="2"/>
        <v>0.47619047619047622</v>
      </c>
      <c r="I7" s="3" t="s">
        <v>23</v>
      </c>
      <c r="J7" s="8">
        <f>SQRT((G7/$E$2)^2+((E7/($E$2)^2)*$G$2)^2)</f>
        <v>9.7237468568385031E-3</v>
      </c>
      <c r="K7" s="28">
        <f t="shared" si="0"/>
        <v>8.868236167033007E-3</v>
      </c>
      <c r="L7" s="21"/>
      <c r="M7" s="40" t="s">
        <v>32</v>
      </c>
      <c r="N7" s="38"/>
      <c r="O7" s="39"/>
      <c r="P7" s="12"/>
    </row>
    <row r="8" spans="1:16" ht="15" thickBot="1" x14ac:dyDescent="0.35">
      <c r="A8" s="2">
        <f t="shared" si="3"/>
        <v>5</v>
      </c>
      <c r="B8" s="6">
        <f t="shared" si="4"/>
        <v>6.72</v>
      </c>
      <c r="C8" s="3" t="s">
        <v>23</v>
      </c>
      <c r="D8" s="9">
        <f t="shared" si="5"/>
        <v>0.13188737013072938</v>
      </c>
      <c r="E8" s="6">
        <v>2.2999999999999998</v>
      </c>
      <c r="F8" s="3" t="s">
        <v>23</v>
      </c>
      <c r="G8" s="9">
        <f t="shared" si="1"/>
        <v>5.4747511358964988E-2</v>
      </c>
      <c r="H8" s="6">
        <f t="shared" si="2"/>
        <v>0.36507936507936506</v>
      </c>
      <c r="I8" s="3" t="s">
        <v>23</v>
      </c>
      <c r="J8" s="8">
        <f t="shared" si="6"/>
        <v>9.2863082644469228E-3</v>
      </c>
      <c r="K8" s="28">
        <f t="shared" si="0"/>
        <v>1.1046892326070317E-2</v>
      </c>
      <c r="L8" s="21"/>
      <c r="M8" s="24">
        <f>LN(0.41)</f>
        <v>-0.89159811928378363</v>
      </c>
      <c r="N8" s="23" t="s">
        <v>23</v>
      </c>
      <c r="O8" s="26">
        <f>K8</f>
        <v>1.1046892326070317E-2</v>
      </c>
      <c r="P8" s="12"/>
    </row>
    <row r="9" spans="1:16" ht="15" thickTop="1" x14ac:dyDescent="0.3">
      <c r="A9" s="2">
        <f t="shared" si="3"/>
        <v>6</v>
      </c>
      <c r="B9" s="6">
        <f t="shared" si="4"/>
        <v>8.4</v>
      </c>
      <c r="C9" s="3" t="s">
        <v>23</v>
      </c>
      <c r="D9" s="9">
        <f t="shared" si="5"/>
        <v>0.16485921266341172</v>
      </c>
      <c r="E9" s="6">
        <v>1.8</v>
      </c>
      <c r="F9" s="3" t="s">
        <v>23</v>
      </c>
      <c r="G9" s="9">
        <f t="shared" si="1"/>
        <v>5.4545760605201943E-2</v>
      </c>
      <c r="H9" s="6">
        <f t="shared" si="2"/>
        <v>0.28571428571428575</v>
      </c>
      <c r="I9" s="3" t="s">
        <v>23</v>
      </c>
      <c r="J9" s="8">
        <f t="shared" si="6"/>
        <v>9.0292016982041444E-3</v>
      </c>
      <c r="K9" s="28">
        <f t="shared" si="0"/>
        <v>1.3724663657325354E-2</v>
      </c>
      <c r="L9" s="21"/>
      <c r="M9" s="41" t="s">
        <v>31</v>
      </c>
      <c r="N9" s="41"/>
      <c r="O9" s="22">
        <v>0.41</v>
      </c>
      <c r="P9" s="20"/>
    </row>
    <row r="10" spans="1:16" x14ac:dyDescent="0.3">
      <c r="A10" s="2">
        <f t="shared" si="3"/>
        <v>7</v>
      </c>
      <c r="B10" s="6">
        <f t="shared" si="4"/>
        <v>10.08</v>
      </c>
      <c r="C10" s="3" t="s">
        <v>23</v>
      </c>
      <c r="D10" s="9">
        <f t="shared" si="5"/>
        <v>0.19783105519609406</v>
      </c>
      <c r="E10" s="6">
        <v>1.4</v>
      </c>
      <c r="F10" s="3" t="s">
        <v>23</v>
      </c>
      <c r="G10" s="9">
        <f t="shared" si="1"/>
        <v>5.438713083073974E-2</v>
      </c>
      <c r="H10" s="6">
        <f t="shared" si="2"/>
        <v>0.22222222222222221</v>
      </c>
      <c r="I10" s="3" t="s">
        <v>23</v>
      </c>
      <c r="J10" s="8">
        <f t="shared" si="6"/>
        <v>8.859893640355344E-3</v>
      </c>
      <c r="K10" s="17">
        <f t="shared" si="0"/>
        <v>1.7315113132152178E-2</v>
      </c>
      <c r="L10" s="21"/>
      <c r="M10" s="2"/>
      <c r="N10" s="2"/>
      <c r="O10" s="18"/>
      <c r="P10" s="20"/>
    </row>
    <row r="11" spans="1:16" x14ac:dyDescent="0.3">
      <c r="A11" s="2">
        <f t="shared" si="3"/>
        <v>8</v>
      </c>
      <c r="B11" s="6">
        <f t="shared" si="4"/>
        <v>11.76</v>
      </c>
      <c r="C11" s="3" t="s">
        <v>23</v>
      </c>
      <c r="D11" s="9">
        <f t="shared" si="5"/>
        <v>0.23080289772877641</v>
      </c>
      <c r="E11" s="6">
        <v>1.1000000000000001</v>
      </c>
      <c r="F11" s="3" t="s">
        <v>23</v>
      </c>
      <c r="G11" s="9">
        <f t="shared" si="1"/>
        <v>5.4269789017463488E-2</v>
      </c>
      <c r="H11" s="6">
        <f t="shared" si="2"/>
        <v>0.17460317460317462</v>
      </c>
      <c r="I11" s="3" t="s">
        <v>23</v>
      </c>
      <c r="J11" s="8">
        <f t="shared" si="6"/>
        <v>8.7553931384628768E-3</v>
      </c>
      <c r="K11" s="17">
        <f t="shared" si="0"/>
        <v>2.177749021786048E-2</v>
      </c>
      <c r="L11" s="21"/>
      <c r="M11" s="2"/>
      <c r="N11" s="2"/>
      <c r="O11" s="18"/>
      <c r="P11" s="20"/>
    </row>
    <row r="12" spans="1:16" x14ac:dyDescent="0.3">
      <c r="A12" s="2">
        <f t="shared" si="3"/>
        <v>9</v>
      </c>
      <c r="B12" s="6">
        <f t="shared" si="4"/>
        <v>13.44</v>
      </c>
      <c r="C12" s="3" t="s">
        <v>23</v>
      </c>
      <c r="D12" s="9">
        <f t="shared" si="5"/>
        <v>0.26377474026145875</v>
      </c>
      <c r="E12" s="6">
        <v>0.9</v>
      </c>
      <c r="F12" s="3" t="s">
        <v>23</v>
      </c>
      <c r="G12" s="9">
        <f t="shared" si="1"/>
        <v>5.4192342632515905E-2</v>
      </c>
      <c r="H12" s="6">
        <f t="shared" si="2"/>
        <v>0.14285714285714288</v>
      </c>
      <c r="I12" s="3" t="s">
        <v>23</v>
      </c>
      <c r="J12" s="8">
        <f t="shared" si="6"/>
        <v>8.6968289176447937E-3</v>
      </c>
      <c r="K12" s="17">
        <f t="shared" si="0"/>
        <v>2.6438893662928342E-2</v>
      </c>
      <c r="L12" s="21"/>
      <c r="M12" s="2"/>
      <c r="N12" s="2"/>
      <c r="O12" s="18"/>
      <c r="P12" s="20"/>
    </row>
    <row r="13" spans="1:16" x14ac:dyDescent="0.3">
      <c r="A13" s="2">
        <f t="shared" si="3"/>
        <v>10</v>
      </c>
      <c r="B13" s="6">
        <f t="shared" si="4"/>
        <v>15.12</v>
      </c>
      <c r="C13" s="3" t="s">
        <v>23</v>
      </c>
      <c r="D13" s="9">
        <f t="shared" si="5"/>
        <v>0.29674658279414112</v>
      </c>
      <c r="E13" s="6">
        <v>0.7</v>
      </c>
      <c r="F13" s="3" t="s">
        <v>23</v>
      </c>
      <c r="G13" s="9">
        <f t="shared" si="1"/>
        <v>5.4115524574746575E-2</v>
      </c>
      <c r="H13" s="6">
        <f t="shared" si="2"/>
        <v>0.1111111111111111</v>
      </c>
      <c r="I13" s="3" t="s">
        <v>23</v>
      </c>
      <c r="J13" s="8">
        <f t="shared" si="6"/>
        <v>8.6473614572602324E-3</v>
      </c>
      <c r="K13" s="17">
        <f t="shared" si="0"/>
        <v>3.3799512275198833E-2</v>
      </c>
      <c r="L13" s="21"/>
      <c r="M13" s="2"/>
      <c r="N13" s="2"/>
      <c r="O13" s="18"/>
      <c r="P13" s="20"/>
    </row>
    <row r="14" spans="1:16" x14ac:dyDescent="0.3">
      <c r="A14" s="2"/>
      <c r="B14" s="10"/>
      <c r="C14" s="2"/>
      <c r="D14" s="11"/>
      <c r="E14" s="2"/>
      <c r="F14" s="2"/>
      <c r="G14" s="12"/>
      <c r="H14" s="2"/>
      <c r="I14" s="2"/>
      <c r="J14" s="13"/>
      <c r="K14" s="2"/>
      <c r="L14" s="12"/>
      <c r="M14" s="2"/>
      <c r="N14" s="2"/>
      <c r="O14" s="15"/>
      <c r="P14" s="15"/>
    </row>
    <row r="15" spans="1:1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3"/>
      <c r="N15" s="3"/>
      <c r="O15" s="3"/>
      <c r="P15" s="4"/>
    </row>
    <row r="16" spans="1:16" x14ac:dyDescent="0.3">
      <c r="A16" s="14" t="s">
        <v>26</v>
      </c>
      <c r="B16" s="38" t="s">
        <v>24</v>
      </c>
      <c r="C16" s="38"/>
      <c r="D16" s="39"/>
      <c r="E16" s="38" t="s">
        <v>19</v>
      </c>
      <c r="F16" s="38"/>
      <c r="G16" s="39"/>
      <c r="H16" s="38" t="s">
        <v>18</v>
      </c>
      <c r="I16" s="38"/>
      <c r="J16" s="39"/>
      <c r="K16" s="2" t="s">
        <v>2</v>
      </c>
      <c r="L16" s="12"/>
      <c r="M16" s="38" t="s">
        <v>20</v>
      </c>
      <c r="N16" s="38"/>
      <c r="O16" s="39"/>
      <c r="P16" s="12"/>
    </row>
    <row r="17" spans="1:16" x14ac:dyDescent="0.3">
      <c r="A17" s="14" t="s">
        <v>27</v>
      </c>
      <c r="B17" s="6">
        <v>1.6</v>
      </c>
      <c r="C17" s="3" t="s">
        <v>23</v>
      </c>
      <c r="D17" s="9">
        <f>SQRT(0.05^2+(1/10*(0.2+1*10^(-3)*(B17*10)))^2)</f>
        <v>5.4466136268327324E-2</v>
      </c>
      <c r="E17" s="6">
        <v>5.8</v>
      </c>
      <c r="F17" s="3" t="s">
        <v>23</v>
      </c>
      <c r="G17" s="9">
        <f>SQRT(0.05^2+(1/10*(0.2+1*10^(-3)*(E17*10)))^2)</f>
        <v>5.6264020474900305E-2</v>
      </c>
      <c r="H17" s="7">
        <f>1/6</f>
        <v>0.16666666666666666</v>
      </c>
      <c r="I17" s="3" t="s">
        <v>23</v>
      </c>
      <c r="J17" s="5">
        <v>1E-3</v>
      </c>
      <c r="K17" s="3">
        <v>6</v>
      </c>
      <c r="L17" s="12"/>
      <c r="M17" s="6">
        <f>2*PI()*H17*K17/B17</f>
        <v>3.9269908169872414</v>
      </c>
      <c r="N17" s="3" t="s">
        <v>23</v>
      </c>
      <c r="O17" s="9">
        <f>2*PI()*H17*K17*D17/(B17^2)</f>
        <v>0.13368001060156068</v>
      </c>
      <c r="P17" s="20"/>
    </row>
    <row r="18" spans="1:16" x14ac:dyDescent="0.3">
      <c r="A18" s="2"/>
      <c r="B18" s="38" t="s">
        <v>25</v>
      </c>
      <c r="C18" s="38"/>
      <c r="D18" s="39"/>
      <c r="E18" s="38" t="s">
        <v>21</v>
      </c>
      <c r="F18" s="38"/>
      <c r="G18" s="39"/>
      <c r="H18" s="38" t="s">
        <v>22</v>
      </c>
      <c r="I18" s="38"/>
      <c r="J18" s="39"/>
      <c r="K18" s="2" t="s">
        <v>29</v>
      </c>
      <c r="L18" s="12"/>
      <c r="M18" s="40" t="s">
        <v>34</v>
      </c>
      <c r="N18" s="41"/>
      <c r="O18" s="41"/>
      <c r="P18" s="2"/>
    </row>
    <row r="19" spans="1:16" x14ac:dyDescent="0.3">
      <c r="A19" s="2">
        <v>1</v>
      </c>
      <c r="B19" s="6">
        <v>0</v>
      </c>
      <c r="C19" s="3" t="s">
        <v>23</v>
      </c>
      <c r="D19" s="9">
        <v>0</v>
      </c>
      <c r="E19" s="6">
        <f>E17</f>
        <v>5.8</v>
      </c>
      <c r="F19" s="3" t="s">
        <v>23</v>
      </c>
      <c r="G19" s="9">
        <f>SQRT(0.05^2+(1/10*(0.2+1*10^(-3)*(E19+10)))^2)</f>
        <v>5.4458207829490686E-2</v>
      </c>
      <c r="H19" s="6">
        <f>E19/$E$17</f>
        <v>1</v>
      </c>
      <c r="I19" s="3" t="s">
        <v>23</v>
      </c>
      <c r="J19" s="8">
        <f>SQRT((G19/$E$17)^2+((E19/($E$17)^2)*$G$17)^2)</f>
        <v>1.3500491469452725E-2</v>
      </c>
      <c r="K19" s="28">
        <f t="shared" ref="K19:K24" si="7">J19/(LN(10)*H19)</f>
        <v>5.8631889481652417E-3</v>
      </c>
      <c r="L19" s="21"/>
      <c r="M19" s="6">
        <f>-M21/M23</f>
        <v>2.4674794085111453</v>
      </c>
      <c r="N19" s="3" t="s">
        <v>23</v>
      </c>
      <c r="O19" s="9">
        <f>SQRT((O21/M23)^2+(M21*O23/(O24*M23^2))^2)</f>
        <v>8.6184392893797174E-2</v>
      </c>
      <c r="P19" s="20"/>
    </row>
    <row r="20" spans="1:16" x14ac:dyDescent="0.3">
      <c r="A20" s="2">
        <f>1+A19</f>
        <v>2</v>
      </c>
      <c r="B20" s="6">
        <f>$B$17/(H17*K17)</f>
        <v>1.6</v>
      </c>
      <c r="C20" s="3" t="s">
        <v>23</v>
      </c>
      <c r="D20" s="9">
        <f>$D$17/(H17*K17)</f>
        <v>5.4466136268327324E-2</v>
      </c>
      <c r="E20" s="6">
        <v>3</v>
      </c>
      <c r="F20" s="3" t="s">
        <v>23</v>
      </c>
      <c r="G20" s="9">
        <f t="shared" ref="G20:G24" si="8">SQRT(0.05^2+(1/10*(0.2+1*10^(-3)*(E20+10)))^2)</f>
        <v>5.4347861043467026E-2</v>
      </c>
      <c r="H20" s="6">
        <f>E20/$E$17</f>
        <v>0.51724137931034486</v>
      </c>
      <c r="I20" s="3" t="s">
        <v>23</v>
      </c>
      <c r="J20" s="8">
        <f t="shared" ref="J20:J24" si="9">SQRT((G20/$E$17)^2+((E20/($E$17)^2)*$G$17)^2)</f>
        <v>1.0629168461847414E-2</v>
      </c>
      <c r="K20" s="28">
        <f t="shared" si="7"/>
        <v>8.9246324730541185E-3</v>
      </c>
      <c r="L20" s="21"/>
      <c r="M20" s="40" t="s">
        <v>30</v>
      </c>
      <c r="N20" s="38"/>
      <c r="O20" s="39"/>
      <c r="P20" s="12"/>
    </row>
    <row r="21" spans="1:16" x14ac:dyDescent="0.3">
      <c r="A21" s="2">
        <f t="shared" ref="A21:A24" si="10">1+A20</f>
        <v>3</v>
      </c>
      <c r="B21" s="6">
        <f>A20*$B$20</f>
        <v>3.2</v>
      </c>
      <c r="C21" s="3" t="s">
        <v>23</v>
      </c>
      <c r="D21" s="9">
        <f>A20*$D$20</f>
        <v>0.10893227253665465</v>
      </c>
      <c r="E21" s="6">
        <v>1.6</v>
      </c>
      <c r="F21" s="3" t="s">
        <v>23</v>
      </c>
      <c r="G21" s="9">
        <f t="shared" si="8"/>
        <v>5.4293145055338249E-2</v>
      </c>
      <c r="H21" s="6">
        <f t="shared" ref="H21:H24" si="11">E21/$E$17</f>
        <v>0.27586206896551724</v>
      </c>
      <c r="I21" s="3" t="s">
        <v>23</v>
      </c>
      <c r="J21" s="8">
        <f t="shared" si="9"/>
        <v>9.7358855848286435E-3</v>
      </c>
      <c r="K21" s="28">
        <f t="shared" si="7"/>
        <v>1.5327375024005286E-2</v>
      </c>
      <c r="L21" s="21"/>
      <c r="M21" s="17">
        <v>2.2000000000000002</v>
      </c>
      <c r="N21" s="3" t="s">
        <v>23</v>
      </c>
      <c r="O21" s="9">
        <f>$D$2/(H17*K17)</f>
        <v>5.49530708878039E-2</v>
      </c>
      <c r="P21" s="20"/>
    </row>
    <row r="22" spans="1:16" x14ac:dyDescent="0.3">
      <c r="A22" s="2">
        <f t="shared" si="10"/>
        <v>4</v>
      </c>
      <c r="B22" s="6">
        <f t="shared" ref="B22:B24" si="12">A21*$B$20</f>
        <v>4.8000000000000007</v>
      </c>
      <c r="C22" s="3" t="s">
        <v>23</v>
      </c>
      <c r="D22" s="9">
        <f t="shared" ref="D22:D24" si="13">A21*$D$20</f>
        <v>0.16339840880498196</v>
      </c>
      <c r="E22" s="6">
        <v>0.8</v>
      </c>
      <c r="F22" s="3" t="s">
        <v>23</v>
      </c>
      <c r="G22" s="9">
        <f t="shared" si="8"/>
        <v>5.4262016180750237E-2</v>
      </c>
      <c r="H22" s="6">
        <f t="shared" si="11"/>
        <v>0.13793103448275862</v>
      </c>
      <c r="I22" s="3" t="s">
        <v>23</v>
      </c>
      <c r="J22" s="8">
        <f t="shared" si="9"/>
        <v>9.4507179811688571E-3</v>
      </c>
      <c r="K22" s="17">
        <f t="shared" si="7"/>
        <v>2.9756861352029689E-2</v>
      </c>
      <c r="L22" s="21"/>
      <c r="M22" s="40" t="s">
        <v>32</v>
      </c>
      <c r="N22" s="38"/>
      <c r="O22" s="39"/>
      <c r="P22" s="12"/>
    </row>
    <row r="23" spans="1:16" ht="15" thickBot="1" x14ac:dyDescent="0.35">
      <c r="A23" s="2">
        <f t="shared" si="10"/>
        <v>5</v>
      </c>
      <c r="B23" s="6">
        <f t="shared" si="12"/>
        <v>6.4</v>
      </c>
      <c r="C23" s="3" t="s">
        <v>23</v>
      </c>
      <c r="D23" s="9">
        <f t="shared" si="13"/>
        <v>0.2178645450733093</v>
      </c>
      <c r="E23" s="6">
        <v>0.4</v>
      </c>
      <c r="F23" s="3" t="s">
        <v>23</v>
      </c>
      <c r="G23" s="9">
        <f t="shared" si="8"/>
        <v>5.4246489287326241E-2</v>
      </c>
      <c r="H23" s="6">
        <f t="shared" si="11"/>
        <v>6.8965517241379309E-2</v>
      </c>
      <c r="I23" s="3" t="s">
        <v>23</v>
      </c>
      <c r="J23" s="8">
        <f t="shared" si="9"/>
        <v>9.3767398729933307E-3</v>
      </c>
      <c r="K23" s="17">
        <f t="shared" si="7"/>
        <v>5.9047862583706416E-2</v>
      </c>
      <c r="L23" s="21"/>
      <c r="M23" s="24">
        <f>LN(O24)</f>
        <v>-0.89159811928378363</v>
      </c>
      <c r="N23" s="23" t="s">
        <v>23</v>
      </c>
      <c r="O23" s="26">
        <f>K20</f>
        <v>8.9246324730541185E-3</v>
      </c>
      <c r="P23" s="12"/>
    </row>
    <row r="24" spans="1:16" ht="15" thickTop="1" x14ac:dyDescent="0.3">
      <c r="A24" s="2">
        <f t="shared" si="10"/>
        <v>6</v>
      </c>
      <c r="B24" s="6">
        <f t="shared" si="12"/>
        <v>8</v>
      </c>
      <c r="C24" s="3" t="s">
        <v>23</v>
      </c>
      <c r="D24" s="9">
        <f t="shared" si="13"/>
        <v>0.27233068134163663</v>
      </c>
      <c r="E24" s="6">
        <v>0.2</v>
      </c>
      <c r="F24" s="3" t="s">
        <v>23</v>
      </c>
      <c r="G24" s="9">
        <f t="shared" si="8"/>
        <v>5.4238735235991632E-2</v>
      </c>
      <c r="H24" s="6">
        <f t="shared" si="11"/>
        <v>3.4482758620689655E-2</v>
      </c>
      <c r="I24" s="3" t="s">
        <v>23</v>
      </c>
      <c r="J24" s="8">
        <f t="shared" si="9"/>
        <v>9.3574868731187456E-3</v>
      </c>
      <c r="K24" s="17">
        <f t="shared" si="7"/>
        <v>0.11785324249084997</v>
      </c>
      <c r="L24" s="21"/>
      <c r="M24" s="41" t="s">
        <v>31</v>
      </c>
      <c r="N24" s="41"/>
      <c r="O24" s="22">
        <v>0.41</v>
      </c>
      <c r="P24" s="2"/>
    </row>
    <row r="25" spans="1:16" x14ac:dyDescent="0.3">
      <c r="A25" s="2"/>
      <c r="B25" s="10"/>
      <c r="C25" s="2"/>
      <c r="D25" s="11"/>
      <c r="E25" s="2"/>
      <c r="F25" s="2"/>
      <c r="G25" s="12"/>
      <c r="H25" s="2"/>
      <c r="I25" s="2"/>
      <c r="J25" s="13"/>
      <c r="K25" s="2"/>
      <c r="L25" s="12"/>
      <c r="M25" s="2"/>
      <c r="N25" s="2"/>
      <c r="O25" s="2"/>
      <c r="P25" s="2"/>
    </row>
    <row r="26" spans="1:1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4"/>
      <c r="M26" s="3"/>
      <c r="N26" s="3"/>
      <c r="O26" s="3"/>
      <c r="P26" s="4"/>
    </row>
    <row r="27" spans="1:16" x14ac:dyDescent="0.3">
      <c r="A27" s="14" t="s">
        <v>26</v>
      </c>
      <c r="B27" s="38" t="s">
        <v>24</v>
      </c>
      <c r="C27" s="38"/>
      <c r="D27" s="39"/>
      <c r="E27" s="38" t="s">
        <v>19</v>
      </c>
      <c r="F27" s="38"/>
      <c r="G27" s="39"/>
      <c r="H27" s="38" t="s">
        <v>18</v>
      </c>
      <c r="I27" s="38"/>
      <c r="J27" s="39"/>
      <c r="K27" s="2" t="s">
        <v>2</v>
      </c>
      <c r="L27" s="12"/>
      <c r="M27" s="38" t="s">
        <v>20</v>
      </c>
      <c r="N27" s="38"/>
      <c r="O27" s="39"/>
      <c r="P27" s="12"/>
    </row>
    <row r="28" spans="1:16" x14ac:dyDescent="0.3">
      <c r="A28" s="14" t="s">
        <v>28</v>
      </c>
      <c r="B28" s="6">
        <v>0.75</v>
      </c>
      <c r="C28" s="3" t="s">
        <v>23</v>
      </c>
      <c r="D28" s="9">
        <f>SQRT(0.05^2+(1/10*(0.2+1*10^(-3)*(B28*10)))^2)</f>
        <v>5.4134670036862703E-2</v>
      </c>
      <c r="E28" s="6">
        <v>3.7</v>
      </c>
      <c r="F28" s="3" t="s">
        <v>23</v>
      </c>
      <c r="G28" s="9">
        <f>SQRT(0.05^2+(1/10*(0.2+1*10^(-3)*(E28*10)))^2)</f>
        <v>5.533254015495765E-2</v>
      </c>
      <c r="H28" s="7">
        <f>1/6</f>
        <v>0.16666666666666666</v>
      </c>
      <c r="I28" s="3" t="s">
        <v>23</v>
      </c>
      <c r="J28" s="5">
        <v>1E-3</v>
      </c>
      <c r="K28" s="3">
        <v>3</v>
      </c>
      <c r="L28" s="12"/>
      <c r="M28" s="6">
        <f>2*PI()*H28*K28/B28</f>
        <v>4.1887902047863905</v>
      </c>
      <c r="N28" s="3" t="s">
        <v>23</v>
      </c>
      <c r="O28" s="9">
        <f>2*PI()*H28*K28*D28/(B28^2)</f>
        <v>0.30234503411967173</v>
      </c>
      <c r="P28" s="20"/>
    </row>
    <row r="29" spans="1:16" x14ac:dyDescent="0.3">
      <c r="A29" s="2"/>
      <c r="B29" s="38" t="s">
        <v>25</v>
      </c>
      <c r="C29" s="38"/>
      <c r="D29" s="39"/>
      <c r="E29" s="38" t="s">
        <v>21</v>
      </c>
      <c r="F29" s="38"/>
      <c r="G29" s="39"/>
      <c r="H29" s="38" t="s">
        <v>22</v>
      </c>
      <c r="I29" s="38"/>
      <c r="J29" s="39"/>
      <c r="K29" s="2" t="s">
        <v>29</v>
      </c>
      <c r="L29" s="12"/>
      <c r="M29" s="40" t="s">
        <v>34</v>
      </c>
      <c r="N29" s="41"/>
      <c r="O29" s="41"/>
      <c r="P29" s="2"/>
    </row>
    <row r="30" spans="1:16" x14ac:dyDescent="0.3">
      <c r="A30" s="2">
        <v>1</v>
      </c>
      <c r="B30" s="6">
        <v>0</v>
      </c>
      <c r="C30" s="3" t="s">
        <v>23</v>
      </c>
      <c r="D30" s="9">
        <v>0</v>
      </c>
      <c r="E30" s="6">
        <f>E28</f>
        <v>3.7</v>
      </c>
      <c r="F30" s="3" t="s">
        <v>23</v>
      </c>
      <c r="G30" s="9">
        <f>SQRT(0.05^2+(1/10*(0.2+1*10^(-3)*(E30*10)))^2)</f>
        <v>5.533254015495765E-2</v>
      </c>
      <c r="H30" s="6">
        <f>E30/$E$28</f>
        <v>1</v>
      </c>
      <c r="I30" s="3" t="s">
        <v>23</v>
      </c>
      <c r="J30" s="8">
        <f>SQRT((G30/$E$28)^2+((E30/($E$28)^2)*$G$28)^2)</f>
        <v>2.1149196953431079E-2</v>
      </c>
      <c r="K30" s="28">
        <f>J30/(LN(10)*H30)</f>
        <v>9.1849795335601815E-3</v>
      </c>
      <c r="L30" s="21"/>
      <c r="M30" s="6">
        <f>-M32/M34</f>
        <v>1.009423394390923</v>
      </c>
      <c r="N30" s="3" t="s">
        <v>23</v>
      </c>
      <c r="O30" s="9">
        <f>SQRT((O32/M34)^2+(M32*O34/(O35*M34^2))^2)</f>
        <v>0.15528049085409229</v>
      </c>
      <c r="P30" s="2"/>
    </row>
    <row r="31" spans="1:16" x14ac:dyDescent="0.3">
      <c r="A31" s="2">
        <f>1+A30</f>
        <v>2</v>
      </c>
      <c r="B31" s="6">
        <f>$B$28/(H28*K28)</f>
        <v>1.5</v>
      </c>
      <c r="C31" s="3" t="s">
        <v>23</v>
      </c>
      <c r="D31" s="9">
        <f>$D$28/(H28*K28)</f>
        <v>0.10826934007372541</v>
      </c>
      <c r="E31" s="6">
        <v>0.7</v>
      </c>
      <c r="F31" s="3" t="s">
        <v>23</v>
      </c>
      <c r="G31" s="9">
        <f t="shared" ref="G31:G32" si="14">SQRT(0.05^2+(1/10*(0.2+1*10^(-3)*(E31*10)))^2)</f>
        <v>5.4115524574746575E-2</v>
      </c>
      <c r="H31" s="6">
        <f>E31/$E$28</f>
        <v>0.18918918918918917</v>
      </c>
      <c r="I31" s="3" t="s">
        <v>23</v>
      </c>
      <c r="J31" s="8">
        <f>SQRT((G31/$E$28)^2+((E31/($E$28)^2)*$G$28)^2)</f>
        <v>1.4896957225271753E-2</v>
      </c>
      <c r="K31" s="17">
        <f>J31/(LN(10)*H31)</f>
        <v>3.4196807691874158E-2</v>
      </c>
      <c r="L31" s="21"/>
      <c r="M31" s="40" t="s">
        <v>30</v>
      </c>
      <c r="N31" s="38"/>
      <c r="O31" s="39"/>
      <c r="P31" s="2"/>
    </row>
    <row r="32" spans="1:16" x14ac:dyDescent="0.3">
      <c r="A32" s="2">
        <f t="shared" ref="A32" si="15">1+A31</f>
        <v>3</v>
      </c>
      <c r="B32" s="6">
        <f>A31*$B$31</f>
        <v>3</v>
      </c>
      <c r="C32" s="3" t="s">
        <v>23</v>
      </c>
      <c r="D32" s="9">
        <f>A31*$D$31</f>
        <v>0.21653868014745081</v>
      </c>
      <c r="E32" s="6">
        <v>0.2</v>
      </c>
      <c r="F32" s="3" t="s">
        <v>23</v>
      </c>
      <c r="G32" s="9">
        <f t="shared" si="14"/>
        <v>5.3926245929046469E-2</v>
      </c>
      <c r="H32" s="6">
        <f t="shared" ref="H32" si="16">E32/$E$28</f>
        <v>5.4054054054054057E-2</v>
      </c>
      <c r="I32" s="3" t="s">
        <v>23</v>
      </c>
      <c r="J32" s="8">
        <f t="shared" ref="J32" si="17">SQRT((G32/$E$28)^2+((E32/($E$28)^2)*$G$28)^2)</f>
        <v>1.4597061279625166E-2</v>
      </c>
      <c r="K32" s="17">
        <f>J32/(LN(10)*H32)</f>
        <v>0.11727932856627933</v>
      </c>
      <c r="L32" s="21"/>
      <c r="M32" s="17">
        <v>0.9</v>
      </c>
      <c r="N32" s="3" t="s">
        <v>23</v>
      </c>
      <c r="O32" s="9">
        <f>$D$2/(H28*K28)</f>
        <v>0.1099061417756078</v>
      </c>
      <c r="P32" s="2"/>
    </row>
    <row r="33" spans="1:16" x14ac:dyDescent="0.3">
      <c r="A33" s="2"/>
      <c r="B33" s="10"/>
      <c r="C33" s="2"/>
      <c r="D33" s="11"/>
      <c r="E33" s="2"/>
      <c r="F33" s="2"/>
      <c r="G33" s="12"/>
      <c r="H33" s="2"/>
      <c r="I33" s="2"/>
      <c r="J33" s="13"/>
      <c r="K33" s="2"/>
      <c r="L33" s="12"/>
      <c r="M33" s="40" t="s">
        <v>32</v>
      </c>
      <c r="N33" s="38"/>
      <c r="O33" s="39"/>
      <c r="P33" s="2"/>
    </row>
    <row r="34" spans="1:16" ht="15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5">
        <f>LN(O35)</f>
        <v>-0.89159811928378363</v>
      </c>
      <c r="N34" s="23" t="s">
        <v>23</v>
      </c>
      <c r="O34" s="27">
        <f>K31</f>
        <v>3.4196807691874158E-2</v>
      </c>
      <c r="P34" s="2"/>
    </row>
    <row r="35" spans="1:16" ht="15" thickTop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41" t="s">
        <v>31</v>
      </c>
      <c r="N35" s="41"/>
      <c r="O35" s="22">
        <v>0.41</v>
      </c>
      <c r="P35" s="2"/>
    </row>
    <row r="36" spans="1:1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</sheetData>
  <mergeCells count="33">
    <mergeCell ref="M24:N24"/>
    <mergeCell ref="M31:O31"/>
    <mergeCell ref="M33:O33"/>
    <mergeCell ref="M35:N35"/>
    <mergeCell ref="M5:O5"/>
    <mergeCell ref="M7:O7"/>
    <mergeCell ref="M20:O20"/>
    <mergeCell ref="M22:O22"/>
    <mergeCell ref="M9:N9"/>
    <mergeCell ref="B27:D27"/>
    <mergeCell ref="E27:G27"/>
    <mergeCell ref="H27:J27"/>
    <mergeCell ref="M27:O27"/>
    <mergeCell ref="B29:D29"/>
    <mergeCell ref="E29:G29"/>
    <mergeCell ref="H29:J29"/>
    <mergeCell ref="M29:O29"/>
    <mergeCell ref="B16:D16"/>
    <mergeCell ref="E16:G16"/>
    <mergeCell ref="H16:J16"/>
    <mergeCell ref="M16:O16"/>
    <mergeCell ref="B18:D18"/>
    <mergeCell ref="E18:G18"/>
    <mergeCell ref="H18:J18"/>
    <mergeCell ref="M18:O18"/>
    <mergeCell ref="B1:D1"/>
    <mergeCell ref="E1:G1"/>
    <mergeCell ref="H1:J1"/>
    <mergeCell ref="M1:O1"/>
    <mergeCell ref="E3:G3"/>
    <mergeCell ref="B3:D3"/>
    <mergeCell ref="H3:J3"/>
    <mergeCell ref="M3:O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5D1B-B318-4858-A072-4E2D728F09B9}">
  <dimension ref="A1:R41"/>
  <sheetViews>
    <sheetView tabSelected="1" topLeftCell="A9" zoomScale="80" zoomScaleNormal="80" workbookViewId="0">
      <selection activeCell="D25" sqref="D25"/>
    </sheetView>
  </sheetViews>
  <sheetFormatPr baseColWidth="10" defaultColWidth="10.77734375" defaultRowHeight="14.4" x14ac:dyDescent="0.3"/>
  <cols>
    <col min="1" max="1" width="4.88671875" customWidth="1"/>
    <col min="3" max="3" width="14.21875" customWidth="1"/>
    <col min="5" max="5" width="3.6640625" customWidth="1"/>
    <col min="9" max="9" width="3.33203125" customWidth="1"/>
    <col min="11" max="11" width="2.77734375" customWidth="1"/>
    <col min="13" max="13" width="3.6640625" customWidth="1"/>
    <col min="15" max="15" width="2.77734375" customWidth="1"/>
  </cols>
  <sheetData>
    <row r="1" spans="1:18" ht="15.6" thickTop="1" thickBot="1" x14ac:dyDescent="0.35">
      <c r="A1" s="2" t="s">
        <v>36</v>
      </c>
      <c r="B1" s="2" t="s">
        <v>35</v>
      </c>
      <c r="C1" s="2" t="s">
        <v>38</v>
      </c>
      <c r="D1" s="41" t="s">
        <v>42</v>
      </c>
      <c r="E1" s="41"/>
      <c r="F1" s="41"/>
      <c r="G1" s="34" t="s">
        <v>39</v>
      </c>
      <c r="H1" s="38" t="s">
        <v>40</v>
      </c>
      <c r="I1" s="38"/>
      <c r="J1" s="39"/>
      <c r="K1" s="12"/>
      <c r="L1" s="40" t="s">
        <v>37</v>
      </c>
      <c r="M1" s="41"/>
      <c r="N1" s="41"/>
      <c r="O1" s="1"/>
    </row>
    <row r="2" spans="1:18" ht="15" thickTop="1" x14ac:dyDescent="0.3">
      <c r="A2" s="2">
        <v>1</v>
      </c>
      <c r="B2" s="6">
        <v>0.2</v>
      </c>
      <c r="C2" s="32">
        <v>2</v>
      </c>
      <c r="D2" s="6">
        <f>0.5*C2</f>
        <v>1</v>
      </c>
      <c r="E2" s="3" t="s">
        <v>23</v>
      </c>
      <c r="F2" s="19">
        <f>0.5*SQRT(0.05^2+(1/10*(0.2+1*10^(-3)*(C2*10)))^2)</f>
        <v>2.7313000567495329E-2</v>
      </c>
      <c r="G2" s="33">
        <f>0.367*B2+0.24</f>
        <v>0.31340000000000001</v>
      </c>
      <c r="H2" s="6">
        <f t="shared" ref="H2:H21" si="0">D2/$L$4</f>
        <v>0.78431372549019618</v>
      </c>
      <c r="I2" s="3" t="s">
        <v>23</v>
      </c>
      <c r="J2" s="8">
        <f t="shared" ref="J2:J21" si="1">SQRT((F2/$L$4)^2+($N$4*D2/($L$4)^2)^2)</f>
        <v>2.3085201877292419E-2</v>
      </c>
      <c r="K2" s="21"/>
      <c r="L2" s="42">
        <v>5.0999999999999996</v>
      </c>
      <c r="M2" s="42"/>
      <c r="N2" s="42"/>
      <c r="O2" s="1"/>
      <c r="Q2" s="29"/>
      <c r="R2" s="29"/>
    </row>
    <row r="3" spans="1:18" x14ac:dyDescent="0.3">
      <c r="A3" s="2">
        <f>A2+1</f>
        <v>2</v>
      </c>
      <c r="B3" s="6">
        <v>0.4</v>
      </c>
      <c r="C3" s="37">
        <v>2.9</v>
      </c>
      <c r="D3" s="6">
        <f t="shared" ref="D3:D21" si="2">0.5*C3</f>
        <v>1.45</v>
      </c>
      <c r="E3" s="3" t="s">
        <v>23</v>
      </c>
      <c r="F3" s="19">
        <f t="shared" ref="F3:F21" si="3">0.5*SQRT(0.05^2+(1/10*(0.2+1*10^(-3)*(C3*10)))^2)</f>
        <v>2.7497318051039089E-2</v>
      </c>
      <c r="G3" s="33">
        <f t="shared" ref="G3:G21" si="4">0.367*B3+0.24</f>
        <v>0.38680000000000003</v>
      </c>
      <c r="H3" s="6">
        <f t="shared" si="0"/>
        <v>1.1372549019607843</v>
      </c>
      <c r="I3" s="3" t="s">
        <v>23</v>
      </c>
      <c r="J3" s="8">
        <f t="shared" si="1"/>
        <v>2.4914952919391806E-2</v>
      </c>
      <c r="K3" s="21"/>
      <c r="L3" s="43" t="s">
        <v>41</v>
      </c>
      <c r="M3" s="44"/>
      <c r="N3" s="44"/>
      <c r="O3" s="1"/>
      <c r="Q3" s="29"/>
      <c r="R3" s="29"/>
    </row>
    <row r="4" spans="1:18" x14ac:dyDescent="0.3">
      <c r="A4" s="2">
        <f t="shared" ref="A4:A21" si="5">A3+1</f>
        <v>3</v>
      </c>
      <c r="B4" s="6">
        <v>0.5</v>
      </c>
      <c r="C4" s="33">
        <v>2</v>
      </c>
      <c r="D4" s="6">
        <f t="shared" si="2"/>
        <v>1</v>
      </c>
      <c r="E4" s="3" t="s">
        <v>23</v>
      </c>
      <c r="F4" s="19">
        <f t="shared" si="3"/>
        <v>2.7313000567495329E-2</v>
      </c>
      <c r="G4" s="33">
        <f t="shared" si="4"/>
        <v>0.42349999999999999</v>
      </c>
      <c r="H4" s="6">
        <f t="shared" si="0"/>
        <v>0.78431372549019618</v>
      </c>
      <c r="I4" s="3" t="s">
        <v>23</v>
      </c>
      <c r="J4" s="8">
        <f t="shared" si="1"/>
        <v>2.3085201877292419E-2</v>
      </c>
      <c r="K4" s="21"/>
      <c r="L4" s="7">
        <f>L2*0.5*0.5</f>
        <v>1.2749999999999999</v>
      </c>
      <c r="M4" s="3" t="s">
        <v>23</v>
      </c>
      <c r="N4" s="7">
        <f>0.5*0.5*SQRT(0.05^2+(1/10*(0.2+1*10^(-3)*(L2*10)))^2)</f>
        <v>1.398662307349419E-2</v>
      </c>
      <c r="O4" s="1"/>
      <c r="Q4" s="29"/>
      <c r="R4" s="29"/>
    </row>
    <row r="5" spans="1:18" x14ac:dyDescent="0.3">
      <c r="A5" s="2">
        <f t="shared" si="5"/>
        <v>4</v>
      </c>
      <c r="B5" s="6">
        <v>0.75</v>
      </c>
      <c r="C5" s="33">
        <v>2.2999999999999998</v>
      </c>
      <c r="D5" s="6">
        <f t="shared" si="2"/>
        <v>1.1499999999999999</v>
      </c>
      <c r="E5" s="3" t="s">
        <v>23</v>
      </c>
      <c r="F5" s="19">
        <f t="shared" si="3"/>
        <v>2.7373755679482494E-2</v>
      </c>
      <c r="G5" s="33">
        <f t="shared" si="4"/>
        <v>0.51524999999999999</v>
      </c>
      <c r="H5" s="6">
        <f t="shared" si="0"/>
        <v>0.90196078431372551</v>
      </c>
      <c r="I5" s="3" t="s">
        <v>23</v>
      </c>
      <c r="J5" s="8">
        <f t="shared" si="1"/>
        <v>2.3639877318106343E-2</v>
      </c>
      <c r="K5" s="21"/>
      <c r="L5" s="2"/>
      <c r="M5" s="2"/>
      <c r="N5" s="2"/>
      <c r="O5" s="1"/>
      <c r="Q5" s="29"/>
      <c r="R5" s="29"/>
    </row>
    <row r="6" spans="1:18" x14ac:dyDescent="0.3">
      <c r="A6" s="2">
        <f t="shared" si="5"/>
        <v>5</v>
      </c>
      <c r="B6" s="6">
        <v>0.85</v>
      </c>
      <c r="C6" s="33">
        <v>2.5</v>
      </c>
      <c r="D6" s="6">
        <f t="shared" si="2"/>
        <v>1.25</v>
      </c>
      <c r="E6" s="3" t="s">
        <v>23</v>
      </c>
      <c r="F6" s="19">
        <f t="shared" si="3"/>
        <v>2.741464024932664E-2</v>
      </c>
      <c r="G6" s="33">
        <f t="shared" si="4"/>
        <v>0.55194999999999994</v>
      </c>
      <c r="H6" s="6">
        <f t="shared" si="0"/>
        <v>0.98039215686274517</v>
      </c>
      <c r="I6" s="3" t="s">
        <v>23</v>
      </c>
      <c r="J6" s="8">
        <f t="shared" si="1"/>
        <v>2.4041381005511335E-2</v>
      </c>
      <c r="K6" s="21"/>
      <c r="L6" s="45" t="s">
        <v>43</v>
      </c>
      <c r="M6" s="45"/>
      <c r="N6" s="45"/>
      <c r="O6" s="1"/>
      <c r="Q6" s="29"/>
      <c r="R6" s="29"/>
    </row>
    <row r="7" spans="1:18" x14ac:dyDescent="0.3">
      <c r="A7" s="2">
        <f t="shared" si="5"/>
        <v>6</v>
      </c>
      <c r="B7" s="6">
        <v>1.2</v>
      </c>
      <c r="C7" s="33">
        <v>3.1</v>
      </c>
      <c r="D7" s="6">
        <f t="shared" si="2"/>
        <v>1.55</v>
      </c>
      <c r="E7" s="3" t="s">
        <v>23</v>
      </c>
      <c r="F7" s="19">
        <f t="shared" si="3"/>
        <v>2.7539108554926032E-2</v>
      </c>
      <c r="G7" s="33">
        <f t="shared" si="4"/>
        <v>0.68039999999999989</v>
      </c>
      <c r="H7" s="6">
        <f t="shared" si="0"/>
        <v>1.215686274509804</v>
      </c>
      <c r="I7" s="3" t="s">
        <v>23</v>
      </c>
      <c r="J7" s="8">
        <f t="shared" si="1"/>
        <v>2.5384592891394126E-2</v>
      </c>
      <c r="K7" s="21"/>
      <c r="L7" s="45"/>
      <c r="M7" s="45"/>
      <c r="N7" s="45"/>
      <c r="O7" s="1"/>
      <c r="Q7" s="29"/>
      <c r="R7" s="29"/>
    </row>
    <row r="8" spans="1:18" x14ac:dyDescent="0.3">
      <c r="A8" s="2">
        <f t="shared" si="5"/>
        <v>7</v>
      </c>
      <c r="B8" s="6">
        <v>1.5</v>
      </c>
      <c r="C8" s="33">
        <v>3.4</v>
      </c>
      <c r="D8" s="6">
        <f t="shared" si="2"/>
        <v>1.7</v>
      </c>
      <c r="E8" s="3" t="s">
        <v>23</v>
      </c>
      <c r="F8" s="19">
        <f t="shared" si="3"/>
        <v>2.7602354971994696E-2</v>
      </c>
      <c r="G8" s="33">
        <f t="shared" si="4"/>
        <v>0.79049999999999998</v>
      </c>
      <c r="H8" s="6">
        <f t="shared" si="0"/>
        <v>1.3333333333333335</v>
      </c>
      <c r="I8" s="3" t="s">
        <v>23</v>
      </c>
      <c r="J8" s="8">
        <f t="shared" si="1"/>
        <v>2.6126818019940119E-2</v>
      </c>
      <c r="K8" s="21"/>
      <c r="L8" s="2"/>
      <c r="M8" s="2"/>
      <c r="N8" s="2"/>
      <c r="O8" s="1"/>
      <c r="Q8" s="29"/>
      <c r="R8" s="29"/>
    </row>
    <row r="9" spans="1:18" x14ac:dyDescent="0.3">
      <c r="A9" s="2">
        <f t="shared" si="5"/>
        <v>8</v>
      </c>
      <c r="B9" s="6">
        <v>1.65</v>
      </c>
      <c r="C9" s="33">
        <v>3.7</v>
      </c>
      <c r="D9" s="6">
        <f t="shared" si="2"/>
        <v>1.85</v>
      </c>
      <c r="E9" s="3" t="s">
        <v>23</v>
      </c>
      <c r="F9" s="19">
        <f t="shared" si="3"/>
        <v>2.7666270077478825E-2</v>
      </c>
      <c r="G9" s="33">
        <f t="shared" si="4"/>
        <v>0.84554999999999991</v>
      </c>
      <c r="H9" s="6">
        <f t="shared" si="0"/>
        <v>1.4509803921568629</v>
      </c>
      <c r="I9" s="3" t="s">
        <v>23</v>
      </c>
      <c r="J9" s="8">
        <f t="shared" si="1"/>
        <v>2.6911011512376612E-2</v>
      </c>
      <c r="K9" s="21"/>
      <c r="L9" s="4"/>
      <c r="M9" s="3"/>
      <c r="N9" s="3"/>
      <c r="Q9" s="29"/>
      <c r="R9" s="29"/>
    </row>
    <row r="10" spans="1:18" x14ac:dyDescent="0.3">
      <c r="A10" s="2">
        <f t="shared" si="5"/>
        <v>9</v>
      </c>
      <c r="B10" s="6">
        <v>1.75</v>
      </c>
      <c r="C10" s="33">
        <v>3.7</v>
      </c>
      <c r="D10" s="6">
        <f t="shared" si="2"/>
        <v>1.85</v>
      </c>
      <c r="E10" s="3" t="s">
        <v>23</v>
      </c>
      <c r="F10" s="19">
        <f t="shared" si="3"/>
        <v>2.7666270077478825E-2</v>
      </c>
      <c r="G10" s="33">
        <f t="shared" si="4"/>
        <v>0.88224999999999998</v>
      </c>
      <c r="H10" s="6">
        <f t="shared" si="0"/>
        <v>1.4509803921568629</v>
      </c>
      <c r="I10" s="3" t="s">
        <v>23</v>
      </c>
      <c r="J10" s="8">
        <f t="shared" si="1"/>
        <v>2.6911011512376612E-2</v>
      </c>
      <c r="K10" s="21"/>
      <c r="L10" s="4"/>
      <c r="M10" s="3"/>
      <c r="N10" s="3"/>
      <c r="Q10" s="29"/>
      <c r="R10" s="29"/>
    </row>
    <row r="11" spans="1:18" x14ac:dyDescent="0.3">
      <c r="A11" s="2">
        <f t="shared" si="5"/>
        <v>10</v>
      </c>
      <c r="B11" s="6">
        <v>1.85</v>
      </c>
      <c r="C11" s="33">
        <v>3.7</v>
      </c>
      <c r="D11" s="6">
        <f t="shared" si="2"/>
        <v>1.85</v>
      </c>
      <c r="E11" s="3" t="s">
        <v>23</v>
      </c>
      <c r="F11" s="19">
        <f t="shared" si="3"/>
        <v>2.7666270077478825E-2</v>
      </c>
      <c r="G11" s="33">
        <f t="shared" si="4"/>
        <v>0.91895000000000004</v>
      </c>
      <c r="H11" s="6">
        <f t="shared" si="0"/>
        <v>1.4509803921568629</v>
      </c>
      <c r="I11" s="3" t="s">
        <v>23</v>
      </c>
      <c r="J11" s="8">
        <f t="shared" si="1"/>
        <v>2.6911011512376612E-2</v>
      </c>
      <c r="K11" s="21"/>
      <c r="L11" s="4"/>
      <c r="M11" s="3"/>
      <c r="N11" s="3"/>
      <c r="Q11" s="29"/>
      <c r="R11" s="29"/>
    </row>
    <row r="12" spans="1:18" x14ac:dyDescent="0.3">
      <c r="A12" s="2">
        <f t="shared" si="5"/>
        <v>11</v>
      </c>
      <c r="B12" s="6">
        <v>1.95</v>
      </c>
      <c r="C12" s="33">
        <v>3.7</v>
      </c>
      <c r="D12" s="6">
        <f t="shared" si="2"/>
        <v>1.85</v>
      </c>
      <c r="E12" s="3" t="s">
        <v>23</v>
      </c>
      <c r="F12" s="19">
        <f t="shared" si="3"/>
        <v>2.7666270077478825E-2</v>
      </c>
      <c r="G12" s="33">
        <f t="shared" si="4"/>
        <v>0.95565</v>
      </c>
      <c r="H12" s="6">
        <f t="shared" si="0"/>
        <v>1.4509803921568629</v>
      </c>
      <c r="I12" s="3" t="s">
        <v>23</v>
      </c>
      <c r="J12" s="8">
        <f t="shared" si="1"/>
        <v>2.6911011512376612E-2</v>
      </c>
      <c r="K12" s="21"/>
      <c r="L12" s="4"/>
      <c r="M12" s="3"/>
      <c r="N12" s="3"/>
      <c r="Q12" s="29"/>
      <c r="R12" s="29"/>
    </row>
    <row r="13" spans="1:18" x14ac:dyDescent="0.3">
      <c r="A13" s="2">
        <f t="shared" si="5"/>
        <v>12</v>
      </c>
      <c r="B13" s="6">
        <v>2</v>
      </c>
      <c r="C13" s="33">
        <v>3.7</v>
      </c>
      <c r="D13" s="6">
        <f t="shared" si="2"/>
        <v>1.85</v>
      </c>
      <c r="E13" s="3" t="s">
        <v>23</v>
      </c>
      <c r="F13" s="19">
        <f t="shared" si="3"/>
        <v>2.7666270077478825E-2</v>
      </c>
      <c r="G13" s="33">
        <f t="shared" si="4"/>
        <v>0.97399999999999998</v>
      </c>
      <c r="H13" s="6">
        <f t="shared" si="0"/>
        <v>1.4509803921568629</v>
      </c>
      <c r="I13" s="3" t="s">
        <v>23</v>
      </c>
      <c r="J13" s="8">
        <f t="shared" si="1"/>
        <v>2.6911011512376612E-2</v>
      </c>
      <c r="K13" s="21"/>
      <c r="L13" s="4"/>
      <c r="M13" s="3"/>
      <c r="N13" s="3"/>
      <c r="Q13" s="29"/>
      <c r="R13" s="29"/>
    </row>
    <row r="14" spans="1:18" x14ac:dyDescent="0.3">
      <c r="A14" s="2">
        <f t="shared" si="5"/>
        <v>13</v>
      </c>
      <c r="B14" s="6">
        <v>2.0499999999999998</v>
      </c>
      <c r="C14" s="33">
        <v>3.7</v>
      </c>
      <c r="D14" s="6">
        <f t="shared" si="2"/>
        <v>1.85</v>
      </c>
      <c r="E14" s="3" t="s">
        <v>23</v>
      </c>
      <c r="F14" s="19">
        <f t="shared" si="3"/>
        <v>2.7666270077478825E-2</v>
      </c>
      <c r="G14" s="33">
        <f t="shared" si="4"/>
        <v>0.99234999999999995</v>
      </c>
      <c r="H14" s="6">
        <f t="shared" si="0"/>
        <v>1.4509803921568629</v>
      </c>
      <c r="I14" s="3" t="s">
        <v>23</v>
      </c>
      <c r="J14" s="8">
        <f t="shared" si="1"/>
        <v>2.6911011512376612E-2</v>
      </c>
      <c r="K14" s="21"/>
      <c r="L14" s="4"/>
      <c r="M14" s="3"/>
      <c r="N14" s="3"/>
      <c r="Q14" s="29"/>
      <c r="R14" s="29"/>
    </row>
    <row r="15" spans="1:18" x14ac:dyDescent="0.3">
      <c r="A15" s="2">
        <f t="shared" si="5"/>
        <v>14</v>
      </c>
      <c r="B15" s="6">
        <v>2.1</v>
      </c>
      <c r="C15" s="33">
        <v>3.5</v>
      </c>
      <c r="D15" s="6">
        <f t="shared" si="2"/>
        <v>1.75</v>
      </c>
      <c r="E15" s="3" t="s">
        <v>23</v>
      </c>
      <c r="F15" s="19">
        <f t="shared" si="3"/>
        <v>2.7623585936659277E-2</v>
      </c>
      <c r="G15" s="33">
        <f t="shared" si="4"/>
        <v>1.0106999999999999</v>
      </c>
      <c r="H15" s="6">
        <f t="shared" si="0"/>
        <v>1.3725490196078431</v>
      </c>
      <c r="I15" s="3" t="s">
        <v>23</v>
      </c>
      <c r="J15" s="8">
        <f t="shared" si="1"/>
        <v>2.6383733380317794E-2</v>
      </c>
      <c r="K15" s="21"/>
      <c r="L15" s="4"/>
      <c r="M15" s="3"/>
      <c r="N15" s="3"/>
      <c r="Q15" s="29"/>
      <c r="R15" s="29"/>
    </row>
    <row r="16" spans="1:18" x14ac:dyDescent="0.3">
      <c r="A16" s="2">
        <f t="shared" si="5"/>
        <v>15</v>
      </c>
      <c r="B16" s="6">
        <v>2.25</v>
      </c>
      <c r="C16" s="33">
        <v>3.1</v>
      </c>
      <c r="D16" s="6">
        <f t="shared" si="2"/>
        <v>1.55</v>
      </c>
      <c r="E16" s="3" t="s">
        <v>23</v>
      </c>
      <c r="F16" s="19">
        <f t="shared" si="3"/>
        <v>2.7539108554926032E-2</v>
      </c>
      <c r="G16" s="33">
        <f t="shared" si="4"/>
        <v>1.06575</v>
      </c>
      <c r="H16" s="6">
        <f t="shared" si="0"/>
        <v>1.215686274509804</v>
      </c>
      <c r="I16" s="3" t="s">
        <v>23</v>
      </c>
      <c r="J16" s="8">
        <f t="shared" si="1"/>
        <v>2.5384592891394126E-2</v>
      </c>
      <c r="K16" s="21"/>
      <c r="L16" s="4"/>
      <c r="M16" s="3"/>
      <c r="N16" s="3"/>
      <c r="Q16" s="29"/>
      <c r="R16" s="29"/>
    </row>
    <row r="17" spans="1:18" x14ac:dyDescent="0.3">
      <c r="A17" s="2">
        <f t="shared" si="5"/>
        <v>16</v>
      </c>
      <c r="B17" s="6">
        <v>2.5</v>
      </c>
      <c r="C17" s="33">
        <v>2.5</v>
      </c>
      <c r="D17" s="6">
        <f t="shared" si="2"/>
        <v>1.25</v>
      </c>
      <c r="E17" s="3" t="s">
        <v>23</v>
      </c>
      <c r="F17" s="19">
        <f t="shared" si="3"/>
        <v>2.741464024932664E-2</v>
      </c>
      <c r="G17" s="33">
        <f t="shared" si="4"/>
        <v>1.1575</v>
      </c>
      <c r="H17" s="6">
        <f t="shared" si="0"/>
        <v>0.98039215686274517</v>
      </c>
      <c r="I17" s="3" t="s">
        <v>23</v>
      </c>
      <c r="J17" s="8">
        <f t="shared" si="1"/>
        <v>2.4041381005511335E-2</v>
      </c>
      <c r="K17" s="21"/>
      <c r="L17" s="4"/>
      <c r="M17" s="3"/>
      <c r="N17" s="3"/>
      <c r="Q17" s="29"/>
      <c r="R17" s="29"/>
    </row>
    <row r="18" spans="1:18" x14ac:dyDescent="0.3">
      <c r="A18" s="2">
        <f t="shared" si="5"/>
        <v>17</v>
      </c>
      <c r="B18" s="6">
        <v>3</v>
      </c>
      <c r="C18" s="33">
        <v>1.7</v>
      </c>
      <c r="D18" s="6">
        <f t="shared" si="2"/>
        <v>0.85</v>
      </c>
      <c r="E18" s="3" t="s">
        <v>23</v>
      </c>
      <c r="F18" s="19">
        <f t="shared" si="3"/>
        <v>2.7252935621690375E-2</v>
      </c>
      <c r="G18" s="33">
        <f t="shared" si="4"/>
        <v>1.341</v>
      </c>
      <c r="H18" s="6">
        <f t="shared" si="0"/>
        <v>0.66666666666666674</v>
      </c>
      <c r="I18" s="3" t="s">
        <v>23</v>
      </c>
      <c r="J18" s="8">
        <f t="shared" si="1"/>
        <v>2.2591329066757461E-2</v>
      </c>
      <c r="K18" s="21"/>
      <c r="L18" s="4"/>
      <c r="M18" s="3"/>
      <c r="N18" s="3"/>
      <c r="Q18" s="29"/>
      <c r="R18" s="29"/>
    </row>
    <row r="19" spans="1:18" x14ac:dyDescent="0.3">
      <c r="A19" s="2">
        <f t="shared" si="5"/>
        <v>18</v>
      </c>
      <c r="B19" s="6">
        <v>4</v>
      </c>
      <c r="C19" s="33">
        <v>0.9</v>
      </c>
      <c r="D19" s="6">
        <f t="shared" si="2"/>
        <v>0.45</v>
      </c>
      <c r="E19" s="3" t="s">
        <v>23</v>
      </c>
      <c r="F19" s="19">
        <f t="shared" si="3"/>
        <v>2.7096171316257953E-2</v>
      </c>
      <c r="G19" s="33">
        <f t="shared" si="4"/>
        <v>1.708</v>
      </c>
      <c r="H19" s="6">
        <f t="shared" si="0"/>
        <v>0.35294117647058826</v>
      </c>
      <c r="I19" s="3" t="s">
        <v>23</v>
      </c>
      <c r="J19" s="8">
        <f t="shared" si="1"/>
        <v>2.1601701414833592E-2</v>
      </c>
      <c r="K19" s="21"/>
      <c r="L19" s="4"/>
      <c r="M19" s="3"/>
      <c r="N19" s="3"/>
      <c r="Q19" s="29"/>
      <c r="R19" s="29"/>
    </row>
    <row r="20" spans="1:18" x14ac:dyDescent="0.3">
      <c r="A20" s="2">
        <f t="shared" si="5"/>
        <v>19</v>
      </c>
      <c r="B20" s="6">
        <v>5</v>
      </c>
      <c r="C20" s="33">
        <v>0.6</v>
      </c>
      <c r="D20" s="6">
        <f t="shared" si="2"/>
        <v>0.3</v>
      </c>
      <c r="E20" s="3" t="s">
        <v>23</v>
      </c>
      <c r="F20" s="19">
        <f t="shared" si="3"/>
        <v>2.7038676003088617E-2</v>
      </c>
      <c r="G20" s="33">
        <f t="shared" si="4"/>
        <v>2.0750000000000002</v>
      </c>
      <c r="H20" s="6">
        <f t="shared" si="0"/>
        <v>0.23529411764705882</v>
      </c>
      <c r="I20" s="3" t="s">
        <v>23</v>
      </c>
      <c r="J20" s="8">
        <f t="shared" si="1"/>
        <v>2.1363307725824576E-2</v>
      </c>
      <c r="K20" s="21"/>
      <c r="L20" s="4"/>
      <c r="M20" s="3"/>
      <c r="N20" s="3"/>
      <c r="Q20" s="29"/>
      <c r="R20" s="29"/>
    </row>
    <row r="21" spans="1:18" x14ac:dyDescent="0.3">
      <c r="A21" s="2">
        <f t="shared" si="5"/>
        <v>20</v>
      </c>
      <c r="B21" s="6">
        <v>9.5</v>
      </c>
      <c r="C21" s="33">
        <v>0.2</v>
      </c>
      <c r="D21" s="6">
        <f t="shared" si="2"/>
        <v>0.1</v>
      </c>
      <c r="E21" s="3" t="s">
        <v>23</v>
      </c>
      <c r="F21" s="19">
        <f t="shared" si="3"/>
        <v>2.6963122964523235E-2</v>
      </c>
      <c r="G21" s="33">
        <f t="shared" si="4"/>
        <v>3.7264999999999997</v>
      </c>
      <c r="H21" s="6">
        <f t="shared" si="0"/>
        <v>7.8431372549019621E-2</v>
      </c>
      <c r="I21" s="3" t="s">
        <v>23</v>
      </c>
      <c r="J21" s="8">
        <f t="shared" si="1"/>
        <v>2.1165042481474512E-2</v>
      </c>
      <c r="K21" s="21"/>
      <c r="L21" s="4"/>
      <c r="M21" s="3"/>
      <c r="N21" s="3"/>
      <c r="Q21" s="29"/>
      <c r="R21" s="29"/>
    </row>
    <row r="22" spans="1:18" x14ac:dyDescent="0.3">
      <c r="A22" s="1"/>
      <c r="B22" s="31"/>
      <c r="C22" s="36"/>
      <c r="D22" s="1"/>
      <c r="E22" s="1"/>
      <c r="F22" s="1"/>
      <c r="G22" s="36"/>
      <c r="H22" s="1"/>
      <c r="I22" s="1"/>
      <c r="J22" s="35"/>
      <c r="K22" s="36"/>
      <c r="L22" s="16"/>
    </row>
    <row r="23" spans="1:18" x14ac:dyDescent="0.3">
      <c r="B23" s="30"/>
    </row>
    <row r="24" spans="1:18" ht="15" thickBot="1" x14ac:dyDescent="0.35">
      <c r="A24" s="2" t="s">
        <v>36</v>
      </c>
      <c r="B24" s="2" t="s">
        <v>35</v>
      </c>
      <c r="C24" s="2" t="s">
        <v>38</v>
      </c>
      <c r="D24" s="41" t="s">
        <v>42</v>
      </c>
      <c r="E24" s="41"/>
      <c r="F24" s="41"/>
      <c r="G24" s="12" t="s">
        <v>39</v>
      </c>
      <c r="H24" s="38" t="s">
        <v>40</v>
      </c>
      <c r="I24" s="38"/>
      <c r="J24" s="39"/>
      <c r="K24" s="12"/>
      <c r="L24" s="40" t="s">
        <v>37</v>
      </c>
      <c r="M24" s="41"/>
      <c r="N24" s="41"/>
      <c r="O24" s="1"/>
    </row>
    <row r="25" spans="1:18" ht="15" thickTop="1" x14ac:dyDescent="0.3">
      <c r="A25" s="2">
        <v>1</v>
      </c>
      <c r="B25" s="6">
        <v>0.5</v>
      </c>
      <c r="C25" s="32">
        <v>1.1000000000000001</v>
      </c>
      <c r="D25" s="6">
        <f>0.5*0.5*C25</f>
        <v>0.27500000000000002</v>
      </c>
      <c r="E25" s="3" t="s">
        <v>23</v>
      </c>
      <c r="F25" s="19">
        <f>0.5*0.5*SQRT(0.05^2+(1/10*(0.2+1*10^(-3)*(C25*10)))^2)</f>
        <v>1.3567447254365872E-2</v>
      </c>
      <c r="G25" s="33">
        <f>0.367*B25+0.24</f>
        <v>0.42349999999999999</v>
      </c>
      <c r="H25" s="6">
        <f>D25/$L$27</f>
        <v>1.2222222222222223</v>
      </c>
      <c r="I25" s="3" t="s">
        <v>23</v>
      </c>
      <c r="J25" s="8">
        <f>SQRT((F25/$L$27)^2+($N$27*D25/($L$27)^2)^2)</f>
        <v>9.5143144548517508E-2</v>
      </c>
      <c r="K25" s="21"/>
      <c r="L25" s="42">
        <v>0.9</v>
      </c>
      <c r="M25" s="42"/>
      <c r="N25" s="42"/>
      <c r="O25" s="1"/>
    </row>
    <row r="26" spans="1:18" x14ac:dyDescent="0.3">
      <c r="A26" s="2">
        <f>A25+1</f>
        <v>2</v>
      </c>
      <c r="B26" s="6">
        <v>1</v>
      </c>
      <c r="C26" s="33">
        <v>1.5</v>
      </c>
      <c r="D26" s="6">
        <f t="shared" ref="D26:D39" si="6">0.5*0.5*C26</f>
        <v>0.375</v>
      </c>
      <c r="E26" s="3" t="s">
        <v>23</v>
      </c>
      <c r="F26" s="19">
        <f t="shared" ref="F26:F39" si="7">0.5*0.5*SQRT(0.05^2+(1/10*(0.2+1*10^(-3)*(C26*10)))^2)</f>
        <v>1.3606639004544804E-2</v>
      </c>
      <c r="G26" s="33">
        <f t="shared" ref="G26:G40" si="8">0.367*B26+0.24</f>
        <v>0.60699999999999998</v>
      </c>
      <c r="H26" s="6">
        <f t="shared" ref="H26:H39" si="9">D26/$L$27</f>
        <v>1.6666666666666665</v>
      </c>
      <c r="I26" s="3" t="s">
        <v>23</v>
      </c>
      <c r="J26" s="8">
        <f t="shared" ref="J26:J40" si="10">SQRT((F26/$L$27)^2+($N$27*D26/($L$27)^2)^2)</f>
        <v>0.11716852669908427</v>
      </c>
      <c r="K26" s="21"/>
      <c r="L26" s="43" t="s">
        <v>41</v>
      </c>
      <c r="M26" s="44"/>
      <c r="N26" s="44"/>
      <c r="O26" s="1"/>
    </row>
    <row r="27" spans="1:18" x14ac:dyDescent="0.3">
      <c r="A27" s="2">
        <f t="shared" ref="A27:A40" si="11">A26+1</f>
        <v>3</v>
      </c>
      <c r="B27" s="6">
        <v>1.2</v>
      </c>
      <c r="C27" s="33">
        <v>2</v>
      </c>
      <c r="D27" s="6">
        <f t="shared" si="6"/>
        <v>0.5</v>
      </c>
      <c r="E27" s="3" t="s">
        <v>23</v>
      </c>
      <c r="F27" s="19">
        <f t="shared" si="7"/>
        <v>1.3656500283747664E-2</v>
      </c>
      <c r="G27" s="33">
        <f>0.367*B27+0.24</f>
        <v>0.68039999999999989</v>
      </c>
      <c r="H27" s="6">
        <f t="shared" si="9"/>
        <v>2.2222222222222223</v>
      </c>
      <c r="I27" s="3" t="s">
        <v>23</v>
      </c>
      <c r="J27" s="8">
        <f t="shared" si="10"/>
        <v>0.14693059347490356</v>
      </c>
      <c r="K27" s="21"/>
      <c r="L27" s="7">
        <f>L25*0.5*0.5</f>
        <v>0.22500000000000001</v>
      </c>
      <c r="M27" s="3" t="s">
        <v>23</v>
      </c>
      <c r="N27" s="7">
        <f>0.5*0.5*SQRT(0.05^2+(1/10*(0.2+1*10^(-3)*(L25*10)))^2)</f>
        <v>1.3548085658128976E-2</v>
      </c>
      <c r="O27" s="1"/>
    </row>
    <row r="28" spans="1:18" x14ac:dyDescent="0.3">
      <c r="A28" s="2">
        <f t="shared" si="11"/>
        <v>4</v>
      </c>
      <c r="B28" s="6">
        <v>1.5</v>
      </c>
      <c r="C28" s="33">
        <v>2.2000000000000002</v>
      </c>
      <c r="D28" s="6">
        <f t="shared" si="6"/>
        <v>0.55000000000000004</v>
      </c>
      <c r="E28" s="3" t="s">
        <v>23</v>
      </c>
      <c r="F28" s="19">
        <f t="shared" si="7"/>
        <v>1.3676713786578998E-2</v>
      </c>
      <c r="G28" s="33">
        <f>0.367*B28+0.24</f>
        <v>0.79049999999999998</v>
      </c>
      <c r="H28" s="6">
        <f t="shared" si="9"/>
        <v>2.4444444444444446</v>
      </c>
      <c r="I28" s="3" t="s">
        <v>23</v>
      </c>
      <c r="J28" s="8">
        <f t="shared" si="10"/>
        <v>0.15924662979878412</v>
      </c>
      <c r="K28" s="21"/>
      <c r="L28" s="2"/>
      <c r="M28" s="2"/>
      <c r="N28" s="2"/>
      <c r="O28" s="1"/>
    </row>
    <row r="29" spans="1:18" x14ac:dyDescent="0.3">
      <c r="A29" s="2">
        <f t="shared" si="11"/>
        <v>5</v>
      </c>
      <c r="B29" s="6">
        <v>1.75</v>
      </c>
      <c r="C29" s="33">
        <v>6.1</v>
      </c>
      <c r="D29" s="6">
        <f t="shared" si="6"/>
        <v>1.5249999999999999</v>
      </c>
      <c r="E29" s="3" t="s">
        <v>23</v>
      </c>
      <c r="F29" s="19">
        <f t="shared" si="7"/>
        <v>1.4100554067128002E-2</v>
      </c>
      <c r="G29" s="33">
        <f>0.367*B29+0.24</f>
        <v>0.88224999999999998</v>
      </c>
      <c r="H29" s="6">
        <f t="shared" si="9"/>
        <v>6.7777777777777768</v>
      </c>
      <c r="I29" s="3" t="s">
        <v>23</v>
      </c>
      <c r="J29" s="8">
        <f t="shared" si="10"/>
        <v>0.41289879403275348</v>
      </c>
      <c r="K29" s="21"/>
      <c r="L29" s="45" t="s">
        <v>44</v>
      </c>
      <c r="M29" s="45"/>
      <c r="N29" s="45"/>
      <c r="O29" s="1"/>
    </row>
    <row r="30" spans="1:18" x14ac:dyDescent="0.3">
      <c r="A30" s="2">
        <f t="shared" si="11"/>
        <v>6</v>
      </c>
      <c r="B30" s="6">
        <v>1.85</v>
      </c>
      <c r="C30" s="33">
        <v>10.7</v>
      </c>
      <c r="D30" s="6">
        <f t="shared" si="6"/>
        <v>2.6749999999999998</v>
      </c>
      <c r="E30" s="3" t="s">
        <v>23</v>
      </c>
      <c r="F30" s="19">
        <f t="shared" si="7"/>
        <v>1.4668184107107466E-2</v>
      </c>
      <c r="G30" s="33">
        <f>0.367*B30+0.24</f>
        <v>0.91895000000000004</v>
      </c>
      <c r="H30" s="6">
        <f t="shared" si="9"/>
        <v>11.888888888888888</v>
      </c>
      <c r="I30" s="3" t="s">
        <v>23</v>
      </c>
      <c r="J30" s="8">
        <f t="shared" si="10"/>
        <v>0.71883641709606971</v>
      </c>
      <c r="K30" s="21"/>
      <c r="L30" s="45"/>
      <c r="M30" s="45"/>
      <c r="N30" s="45"/>
      <c r="O30" s="1"/>
    </row>
    <row r="31" spans="1:18" x14ac:dyDescent="0.3">
      <c r="A31" s="2">
        <f t="shared" si="11"/>
        <v>7</v>
      </c>
      <c r="B31" s="6">
        <v>1.95</v>
      </c>
      <c r="C31" s="37">
        <v>17.3</v>
      </c>
      <c r="D31" s="6">
        <f t="shared" si="6"/>
        <v>4.3250000000000002</v>
      </c>
      <c r="E31" s="3" t="s">
        <v>23</v>
      </c>
      <c r="F31" s="19">
        <f t="shared" si="7"/>
        <v>1.5595051298408737E-2</v>
      </c>
      <c r="G31" s="33">
        <f t="shared" si="8"/>
        <v>0.95565</v>
      </c>
      <c r="H31" s="6">
        <f t="shared" si="9"/>
        <v>19.222222222222221</v>
      </c>
      <c r="I31" s="3" t="s">
        <v>23</v>
      </c>
      <c r="J31" s="8">
        <f t="shared" si="10"/>
        <v>1.1595148285846399</v>
      </c>
      <c r="K31" s="21"/>
      <c r="L31" s="2"/>
      <c r="M31" s="2"/>
      <c r="N31" s="2"/>
      <c r="O31" s="1"/>
    </row>
    <row r="32" spans="1:18" x14ac:dyDescent="0.3">
      <c r="A32" s="2">
        <f t="shared" si="11"/>
        <v>8</v>
      </c>
      <c r="B32" s="6">
        <v>2</v>
      </c>
      <c r="C32" s="37">
        <v>15</v>
      </c>
      <c r="D32" s="6">
        <f t="shared" si="6"/>
        <v>3.75</v>
      </c>
      <c r="E32" s="3" t="s">
        <v>23</v>
      </c>
      <c r="F32" s="19">
        <f t="shared" si="7"/>
        <v>1.5258194519667128E-2</v>
      </c>
      <c r="G32" s="33">
        <f t="shared" si="8"/>
        <v>0.97399999999999998</v>
      </c>
      <c r="H32" s="6">
        <f t="shared" si="9"/>
        <v>16.666666666666668</v>
      </c>
      <c r="I32" s="3" t="s">
        <v>23</v>
      </c>
      <c r="J32" s="8">
        <f t="shared" si="10"/>
        <v>1.0058505126370871</v>
      </c>
      <c r="K32" s="21"/>
      <c r="L32" s="4"/>
      <c r="M32" s="3"/>
      <c r="N32" s="3"/>
    </row>
    <row r="33" spans="1:14" x14ac:dyDescent="0.3">
      <c r="A33" s="2">
        <f t="shared" si="11"/>
        <v>9</v>
      </c>
      <c r="B33" s="6">
        <v>2.0499999999999998</v>
      </c>
      <c r="C33" s="33">
        <v>10.199999999999999</v>
      </c>
      <c r="D33" s="6">
        <f t="shared" si="6"/>
        <v>2.5499999999999998</v>
      </c>
      <c r="E33" s="3" t="s">
        <v>23</v>
      </c>
      <c r="F33" s="19">
        <f t="shared" si="7"/>
        <v>1.4603167464629037E-2</v>
      </c>
      <c r="G33" s="33">
        <f t="shared" si="8"/>
        <v>0.99234999999999995</v>
      </c>
      <c r="H33" s="6">
        <f t="shared" si="9"/>
        <v>11.333333333333332</v>
      </c>
      <c r="I33" s="3" t="s">
        <v>23</v>
      </c>
      <c r="J33" s="8">
        <f>SQRT((F33/$L$27)^2+($N$27*D33/($L$27)^2)^2)</f>
        <v>0.68550150056016146</v>
      </c>
      <c r="K33" s="21"/>
      <c r="L33" s="4"/>
      <c r="M33" s="3"/>
      <c r="N33" s="3"/>
    </row>
    <row r="34" spans="1:14" x14ac:dyDescent="0.3">
      <c r="A34" s="2">
        <f t="shared" si="11"/>
        <v>10</v>
      </c>
      <c r="B34" s="6">
        <v>2.2000000000000002</v>
      </c>
      <c r="C34" s="33">
        <v>4.2</v>
      </c>
      <c r="D34" s="6">
        <f t="shared" si="6"/>
        <v>1.05</v>
      </c>
      <c r="E34" s="3" t="s">
        <v>23</v>
      </c>
      <c r="F34" s="19">
        <f t="shared" si="7"/>
        <v>1.3887134333619735E-2</v>
      </c>
      <c r="G34" s="33">
        <f t="shared" si="8"/>
        <v>1.0474000000000001</v>
      </c>
      <c r="H34" s="6">
        <f t="shared" si="9"/>
        <v>4.666666666666667</v>
      </c>
      <c r="I34" s="3" t="s">
        <v>23</v>
      </c>
      <c r="J34" s="8">
        <f t="shared" si="10"/>
        <v>0.28769590331569989</v>
      </c>
      <c r="K34" s="21"/>
      <c r="L34" s="4"/>
      <c r="M34" s="3"/>
      <c r="N34" s="3"/>
    </row>
    <row r="35" spans="1:14" x14ac:dyDescent="0.3">
      <c r="A35" s="2">
        <f t="shared" si="11"/>
        <v>11</v>
      </c>
      <c r="B35" s="6">
        <v>2.4</v>
      </c>
      <c r="C35" s="33">
        <v>2.5</v>
      </c>
      <c r="D35" s="6">
        <f t="shared" si="6"/>
        <v>0.625</v>
      </c>
      <c r="E35" s="3" t="s">
        <v>23</v>
      </c>
      <c r="F35" s="19">
        <f t="shared" si="7"/>
        <v>1.370732012466332E-2</v>
      </c>
      <c r="G35" s="33">
        <f t="shared" si="8"/>
        <v>1.1208</v>
      </c>
      <c r="H35" s="6">
        <f t="shared" si="9"/>
        <v>2.7777777777777777</v>
      </c>
      <c r="I35" s="3" t="s">
        <v>23</v>
      </c>
      <c r="J35" s="8">
        <f t="shared" si="10"/>
        <v>0.17800964389069421</v>
      </c>
      <c r="K35" s="21"/>
      <c r="L35" s="4"/>
      <c r="M35" s="3"/>
      <c r="N35" s="3"/>
    </row>
    <row r="36" spans="1:14" x14ac:dyDescent="0.3">
      <c r="A36" s="2">
        <f t="shared" si="11"/>
        <v>12</v>
      </c>
      <c r="B36" s="6">
        <v>2.5</v>
      </c>
      <c r="C36" s="37">
        <v>7</v>
      </c>
      <c r="D36" s="6">
        <f t="shared" si="6"/>
        <v>1.75</v>
      </c>
      <c r="E36" s="3" t="s">
        <v>23</v>
      </c>
      <c r="F36" s="19">
        <f t="shared" si="7"/>
        <v>1.4206072645175373E-2</v>
      </c>
      <c r="G36" s="33">
        <f t="shared" si="8"/>
        <v>1.1575</v>
      </c>
      <c r="H36" s="6">
        <f t="shared" si="9"/>
        <v>7.7777777777777777</v>
      </c>
      <c r="I36" s="3" t="s">
        <v>23</v>
      </c>
      <c r="J36" s="8">
        <f t="shared" si="10"/>
        <v>0.47256572675420322</v>
      </c>
      <c r="K36" s="21"/>
      <c r="L36" s="4"/>
      <c r="M36" s="3"/>
      <c r="N36" s="3"/>
    </row>
    <row r="37" spans="1:14" x14ac:dyDescent="0.3">
      <c r="A37" s="2">
        <f t="shared" si="11"/>
        <v>13</v>
      </c>
      <c r="B37" s="6">
        <v>3.5</v>
      </c>
      <c r="C37" s="33">
        <v>1.9</v>
      </c>
      <c r="D37" s="6">
        <f t="shared" si="6"/>
        <v>0.47499999999999998</v>
      </c>
      <c r="E37" s="3" t="s">
        <v>23</v>
      </c>
      <c r="F37" s="19">
        <f t="shared" si="7"/>
        <v>1.3646451003832463E-2</v>
      </c>
      <c r="G37" s="33">
        <f t="shared" si="8"/>
        <v>1.5245</v>
      </c>
      <c r="H37" s="6">
        <f t="shared" si="9"/>
        <v>2.1111111111111112</v>
      </c>
      <c r="I37" s="3" t="s">
        <v>23</v>
      </c>
      <c r="J37" s="8">
        <f t="shared" si="10"/>
        <v>0.1408455760730333</v>
      </c>
      <c r="K37" s="21"/>
      <c r="L37" s="4"/>
      <c r="M37" s="3"/>
      <c r="N37" s="3"/>
    </row>
    <row r="38" spans="1:14" x14ac:dyDescent="0.3">
      <c r="A38" s="2">
        <f t="shared" si="11"/>
        <v>14</v>
      </c>
      <c r="B38" s="6">
        <v>5</v>
      </c>
      <c r="C38" s="33">
        <v>1</v>
      </c>
      <c r="D38" s="6">
        <f t="shared" si="6"/>
        <v>0.25</v>
      </c>
      <c r="E38" s="3" t="s">
        <v>23</v>
      </c>
      <c r="F38" s="19">
        <f t="shared" si="7"/>
        <v>1.3557746862956251E-2</v>
      </c>
      <c r="G38" s="33">
        <f t="shared" si="8"/>
        <v>2.0750000000000002</v>
      </c>
      <c r="H38" s="6">
        <f t="shared" si="9"/>
        <v>1.1111111111111112</v>
      </c>
      <c r="I38" s="3" t="s">
        <v>23</v>
      </c>
      <c r="J38" s="8">
        <f t="shared" si="10"/>
        <v>9.003902691573093E-2</v>
      </c>
      <c r="K38" s="21"/>
      <c r="L38" s="4"/>
      <c r="M38" s="3"/>
      <c r="N38" s="3"/>
    </row>
    <row r="39" spans="1:14" x14ac:dyDescent="0.3">
      <c r="A39" s="2">
        <f t="shared" si="11"/>
        <v>15</v>
      </c>
      <c r="B39" s="6">
        <v>7</v>
      </c>
      <c r="C39" s="33">
        <v>0.5</v>
      </c>
      <c r="D39" s="6">
        <f t="shared" si="6"/>
        <v>0.125</v>
      </c>
      <c r="E39" s="3" t="s">
        <v>23</v>
      </c>
      <c r="F39" s="19">
        <f t="shared" si="7"/>
        <v>1.3509834380924143E-2</v>
      </c>
      <c r="G39" s="33">
        <f t="shared" si="8"/>
        <v>2.8090000000000002</v>
      </c>
      <c r="H39" s="6">
        <f t="shared" si="9"/>
        <v>0.55555555555555558</v>
      </c>
      <c r="I39" s="3" t="s">
        <v>23</v>
      </c>
      <c r="J39" s="8">
        <f t="shared" si="10"/>
        <v>6.8733452235286874E-2</v>
      </c>
      <c r="K39" s="21"/>
      <c r="L39" s="4"/>
      <c r="M39" s="3"/>
      <c r="N39" s="3"/>
    </row>
    <row r="40" spans="1:14" x14ac:dyDescent="0.3">
      <c r="A40" s="2">
        <f t="shared" si="11"/>
        <v>16</v>
      </c>
      <c r="B40" s="6">
        <v>9.5</v>
      </c>
      <c r="C40" s="33">
        <v>0.2</v>
      </c>
      <c r="D40" s="6">
        <f>0.5*C40</f>
        <v>0.1</v>
      </c>
      <c r="E40" s="3" t="s">
        <v>23</v>
      </c>
      <c r="F40" s="19">
        <f>0.5*SQRT(0.05^2+(1/10*(0.2+1*10^(-3)*(C40*10)))^2)</f>
        <v>2.6963122964523235E-2</v>
      </c>
      <c r="G40" s="33">
        <f t="shared" si="8"/>
        <v>3.7264999999999997</v>
      </c>
      <c r="H40" s="6">
        <f>D40/$L$27</f>
        <v>0.44444444444444448</v>
      </c>
      <c r="I40" s="3" t="s">
        <v>23</v>
      </c>
      <c r="J40" s="8">
        <f t="shared" si="10"/>
        <v>0.12278793631822643</v>
      </c>
      <c r="K40" s="21"/>
      <c r="L40" s="4"/>
      <c r="M40" s="3"/>
      <c r="N40" s="3"/>
    </row>
    <row r="41" spans="1:14" x14ac:dyDescent="0.3">
      <c r="A41" s="1"/>
      <c r="B41" s="31"/>
      <c r="C41" s="36"/>
      <c r="D41" s="1"/>
      <c r="E41" s="1"/>
      <c r="F41" s="1"/>
      <c r="G41" s="36"/>
      <c r="H41" s="1"/>
      <c r="I41" s="1"/>
      <c r="J41" s="35"/>
      <c r="K41" s="36"/>
      <c r="L41" s="16"/>
    </row>
  </sheetData>
  <mergeCells count="12">
    <mergeCell ref="L25:N25"/>
    <mergeCell ref="L26:N26"/>
    <mergeCell ref="L6:N7"/>
    <mergeCell ref="L29:N30"/>
    <mergeCell ref="D1:F1"/>
    <mergeCell ref="H1:J1"/>
    <mergeCell ref="L1:N1"/>
    <mergeCell ref="L3:N3"/>
    <mergeCell ref="L2:N2"/>
    <mergeCell ref="D24:F24"/>
    <mergeCell ref="H24:J24"/>
    <mergeCell ref="L24:N2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w0, wA</vt:lpstr>
      <vt:lpstr>w, tau</vt:lpstr>
      <vt:lpstr>phi0-phiA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Lippert Manuel</dc:creator>
  <cp:lastModifiedBy>Manuel Lippert</cp:lastModifiedBy>
  <dcterms:created xsi:type="dcterms:W3CDTF">2020-08-04T10:42:50Z</dcterms:created>
  <dcterms:modified xsi:type="dcterms:W3CDTF">2020-09-09T19:38:03Z</dcterms:modified>
</cp:coreProperties>
</file>