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ae480699465edb/Notability/03 PPA2 WS2020/BEU/"/>
    </mc:Choice>
  </mc:AlternateContent>
  <xr:revisionPtr revIDLastSave="654" documentId="8_{AF8A1642-BCF4-47FD-ADE5-FDE3EE95F68A}" xr6:coauthVersionLast="45" xr6:coauthVersionMax="45" xr10:uidLastSave="{C834B97B-86EB-486C-8DFC-FAEDC8831519}"/>
  <bookViews>
    <workbookView xWindow="-28920" yWindow="-15" windowWidth="29040" windowHeight="15840" activeTab="1" xr2:uid="{1D511201-2910-4DFA-A7DC-7B786CF52F0B}"/>
  </bookViews>
  <sheets>
    <sheet name="6.1_C" sheetId="1" r:id="rId1"/>
    <sheet name="6.2_A" sheetId="2" r:id="rId2"/>
    <sheet name="6.2_B" sheetId="3" r:id="rId3"/>
    <sheet name="6.3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4" l="1"/>
  <c r="I2" i="4" s="1"/>
  <c r="K2" i="4" s="1"/>
  <c r="F3" i="4"/>
  <c r="I3" i="4" s="1"/>
  <c r="K3" i="4" s="1"/>
  <c r="F4" i="4"/>
  <c r="I4" i="4" s="1"/>
  <c r="K4" i="4" s="1"/>
  <c r="F5" i="4"/>
  <c r="F6" i="4"/>
  <c r="F7" i="4"/>
  <c r="I5" i="4"/>
  <c r="K5" i="4" s="1"/>
  <c r="I7" i="4"/>
  <c r="K7" i="4" s="1"/>
  <c r="J3" i="4"/>
  <c r="J4" i="4"/>
  <c r="J5" i="4"/>
  <c r="J6" i="4"/>
  <c r="J7" i="4"/>
  <c r="J2" i="4"/>
  <c r="H2" i="4"/>
  <c r="F36" i="3"/>
  <c r="G12" i="2"/>
  <c r="G24" i="2"/>
  <c r="I6" i="4"/>
  <c r="K6" i="4" s="1"/>
  <c r="H3" i="4"/>
  <c r="H4" i="4"/>
  <c r="H5" i="4"/>
  <c r="H6" i="4"/>
  <c r="H7" i="4"/>
  <c r="C2" i="4"/>
  <c r="E2" i="4" s="1"/>
  <c r="G2" i="4" s="1"/>
  <c r="C13" i="2"/>
  <c r="C14" i="2"/>
  <c r="C15" i="2"/>
  <c r="C16" i="2"/>
  <c r="C17" i="2"/>
  <c r="C18" i="2"/>
  <c r="C19" i="2"/>
  <c r="C20" i="2"/>
  <c r="C21" i="2"/>
  <c r="C22" i="2"/>
  <c r="C12" i="2"/>
  <c r="C7" i="4"/>
  <c r="E7" i="4" s="1"/>
  <c r="G7" i="4" s="1"/>
  <c r="C6" i="4"/>
  <c r="E6" i="4" s="1"/>
  <c r="G6" i="4" s="1"/>
  <c r="C5" i="4"/>
  <c r="E5" i="4" s="1"/>
  <c r="G5" i="4" s="1"/>
  <c r="C4" i="4"/>
  <c r="C3" i="4"/>
  <c r="E3" i="4" l="1"/>
  <c r="G3" i="4" s="1"/>
  <c r="E4" i="4"/>
  <c r="G4" i="4" s="1"/>
  <c r="G13" i="3"/>
  <c r="E12" i="2"/>
  <c r="G36" i="3"/>
  <c r="G34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13" i="3"/>
  <c r="C13" i="3"/>
  <c r="E13" i="3" s="1"/>
  <c r="H12" i="1"/>
  <c r="G2" i="1"/>
  <c r="I2" i="1" s="1"/>
  <c r="C14" i="3"/>
  <c r="D14" i="3" s="1"/>
  <c r="C15" i="3"/>
  <c r="E15" i="3" s="1"/>
  <c r="C16" i="3"/>
  <c r="C17" i="3"/>
  <c r="C18" i="3"/>
  <c r="E18" i="3" s="1"/>
  <c r="C19" i="3"/>
  <c r="E19" i="3" s="1"/>
  <c r="C20" i="3"/>
  <c r="E20" i="3" s="1"/>
  <c r="C21" i="3"/>
  <c r="C22" i="3"/>
  <c r="E22" i="3" s="1"/>
  <c r="C23" i="3"/>
  <c r="D23" i="3" s="1"/>
  <c r="C24" i="3"/>
  <c r="E24" i="3" s="1"/>
  <c r="C25" i="3"/>
  <c r="C26" i="3"/>
  <c r="E26" i="3" s="1"/>
  <c r="C27" i="3"/>
  <c r="E27" i="3" s="1"/>
  <c r="C28" i="3"/>
  <c r="E28" i="3" s="1"/>
  <c r="C29" i="3"/>
  <c r="C30" i="3"/>
  <c r="E30" i="3" s="1"/>
  <c r="C31" i="3"/>
  <c r="D31" i="3" s="1"/>
  <c r="C32" i="3"/>
  <c r="E32" i="3" s="1"/>
  <c r="C33" i="3"/>
  <c r="C34" i="3"/>
  <c r="E34" i="3" s="1"/>
  <c r="H8" i="3"/>
  <c r="G8" i="3"/>
  <c r="G3" i="3"/>
  <c r="G5" i="3"/>
  <c r="D3" i="2"/>
  <c r="H3" i="2" s="1"/>
  <c r="D5" i="2"/>
  <c r="H5" i="2" s="1"/>
  <c r="D5" i="3"/>
  <c r="H5" i="3" s="1"/>
  <c r="D6" i="3"/>
  <c r="G6" i="3" s="1"/>
  <c r="I6" i="3" s="1"/>
  <c r="D33" i="3"/>
  <c r="D29" i="3"/>
  <c r="D25" i="3"/>
  <c r="E21" i="3"/>
  <c r="D17" i="3"/>
  <c r="E16" i="3"/>
  <c r="E6" i="3"/>
  <c r="F6" i="3" s="1"/>
  <c r="D4" i="3"/>
  <c r="H4" i="3" s="1"/>
  <c r="D3" i="3"/>
  <c r="H3" i="3" s="1"/>
  <c r="D2" i="3"/>
  <c r="G2" i="3" s="1"/>
  <c r="D22" i="2"/>
  <c r="E21" i="2"/>
  <c r="E20" i="2"/>
  <c r="D19" i="2"/>
  <c r="E18" i="2"/>
  <c r="D17" i="2"/>
  <c r="D16" i="2"/>
  <c r="E15" i="2"/>
  <c r="D14" i="2"/>
  <c r="E13" i="2"/>
  <c r="G5" i="2"/>
  <c r="D4" i="2"/>
  <c r="G3" i="2"/>
  <c r="G7" i="2"/>
  <c r="D2" i="2"/>
  <c r="H2" i="2" s="1"/>
  <c r="J9" i="4" l="1"/>
  <c r="H9" i="4"/>
  <c r="F22" i="2"/>
  <c r="F16" i="2"/>
  <c r="F17" i="2"/>
  <c r="F14" i="2"/>
  <c r="G14" i="2"/>
  <c r="G19" i="2"/>
  <c r="F19" i="2"/>
  <c r="G2" i="2"/>
  <c r="G4" i="2"/>
  <c r="H4" i="2"/>
  <c r="H7" i="2" s="1"/>
  <c r="E16" i="2"/>
  <c r="G16" i="2" s="1"/>
  <c r="D13" i="2"/>
  <c r="E17" i="2"/>
  <c r="G17" i="2" s="1"/>
  <c r="E22" i="2"/>
  <c r="G22" i="2" s="1"/>
  <c r="E19" i="2"/>
  <c r="E14" i="2"/>
  <c r="D20" i="2"/>
  <c r="D22" i="3"/>
  <c r="H6" i="3"/>
  <c r="D30" i="3"/>
  <c r="H2" i="3"/>
  <c r="G4" i="3"/>
  <c r="I4" i="3" s="1"/>
  <c r="D21" i="3"/>
  <c r="E29" i="3"/>
  <c r="D20" i="3"/>
  <c r="D28" i="3"/>
  <c r="E23" i="3"/>
  <c r="E31" i="3"/>
  <c r="D13" i="3"/>
  <c r="D16" i="3"/>
  <c r="D19" i="3"/>
  <c r="D27" i="3"/>
  <c r="E14" i="3"/>
  <c r="E17" i="3"/>
  <c r="D24" i="3"/>
  <c r="E25" i="3"/>
  <c r="D32" i="3"/>
  <c r="E33" i="3"/>
  <c r="D15" i="3"/>
  <c r="D18" i="3"/>
  <c r="D26" i="3"/>
  <c r="D34" i="3"/>
  <c r="E5" i="3"/>
  <c r="F5" i="3" s="1"/>
  <c r="E2" i="3"/>
  <c r="F2" i="3" s="1"/>
  <c r="E3" i="3"/>
  <c r="F3" i="3" s="1"/>
  <c r="E4" i="3"/>
  <c r="F4" i="3" s="1"/>
  <c r="D21" i="2"/>
  <c r="D12" i="2"/>
  <c r="D15" i="2"/>
  <c r="D18" i="2"/>
  <c r="E5" i="2"/>
  <c r="F5" i="2" s="1"/>
  <c r="E4" i="2"/>
  <c r="F4" i="2" s="1"/>
  <c r="E2" i="2"/>
  <c r="F2" i="2" s="1"/>
  <c r="E3" i="2"/>
  <c r="F3" i="2" s="1"/>
  <c r="K9" i="4" l="1"/>
  <c r="G20" i="2"/>
  <c r="F20" i="2"/>
  <c r="F13" i="2"/>
  <c r="G13" i="2"/>
  <c r="G18" i="2"/>
  <c r="F18" i="2"/>
  <c r="F15" i="2"/>
  <c r="G15" i="2"/>
  <c r="G21" i="2"/>
  <c r="F21" i="2"/>
  <c r="F12" i="2"/>
  <c r="I5" i="2"/>
  <c r="I4" i="2"/>
  <c r="I3" i="2"/>
  <c r="I2" i="2"/>
  <c r="I9" i="4"/>
  <c r="I3" i="3"/>
  <c r="I5" i="3"/>
  <c r="I2" i="3"/>
  <c r="I8" i="3" s="1"/>
  <c r="I7" i="2" l="1"/>
  <c r="F24" i="2"/>
  <c r="G3" i="1" l="1"/>
  <c r="G4" i="1"/>
  <c r="G5" i="1"/>
  <c r="G6" i="1"/>
  <c r="G7" i="1"/>
  <c r="G8" i="1"/>
  <c r="G9" i="1"/>
  <c r="G10" i="1"/>
  <c r="H3" i="1"/>
  <c r="H4" i="1"/>
  <c r="H5" i="1"/>
  <c r="H6" i="1"/>
  <c r="H7" i="1"/>
  <c r="H8" i="1"/>
  <c r="H9" i="1"/>
  <c r="H10" i="1"/>
  <c r="H2" i="1"/>
  <c r="D3" i="1" l="1"/>
  <c r="D4" i="1"/>
  <c r="D5" i="1"/>
  <c r="E5" i="1" s="1"/>
  <c r="F5" i="1" s="1"/>
  <c r="D6" i="1"/>
  <c r="D7" i="1"/>
  <c r="E7" i="1" s="1"/>
  <c r="F7" i="1" s="1"/>
  <c r="D8" i="1"/>
  <c r="D9" i="1"/>
  <c r="D10" i="1"/>
  <c r="D2" i="1"/>
  <c r="I7" i="1" l="1"/>
  <c r="I6" i="1"/>
  <c r="E9" i="1"/>
  <c r="F9" i="1" s="1"/>
  <c r="E8" i="1"/>
  <c r="F8" i="1" s="1"/>
  <c r="E6" i="1"/>
  <c r="F6" i="1" s="1"/>
  <c r="I5" i="1"/>
  <c r="E4" i="1"/>
  <c r="F4" i="1" s="1"/>
  <c r="E3" i="1"/>
  <c r="F3" i="1" s="1"/>
  <c r="E10" i="1"/>
  <c r="F10" i="1" s="1"/>
  <c r="E2" i="1"/>
  <c r="F2" i="1" s="1"/>
  <c r="I3" i="1" l="1"/>
  <c r="I9" i="1"/>
  <c r="I10" i="1"/>
  <c r="I8" i="1"/>
  <c r="I4" i="1"/>
  <c r="I12" i="1" l="1"/>
</calcChain>
</file>

<file path=xl/sharedStrings.xml><?xml version="1.0" encoding="utf-8"?>
<sst xmlns="http://schemas.openxmlformats.org/spreadsheetml/2006/main" count="69" uniqueCount="34">
  <si>
    <t>x [mm]</t>
  </si>
  <si>
    <r>
      <t>tan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bzw ϴ </t>
    </r>
  </si>
  <si>
    <t>ϴ  (arctan)</t>
  </si>
  <si>
    <t>x_ [mm]</t>
  </si>
  <si>
    <t>D_  [µm]</t>
  </si>
  <si>
    <t>sD_  [µm]</t>
  </si>
  <si>
    <t>Nebenmaximum</t>
  </si>
  <si>
    <t xml:space="preserve"> n</t>
  </si>
  <si>
    <r>
      <t xml:space="preserve"> tan</t>
    </r>
    <r>
      <rPr>
        <sz val="11"/>
        <color theme="1"/>
        <rFont val="Calibri"/>
        <family val="2"/>
      </rPr>
      <t>ϴ bzw ϴ</t>
    </r>
  </si>
  <si>
    <t>b [µm]</t>
  </si>
  <si>
    <r>
      <t>x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[mm]</t>
    </r>
  </si>
  <si>
    <r>
      <t>x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[mm]</t>
    </r>
  </si>
  <si>
    <r>
      <t>D</t>
    </r>
    <r>
      <rPr>
        <vertAlign val="subscript"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 xml:space="preserve"> [µm]</t>
    </r>
  </si>
  <si>
    <r>
      <t>s</t>
    </r>
    <r>
      <rPr>
        <vertAlign val="subscript"/>
        <sz val="11"/>
        <color theme="1"/>
        <rFont val="Calibri"/>
        <family val="2"/>
      </rPr>
      <t>Dn</t>
    </r>
    <r>
      <rPr>
        <sz val="11"/>
        <color theme="1"/>
        <rFont val="Calibri"/>
        <family val="2"/>
      </rPr>
      <t xml:space="preserve"> [µm]</t>
    </r>
  </si>
  <si>
    <r>
      <t>x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[mm]</t>
    </r>
  </si>
  <si>
    <r>
      <t>(x_ - x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[mm]</t>
    </r>
  </si>
  <si>
    <r>
      <t>b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[µm]</t>
    </r>
  </si>
  <si>
    <r>
      <t>s</t>
    </r>
    <r>
      <rPr>
        <vertAlign val="subscript"/>
        <sz val="11"/>
        <color theme="1"/>
        <rFont val="Calibri"/>
        <family val="2"/>
        <scheme val="minor"/>
      </rPr>
      <t>bn</t>
    </r>
    <r>
      <rPr>
        <sz val="11"/>
        <color theme="1"/>
        <rFont val="Calibri"/>
        <family val="2"/>
        <scheme val="minor"/>
      </rPr>
      <t xml:space="preserve"> [µm]</t>
    </r>
  </si>
  <si>
    <t>b_ [µm]</t>
  </si>
  <si>
    <r>
      <t>s</t>
    </r>
    <r>
      <rPr>
        <vertAlign val="subscript"/>
        <sz val="11"/>
        <color theme="1"/>
        <rFont val="Calibri"/>
        <family val="2"/>
      </rPr>
      <t>D_</t>
    </r>
    <r>
      <rPr>
        <sz val="11"/>
        <color theme="1"/>
        <rFont val="Calibri"/>
        <family val="2"/>
      </rPr>
      <t xml:space="preserve">  [µm]</t>
    </r>
  </si>
  <si>
    <r>
      <t>s</t>
    </r>
    <r>
      <rPr>
        <vertAlign val="subscript"/>
        <sz val="11"/>
        <color theme="1"/>
        <rFont val="Calibri"/>
        <family val="2"/>
        <scheme val="minor"/>
      </rPr>
      <t>b_</t>
    </r>
    <r>
      <rPr>
        <sz val="11"/>
        <color theme="1"/>
        <rFont val="Calibri"/>
        <family val="2"/>
        <scheme val="minor"/>
      </rPr>
      <t xml:space="preserve"> [µm]</t>
    </r>
  </si>
  <si>
    <t>n</t>
  </si>
  <si>
    <r>
      <t>s</t>
    </r>
    <r>
      <rPr>
        <vertAlign val="subscript"/>
        <sz val="11"/>
        <color theme="1"/>
        <rFont val="Calibri"/>
        <family val="2"/>
      </rPr>
      <t>ϴn</t>
    </r>
    <r>
      <rPr>
        <sz val="11"/>
        <color theme="1"/>
        <rFont val="Calibri"/>
        <family val="2"/>
      </rPr>
      <t xml:space="preserve"> </t>
    </r>
  </si>
  <si>
    <r>
      <t>s</t>
    </r>
    <r>
      <rPr>
        <vertAlign val="subscript"/>
        <sz val="11"/>
        <color theme="1"/>
        <rFont val="Calibri"/>
        <family val="2"/>
      </rPr>
      <t>ϴn</t>
    </r>
  </si>
  <si>
    <r>
      <t>(x-x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[mm]</t>
    </r>
  </si>
  <si>
    <t xml:space="preserve"> ϴ [rad]</t>
  </si>
  <si>
    <t>sin(ϴ) [rad]</t>
  </si>
  <si>
    <r>
      <t>1/b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[1/mm]</t>
    </r>
  </si>
  <si>
    <t>1/b [1/mm]</t>
  </si>
  <si>
    <r>
      <t>s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 xml:space="preserve"> [rad]</t>
    </r>
  </si>
  <si>
    <r>
      <t>s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[mm]</t>
    </r>
  </si>
  <si>
    <r>
      <t>s</t>
    </r>
    <r>
      <rPr>
        <vertAlign val="subscript"/>
        <sz val="11"/>
        <color theme="1"/>
        <rFont val="Calibri"/>
        <family val="2"/>
        <scheme val="minor"/>
      </rPr>
      <t>1/bn</t>
    </r>
    <r>
      <rPr>
        <sz val="11"/>
        <color theme="1"/>
        <rFont val="Calibri"/>
        <family val="2"/>
        <scheme val="minor"/>
      </rPr>
      <t xml:space="preserve"> [1/mm]</t>
    </r>
  </si>
  <si>
    <r>
      <t>s</t>
    </r>
    <r>
      <rPr>
        <vertAlign val="subscript"/>
        <sz val="11"/>
        <color theme="1"/>
        <rFont val="Calibri"/>
        <family val="2"/>
        <scheme val="minor"/>
      </rPr>
      <t>1/b</t>
    </r>
    <r>
      <rPr>
        <sz val="11"/>
        <color theme="1"/>
        <rFont val="Calibri"/>
        <family val="2"/>
        <scheme val="minor"/>
      </rPr>
      <t xml:space="preserve"> [1/mm]</t>
    </r>
  </si>
  <si>
    <r>
      <t>s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[µm]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</si>
</sst>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00B050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1" applyFont="1" applyFill="1"/>
    <xf numFmtId="0" fontId="1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/>
    <xf numFmtId="2" fontId="0" fillId="0" borderId="0" xfId="0" applyNumberFormat="1" applyAlignment="1">
      <alignment horizontal="center"/>
    </xf>
    <xf numFmtId="2" fontId="2" fillId="0" borderId="0" xfId="1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/>
    </xf>
    <xf numFmtId="0" fontId="0" fillId="3" borderId="1" xfId="0" applyFill="1" applyBorder="1"/>
    <xf numFmtId="165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D069E-D05B-4F9D-9F92-AE1387717ECE}">
  <dimension ref="A1:J13"/>
  <sheetViews>
    <sheetView workbookViewId="0">
      <selection activeCell="E24" sqref="E24"/>
    </sheetView>
  </sheetViews>
  <sheetFormatPr baseColWidth="10" defaultColWidth="11.42578125" defaultRowHeight="15" x14ac:dyDescent="0.25"/>
  <cols>
    <col min="1" max="1" width="2.85546875" customWidth="1"/>
    <col min="2" max="9" width="14.42578125" customWidth="1"/>
    <col min="10" max="10" width="2.85546875" customWidth="1"/>
  </cols>
  <sheetData>
    <row r="1" spans="1:10" ht="18" x14ac:dyDescent="0.35">
      <c r="A1" s="10" t="s">
        <v>21</v>
      </c>
      <c r="B1" s="13" t="s">
        <v>10</v>
      </c>
      <c r="C1" s="13" t="s">
        <v>11</v>
      </c>
      <c r="D1" s="13" t="s">
        <v>0</v>
      </c>
      <c r="E1" s="13" t="s">
        <v>1</v>
      </c>
      <c r="F1" s="15" t="s">
        <v>2</v>
      </c>
      <c r="G1" s="15" t="s">
        <v>23</v>
      </c>
      <c r="H1" s="15" t="s">
        <v>12</v>
      </c>
      <c r="I1" s="21" t="s">
        <v>13</v>
      </c>
      <c r="J1" s="18"/>
    </row>
    <row r="2" spans="1:10" x14ac:dyDescent="0.25">
      <c r="A2" s="10">
        <v>1</v>
      </c>
      <c r="B2" s="5">
        <v>56.35</v>
      </c>
      <c r="C2" s="4">
        <v>50.005600000000001</v>
      </c>
      <c r="D2" s="5">
        <f>(B2-C2)/2</f>
        <v>3.1722000000000001</v>
      </c>
      <c r="E2" s="8">
        <f t="shared" ref="E2:E10" si="0">D2/400</f>
        <v>7.9305E-3</v>
      </c>
      <c r="F2" s="8">
        <f>ATAN(E2)</f>
        <v>7.9303337490767845E-3</v>
      </c>
      <c r="G2" s="7">
        <f t="shared" ref="G2:G10" si="1">SQRT((1/400*0.2)^2+(D2/(2*400^2)*20)^2)*1/SQRT(2)*1000</f>
        <v>0.38033407611352016</v>
      </c>
      <c r="H2" s="7">
        <f t="shared" ref="H2:H10" si="2">(A2*632.8*10^(-6)*400)/D2*1000</f>
        <v>79.79320345501543</v>
      </c>
      <c r="I2" s="28">
        <f t="shared" ref="I2:I10" si="3">(A2*632.8*10^(-6)*G2)/(E2^2)</f>
        <v>3.8267542167834865</v>
      </c>
      <c r="J2" s="18"/>
    </row>
    <row r="3" spans="1:10" x14ac:dyDescent="0.25">
      <c r="A3" s="10">
        <v>2</v>
      </c>
      <c r="B3" s="5">
        <v>59.6297</v>
      </c>
      <c r="C3" s="4">
        <v>46.886400000000002</v>
      </c>
      <c r="D3" s="5">
        <f t="shared" ref="D3:D10" si="4">(B3-C3)/2</f>
        <v>6.3716499999999989</v>
      </c>
      <c r="E3" s="8">
        <f t="shared" si="0"/>
        <v>1.5929124999999999E-2</v>
      </c>
      <c r="F3" s="8">
        <f t="shared" ref="F3:F10" si="5">ATAN(E3)</f>
        <v>1.5927777935487226E-2</v>
      </c>
      <c r="G3" s="7">
        <f t="shared" si="1"/>
        <v>0.45198763232029671</v>
      </c>
      <c r="H3" s="7">
        <f t="shared" si="2"/>
        <v>79.451947297795698</v>
      </c>
      <c r="I3" s="28">
        <f t="shared" si="3"/>
        <v>2.2544425724807655</v>
      </c>
      <c r="J3" s="18"/>
    </row>
    <row r="4" spans="1:10" x14ac:dyDescent="0.25">
      <c r="A4" s="10">
        <v>3</v>
      </c>
      <c r="B4" s="5">
        <v>62.802999999999997</v>
      </c>
      <c r="C4" s="4">
        <v>43.663200000000003</v>
      </c>
      <c r="D4" s="5">
        <f t="shared" si="4"/>
        <v>9.569899999999997</v>
      </c>
      <c r="E4" s="8">
        <f t="shared" si="0"/>
        <v>2.3924749999999991E-2</v>
      </c>
      <c r="F4" s="8">
        <f t="shared" si="5"/>
        <v>2.3920186775314572E-2</v>
      </c>
      <c r="G4" s="7">
        <f t="shared" si="1"/>
        <v>0.55124678643125091</v>
      </c>
      <c r="H4" s="7">
        <f t="shared" si="2"/>
        <v>79.34879152342242</v>
      </c>
      <c r="I4" s="28">
        <f t="shared" si="3"/>
        <v>1.8282643009640605</v>
      </c>
      <c r="J4" s="18"/>
    </row>
    <row r="5" spans="1:10" x14ac:dyDescent="0.25">
      <c r="A5" s="10">
        <v>4</v>
      </c>
      <c r="B5" s="5">
        <v>65.928399999999996</v>
      </c>
      <c r="C5" s="4">
        <v>40.395400000000002</v>
      </c>
      <c r="D5" s="5">
        <f t="shared" si="4"/>
        <v>12.766499999999997</v>
      </c>
      <c r="E5" s="8">
        <f t="shared" si="0"/>
        <v>3.1916249999999993E-2</v>
      </c>
      <c r="F5" s="8">
        <f t="shared" si="5"/>
        <v>3.1905419487790271E-2</v>
      </c>
      <c r="G5" s="7">
        <f t="shared" si="1"/>
        <v>0.66582819998444875</v>
      </c>
      <c r="H5" s="7">
        <f t="shared" si="2"/>
        <v>79.30756276191596</v>
      </c>
      <c r="I5" s="28">
        <f t="shared" si="3"/>
        <v>1.6544929858276021</v>
      </c>
      <c r="J5" s="18"/>
    </row>
    <row r="6" spans="1:10" x14ac:dyDescent="0.25">
      <c r="A6" s="10">
        <v>5</v>
      </c>
      <c r="B6" s="5">
        <v>69.111800000000002</v>
      </c>
      <c r="C6" s="4">
        <v>37.270299999999999</v>
      </c>
      <c r="D6" s="5">
        <f t="shared" si="4"/>
        <v>15.920750000000002</v>
      </c>
      <c r="E6" s="8">
        <f t="shared" si="0"/>
        <v>3.9801875000000007E-2</v>
      </c>
      <c r="F6" s="8">
        <f t="shared" si="5"/>
        <v>3.9780877054339706E-2</v>
      </c>
      <c r="G6" s="7">
        <f t="shared" si="1"/>
        <v>0.7874383415376931</v>
      </c>
      <c r="H6" s="7">
        <f t="shared" si="2"/>
        <v>79.493742443038158</v>
      </c>
      <c r="I6" s="28">
        <f t="shared" si="3"/>
        <v>1.5727002989675856</v>
      </c>
      <c r="J6" s="18"/>
    </row>
    <row r="7" spans="1:10" x14ac:dyDescent="0.25">
      <c r="A7" s="10">
        <v>6</v>
      </c>
      <c r="B7" s="5">
        <v>72.3155</v>
      </c>
      <c r="C7" s="4">
        <v>34.014400000000002</v>
      </c>
      <c r="D7" s="5">
        <f t="shared" si="4"/>
        <v>19.150549999999999</v>
      </c>
      <c r="E7" s="8">
        <f t="shared" si="0"/>
        <v>4.7876374999999999E-2</v>
      </c>
      <c r="F7" s="8">
        <f t="shared" si="5"/>
        <v>4.7839845324731442E-2</v>
      </c>
      <c r="G7" s="7">
        <f t="shared" si="1"/>
        <v>0.91722190661881009</v>
      </c>
      <c r="H7" s="7">
        <f t="shared" si="2"/>
        <v>79.304249747396284</v>
      </c>
      <c r="I7" s="28">
        <f t="shared" si="3"/>
        <v>1.519321276021443</v>
      </c>
      <c r="J7" s="18"/>
    </row>
    <row r="8" spans="1:10" x14ac:dyDescent="0.25">
      <c r="A8" s="10">
        <v>7</v>
      </c>
      <c r="B8" s="5">
        <v>75.549599999999998</v>
      </c>
      <c r="C8" s="4">
        <v>30.993200000000002</v>
      </c>
      <c r="D8" s="5">
        <f t="shared" si="4"/>
        <v>22.278199999999998</v>
      </c>
      <c r="E8" s="8">
        <f t="shared" si="0"/>
        <v>5.5695499999999995E-2</v>
      </c>
      <c r="F8" s="8">
        <f t="shared" si="5"/>
        <v>5.5638018009634284E-2</v>
      </c>
      <c r="G8" s="7">
        <f t="shared" si="1"/>
        <v>1.0461221128903282</v>
      </c>
      <c r="H8" s="7">
        <f t="shared" si="2"/>
        <v>79.532457738955571</v>
      </c>
      <c r="I8" s="28">
        <f t="shared" si="3"/>
        <v>1.4938489237593153</v>
      </c>
      <c r="J8" s="18"/>
    </row>
    <row r="9" spans="1:10" x14ac:dyDescent="0.25">
      <c r="A9" s="10">
        <v>8</v>
      </c>
      <c r="B9" s="5">
        <v>78.692599999999999</v>
      </c>
      <c r="C9" s="4">
        <v>27.758099999999999</v>
      </c>
      <c r="D9" s="5">
        <f t="shared" si="4"/>
        <v>25.46725</v>
      </c>
      <c r="E9" s="8">
        <f t="shared" si="0"/>
        <v>6.3668125000000006E-2</v>
      </c>
      <c r="F9" s="8">
        <f t="shared" si="5"/>
        <v>6.3582304623765171E-2</v>
      </c>
      <c r="G9" s="7">
        <f t="shared" si="1"/>
        <v>1.1797285361757521</v>
      </c>
      <c r="H9" s="7">
        <f t="shared" si="2"/>
        <v>79.512314835720375</v>
      </c>
      <c r="I9" s="28">
        <f t="shared" si="3"/>
        <v>1.4733109666585895</v>
      </c>
      <c r="J9" s="18"/>
    </row>
    <row r="10" spans="1:10" x14ac:dyDescent="0.25">
      <c r="A10" s="10">
        <v>9</v>
      </c>
      <c r="B10" s="5">
        <v>81.828400000000002</v>
      </c>
      <c r="C10" s="4">
        <v>24.493300000000001</v>
      </c>
      <c r="D10" s="5">
        <f t="shared" si="4"/>
        <v>28.667549999999999</v>
      </c>
      <c r="E10" s="8">
        <f t="shared" si="0"/>
        <v>7.1668874999999993E-2</v>
      </c>
      <c r="F10" s="8">
        <f t="shared" si="5"/>
        <v>7.1546544454218416E-2</v>
      </c>
      <c r="G10" s="7">
        <f t="shared" si="1"/>
        <v>1.3153454446177848</v>
      </c>
      <c r="H10" s="7">
        <f t="shared" si="2"/>
        <v>79.465458331807213</v>
      </c>
      <c r="I10" s="28">
        <f t="shared" si="3"/>
        <v>1.458436854509116</v>
      </c>
      <c r="J10" s="18"/>
    </row>
    <row r="11" spans="1:10" ht="18" x14ac:dyDescent="0.25">
      <c r="A11" s="10"/>
      <c r="B11" s="9"/>
      <c r="C11" s="9"/>
      <c r="D11" s="9"/>
      <c r="E11" s="9"/>
      <c r="F11" s="9"/>
      <c r="G11" s="9"/>
      <c r="H11" s="10" t="s">
        <v>4</v>
      </c>
      <c r="I11" s="29" t="s">
        <v>19</v>
      </c>
      <c r="J11" s="18"/>
    </row>
    <row r="12" spans="1:10" x14ac:dyDescent="0.25">
      <c r="A12" s="9"/>
      <c r="B12" s="9"/>
      <c r="C12" s="9"/>
      <c r="D12" s="9"/>
      <c r="E12" s="9"/>
      <c r="F12" s="9"/>
      <c r="G12" s="9"/>
      <c r="H12" s="7">
        <f>AVERAGE(H2:H10)</f>
        <v>79.46774757056302</v>
      </c>
      <c r="I12" s="28">
        <f>1/9*SQRT(SUMSQ(I2:I10))</f>
        <v>0.67693433661212343</v>
      </c>
      <c r="J12" s="18"/>
    </row>
    <row r="13" spans="1:10" x14ac:dyDescent="0.25">
      <c r="A13" s="9"/>
      <c r="B13" s="9"/>
      <c r="C13" s="9"/>
      <c r="D13" s="9"/>
      <c r="E13" s="9"/>
      <c r="F13" s="9"/>
      <c r="G13" s="9"/>
      <c r="H13" s="9"/>
      <c r="I13" s="27"/>
      <c r="J13" s="18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9B74-EFBF-4E08-B3D8-77EB5E27642B}">
  <dimension ref="A1:K25"/>
  <sheetViews>
    <sheetView tabSelected="1" workbookViewId="0">
      <selection activeCell="J11" sqref="J11"/>
    </sheetView>
  </sheetViews>
  <sheetFormatPr baseColWidth="10" defaultRowHeight="15" x14ac:dyDescent="0.25"/>
  <cols>
    <col min="1" max="1" width="2.85546875" customWidth="1"/>
    <col min="2" max="9" width="14.28515625" customWidth="1"/>
  </cols>
  <sheetData>
    <row r="1" spans="1:11" ht="18" x14ac:dyDescent="0.25">
      <c r="A1" s="10"/>
      <c r="B1" s="10" t="s">
        <v>10</v>
      </c>
      <c r="C1" s="10" t="s">
        <v>11</v>
      </c>
      <c r="D1" s="10" t="s">
        <v>0</v>
      </c>
      <c r="E1" s="10" t="s">
        <v>1</v>
      </c>
      <c r="F1" s="11" t="s">
        <v>2</v>
      </c>
      <c r="G1" s="11" t="s">
        <v>22</v>
      </c>
      <c r="H1" s="11" t="s">
        <v>12</v>
      </c>
      <c r="I1" s="29" t="s">
        <v>13</v>
      </c>
      <c r="J1" s="1"/>
      <c r="K1" s="1"/>
    </row>
    <row r="2" spans="1:11" x14ac:dyDescent="0.25">
      <c r="A2" s="10">
        <v>1</v>
      </c>
      <c r="B2" s="4">
        <v>59.970300000000002</v>
      </c>
      <c r="C2" s="5">
        <v>46.810099999999998</v>
      </c>
      <c r="D2" s="5">
        <f>(B2-C2)/2</f>
        <v>6.5801000000000016</v>
      </c>
      <c r="E2" s="8">
        <f t="shared" ref="E2:E5" si="0">D2/400</f>
        <v>1.6450250000000003E-2</v>
      </c>
      <c r="F2" s="8">
        <f>ATAN(E2)</f>
        <v>1.6448766369524359E-2</v>
      </c>
      <c r="G2" s="8">
        <f>SQRT((1/400*0.2)^2+(D2/(2*400^2)*20)^2)*1/SQRT(2)</f>
        <v>4.5778362965710257E-4</v>
      </c>
      <c r="H2" s="6">
        <f>(A2*632.8*10^(-6)*400)/D2*1000</f>
        <v>38.467500493913455</v>
      </c>
      <c r="I2" s="25">
        <f>(A2*632.8*10^(-6)*G2)/(E2^2)*1000</f>
        <v>1.0704878041330728</v>
      </c>
    </row>
    <row r="3" spans="1:11" x14ac:dyDescent="0.25">
      <c r="A3" s="10">
        <v>2</v>
      </c>
      <c r="B3" s="4">
        <v>66.599900000000005</v>
      </c>
      <c r="C3" s="5">
        <v>40.512300000000003</v>
      </c>
      <c r="D3" s="5">
        <f>(B3-C3)/2</f>
        <v>13.043800000000001</v>
      </c>
      <c r="E3" s="8">
        <f t="shared" si="0"/>
        <v>3.26095E-2</v>
      </c>
      <c r="F3" s="8">
        <f t="shared" ref="F3:F5" si="1">ATAN(E3)</f>
        <v>3.2597948611381544E-2</v>
      </c>
      <c r="G3" s="8">
        <f>SQRT((1/400*0.2)^2+(D3/(2*400^2)*20)^2)*1/SQRT(2)</f>
        <v>6.762441058546278E-4</v>
      </c>
      <c r="H3" s="6">
        <f t="shared" ref="H3:H5" si="2">(A3*632.8*10^(-6)*400)/D3*1000</f>
        <v>38.810776000858638</v>
      </c>
      <c r="I3" s="25">
        <f t="shared" ref="I3:I5" si="3">(A3*632.8*10^(-6)*G3)/(E3^2)*1000</f>
        <v>0.80484394161900352</v>
      </c>
    </row>
    <row r="4" spans="1:11" x14ac:dyDescent="0.25">
      <c r="A4" s="10">
        <v>3</v>
      </c>
      <c r="B4" s="4">
        <v>72.897800000000004</v>
      </c>
      <c r="C4" s="5">
        <v>33.957000000000001</v>
      </c>
      <c r="D4" s="5">
        <f t="shared" ref="D4" si="4">(B4-C4)/2</f>
        <v>19.470400000000001</v>
      </c>
      <c r="E4" s="8">
        <f t="shared" si="0"/>
        <v>4.8676000000000004E-2</v>
      </c>
      <c r="F4" s="8">
        <f t="shared" si="1"/>
        <v>4.8637611017649907E-2</v>
      </c>
      <c r="G4" s="8">
        <f>SQRT((1/400*0.2)^2+(D4/(2*400^2)*20)^2)*1/SQRT(2)</f>
        <v>9.3028103549411343E-4</v>
      </c>
      <c r="H4" s="6">
        <f t="shared" si="2"/>
        <v>39.000739584189326</v>
      </c>
      <c r="I4" s="25">
        <f t="shared" si="3"/>
        <v>0.74537037565568032</v>
      </c>
    </row>
    <row r="5" spans="1:11" x14ac:dyDescent="0.25">
      <c r="A5" s="10">
        <v>4</v>
      </c>
      <c r="B5" s="4">
        <v>79.413499999999999</v>
      </c>
      <c r="C5" s="5">
        <v>27.743300000000001</v>
      </c>
      <c r="D5" s="5">
        <f>(B5-C5)/2</f>
        <v>25.835099999999997</v>
      </c>
      <c r="E5" s="8">
        <f t="shared" si="0"/>
        <v>6.4587749999999999E-2</v>
      </c>
      <c r="F5" s="8">
        <f t="shared" si="1"/>
        <v>6.4498163190496671E-2</v>
      </c>
      <c r="G5" s="8">
        <f>SQRT((1/400*0.2)^2+(D5/(2*400^2)*20)^2)*1/SQRT(2)</f>
        <v>1.1952480718012187E-3</v>
      </c>
      <c r="H5" s="6">
        <f t="shared" si="2"/>
        <v>39.190094096790801</v>
      </c>
      <c r="I5" s="25">
        <f t="shared" si="3"/>
        <v>0.72524409664212675</v>
      </c>
    </row>
    <row r="6" spans="1:11" ht="18" x14ac:dyDescent="0.25">
      <c r="A6" s="10"/>
      <c r="B6" s="10"/>
      <c r="C6" s="10"/>
      <c r="D6" s="10"/>
      <c r="E6" s="10"/>
      <c r="F6" s="10"/>
      <c r="G6" s="11" t="s">
        <v>14</v>
      </c>
      <c r="H6" s="10" t="s">
        <v>4</v>
      </c>
      <c r="I6" s="29" t="s">
        <v>5</v>
      </c>
    </row>
    <row r="7" spans="1:11" x14ac:dyDescent="0.25">
      <c r="A7" s="10"/>
      <c r="B7" s="10"/>
      <c r="C7" s="10"/>
      <c r="D7" s="10"/>
      <c r="E7" s="10"/>
      <c r="F7" s="10"/>
      <c r="G7" s="5">
        <f>AVERAGE(B2:C5)</f>
        <v>53.488025</v>
      </c>
      <c r="H7" s="6">
        <f>AVERAGE(H2:H5)</f>
        <v>38.867277543938052</v>
      </c>
      <c r="I7" s="25">
        <f>1/4*SQRT(SUMSQ(I2:I5))</f>
        <v>0.42391581606624784</v>
      </c>
    </row>
    <row r="8" spans="1:11" x14ac:dyDescent="0.25">
      <c r="A8" s="10"/>
      <c r="B8" s="10"/>
      <c r="C8" s="10"/>
      <c r="D8" s="10"/>
      <c r="E8" s="10"/>
      <c r="F8" s="10"/>
      <c r="G8" s="10"/>
      <c r="H8" s="10"/>
      <c r="I8" s="30"/>
    </row>
    <row r="9" spans="1:11" x14ac:dyDescent="0.25">
      <c r="A9" s="4"/>
      <c r="B9" s="4"/>
      <c r="C9" s="4"/>
      <c r="D9" s="4"/>
      <c r="E9" s="4"/>
      <c r="F9" s="4"/>
      <c r="G9" s="4"/>
      <c r="H9" s="4"/>
      <c r="I9" s="5"/>
    </row>
    <row r="10" spans="1:11" x14ac:dyDescent="0.25">
      <c r="A10" s="33" t="s">
        <v>6</v>
      </c>
      <c r="B10" s="33"/>
      <c r="C10" s="33"/>
      <c r="D10" s="33"/>
      <c r="E10" s="33"/>
      <c r="F10" s="33"/>
      <c r="G10" s="34"/>
      <c r="H10" s="4"/>
      <c r="I10" s="4"/>
    </row>
    <row r="11" spans="1:11" ht="18" x14ac:dyDescent="0.25">
      <c r="A11" s="10" t="s">
        <v>7</v>
      </c>
      <c r="B11" s="10" t="s">
        <v>3</v>
      </c>
      <c r="C11" s="10" t="s">
        <v>15</v>
      </c>
      <c r="D11" s="10" t="s">
        <v>8</v>
      </c>
      <c r="E11" s="11" t="s">
        <v>22</v>
      </c>
      <c r="F11" s="10" t="s">
        <v>16</v>
      </c>
      <c r="G11" s="24" t="s">
        <v>17</v>
      </c>
      <c r="H11" s="4"/>
      <c r="I11" s="4"/>
    </row>
    <row r="12" spans="1:11" x14ac:dyDescent="0.25">
      <c r="A12" s="10">
        <v>5</v>
      </c>
      <c r="B12" s="5">
        <v>58.315399999999997</v>
      </c>
      <c r="C12" s="31">
        <f>ABS(B12-$G$7)</f>
        <v>4.8273749999999964</v>
      </c>
      <c r="D12" s="8">
        <f>C12/400</f>
        <v>1.2068437499999991E-2</v>
      </c>
      <c r="E12" s="8">
        <f t="shared" ref="E12:E22" si="5">SQRT((1/400*0.2)^2+(C12/(2*400^2)*20)^2)</f>
        <v>5.8397730247598562E-4</v>
      </c>
      <c r="F12" s="6">
        <f>(A12-0.5)*(632.8*10^-6)/D12*1000</f>
        <v>235.95432300163148</v>
      </c>
      <c r="G12" s="25">
        <f>(A12-0.5)*(632.8*10^-6)/D12^2*E12*1000</f>
        <v>11.417548382219344</v>
      </c>
      <c r="H12" s="4"/>
      <c r="I12" s="4"/>
    </row>
    <row r="13" spans="1:11" x14ac:dyDescent="0.25">
      <c r="A13" s="10">
        <v>4</v>
      </c>
      <c r="B13" s="5">
        <v>57.235900000000001</v>
      </c>
      <c r="C13" s="31">
        <f t="shared" ref="C13:C22" si="6">ABS(B13-$G$7)</f>
        <v>3.7478750000000005</v>
      </c>
      <c r="D13" s="8">
        <f t="shared" ref="D13:D22" si="7">C13/400</f>
        <v>9.3696875000000013E-3</v>
      </c>
      <c r="E13" s="8">
        <f t="shared" si="5"/>
        <v>5.5214980069251602E-4</v>
      </c>
      <c r="F13" s="6">
        <f t="shared" ref="F13:F22" si="8">(A13-0.5)*(632.8*10^-6)/D13*1000</f>
        <v>236.37928159290254</v>
      </c>
      <c r="G13" s="25">
        <f t="shared" ref="G13:G22" si="9">(A13-0.5)*(632.8*10^-6)/D13^2*E13*1000</f>
        <v>13.929682630222326</v>
      </c>
      <c r="H13" s="4"/>
      <c r="I13" s="4"/>
    </row>
    <row r="14" spans="1:11" x14ac:dyDescent="0.25">
      <c r="A14" s="10">
        <v>3</v>
      </c>
      <c r="B14" s="5">
        <v>56.156399999999998</v>
      </c>
      <c r="C14" s="31">
        <f t="shared" si="6"/>
        <v>2.6683749999999975</v>
      </c>
      <c r="D14" s="8">
        <f t="shared" si="7"/>
        <v>6.6709374999999937E-3</v>
      </c>
      <c r="E14" s="8">
        <f t="shared" si="5"/>
        <v>5.2708005032970685E-4</v>
      </c>
      <c r="F14" s="6">
        <f t="shared" si="8"/>
        <v>237.14807701316363</v>
      </c>
      <c r="G14" s="25">
        <f t="shared" si="9"/>
        <v>18.73739940865757</v>
      </c>
      <c r="H14" s="4"/>
      <c r="I14" s="4"/>
    </row>
    <row r="15" spans="1:11" x14ac:dyDescent="0.25">
      <c r="A15" s="10">
        <v>2</v>
      </c>
      <c r="B15" s="5">
        <v>55.129100000000001</v>
      </c>
      <c r="C15" s="31">
        <f t="shared" si="6"/>
        <v>1.6410750000000007</v>
      </c>
      <c r="D15" s="8">
        <f t="shared" si="7"/>
        <v>4.1026875000000022E-3</v>
      </c>
      <c r="E15" s="8">
        <f t="shared" si="5"/>
        <v>5.1041162599578407E-4</v>
      </c>
      <c r="F15" s="6">
        <f t="shared" si="8"/>
        <v>231.36054110872431</v>
      </c>
      <c r="G15" s="25">
        <f t="shared" si="9"/>
        <v>28.783354807932206</v>
      </c>
      <c r="H15" s="4"/>
      <c r="I15" s="4"/>
    </row>
    <row r="16" spans="1:11" x14ac:dyDescent="0.25">
      <c r="A16" s="10">
        <v>1</v>
      </c>
      <c r="B16" s="5">
        <v>54.067</v>
      </c>
      <c r="C16" s="31">
        <f t="shared" si="6"/>
        <v>0.5789749999999998</v>
      </c>
      <c r="D16" s="8">
        <f t="shared" si="7"/>
        <v>1.4474374999999995E-3</v>
      </c>
      <c r="E16" s="8">
        <f t="shared" si="5"/>
        <v>5.013077119621779E-4</v>
      </c>
      <c r="F16" s="6">
        <f t="shared" si="8"/>
        <v>218.59320350619632</v>
      </c>
      <c r="G16" s="25">
        <f t="shared" si="9"/>
        <v>75.707903588358064</v>
      </c>
      <c r="H16" s="4"/>
      <c r="I16" s="4"/>
    </row>
    <row r="17" spans="1:9" x14ac:dyDescent="0.25">
      <c r="A17" s="10">
        <v>1</v>
      </c>
      <c r="B17" s="5">
        <v>53.039700000000003</v>
      </c>
      <c r="C17" s="31">
        <f t="shared" si="6"/>
        <v>0.44832499999999698</v>
      </c>
      <c r="D17" s="8">
        <f t="shared" si="7"/>
        <v>1.1208124999999925E-3</v>
      </c>
      <c r="E17" s="8">
        <f t="shared" si="5"/>
        <v>5.0078452243714324E-4</v>
      </c>
      <c r="F17" s="6">
        <f t="shared" si="8"/>
        <v>282.29520994814214</v>
      </c>
      <c r="G17" s="25">
        <f t="shared" si="9"/>
        <v>126.13088442551665</v>
      </c>
      <c r="H17" s="4"/>
      <c r="I17" s="4"/>
    </row>
    <row r="18" spans="1:9" x14ac:dyDescent="0.25">
      <c r="A18" s="10">
        <v>2</v>
      </c>
      <c r="B18" s="5">
        <v>51.977600000000002</v>
      </c>
      <c r="C18" s="31">
        <f t="shared" si="6"/>
        <v>1.5104249999999979</v>
      </c>
      <c r="D18" s="8">
        <f t="shared" si="7"/>
        <v>3.7760624999999947E-3</v>
      </c>
      <c r="E18" s="8">
        <f t="shared" si="5"/>
        <v>5.0883362212263584E-4</v>
      </c>
      <c r="F18" s="6">
        <f t="shared" si="8"/>
        <v>251.3729579423013</v>
      </c>
      <c r="G18" s="25">
        <f t="shared" si="9"/>
        <v>33.873118544373234</v>
      </c>
      <c r="H18" s="4"/>
      <c r="I18" s="4"/>
    </row>
    <row r="19" spans="1:9" x14ac:dyDescent="0.25">
      <c r="A19" s="10">
        <v>3</v>
      </c>
      <c r="B19" s="5">
        <v>50.898099999999999</v>
      </c>
      <c r="C19" s="31">
        <f t="shared" si="6"/>
        <v>2.5899250000000009</v>
      </c>
      <c r="D19" s="8">
        <f t="shared" si="7"/>
        <v>6.4748125000000023E-3</v>
      </c>
      <c r="E19" s="8">
        <f t="shared" si="5"/>
        <v>5.2554923467630285E-4</v>
      </c>
      <c r="F19" s="6">
        <f t="shared" si="8"/>
        <v>244.33139955790213</v>
      </c>
      <c r="G19" s="25">
        <f t="shared" si="9"/>
        <v>19.831953441902044</v>
      </c>
      <c r="H19" s="4"/>
      <c r="I19" s="4"/>
    </row>
    <row r="20" spans="1:9" x14ac:dyDescent="0.25">
      <c r="A20" s="10">
        <v>4</v>
      </c>
      <c r="B20" s="5">
        <v>49.870800000000003</v>
      </c>
      <c r="C20" s="31">
        <f t="shared" si="6"/>
        <v>3.6172249999999977</v>
      </c>
      <c r="D20" s="8">
        <f t="shared" si="7"/>
        <v>9.0430624999999938E-3</v>
      </c>
      <c r="E20" s="8">
        <f t="shared" si="5"/>
        <v>5.4873546642422917E-4</v>
      </c>
      <c r="F20" s="6">
        <f t="shared" si="8"/>
        <v>244.91702893792905</v>
      </c>
      <c r="G20" s="25">
        <f t="shared" si="9"/>
        <v>14.861631234937393</v>
      </c>
      <c r="H20" s="4"/>
      <c r="I20" s="4"/>
    </row>
    <row r="21" spans="1:9" x14ac:dyDescent="0.25">
      <c r="A21" s="10">
        <v>5</v>
      </c>
      <c r="B21" s="5">
        <v>48.808700000000002</v>
      </c>
      <c r="C21" s="31">
        <f t="shared" si="6"/>
        <v>4.6793249999999986</v>
      </c>
      <c r="D21" s="8">
        <f t="shared" si="7"/>
        <v>1.1698312499999997E-2</v>
      </c>
      <c r="E21" s="8">
        <f t="shared" si="5"/>
        <v>5.7925087146441573E-4</v>
      </c>
      <c r="F21" s="6">
        <f t="shared" si="8"/>
        <v>243.41972399865369</v>
      </c>
      <c r="G21" s="25">
        <f t="shared" si="9"/>
        <v>12.053113409121851</v>
      </c>
      <c r="H21" s="4"/>
      <c r="I21" s="4"/>
    </row>
    <row r="22" spans="1:9" x14ac:dyDescent="0.25">
      <c r="A22" s="10">
        <v>6</v>
      </c>
      <c r="B22" s="5">
        <v>47.746600000000001</v>
      </c>
      <c r="C22" s="31">
        <f t="shared" si="6"/>
        <v>5.7414249999999996</v>
      </c>
      <c r="D22" s="8">
        <f t="shared" si="7"/>
        <v>1.4353562499999998E-2</v>
      </c>
      <c r="E22" s="8">
        <f t="shared" si="5"/>
        <v>6.1543925189727611E-4</v>
      </c>
      <c r="F22" s="6">
        <f t="shared" si="8"/>
        <v>242.47638870141122</v>
      </c>
      <c r="G22" s="25">
        <f t="shared" si="9"/>
        <v>10.396686346344309</v>
      </c>
      <c r="H22" s="4"/>
      <c r="I22" s="4"/>
    </row>
    <row r="23" spans="1:9" ht="18" x14ac:dyDescent="0.25">
      <c r="A23" s="10"/>
      <c r="B23" s="10"/>
      <c r="C23" s="10"/>
      <c r="D23" s="10"/>
      <c r="E23" s="10"/>
      <c r="F23" s="10" t="s">
        <v>18</v>
      </c>
      <c r="G23" s="24" t="s">
        <v>20</v>
      </c>
      <c r="H23" s="4"/>
      <c r="I23" s="4"/>
    </row>
    <row r="24" spans="1:9" x14ac:dyDescent="0.25">
      <c r="A24" s="10"/>
      <c r="B24" s="10"/>
      <c r="C24" s="10"/>
      <c r="D24" s="10"/>
      <c r="E24" s="13"/>
      <c r="F24" s="19">
        <f>AVERAGE(F12:F15,F18:F22)</f>
        <v>240.81774687273548</v>
      </c>
      <c r="G24" s="32">
        <f>1/9*SQRT(SUMSQ(G12:G15,G18:G22))</f>
        <v>6.5911457347947326</v>
      </c>
      <c r="H24" s="4"/>
      <c r="I24" s="4"/>
    </row>
    <row r="25" spans="1:9" x14ac:dyDescent="0.25">
      <c r="A25" s="10"/>
      <c r="B25" s="10"/>
      <c r="C25" s="10"/>
      <c r="D25" s="10"/>
      <c r="E25" s="10"/>
      <c r="F25" s="10"/>
      <c r="G25" s="24"/>
      <c r="H25" s="4"/>
      <c r="I25" s="4"/>
    </row>
  </sheetData>
  <mergeCells count="1">
    <mergeCell ref="A10:G10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F1AF-8792-433D-BEBF-A792B1DCBE98}">
  <dimension ref="A1:K37"/>
  <sheetViews>
    <sheetView workbookViewId="0">
      <selection activeCell="K32" sqref="K32"/>
    </sheetView>
  </sheetViews>
  <sheetFormatPr baseColWidth="10" defaultRowHeight="15" x14ac:dyDescent="0.25"/>
  <cols>
    <col min="1" max="1" width="2.85546875" customWidth="1"/>
    <col min="2" max="9" width="14.28515625" customWidth="1"/>
    <col min="10" max="10" width="2.85546875" customWidth="1"/>
  </cols>
  <sheetData>
    <row r="1" spans="1:11" ht="18" x14ac:dyDescent="0.35">
      <c r="A1" s="9"/>
      <c r="B1" s="13" t="s">
        <v>10</v>
      </c>
      <c r="C1" s="13" t="s">
        <v>11</v>
      </c>
      <c r="D1" s="13" t="s">
        <v>0</v>
      </c>
      <c r="E1" s="13" t="s">
        <v>1</v>
      </c>
      <c r="F1" s="15" t="s">
        <v>2</v>
      </c>
      <c r="G1" s="15" t="s">
        <v>22</v>
      </c>
      <c r="H1" s="15" t="s">
        <v>12</v>
      </c>
      <c r="I1" s="21" t="s">
        <v>13</v>
      </c>
      <c r="J1" s="18"/>
    </row>
    <row r="2" spans="1:11" x14ac:dyDescent="0.25">
      <c r="A2" s="9">
        <v>1</v>
      </c>
      <c r="B2" s="3">
        <v>59.888100000000001</v>
      </c>
      <c r="C2" s="3">
        <v>47.208199999999998</v>
      </c>
      <c r="D2" s="3">
        <f>(B2-C2)/2</f>
        <v>6.3399500000000018</v>
      </c>
      <c r="E2" s="12">
        <f t="shared" ref="E2:E6" si="0">D2/400</f>
        <v>1.5849875000000003E-2</v>
      </c>
      <c r="F2" s="12">
        <f>ATAN(E2)</f>
        <v>1.5848547939217854E-2</v>
      </c>
      <c r="G2" s="17">
        <f>SQRT((1/400*0.2)^2+(D2/(2*400^2)*20)^2)*1/SQRT(2)*1000</f>
        <v>0.4511161635029638</v>
      </c>
      <c r="H2" s="17">
        <f>(A2*632.8*10^(-6)*400)/D2*1000</f>
        <v>39.924605083636287</v>
      </c>
      <c r="I2" s="22">
        <f>(A2*632.8*10^(-6)*G2)/(E2^2)</f>
        <v>1.1363266066578397</v>
      </c>
      <c r="J2" s="18"/>
    </row>
    <row r="3" spans="1:11" x14ac:dyDescent="0.25">
      <c r="A3" s="9">
        <v>2</v>
      </c>
      <c r="B3" s="3">
        <v>66.325599999999994</v>
      </c>
      <c r="C3" s="3">
        <v>40.868299999999998</v>
      </c>
      <c r="D3" s="3">
        <f t="shared" ref="D3:D4" si="1">(B3-C3)/2</f>
        <v>12.728649999999998</v>
      </c>
      <c r="E3" s="12">
        <f t="shared" si="0"/>
        <v>3.1821624999999992E-2</v>
      </c>
      <c r="F3" s="12">
        <f t="shared" ref="F3:F6" si="2">ATAN(E3)</f>
        <v>3.181089049426445E-2</v>
      </c>
      <c r="G3" s="17">
        <f>SQRT((1/400*0.2)^2+(D3/(2*400^2)*20)^2)*1/SQRT(2)*1000</f>
        <v>0.6644113507554601</v>
      </c>
      <c r="H3" s="17">
        <f>(A3*632.8*10^(-6)*400)/D3*1000</f>
        <v>39.771696134311178</v>
      </c>
      <c r="I3" s="22">
        <f>(A3*632.8*10^(-6)*G3)/(E3^2)</f>
        <v>0.83040279528256045</v>
      </c>
      <c r="J3" s="16"/>
    </row>
    <row r="4" spans="1:11" x14ac:dyDescent="0.25">
      <c r="A4" s="9">
        <v>3</v>
      </c>
      <c r="B4" s="3">
        <v>72.763099999999994</v>
      </c>
      <c r="C4" s="3">
        <v>34.458300000000001</v>
      </c>
      <c r="D4" s="3">
        <f t="shared" si="1"/>
        <v>19.152399999999997</v>
      </c>
      <c r="E4" s="12">
        <f t="shared" si="0"/>
        <v>4.7880999999999993E-2</v>
      </c>
      <c r="F4" s="12">
        <f t="shared" si="2"/>
        <v>4.784445974677469E-2</v>
      </c>
      <c r="G4" s="17">
        <f>SQRT((1/400*0.2)^2+(D4/(2*400^2)*20)^2)*1/SQRT(2)*1000</f>
        <v>0.91729734836229615</v>
      </c>
      <c r="H4" s="17">
        <f>(A4*632.8*10^(-6)*400)/D4*1000</f>
        <v>39.648294730686501</v>
      </c>
      <c r="I4" s="22">
        <f>(A4*632.8*10^(-6)*G4)/(E4^2)</f>
        <v>0.75957635854609395</v>
      </c>
      <c r="J4" s="16"/>
    </row>
    <row r="5" spans="1:11" x14ac:dyDescent="0.25">
      <c r="A5" s="9">
        <v>4</v>
      </c>
      <c r="B5" s="3">
        <v>79.092600000000004</v>
      </c>
      <c r="C5" s="3">
        <v>28.090800000000002</v>
      </c>
      <c r="D5" s="3">
        <f>(B5-C5)/2</f>
        <v>25.500900000000001</v>
      </c>
      <c r="E5" s="12">
        <f t="shared" si="0"/>
        <v>6.375225000000001E-2</v>
      </c>
      <c r="F5" s="12">
        <f t="shared" si="2"/>
        <v>6.3666089541740647E-2</v>
      </c>
      <c r="G5" s="17">
        <f>SQRT((1/400*0.2)^2+(D5/(2*400^2)*20)^2)*1/SQRT(2)*1000</f>
        <v>1.181147400314428</v>
      </c>
      <c r="H5" s="17">
        <f>(A5*632.8*10^(-6)*400)/D5*1000</f>
        <v>39.703696732272185</v>
      </c>
      <c r="I5" s="22">
        <f>(A5*632.8*10^(-6)*G5)/(E5^2)</f>
        <v>0.73559628371070396</v>
      </c>
      <c r="J5" s="16"/>
    </row>
    <row r="6" spans="1:11" x14ac:dyDescent="0.25">
      <c r="A6" s="9">
        <v>5</v>
      </c>
      <c r="B6" s="3">
        <v>85.25</v>
      </c>
      <c r="C6" s="3">
        <v>22.043500000000002</v>
      </c>
      <c r="D6" s="3">
        <f>(B6-C6)/2</f>
        <v>31.603249999999999</v>
      </c>
      <c r="E6" s="12">
        <f t="shared" si="0"/>
        <v>7.9008124999999998E-2</v>
      </c>
      <c r="F6" s="12">
        <f t="shared" si="2"/>
        <v>7.8844340949010758E-2</v>
      </c>
      <c r="G6" s="17">
        <f>SQRT((1/400*0.2)^2+(D6/(2*400^2)*20)^2)*1/SQRT(2)*1000</f>
        <v>1.4407337340761073</v>
      </c>
      <c r="H6" s="17">
        <f>(A6*632.8*10^(-6)*400)/D6*1000</f>
        <v>40.046514203444261</v>
      </c>
      <c r="I6" s="22">
        <f>(A6*632.8*10^(-6)*G6)/(E6^2)</f>
        <v>0.73025861511154866</v>
      </c>
      <c r="J6" s="16"/>
    </row>
    <row r="7" spans="1:11" ht="18" x14ac:dyDescent="0.35">
      <c r="A7" s="9"/>
      <c r="B7" s="13"/>
      <c r="C7" s="13"/>
      <c r="D7" s="13"/>
      <c r="E7" s="13"/>
      <c r="F7" s="13"/>
      <c r="G7" s="15" t="s">
        <v>14</v>
      </c>
      <c r="H7" s="13" t="s">
        <v>4</v>
      </c>
      <c r="I7" s="21" t="s">
        <v>5</v>
      </c>
      <c r="J7" s="16"/>
    </row>
    <row r="8" spans="1:11" x14ac:dyDescent="0.25">
      <c r="A8" s="9"/>
      <c r="B8" s="13"/>
      <c r="C8" s="13"/>
      <c r="D8" s="9"/>
      <c r="E8" s="9"/>
      <c r="F8" s="9"/>
      <c r="G8" s="3">
        <f>AVERAGE(B2:C6)</f>
        <v>53.598849999999992</v>
      </c>
      <c r="H8" s="17">
        <f>AVERAGE(H2:H6)</f>
        <v>39.818961376870085</v>
      </c>
      <c r="I8" s="22">
        <f>1/5*SQRT(SUMSQ(I2:I6))</f>
        <v>0.38116362583160485</v>
      </c>
      <c r="J8" s="16"/>
    </row>
    <row r="9" spans="1:11" x14ac:dyDescent="0.25">
      <c r="A9" s="9"/>
      <c r="B9" s="13"/>
      <c r="C9" s="13"/>
      <c r="D9" s="13"/>
      <c r="E9" s="13"/>
      <c r="F9" s="13"/>
      <c r="G9" s="13"/>
      <c r="H9" s="13"/>
      <c r="I9" s="23"/>
      <c r="J9" s="16"/>
    </row>
    <row r="10" spans="1:11" x14ac:dyDescent="0.25">
      <c r="B10" s="2"/>
      <c r="C10" s="2"/>
      <c r="D10" s="16"/>
      <c r="E10" s="16"/>
      <c r="F10" s="16"/>
      <c r="G10" s="16"/>
      <c r="H10" s="16"/>
      <c r="I10" s="16"/>
      <c r="J10" s="16"/>
    </row>
    <row r="11" spans="1:11" x14ac:dyDescent="0.25">
      <c r="A11" s="33" t="s">
        <v>6</v>
      </c>
      <c r="B11" s="33"/>
      <c r="C11" s="33"/>
      <c r="D11" s="33"/>
      <c r="E11" s="33"/>
      <c r="F11" s="33"/>
      <c r="G11" s="34"/>
    </row>
    <row r="12" spans="1:11" ht="18" x14ac:dyDescent="0.25">
      <c r="A12" s="10" t="s">
        <v>7</v>
      </c>
      <c r="B12" s="10" t="s">
        <v>3</v>
      </c>
      <c r="C12" s="10" t="s">
        <v>15</v>
      </c>
      <c r="D12" s="10" t="s">
        <v>8</v>
      </c>
      <c r="E12" s="11" t="s">
        <v>22</v>
      </c>
      <c r="F12" s="10" t="s">
        <v>16</v>
      </c>
      <c r="G12" s="24" t="s">
        <v>17</v>
      </c>
      <c r="I12" s="14"/>
      <c r="K12" s="14"/>
    </row>
    <row r="13" spans="1:11" x14ac:dyDescent="0.25">
      <c r="A13" s="10">
        <v>11</v>
      </c>
      <c r="B13" s="5">
        <v>58.822800000000001</v>
      </c>
      <c r="C13" s="5">
        <f t="shared" ref="C13:C34" si="3">ABS(B13-$G$8)</f>
        <v>5.2239500000000092</v>
      </c>
      <c r="D13" s="8">
        <f>C13/400</f>
        <v>1.3059875000000023E-2</v>
      </c>
      <c r="E13" s="8">
        <f t="shared" ref="E13:E34" si="4">SQRT((1/400*0.2)^2+(C13/(2*400^2)*20)^2)</f>
        <v>5.9716012039047451E-4</v>
      </c>
      <c r="F13" s="6">
        <f t="shared" ref="F13:F34" si="5">(A13-0.5)*(632.8*10^-6)/D13*1000</f>
        <v>508.76444070100115</v>
      </c>
      <c r="G13" s="25">
        <f t="shared" ref="G13:G34" si="6">(A13-0.5)*(632.8*10^-6)/D13^2*E13*1000</f>
        <v>23.263150272066294</v>
      </c>
      <c r="I13" s="14"/>
    </row>
    <row r="14" spans="1:11" x14ac:dyDescent="0.25">
      <c r="A14" s="10">
        <v>10</v>
      </c>
      <c r="B14" s="5">
        <v>58.3108</v>
      </c>
      <c r="C14" s="5">
        <f t="shared" si="3"/>
        <v>4.7119500000000087</v>
      </c>
      <c r="D14" s="8">
        <f t="shared" ref="D14:D34" si="7">C14/400</f>
        <v>1.1779875000000021E-2</v>
      </c>
      <c r="E14" s="8">
        <f t="shared" si="4"/>
        <v>5.8028304247562318E-4</v>
      </c>
      <c r="F14" s="6">
        <f t="shared" si="5"/>
        <v>510.32799584036235</v>
      </c>
      <c r="G14" s="25">
        <f t="shared" si="6"/>
        <v>25.139034334976568</v>
      </c>
      <c r="I14" s="14"/>
      <c r="K14" s="14"/>
    </row>
    <row r="15" spans="1:11" x14ac:dyDescent="0.25">
      <c r="A15" s="10">
        <v>9</v>
      </c>
      <c r="B15" s="5">
        <v>57.798900000000003</v>
      </c>
      <c r="C15" s="5">
        <f t="shared" si="3"/>
        <v>4.2000500000000116</v>
      </c>
      <c r="D15" s="8">
        <f t="shared" si="7"/>
        <v>1.0500125000000029E-2</v>
      </c>
      <c r="E15" s="8">
        <f t="shared" si="4"/>
        <v>5.6471930251653871E-4</v>
      </c>
      <c r="F15" s="6">
        <f t="shared" si="5"/>
        <v>512.26056832656604</v>
      </c>
      <c r="G15" s="25">
        <f t="shared" si="6"/>
        <v>27.550474956450834</v>
      </c>
      <c r="K15" s="14"/>
    </row>
    <row r="16" spans="1:11" x14ac:dyDescent="0.25">
      <c r="A16" s="10">
        <v>8</v>
      </c>
      <c r="B16" s="5">
        <v>57.286999999999999</v>
      </c>
      <c r="C16" s="5">
        <f t="shared" si="3"/>
        <v>3.6881500000000074</v>
      </c>
      <c r="D16" s="8">
        <f t="shared" si="7"/>
        <v>9.2203750000000185E-3</v>
      </c>
      <c r="E16" s="8">
        <f t="shared" si="4"/>
        <v>5.50576581378913E-4</v>
      </c>
      <c r="F16" s="6">
        <f t="shared" si="5"/>
        <v>514.72960698453039</v>
      </c>
      <c r="G16" s="25">
        <f t="shared" si="6"/>
        <v>30.736067388588172</v>
      </c>
    </row>
    <row r="17" spans="1:7" x14ac:dyDescent="0.25">
      <c r="A17" s="10">
        <v>7</v>
      </c>
      <c r="B17" s="5">
        <v>56.763199999999998</v>
      </c>
      <c r="C17" s="5">
        <f t="shared" si="3"/>
        <v>3.164350000000006</v>
      </c>
      <c r="D17" s="8">
        <f t="shared" si="7"/>
        <v>7.9108750000000151E-3</v>
      </c>
      <c r="E17" s="8">
        <f t="shared" si="4"/>
        <v>5.3769295563640756E-4</v>
      </c>
      <c r="F17" s="6">
        <f t="shared" si="5"/>
        <v>519.94248423846807</v>
      </c>
      <c r="G17" s="25">
        <f t="shared" si="6"/>
        <v>35.339884792910723</v>
      </c>
    </row>
    <row r="18" spans="1:7" x14ac:dyDescent="0.25">
      <c r="A18" s="10">
        <v>6</v>
      </c>
      <c r="B18" s="5">
        <v>56.251300000000001</v>
      </c>
      <c r="C18" s="5">
        <f t="shared" si="3"/>
        <v>2.6524500000000089</v>
      </c>
      <c r="D18" s="8">
        <f t="shared" si="7"/>
        <v>6.6311250000000224E-3</v>
      </c>
      <c r="E18" s="8">
        <f t="shared" si="4"/>
        <v>5.2676596959989332E-4</v>
      </c>
      <c r="F18" s="6">
        <f t="shared" si="5"/>
        <v>524.85815001225103</v>
      </c>
      <c r="G18" s="25">
        <f t="shared" si="6"/>
        <v>41.693892407941142</v>
      </c>
    </row>
    <row r="19" spans="1:7" x14ac:dyDescent="0.25">
      <c r="A19" s="10">
        <v>5</v>
      </c>
      <c r="B19" s="5">
        <v>55.775100000000002</v>
      </c>
      <c r="C19" s="5">
        <f t="shared" si="3"/>
        <v>2.1762500000000102</v>
      </c>
      <c r="D19" s="8">
        <f t="shared" si="7"/>
        <v>5.4406250000000253E-3</v>
      </c>
      <c r="E19" s="8">
        <f t="shared" si="4"/>
        <v>5.181700977904271E-4</v>
      </c>
      <c r="F19" s="6">
        <f t="shared" si="5"/>
        <v>523.39574956921069</v>
      </c>
      <c r="G19" s="25">
        <f t="shared" si="6"/>
        <v>49.848689578379407</v>
      </c>
    </row>
    <row r="20" spans="1:7" x14ac:dyDescent="0.25">
      <c r="A20" s="10">
        <v>4</v>
      </c>
      <c r="B20" s="5">
        <v>55.227499999999999</v>
      </c>
      <c r="C20" s="5">
        <f t="shared" si="3"/>
        <v>1.6286500000000075</v>
      </c>
      <c r="D20" s="8">
        <f t="shared" si="7"/>
        <v>4.0716250000000188E-3</v>
      </c>
      <c r="E20" s="8">
        <f t="shared" si="4"/>
        <v>5.1025614287129428E-4</v>
      </c>
      <c r="F20" s="6">
        <f t="shared" si="5"/>
        <v>543.95972124151638</v>
      </c>
      <c r="G20" s="25">
        <f t="shared" si="6"/>
        <v>68.169045341365987</v>
      </c>
    </row>
    <row r="21" spans="1:7" x14ac:dyDescent="0.25">
      <c r="A21" s="10">
        <v>3</v>
      </c>
      <c r="B21" s="5">
        <v>54.707000000000001</v>
      </c>
      <c r="C21" s="5">
        <f t="shared" si="3"/>
        <v>1.1081500000000091</v>
      </c>
      <c r="D21" s="8">
        <f t="shared" si="7"/>
        <v>2.7703750000000228E-3</v>
      </c>
      <c r="E21" s="8">
        <f t="shared" si="4"/>
        <v>5.0477406928782574E-4</v>
      </c>
      <c r="F21" s="6">
        <f t="shared" si="5"/>
        <v>571.04182646753111</v>
      </c>
      <c r="G21" s="25">
        <f t="shared" si="6"/>
        <v>104.04624156641817</v>
      </c>
    </row>
    <row r="22" spans="1:7" x14ac:dyDescent="0.25">
      <c r="A22" s="10">
        <v>2</v>
      </c>
      <c r="B22" s="5">
        <v>54.203699999999998</v>
      </c>
      <c r="C22" s="5">
        <f t="shared" si="3"/>
        <v>0.6048500000000061</v>
      </c>
      <c r="D22" s="8">
        <f t="shared" si="7"/>
        <v>1.5121250000000152E-3</v>
      </c>
      <c r="E22" s="8">
        <f t="shared" si="4"/>
        <v>5.0142703981712598E-4</v>
      </c>
      <c r="F22" s="6">
        <f t="shared" si="5"/>
        <v>627.7258824501879</v>
      </c>
      <c r="G22" s="25">
        <f t="shared" si="6"/>
        <v>208.15655521440868</v>
      </c>
    </row>
    <row r="23" spans="1:7" x14ac:dyDescent="0.25">
      <c r="A23" s="10">
        <v>1</v>
      </c>
      <c r="B23" s="5">
        <v>53.715899999999998</v>
      </c>
      <c r="C23" s="5">
        <f t="shared" si="3"/>
        <v>0.11705000000000609</v>
      </c>
      <c r="D23" s="8">
        <f t="shared" si="7"/>
        <v>2.9262500000001526E-4</v>
      </c>
      <c r="E23" s="8">
        <f t="shared" si="4"/>
        <v>5.0005351550523125E-4</v>
      </c>
      <c r="F23" s="6">
        <f t="shared" si="5"/>
        <v>1081.2473302007124</v>
      </c>
      <c r="G23" s="25">
        <f t="shared" si="6"/>
        <v>1847.6942455274966</v>
      </c>
    </row>
    <row r="24" spans="1:7" x14ac:dyDescent="0.25">
      <c r="A24" s="10">
        <v>1</v>
      </c>
      <c r="B24" s="5">
        <v>53.2027</v>
      </c>
      <c r="C24" s="5">
        <f t="shared" si="3"/>
        <v>0.39614999999999156</v>
      </c>
      <c r="D24" s="8">
        <f t="shared" si="7"/>
        <v>9.903749999999789E-4</v>
      </c>
      <c r="E24" s="8">
        <f t="shared" si="4"/>
        <v>5.0061265130876451E-4</v>
      </c>
      <c r="F24" s="6">
        <f t="shared" si="5"/>
        <v>319.47494635870925</v>
      </c>
      <c r="G24" s="25">
        <f t="shared" si="6"/>
        <v>161.48751727715481</v>
      </c>
    </row>
    <row r="25" spans="1:7" x14ac:dyDescent="0.25">
      <c r="A25" s="10">
        <v>2</v>
      </c>
      <c r="B25" s="5">
        <v>52.679900000000004</v>
      </c>
      <c r="C25" s="5">
        <f t="shared" si="3"/>
        <v>0.91894999999998817</v>
      </c>
      <c r="D25" s="8">
        <f t="shared" si="7"/>
        <v>2.2973749999999704E-3</v>
      </c>
      <c r="E25" s="8">
        <f t="shared" si="4"/>
        <v>5.0328789716388024E-4</v>
      </c>
      <c r="F25" s="6">
        <f t="shared" si="5"/>
        <v>413.16720169759492</v>
      </c>
      <c r="G25" s="25">
        <f t="shared" si="6"/>
        <v>90.512890633644915</v>
      </c>
    </row>
    <row r="26" spans="1:7" x14ac:dyDescent="0.25">
      <c r="A26" s="10">
        <v>3</v>
      </c>
      <c r="B26" s="5">
        <v>52.191800000000001</v>
      </c>
      <c r="C26" s="5">
        <f t="shared" si="3"/>
        <v>1.407049999999991</v>
      </c>
      <c r="D26" s="8">
        <f t="shared" si="7"/>
        <v>3.5176249999999774E-3</v>
      </c>
      <c r="E26" s="8">
        <f t="shared" si="4"/>
        <v>5.0767465322329268E-4</v>
      </c>
      <c r="F26" s="6">
        <f t="shared" si="5"/>
        <v>449.7352617177811</v>
      </c>
      <c r="G26" s="25">
        <f t="shared" si="6"/>
        <v>64.907201033328676</v>
      </c>
    </row>
    <row r="27" spans="1:7" x14ac:dyDescent="0.25">
      <c r="A27" s="10">
        <v>4</v>
      </c>
      <c r="B27" s="5">
        <v>51.655999999999999</v>
      </c>
      <c r="C27" s="5">
        <f t="shared" si="3"/>
        <v>1.9428499999999929</v>
      </c>
      <c r="D27" s="8">
        <f t="shared" si="7"/>
        <v>4.8571249999999821E-3</v>
      </c>
      <c r="E27" s="8">
        <f t="shared" si="4"/>
        <v>5.1453356502857565E-4</v>
      </c>
      <c r="F27" s="6">
        <f t="shared" si="5"/>
        <v>455.98991172761822</v>
      </c>
      <c r="G27" s="25">
        <f t="shared" si="6"/>
        <v>48.304730658214019</v>
      </c>
    </row>
    <row r="28" spans="1:7" x14ac:dyDescent="0.25">
      <c r="A28" s="10">
        <v>5</v>
      </c>
      <c r="B28" s="5">
        <v>51.132199999999997</v>
      </c>
      <c r="C28" s="5">
        <f t="shared" si="3"/>
        <v>2.4666499999999942</v>
      </c>
      <c r="D28" s="8">
        <f t="shared" si="7"/>
        <v>6.1666249999999855E-3</v>
      </c>
      <c r="E28" s="8">
        <f t="shared" si="4"/>
        <v>5.2322752214657112E-4</v>
      </c>
      <c r="F28" s="6">
        <f t="shared" si="5"/>
        <v>461.77609308171105</v>
      </c>
      <c r="G28" s="25">
        <f t="shared" si="6"/>
        <v>39.180907055264207</v>
      </c>
    </row>
    <row r="29" spans="1:7" x14ac:dyDescent="0.25">
      <c r="A29" s="10">
        <v>6</v>
      </c>
      <c r="B29" s="5">
        <v>50.632199999999997</v>
      </c>
      <c r="C29" s="5">
        <f t="shared" si="3"/>
        <v>2.9666499999999942</v>
      </c>
      <c r="D29" s="8">
        <f t="shared" si="7"/>
        <v>7.4166249999999857E-3</v>
      </c>
      <c r="E29" s="8">
        <f t="shared" si="4"/>
        <v>5.3327193250174009E-4</v>
      </c>
      <c r="F29" s="6">
        <f t="shared" si="5"/>
        <v>469.27005207894507</v>
      </c>
      <c r="G29" s="25">
        <f t="shared" si="6"/>
        <v>33.74156675540852</v>
      </c>
    </row>
    <row r="30" spans="1:7" x14ac:dyDescent="0.25">
      <c r="A30" s="10">
        <v>7</v>
      </c>
      <c r="B30" s="5">
        <v>50.108400000000003</v>
      </c>
      <c r="C30" s="5">
        <f t="shared" si="3"/>
        <v>3.4904499999999885</v>
      </c>
      <c r="D30" s="8">
        <f t="shared" si="7"/>
        <v>8.7261249999999718E-3</v>
      </c>
      <c r="E30" s="8">
        <f t="shared" si="4"/>
        <v>5.4551882272499571E-4</v>
      </c>
      <c r="F30" s="6">
        <f t="shared" si="5"/>
        <v>471.36615622627596</v>
      </c>
      <c r="G30" s="25">
        <f t="shared" si="6"/>
        <v>29.467731738539765</v>
      </c>
    </row>
    <row r="31" spans="1:7" x14ac:dyDescent="0.25">
      <c r="A31" s="10">
        <v>8</v>
      </c>
      <c r="B31" s="5">
        <v>49.608400000000003</v>
      </c>
      <c r="C31" s="5">
        <f t="shared" si="3"/>
        <v>3.9904499999999885</v>
      </c>
      <c r="D31" s="8">
        <f t="shared" si="7"/>
        <v>9.9761249999999711E-3</v>
      </c>
      <c r="E31" s="8">
        <f t="shared" si="4"/>
        <v>5.5875031880059378E-4</v>
      </c>
      <c r="F31" s="6">
        <f t="shared" si="5"/>
        <v>475.73581926850488</v>
      </c>
      <c r="G31" s="25">
        <f t="shared" si="6"/>
        <v>26.64536988872328</v>
      </c>
    </row>
    <row r="32" spans="1:7" x14ac:dyDescent="0.25">
      <c r="A32" s="10">
        <v>9</v>
      </c>
      <c r="B32" s="5">
        <v>49.1203</v>
      </c>
      <c r="C32" s="5">
        <f t="shared" si="3"/>
        <v>4.4785499999999914</v>
      </c>
      <c r="D32" s="8">
        <f t="shared" si="7"/>
        <v>1.1196374999999979E-2</v>
      </c>
      <c r="E32" s="8">
        <f t="shared" si="4"/>
        <v>5.7301767705097051E-4</v>
      </c>
      <c r="F32" s="6">
        <f t="shared" si="5"/>
        <v>480.40548838351776</v>
      </c>
      <c r="G32" s="25">
        <f t="shared" si="6"/>
        <v>24.586603878135641</v>
      </c>
    </row>
    <row r="33" spans="1:7" x14ac:dyDescent="0.25">
      <c r="A33" s="10">
        <v>10</v>
      </c>
      <c r="B33" s="5">
        <v>48.632199999999997</v>
      </c>
      <c r="C33" s="5">
        <f t="shared" si="3"/>
        <v>4.9666499999999942</v>
      </c>
      <c r="D33" s="8">
        <f t="shared" si="7"/>
        <v>1.2416624999999985E-2</v>
      </c>
      <c r="E33" s="8">
        <f t="shared" si="4"/>
        <v>5.8852175851377018E-4</v>
      </c>
      <c r="F33" s="6">
        <f t="shared" si="5"/>
        <v>484.15732938701183</v>
      </c>
      <c r="G33" s="25">
        <f t="shared" si="6"/>
        <v>22.94803321258194</v>
      </c>
    </row>
    <row r="34" spans="1:7" x14ac:dyDescent="0.25">
      <c r="A34" s="10">
        <v>11</v>
      </c>
      <c r="B34" s="5">
        <v>48.108400000000003</v>
      </c>
      <c r="C34" s="5">
        <f t="shared" si="3"/>
        <v>5.4904499999999885</v>
      </c>
      <c r="D34" s="8">
        <f t="shared" si="7"/>
        <v>1.3726124999999971E-2</v>
      </c>
      <c r="E34" s="8">
        <f t="shared" si="4"/>
        <v>6.0642729753637009E-4</v>
      </c>
      <c r="F34" s="6">
        <f t="shared" si="5"/>
        <v>484.06961178045611</v>
      </c>
      <c r="G34" s="25">
        <f t="shared" si="6"/>
        <v>21.386445664126072</v>
      </c>
    </row>
    <row r="35" spans="1:7" ht="18" x14ac:dyDescent="0.25">
      <c r="A35" s="9"/>
      <c r="B35" s="9"/>
      <c r="C35" s="9"/>
      <c r="D35" s="9"/>
      <c r="E35" s="9"/>
      <c r="F35" s="10" t="s">
        <v>18</v>
      </c>
      <c r="G35" s="24" t="s">
        <v>20</v>
      </c>
    </row>
    <row r="36" spans="1:7" x14ac:dyDescent="0.25">
      <c r="A36" s="9"/>
      <c r="B36" s="9"/>
      <c r="C36" s="9"/>
      <c r="D36" s="9"/>
      <c r="E36" s="9"/>
      <c r="F36" s="20">
        <f>AVERAGE(F13:F22,F25:F34)</f>
        <v>500.13396755905205</v>
      </c>
      <c r="G36" s="26">
        <f>1/9*SQRT(SUMSQ(G13:G22,G25:G34))</f>
        <v>32.910311819560533</v>
      </c>
    </row>
    <row r="37" spans="1:7" x14ac:dyDescent="0.25">
      <c r="A37" s="9"/>
      <c r="B37" s="9"/>
      <c r="C37" s="9"/>
      <c r="D37" s="9"/>
      <c r="E37" s="9"/>
      <c r="F37" s="9"/>
      <c r="G37" s="27"/>
    </row>
  </sheetData>
  <mergeCells count="1">
    <mergeCell ref="A11:G1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9414F-7FA4-47AC-8E4A-3632A3405FBB}">
  <dimension ref="A1:K10"/>
  <sheetViews>
    <sheetView workbookViewId="0">
      <selection activeCell="K16" sqref="K16"/>
    </sheetView>
  </sheetViews>
  <sheetFormatPr baseColWidth="10" defaultRowHeight="15" x14ac:dyDescent="0.25"/>
  <cols>
    <col min="1" max="1" width="2.85546875" customWidth="1"/>
    <col min="2" max="11" width="14.28515625" customWidth="1"/>
  </cols>
  <sheetData>
    <row r="1" spans="1:11" ht="18" x14ac:dyDescent="0.25">
      <c r="A1" s="10" t="s">
        <v>21</v>
      </c>
      <c r="B1" s="10" t="s">
        <v>0</v>
      </c>
      <c r="C1" s="10" t="s">
        <v>24</v>
      </c>
      <c r="D1" s="10" t="s">
        <v>30</v>
      </c>
      <c r="E1" s="10" t="s">
        <v>25</v>
      </c>
      <c r="F1" s="10" t="s">
        <v>29</v>
      </c>
      <c r="G1" s="10" t="s">
        <v>26</v>
      </c>
      <c r="H1" s="10" t="s">
        <v>16</v>
      </c>
      <c r="I1" s="10" t="s">
        <v>17</v>
      </c>
      <c r="J1" s="10" t="s">
        <v>27</v>
      </c>
      <c r="K1" s="24" t="s">
        <v>31</v>
      </c>
    </row>
    <row r="2" spans="1:11" x14ac:dyDescent="0.25">
      <c r="A2" s="10">
        <v>3</v>
      </c>
      <c r="B2" s="5">
        <v>93.516400000000004</v>
      </c>
      <c r="C2" s="4">
        <f>B2-G9</f>
        <v>39.759600000000006</v>
      </c>
      <c r="D2" s="7">
        <v>2.5000000000000001E-2</v>
      </c>
      <c r="E2" s="8">
        <f>ATAN(C2/400)</f>
        <v>9.9073567645958122E-2</v>
      </c>
      <c r="F2" s="8">
        <f>SQRT(((C2*20)/(400^2+C2^2))^2+(D2/(400*(1+(C2/400)^2)))^2)</f>
        <v>4.921715627529486E-3</v>
      </c>
      <c r="G2" s="8">
        <f t="shared" ref="G2:G7" si="0">SIN(E2)</f>
        <v>9.8911569885213727E-2</v>
      </c>
      <c r="H2" s="7">
        <f>A2*632.8*10^(-6)/G2*1000</f>
        <v>19.19290131784463</v>
      </c>
      <c r="I2" s="7">
        <f>SQRT((A2*632.8*10^(-6)*F2/(COS(E2)^2))^2)*1000</f>
        <v>9.4356990967443162E-3</v>
      </c>
      <c r="J2" s="7">
        <f>1/H2 *1000</f>
        <v>52.102596863260509</v>
      </c>
      <c r="K2" s="28">
        <f>SQRT((I2/(H2^2))^2)*1000</f>
        <v>2.5614909284382752E-2</v>
      </c>
    </row>
    <row r="3" spans="1:11" x14ac:dyDescent="0.25">
      <c r="A3" s="10">
        <v>2</v>
      </c>
      <c r="B3" s="5">
        <v>80.152500000000003</v>
      </c>
      <c r="C3" s="4">
        <f>B3-G9</f>
        <v>26.395700000000005</v>
      </c>
      <c r="D3" s="7">
        <v>0.05</v>
      </c>
      <c r="E3" s="8">
        <f t="shared" ref="E3:E7" si="1">ATAN(C3/400)</f>
        <v>6.5893714306183016E-2</v>
      </c>
      <c r="F3" s="8">
        <f t="shared" ref="F3:F7" si="2">SQRT(((C3*20)/(400^2+C3^2))^2+(D3/(400*(1+(C3/400)^2)))^2)</f>
        <v>3.2875137157621056E-3</v>
      </c>
      <c r="G3" s="8">
        <f t="shared" si="0"/>
        <v>6.5846039775108736E-2</v>
      </c>
      <c r="H3" s="7">
        <f t="shared" ref="H3:H7" si="3">A3*632.8*10^(-6)/G3*1000</f>
        <v>19.220594045177865</v>
      </c>
      <c r="I3" s="7">
        <f t="shared" ref="I3:I6" si="4">SQRT((A3*632.8*10^(-6)*F3/(COS(E3)^2))^2)*1000</f>
        <v>4.1787953657225268E-3</v>
      </c>
      <c r="J3" s="7">
        <f t="shared" ref="J3:J7" si="5">1/H3 *1000</f>
        <v>52.027528267310956</v>
      </c>
      <c r="K3" s="28">
        <f t="shared" ref="K3:K6" si="6">SQRT((I3/(H3^2))^2)*1000</f>
        <v>1.1311429475197829E-2</v>
      </c>
    </row>
    <row r="4" spans="1:11" x14ac:dyDescent="0.25">
      <c r="A4" s="10">
        <v>1</v>
      </c>
      <c r="B4" s="5">
        <v>66.954700000000003</v>
      </c>
      <c r="C4" s="4">
        <f>B4-G9</f>
        <v>13.197900000000004</v>
      </c>
      <c r="D4" s="7">
        <v>0.05</v>
      </c>
      <c r="E4" s="8">
        <f t="shared" si="1"/>
        <v>3.2982784531118567E-2</v>
      </c>
      <c r="F4" s="8">
        <f t="shared" si="2"/>
        <v>1.6526671425858548E-3</v>
      </c>
      <c r="G4" s="8">
        <f t="shared" si="0"/>
        <v>3.2976804725322141E-2</v>
      </c>
      <c r="H4" s="7">
        <f t="shared" si="3"/>
        <v>19.189245449062174</v>
      </c>
      <c r="I4" s="7">
        <f t="shared" si="4"/>
        <v>1.0469462901439271E-3</v>
      </c>
      <c r="J4" s="7">
        <f t="shared" si="5"/>
        <v>52.112523270104532</v>
      </c>
      <c r="K4" s="28">
        <f t="shared" si="6"/>
        <v>2.8432078297451475E-3</v>
      </c>
    </row>
    <row r="5" spans="1:11" x14ac:dyDescent="0.25">
      <c r="A5" s="10">
        <v>1</v>
      </c>
      <c r="B5" s="5">
        <v>40.475900000000003</v>
      </c>
      <c r="C5" s="4">
        <f>G9-B5</f>
        <v>13.280899999999995</v>
      </c>
      <c r="D5" s="7">
        <v>0.05</v>
      </c>
      <c r="E5" s="8">
        <f t="shared" si="1"/>
        <v>3.3190057460665494E-2</v>
      </c>
      <c r="F5" s="8">
        <f t="shared" si="2"/>
        <v>1.6629786050373096E-3</v>
      </c>
      <c r="G5" s="8">
        <f t="shared" si="0"/>
        <v>3.3183964212843281E-2</v>
      </c>
      <c r="H5" s="7">
        <f t="shared" si="3"/>
        <v>19.069451616485459</v>
      </c>
      <c r="I5" s="7">
        <f t="shared" si="4"/>
        <v>1.0534929418644697E-3</v>
      </c>
      <c r="J5" s="7">
        <f t="shared" si="5"/>
        <v>52.439892877438815</v>
      </c>
      <c r="K5" s="28">
        <f t="shared" si="6"/>
        <v>2.8970448720586992E-3</v>
      </c>
    </row>
    <row r="6" spans="1:11" x14ac:dyDescent="0.25">
      <c r="A6" s="10">
        <v>2</v>
      </c>
      <c r="B6" s="5">
        <v>27.277999999999999</v>
      </c>
      <c r="C6" s="4">
        <f>G9-B6</f>
        <v>26.4788</v>
      </c>
      <c r="D6" s="7">
        <v>0.05</v>
      </c>
      <c r="E6" s="8">
        <f t="shared" si="1"/>
        <v>6.6100560737941669E-2</v>
      </c>
      <c r="F6" s="8">
        <f t="shared" si="2"/>
        <v>3.297758618391663E-3</v>
      </c>
      <c r="G6" s="8">
        <f t="shared" si="0"/>
        <v>6.6052435897531972E-2</v>
      </c>
      <c r="H6" s="7">
        <f t="shared" si="3"/>
        <v>19.160534850877291</v>
      </c>
      <c r="I6" s="7">
        <f t="shared" si="4"/>
        <v>4.1919323910791706E-3</v>
      </c>
      <c r="J6" s="7">
        <f t="shared" si="5"/>
        <v>52.190609906393796</v>
      </c>
      <c r="K6" s="28">
        <f t="shared" si="6"/>
        <v>1.1418235966767519E-2</v>
      </c>
    </row>
    <row r="7" spans="1:11" x14ac:dyDescent="0.25">
      <c r="A7" s="10">
        <v>3</v>
      </c>
      <c r="B7" s="5">
        <v>13.665100000000001</v>
      </c>
      <c r="C7" s="4">
        <f>G9-B7</f>
        <v>40.091699999999996</v>
      </c>
      <c r="D7" s="7">
        <v>2.5000000000000001E-2</v>
      </c>
      <c r="E7" s="8">
        <f t="shared" si="1"/>
        <v>9.9895627533399992E-2</v>
      </c>
      <c r="F7" s="8">
        <f t="shared" si="2"/>
        <v>4.962004403667777E-3</v>
      </c>
      <c r="G7" s="8">
        <f t="shared" si="0"/>
        <v>9.9729565064236109E-2</v>
      </c>
      <c r="H7" s="7">
        <f t="shared" si="3"/>
        <v>19.035478584281748</v>
      </c>
      <c r="I7" s="7">
        <f>SQRT((A7*632.8*10^(-6)*F7/(COS(E7)^2))^2)*1000</f>
        <v>9.5145002475896419E-3</v>
      </c>
      <c r="J7" s="7">
        <f t="shared" si="5"/>
        <v>52.53348349359257</v>
      </c>
      <c r="K7" s="28">
        <f>SQRT((I7/(H7^2))^2)*1000</f>
        <v>2.6257802738895126E-2</v>
      </c>
    </row>
    <row r="8" spans="1:11" ht="18" x14ac:dyDescent="0.35">
      <c r="A8" s="9"/>
      <c r="B8" s="9"/>
      <c r="C8" s="9"/>
      <c r="D8" s="9"/>
      <c r="E8" s="9"/>
      <c r="F8" s="9"/>
      <c r="G8" s="15" t="s">
        <v>14</v>
      </c>
      <c r="H8" s="13" t="s">
        <v>9</v>
      </c>
      <c r="I8" s="13" t="s">
        <v>33</v>
      </c>
      <c r="J8" s="13" t="s">
        <v>28</v>
      </c>
      <c r="K8" s="23" t="s">
        <v>32</v>
      </c>
    </row>
    <row r="9" spans="1:11" x14ac:dyDescent="0.25">
      <c r="A9" s="9"/>
      <c r="B9" s="9"/>
      <c r="C9" s="9"/>
      <c r="D9" s="9"/>
      <c r="E9" s="9"/>
      <c r="F9" s="9"/>
      <c r="G9" s="4">
        <v>53.756799999999998</v>
      </c>
      <c r="H9" s="7">
        <f>(H2+H3+H4+H5+H6+H7)/6</f>
        <v>19.144700977288196</v>
      </c>
      <c r="I9" s="7">
        <f>(I2+I3+I4+I5+I6+I7)/6</f>
        <v>4.9035610555240089E-3</v>
      </c>
      <c r="J9" s="7">
        <f>(J2+J3+J4+J5+J6+J7)/6</f>
        <v>52.234439113016855</v>
      </c>
      <c r="K9" s="28">
        <f>(K2+K3+K4+K5+K6+K7)/6</f>
        <v>1.3390438361174511E-2</v>
      </c>
    </row>
    <row r="10" spans="1:1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2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6.1_C</vt:lpstr>
      <vt:lpstr>6.2_A</vt:lpstr>
      <vt:lpstr>6.2_B</vt:lpstr>
      <vt:lpstr>6.3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Studieren</dc:creator>
  <cp:keywords/>
  <dc:description/>
  <cp:lastModifiedBy>Manuel Lippert</cp:lastModifiedBy>
  <cp:revision/>
  <dcterms:created xsi:type="dcterms:W3CDTF">2020-12-12T08:43:58Z</dcterms:created>
  <dcterms:modified xsi:type="dcterms:W3CDTF">2020-12-15T11:34:01Z</dcterms:modified>
  <cp:category/>
  <cp:contentStatus/>
</cp:coreProperties>
</file>