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6" name="FONDOS" state="visible" r:id="rId4"/>
  </sheets>
  <calcPr calcId="171027"/>
</workbook>
</file>

<file path=xl/comments6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color indexed="8"/>
            <family val="2"/>
            <sz val="10"/>
            <rFont val="Tahoma"/>
          </rPr>
          <t>INCLUYE COMISION DE ENTRADA Y DE SALIDA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H3" authorId="0">
      <text>
        <r>
          <rPr>
            <b/>
            <color indexed="8"/>
            <family val="2"/>
            <sz val="10"/>
            <rFont val="Tahoma"/>
          </rPr>
          <t>descontando comision de venta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I3" authorId="0">
      <text>
        <r>
          <rPr>
            <b/>
            <color indexed="8"/>
            <family val="2"/>
            <sz val="10"/>
            <rFont val="Tahoma"/>
          </rPr>
          <t>PESOS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C17" authorId="0">
      <text>
        <r>
          <rPr>
            <b/>
            <color indexed="8"/>
            <family val="2"/>
            <sz val="10"/>
            <rFont val="Tahoma"/>
          </rPr>
          <t>INCLUYE COMISION DE ENTRADA Y DE SALIDA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H17" authorId="0">
      <text>
        <r>
          <rPr>
            <b/>
            <color indexed="8"/>
            <family val="2"/>
            <sz val="10"/>
            <rFont val="Tahoma"/>
          </rPr>
          <t>descontando comision de venta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B18" authorId="0">
      <text>
        <r>
          <rPr>
            <b/>
            <color indexed="8"/>
            <family val="2"/>
            <sz val="10"/>
            <rFont val="Tahoma"/>
          </rPr>
          <t>APROX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D26" authorId="0">
      <text>
        <r>
          <rPr>
            <b/>
            <color indexed="8"/>
            <family val="2"/>
            <sz val="10"/>
            <rFont val="Tahoma"/>
          </rPr>
          <t>A 1 o 2  MESES</t>
        </r>
      </text>
    </comment>
    <comment ref="F26" authorId="0">
      <text>
        <r>
          <rPr>
            <b/>
            <color indexed="8"/>
            <family val="2"/>
            <sz val="10"/>
            <rFont val="Tahoma"/>
          </rPr>
          <t>ANTES DE LA CRISIS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S26" authorId="0">
      <text>
        <r>
          <rPr>
            <b/>
            <color indexed="8"/>
            <family val="2"/>
            <sz val="10"/>
            <rFont val="Tahoma"/>
          </rPr>
          <t>promedio yahoo finance y tip ranks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U26" authorId="0">
      <text>
        <r>
          <rPr>
            <b/>
            <color indexed="8"/>
            <family val="2"/>
            <sz val="10"/>
            <rFont val="Tahoma"/>
          </rPr>
          <t>promedio yahoo finance y tip ranks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W26" authorId="0">
      <text>
        <r>
          <rPr>
            <b/>
            <color indexed="8"/>
            <family val="2"/>
            <sz val="10"/>
            <rFont val="Tahoma"/>
          </rPr>
          <t>promedio yahoo finance y tip ranks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29" authorId="0">
      <text>
        <r>
          <rPr>
            <b/>
            <color indexed="8"/>
            <family val="2"/>
            <sz val="10"/>
            <rFont val="Tahoma"/>
          </rPr>
          <t>comprar en $4,180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30" authorId="0">
      <text>
        <r>
          <rPr>
            <b/>
            <color indexed="8"/>
            <family val="2"/>
            <sz val="10"/>
            <rFont val="Tahoma"/>
          </rPr>
          <t>comprar en $4,600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31" authorId="0">
      <text>
        <r>
          <rPr>
            <b/>
            <color indexed="8"/>
            <family val="2"/>
            <sz val="10"/>
            <rFont val="Tahoma"/>
          </rPr>
          <t>comprar en $2,970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34" authorId="0">
      <text>
        <r>
          <rPr>
            <b/>
            <color indexed="8"/>
            <family val="2"/>
            <sz val="10"/>
            <rFont val="Tahoma"/>
          </rPr>
          <t>comprar en $220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37" authorId="0">
      <text>
        <r>
          <rPr>
            <b/>
            <color indexed="8"/>
            <family val="2"/>
            <sz val="10"/>
            <rFont val="Tahoma"/>
          </rPr>
          <t>comprar en $5,500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38" authorId="0">
      <text>
        <r>
          <rPr>
            <b/>
            <color indexed="8"/>
            <family val="2"/>
            <sz val="10"/>
            <rFont val="Tahoma"/>
          </rPr>
          <t>comprar en $2,970</t>
        </r>
        <r>
          <rPr>
            <color indexed="8"/>
            <family val="2"/>
            <sz val="10"/>
            <rFont val="Tahoma"/>
          </rPr>
          <t xml:space="preserve">
</t>
        </r>
      </text>
    </comment>
    <comment ref="F49" authorId="0">
      <text>
        <r>
          <rPr>
            <b/>
            <color indexed="8"/>
            <family val="2"/>
            <sz val="10"/>
            <rFont val="Tahoma"/>
          </rPr>
          <t>COMPRAR EN 1,065</t>
        </r>
        <r>
          <rPr>
            <color indexed="8"/>
            <family val="2"/>
            <sz val="10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<sst xmlns="http://schemas.openxmlformats.org/spreadsheetml/2006/main" count="108" uniqueCount="75">
  <si>
    <t>TIPO DE CAMBIO</t>
  </si>
  <si>
    <t>ADCF VECTOR</t>
  </si>
  <si>
    <t>Regular Market Price</t>
  </si>
  <si>
    <t>4,269.39</t>
  </si>
  <si>
    <t>comision</t>
  </si>
  <si>
    <t>EMISORA</t>
  </si>
  <si>
    <t>TITULOS</t>
  </si>
  <si>
    <t>COSTO PROM</t>
  </si>
  <si>
    <t>PRECIO ACTUAL USD</t>
  </si>
  <si>
    <t>ULTIMO PRECIO PESOS</t>
  </si>
  <si>
    <t>UTILIDAD ACTUAL</t>
  </si>
  <si>
    <t>% MARG ACTUAL</t>
  </si>
  <si>
    <t>TOTAL ACTUAL</t>
  </si>
  <si>
    <r>
      <t xml:space="preserve">POSTURA </t>
    </r>
    <r>
      <rPr>
        <b/>
        <color indexed="15"/>
        <family val="2"/>
        <sz val="12"/>
        <rFont val="Calibri"/>
      </rPr>
      <t>COMPRA</t>
    </r>
    <r>
      <rPr>
        <b/>
        <family val="2"/>
        <sz val="12"/>
        <rFont val="Calibri"/>
      </rPr>
      <t xml:space="preserve"> / </t>
    </r>
    <r>
      <rPr>
        <b/>
        <color indexed="21"/>
        <family val="2"/>
        <sz val="12"/>
        <rFont val="Calibri"/>
      </rPr>
      <t>VENTA</t>
    </r>
  </si>
  <si>
    <t>UTILIDAD CON POST. VENTA</t>
  </si>
  <si>
    <t>% MARGEN CON POSTURA VENTA</t>
  </si>
  <si>
    <t>MONTO TOTAL CON POSTURA VENTA</t>
  </si>
  <si>
    <t xml:space="preserve"> Credito disponible</t>
  </si>
  <si>
    <t>VECPRE</t>
  </si>
  <si>
    <t>AMZN</t>
  </si>
  <si>
    <t>BABA</t>
  </si>
  <si>
    <t>FB</t>
  </si>
  <si>
    <t>NFLX</t>
  </si>
  <si>
    <t>TSLA</t>
  </si>
  <si>
    <t>UA</t>
  </si>
  <si>
    <t xml:space="preserve"> </t>
  </si>
  <si>
    <t>JJFR VECTOR</t>
  </si>
  <si>
    <t>VECTOR GLOBAL</t>
  </si>
  <si>
    <t>ULTIMO PRECIO PESOS EN DLS</t>
  </si>
  <si>
    <t>EFECTIVO</t>
  </si>
  <si>
    <t>V</t>
  </si>
  <si>
    <t>WMT</t>
  </si>
  <si>
    <t>ANALISIS POR ACCION</t>
  </si>
  <si>
    <t>VALOR ACTUAL DLS</t>
  </si>
  <si>
    <t>VALOR ACTUAL EN PESOS</t>
  </si>
  <si>
    <t>P. O.  ADCF / NOTICIAS</t>
  </si>
  <si>
    <t>RENTABILIDAD CON MI P. O.</t>
  </si>
  <si>
    <t>SOPORTE BAJO ADCF / NIVEL DE ENTRADA</t>
  </si>
  <si>
    <t>MAXIMO HISTORICO</t>
  </si>
  <si>
    <t>FECHA EXCUPON</t>
  </si>
  <si>
    <t>FECHA PAGO DE DIVIDENDO</t>
  </si>
  <si>
    <t xml:space="preserve">TENDENCIA </t>
  </si>
  <si>
    <t>CAPITALIZACION BURSATIL (miles)</t>
  </si>
  <si>
    <t>PATRIMONIO CONTABLE (miles)</t>
  </si>
  <si>
    <t>UTILIDAD NETA 2020 (miles)</t>
  </si>
  <si>
    <t>UTILIDAD NETA 2019 (miles)</t>
  </si>
  <si>
    <t>UTILIDAD NETA 2018 (miles)</t>
  </si>
  <si>
    <t>UTILIDAD NETA 2017 (miles)</t>
  </si>
  <si>
    <t>UTILIDAD NETA 2016 (miles)</t>
  </si>
  <si>
    <t>PO BAJO</t>
  </si>
  <si>
    <t>P. ACTUAL VS PO BAJO</t>
  </si>
  <si>
    <t>PO PROMEDIO</t>
  </si>
  <si>
    <t>P. ACTUAL VS PO PROM</t>
  </si>
  <si>
    <t>PO ALTO</t>
  </si>
  <si>
    <t>P. ACTUAL VS PO ALTO</t>
  </si>
  <si>
    <t>N/A</t>
  </si>
  <si>
    <t>ALZA</t>
  </si>
  <si>
    <t>BRK B</t>
  </si>
  <si>
    <t>AMZ</t>
  </si>
  <si>
    <t>AAPL</t>
  </si>
  <si>
    <t>UAA</t>
  </si>
  <si>
    <t>GOOGL</t>
  </si>
  <si>
    <t>MSFT</t>
  </si>
  <si>
    <t>SBUX</t>
  </si>
  <si>
    <t>MELI</t>
  </si>
  <si>
    <t>BKNG</t>
  </si>
  <si>
    <t>EXPE</t>
  </si>
  <si>
    <t>TRIP</t>
  </si>
  <si>
    <t>TRVG</t>
  </si>
  <si>
    <t>FSLR</t>
  </si>
  <si>
    <t>SPWR</t>
  </si>
  <si>
    <t>RUN</t>
  </si>
  <si>
    <t>NVDA</t>
  </si>
  <si>
    <t>INTC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</si>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</sst>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&quot;$&quot;#,##0.00"/>
    <numFmt numFmtId="165" formatCode="&quot;$&quot;#,##0;[Red]-&quot;$&quot;#,##0"/>
    <numFmt numFmtId="166" formatCode="&quot;$&quot;#,##0.00;[Red]-&quot;$&quot;#,##0.00"/>
    <numFmt numFmtId="167" formatCode="dd/mm/yy;@"/>
    <numFmt numFmtId="168" formatCode="&quot;$&quot;#,##0"/>
    <numFmt numFmtId="169" formatCode="0.00000"/>
    <numFmt numFmtId="170" formatCode="&quot;$&quot;#,##0.0000000;[Red]-&quot;$&quot;#,##0.0000000"/>
    <numFmt numFmtId="171" formatCode="&quot;$&quot;#,##0.000000;[Red]-&quot;$&quot;#,##0.000000"/>
    <numFmt numFmtId="172" formatCode="[$USD] #,##0.00"/>
    <numFmt numFmtId="173" formatCode="&quot;$&quot;#,##0.0000;[Red]-&quot;$&quot;#,##0.0000"/>
    <numFmt numFmtId="174" formatCode="#,##0.000000"/>
    <numFmt numFmtId="175" formatCode="_-[$$-409]* #,##0.00_ ;_-[$$-409]* -#,##0.00 ;_-[$$-409]* &quot;-&quot;??_ ;_-@_ "/>
    <numFmt numFmtId="176" formatCode="0.0000000"/>
  </numFmts>
  <fonts count="20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2"/>
      <name val="Calibri"/>
    </font>
    <font>
      <color theme="1"/>
      <family val="3"/>
      <sz val="11"/>
      <name val="Consolas"/>
    </font>
    <font>
      <b/>
      <color theme="1"/>
      <family val="2"/>
      <scheme val="minor"/>
      <sz val="12"/>
      <name val="Calibri"/>
    </font>
    <font>
      <b/>
      <family val="2"/>
      <scheme val="minor"/>
      <sz val="12"/>
      <name val="Calibri"/>
    </font>
    <font>
      <family val="2"/>
      <scheme val="minor"/>
      <sz val="12"/>
      <name val="Calibri"/>
    </font>
    <font>
      <color rgb="FF00B050"/>
      <family val="2"/>
      <scheme val="minor"/>
      <sz val="12"/>
      <name val="Calibri"/>
    </font>
    <font>
      <color rgb="FFFF0000"/>
      <family val="2"/>
      <scheme val="minor"/>
      <sz val="12"/>
      <name val="Calibri"/>
    </font>
    <font>
      <color rgb="FF008000"/>
      <family val="2"/>
      <scheme val="minor"/>
      <sz val="11"/>
      <name val="Calibri"/>
    </font>
    <font>
      <color rgb="FF008000"/>
      <family val="2"/>
      <scheme val="minor"/>
      <sz val="12"/>
      <name val="Calibri"/>
    </font>
    <font>
      <color rgb="FFFF0000"/>
      <family val="2"/>
      <scheme val="minor"/>
      <sz val="11"/>
      <name val="Calibri"/>
    </font>
    <font>
      <color rgb="FF92D050"/>
      <family val="2"/>
      <scheme val="minor"/>
      <sz val="12"/>
      <name val="Calibri"/>
    </font>
    <font>
      <b/>
      <family val="2"/>
      <scheme val="minor"/>
      <sz val="14"/>
      <name val="Calibri"/>
    </font>
    <font>
      <b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color rgb="FF0070C0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6" fontId="5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" fontId="1" fillId="0" borderId="0" xfId="0" applyNumberFormat="1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  <xf numFmtId="170" fontId="9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71" fontId="5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75" fontId="1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vertical="center"/>
    </xf>
    <xf numFmtId="165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17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4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173" fontId="1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15" fontId="2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4" fontId="12" fillId="0" borderId="2" xfId="0" applyNumberFormat="1" applyFont="1" applyBorder="1" applyAlignment="1">
      <alignment horizontal="center" vertical="center"/>
    </xf>
    <xf numFmtId="168" fontId="12" fillId="0" borderId="2" xfId="0" applyNumberFormat="1" applyFont="1" applyBorder="1" applyAlignment="1">
      <alignment horizontal="center" vertical="center"/>
    </xf>
    <xf numFmtId="173" fontId="12" fillId="0" borderId="2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/>
    </xf>
    <xf numFmtId="4" fontId="5" fillId="2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2" fontId="7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left" vertical="center"/>
    </xf>
    <xf numFmtId="14" fontId="19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" fontId="9" fillId="2" borderId="0" xfId="0" applyNumberFormat="1" applyFont="1" applyFill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left" vertical="center"/>
    </xf>
    <xf numFmtId="2" fontId="5" fillId="2" borderId="0" xfId="0" applyNumberFormat="1" applyFont="1" applyFill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10" fontId="11" fillId="3" borderId="0" xfId="0" applyNumberFormat="1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workbookViewId="0" zoomScale="115" zoomScaleNormal="130">
      <pane xSplit="2" topLeftCell="C1" activePane="topRight" state="frozen"/>
      <selection pane="topRight" activeCell="D2" sqref="D2"/>
    </sheetView>
  </sheetViews>
  <sheetFormatPr defaultRowHeight="15" outlineLevelRow="0" outlineLevelCol="0" x14ac:dyDescent="0.25" defaultColWidth="11.42578125"/>
  <cols>
    <col min="1" max="1" width="16.140625" style="1" customWidth="1"/>
    <col min="2" max="2" width="9.140625" style="2" customWidth="1"/>
    <col min="3" max="3" width="25" style="2" customWidth="1"/>
    <col min="4" max="4" width="14.85546875" style="3" customWidth="1"/>
    <col min="5" max="5" width="14.85546875" style="4" customWidth="1"/>
    <col min="6" max="6" width="14.7109375" style="5" customWidth="1"/>
    <col min="7" max="7" width="13.42578125" style="6" customWidth="1"/>
    <col min="8" max="8" width="12.42578125" style="3" customWidth="1"/>
    <col min="9" max="9" width="17" style="2" customWidth="1"/>
    <col min="10" max="10" width="14.28515625" style="4" customWidth="1"/>
    <col min="11" max="11" width="15" style="4" customWidth="1"/>
    <col min="12" max="12" width="17.85546875" style="3" customWidth="1"/>
    <col min="13" max="13" width="18" style="7" customWidth="1"/>
    <col min="14" max="14" width="25.28515625" style="1" customWidth="1"/>
    <col min="15" max="15" width="13.140625" style="8" customWidth="1"/>
    <col min="16" max="16" width="13.28515625" style="9" customWidth="1"/>
    <col min="17" max="17" width="12.85546875" style="9" customWidth="1"/>
    <col min="18" max="18" width="13" style="9" customWidth="1"/>
    <col min="19" max="21" width="10.42578125" style="2" customWidth="1"/>
    <col min="22" max="22" width="12" style="2" customWidth="1"/>
    <col min="23" max="23" width="10.42578125" style="2" customWidth="1"/>
    <col min="24" max="24" width="11.42578125" style="3" customWidth="1"/>
    <col min="25" max="25" width="8.42578125" style="10" customWidth="1"/>
    <col min="26" max="26" width="7.85546875" style="10" customWidth="1"/>
    <col min="27" max="27" width="11.42578125" style="10" customWidth="1"/>
    <col min="28" max="28" width="11.7109375" style="10" customWidth="1"/>
    <col min="29" max="29" width="10.28515625" style="10" customWidth="1"/>
    <col min="30" max="30" width="11.7109375" style="10" customWidth="1"/>
    <col min="31" max="31" width="13" style="11" customWidth="1"/>
    <col min="32" max="32" width="11.42578125" style="10" customWidth="1"/>
    <col min="33" max="33" width="9.7109375" style="10" customWidth="1"/>
    <col min="34" max="34" width="7.85546875" style="2" customWidth="1"/>
    <col min="35" max="36" width="12.28515625" style="2" customWidth="1"/>
    <col min="37" max="37" width="8.140625" style="10" customWidth="1"/>
    <col min="38" max="38" width="11.42578125" style="10" customWidth="1"/>
    <col min="39" max="39" width="12.42578125" style="3" customWidth="1"/>
    <col min="40" max="16384" width="11.42578125" style="10" customWidth="1"/>
  </cols>
  <sheetData>
    <row r="1" ht="18.95" customHeight="1" spans="6:7" x14ac:dyDescent="0.25">
      <c r="F1" s="12">
        <v>20.16</v>
      </c>
      <c r="G1" s="13" t="s">
        <v>0</v>
      </c>
    </row>
    <row r="2" ht="18.75" customHeight="1" spans="1:12" x14ac:dyDescent="0.25">
      <c r="A2" s="14" t="s">
        <v>1</v>
      </c>
      <c r="B2" s="15"/>
      <c r="C2" s="16" t="s">
        <v>2</v>
      </c>
      <c r="D2" s="3" t="s">
        <v>3</v>
      </c>
      <c r="E2" s="17"/>
      <c r="F2" s="18"/>
      <c r="G2" s="19" t="s">
        <v>4</v>
      </c>
      <c r="H2" s="20">
        <v>1.00174</v>
      </c>
      <c r="I2" s="19"/>
      <c r="J2" s="17"/>
      <c r="K2" s="17"/>
      <c r="L2" s="21"/>
    </row>
    <row r="3" ht="32.1" customHeight="1" spans="1:23" s="22" customFormat="1" x14ac:dyDescent="0.25">
      <c r="A3" s="23" t="s">
        <v>5</v>
      </c>
      <c r="B3" s="24" t="s">
        <v>6</v>
      </c>
      <c r="C3" s="25" t="s">
        <v>7</v>
      </c>
      <c r="D3" s="24" t="s">
        <v>8</v>
      </c>
      <c r="E3" s="26" t="s">
        <v>9</v>
      </c>
      <c r="F3" s="27" t="s">
        <v>10</v>
      </c>
      <c r="G3" s="28" t="s">
        <v>11</v>
      </c>
      <c r="H3" s="25" t="s">
        <v>12</v>
      </c>
      <c r="I3" s="27" t="s">
        <v>13</v>
      </c>
      <c r="J3" s="26" t="s">
        <v>14</v>
      </c>
      <c r="K3" s="26" t="s">
        <v>15</v>
      </c>
      <c r="L3" s="29" t="s">
        <v>16</v>
      </c>
      <c r="M3" s="30"/>
      <c r="N3" s="31"/>
      <c r="O3" s="32"/>
      <c r="P3" s="33"/>
      <c r="Q3" s="33"/>
      <c r="R3" s="33"/>
      <c r="S3" s="34"/>
      <c r="T3" s="34"/>
      <c r="U3" s="34"/>
      <c r="V3" s="34"/>
      <c r="W3" s="34"/>
    </row>
    <row r="4" ht="15.95" customHeight="1" spans="1:23" s="22" customFormat="1" x14ac:dyDescent="0.25">
      <c r="A4" s="35" t="s">
        <v>17</v>
      </c>
      <c r="B4" s="36"/>
      <c r="C4" s="37"/>
      <c r="D4" s="36"/>
      <c r="E4" s="38"/>
      <c r="F4" s="27"/>
      <c r="G4" s="39"/>
      <c r="H4" s="37"/>
      <c r="I4" s="40"/>
      <c r="J4" s="38"/>
      <c r="K4" s="38"/>
      <c r="L4" s="41"/>
      <c r="M4" s="42"/>
      <c r="N4" s="43"/>
      <c r="O4" s="44"/>
      <c r="P4" s="45"/>
      <c r="Q4" s="45"/>
      <c r="R4" s="45"/>
      <c r="S4" s="34"/>
      <c r="T4" s="34"/>
      <c r="U4" s="34"/>
      <c r="V4" s="34"/>
      <c r="W4" s="34"/>
    </row>
    <row r="5" ht="15.75" customHeight="1" spans="1:12" x14ac:dyDescent="0.25">
      <c r="A5" s="46" t="s">
        <v>18</v>
      </c>
      <c r="B5" s="47">
        <v>1</v>
      </c>
      <c r="C5" s="48">
        <v>1.765217</v>
      </c>
      <c r="D5" s="48">
        <v>1.765217</v>
      </c>
      <c r="E5" s="48">
        <v>1.765217</v>
      </c>
      <c r="F5" s="49"/>
      <c r="G5" s="50"/>
      <c r="H5" s="51">
        <f>(B5*E5)</f>
        <v>1.765217</v>
      </c>
      <c r="I5" s="52"/>
      <c r="J5" s="53"/>
      <c r="K5" s="54"/>
      <c r="L5" s="21"/>
    </row>
    <row r="6" ht="15.75" customHeight="1" spans="1:39" s="10" customFormat="1" x14ac:dyDescent="0.25">
      <c r="A6" s="55" t="s">
        <v>19</v>
      </c>
      <c r="B6" s="56">
        <v>1</v>
      </c>
      <c r="C6" s="57">
        <f>62802*1.0035</f>
        <v>63021.807</v>
      </c>
      <c r="D6" s="58">
        <f>B32</f>
        <v>3156</v>
      </c>
      <c r="E6" s="17">
        <f t="shared" ref="E6:E11" si="0">D6*$F$1</f>
        <v>63624.96</v>
      </c>
      <c r="F6" s="59">
        <f t="shared" ref="F6:F11" si="1">H6-(B6*C6)</f>
        <v>603.1529999999984</v>
      </c>
      <c r="G6" s="60">
        <f t="shared" ref="G6:G11" si="2">((B6*E6)/(B6*C6))-1</f>
        <v>0.009570544367285327</v>
      </c>
      <c r="H6" s="21">
        <f t="shared" ref="H6:H11" si="3">B6*E6</f>
        <v>63624.96</v>
      </c>
      <c r="I6" s="17">
        <v>63700</v>
      </c>
      <c r="J6" s="17">
        <f t="shared" ref="J6:J11" si="4">L6-(B6*C6)</f>
        <v>567.3550000000032</v>
      </c>
      <c r="K6" s="60">
        <f t="shared" ref="K6:K11" si="5">1-(C6/I6)</f>
        <v>0.010646671899529059</v>
      </c>
      <c r="L6" s="21">
        <f t="shared" ref="L6:L11" si="6">(I6*B6)*0.99826</f>
        <v>63589.162000000004</v>
      </c>
      <c r="M6" s="7"/>
      <c r="N6" s="61"/>
      <c r="O6" s="8"/>
      <c r="P6" s="62"/>
      <c r="Q6" s="62"/>
      <c r="R6" s="62"/>
      <c r="S6" s="63"/>
      <c r="T6" s="63"/>
      <c r="U6" s="6"/>
      <c r="V6" s="6"/>
      <c r="W6" s="3"/>
      <c r="X6" s="3"/>
      <c r="Z6" s="64"/>
      <c r="AA6" s="65"/>
      <c r="AB6" s="66"/>
      <c r="AC6" s="66"/>
      <c r="AD6" s="3"/>
      <c r="AE6" s="62"/>
      <c r="AG6" s="67"/>
      <c r="AH6" s="2"/>
      <c r="AI6" s="2"/>
      <c r="AJ6" s="66"/>
      <c r="AL6" s="68"/>
      <c r="AM6" s="3"/>
    </row>
    <row r="7" ht="15.75" customHeight="1" spans="1:39" s="10" customFormat="1" x14ac:dyDescent="0.25">
      <c r="A7" s="55" t="s">
        <v>20</v>
      </c>
      <c r="B7" s="56">
        <v>1</v>
      </c>
      <c r="C7" s="57">
        <f>2096*1.0035</f>
        <v>2103.3360000000002</v>
      </c>
      <c r="D7" s="58">
        <f>B37</f>
        <v>104.3</v>
      </c>
      <c r="E7" s="17">
        <f t="shared" si="0"/>
        <v>2102.688</v>
      </c>
      <c r="F7" s="59">
        <f t="shared" si="1"/>
        <v>-0.6480000000001382</v>
      </c>
      <c r="G7" s="60">
        <f t="shared" si="2"/>
        <v>-0.00030808201827958737</v>
      </c>
      <c r="H7" s="21">
        <f t="shared" si="3"/>
        <v>2102.688</v>
      </c>
      <c r="I7" s="69">
        <v>2114</v>
      </c>
      <c r="J7" s="17">
        <f t="shared" si="4"/>
        <v>6.985639999999876</v>
      </c>
      <c r="K7" s="60">
        <f t="shared" si="5"/>
        <v>0.005044465468306392</v>
      </c>
      <c r="L7" s="21">
        <f t="shared" si="6"/>
        <v>2110.32164</v>
      </c>
      <c r="M7" s="7"/>
      <c r="N7" s="61"/>
      <c r="O7" s="8"/>
      <c r="P7" s="62"/>
      <c r="Q7" s="62"/>
      <c r="R7" s="62"/>
      <c r="S7" s="63"/>
      <c r="T7" s="63"/>
      <c r="U7" s="6"/>
      <c r="V7" s="6"/>
      <c r="W7" s="3"/>
      <c r="X7" s="3"/>
      <c r="Z7" s="64"/>
      <c r="AA7" s="65"/>
      <c r="AB7" s="66"/>
      <c r="AC7" s="66"/>
      <c r="AD7" s="3"/>
      <c r="AE7" s="62"/>
      <c r="AG7" s="67"/>
      <c r="AH7" s="2"/>
      <c r="AI7" s="2"/>
      <c r="AJ7" s="66"/>
      <c r="AL7" s="68"/>
      <c r="AM7" s="3"/>
    </row>
    <row r="8" ht="15.75" customHeight="1" spans="1:39" s="10" customFormat="1" x14ac:dyDescent="0.25">
      <c r="A8" s="55" t="s">
        <v>21</v>
      </c>
      <c r="B8" s="56">
        <v>1</v>
      </c>
      <c r="C8" s="57">
        <f>4455*1.0035</f>
        <v>4470.592500000001</v>
      </c>
      <c r="D8" s="58">
        <f>B28</f>
        <v>223</v>
      </c>
      <c r="E8" s="17">
        <f t="shared" si="0"/>
        <v>4495.68</v>
      </c>
      <c r="F8" s="59">
        <f t="shared" si="1"/>
        <v>25.087499999999636</v>
      </c>
      <c r="G8" s="60">
        <f t="shared" si="2"/>
        <v>0.0056116722783388084</v>
      </c>
      <c r="H8" s="21">
        <f t="shared" si="3"/>
        <v>4495.68</v>
      </c>
      <c r="I8" s="69">
        <v>4511</v>
      </c>
      <c r="J8" s="17">
        <f t="shared" si="4"/>
        <v>32.558359999999084</v>
      </c>
      <c r="K8" s="60">
        <f t="shared" si="5"/>
        <v>0.008957548215473121</v>
      </c>
      <c r="L8" s="21">
        <f t="shared" si="6"/>
        <v>4503.15086</v>
      </c>
      <c r="M8" s="7"/>
      <c r="N8" s="61"/>
      <c r="O8" s="8"/>
      <c r="P8" s="62"/>
      <c r="Q8" s="62"/>
      <c r="R8" s="62"/>
      <c r="S8" s="63"/>
      <c r="T8" s="63"/>
      <c r="U8" s="6"/>
      <c r="V8" s="6"/>
      <c r="W8" s="3"/>
      <c r="X8" s="3"/>
      <c r="Z8" s="64"/>
      <c r="AA8" s="65"/>
      <c r="AB8" s="66"/>
      <c r="AC8" s="66"/>
      <c r="AD8" s="3"/>
      <c r="AE8" s="62"/>
      <c r="AG8" s="67"/>
      <c r="AH8" s="2"/>
      <c r="AI8" s="2"/>
      <c r="AJ8" s="66"/>
      <c r="AL8" s="68"/>
      <c r="AM8" s="3"/>
    </row>
    <row r="9" ht="15.75" customHeight="1" spans="1:39" s="10" customFormat="1" x14ac:dyDescent="0.25">
      <c r="A9" s="55" t="s">
        <v>22</v>
      </c>
      <c r="B9" s="56">
        <v>1</v>
      </c>
      <c r="C9" s="57">
        <f>7230*1.0035</f>
        <v>7255.305</v>
      </c>
      <c r="D9" s="58">
        <f>B38</f>
        <v>362.15</v>
      </c>
      <c r="E9" s="17">
        <f t="shared" si="0"/>
        <v>7300.9439999999995</v>
      </c>
      <c r="F9" s="59">
        <f t="shared" si="1"/>
        <v>45.638999999999214</v>
      </c>
      <c r="G9" s="60">
        <f t="shared" si="2"/>
        <v>0.006290431622102632</v>
      </c>
      <c r="H9" s="21">
        <f t="shared" si="3"/>
        <v>7300.9439999999995</v>
      </c>
      <c r="I9" s="69">
        <v>7327</v>
      </c>
      <c r="J9" s="17">
        <f t="shared" si="4"/>
        <v>58.94602000000032</v>
      </c>
      <c r="K9" s="60">
        <f t="shared" si="5"/>
        <v>0.009785041626859559</v>
      </c>
      <c r="L9" s="21">
        <f t="shared" si="6"/>
        <v>7314.251020000001</v>
      </c>
      <c r="M9" s="7"/>
      <c r="N9" s="61"/>
      <c r="O9" s="8"/>
      <c r="P9" s="62"/>
      <c r="Q9" s="62"/>
      <c r="R9" s="62"/>
      <c r="S9" s="63"/>
      <c r="T9" s="63"/>
      <c r="U9" s="6"/>
      <c r="V9" s="6"/>
      <c r="W9" s="3"/>
      <c r="X9" s="3"/>
      <c r="Z9" s="64"/>
      <c r="AA9" s="65"/>
      <c r="AB9" s="66"/>
      <c r="AC9" s="66"/>
      <c r="AD9" s="3"/>
      <c r="AE9" s="62"/>
      <c r="AG9" s="67"/>
      <c r="AH9" s="2"/>
      <c r="AI9" s="2"/>
      <c r="AJ9" s="66"/>
      <c r="AL9" s="68"/>
      <c r="AM9" s="3"/>
    </row>
    <row r="10" ht="15.75" customHeight="1" spans="1:12" x14ac:dyDescent="0.25">
      <c r="A10" s="70" t="s">
        <v>23</v>
      </c>
      <c r="B10" s="19">
        <v>1</v>
      </c>
      <c r="C10" s="19">
        <f>20730.93*1.0035</f>
        <v>20803.488255</v>
      </c>
      <c r="D10" s="58">
        <f>B27</f>
        <v>1057.26</v>
      </c>
      <c r="E10" s="17">
        <f t="shared" si="0"/>
        <v>21314.3616</v>
      </c>
      <c r="F10" s="59">
        <f t="shared" si="1"/>
        <v>510.873345</v>
      </c>
      <c r="G10" s="60">
        <f t="shared" si="2"/>
        <v>0.02455710017175683</v>
      </c>
      <c r="H10" s="21">
        <f t="shared" si="3"/>
        <v>21314.3616</v>
      </c>
      <c r="I10" s="17">
        <v>21400</v>
      </c>
      <c r="J10" s="17">
        <f t="shared" si="4"/>
        <v>559.275744999999</v>
      </c>
      <c r="K10" s="60">
        <f t="shared" si="5"/>
        <v>0.0278743806074766</v>
      </c>
      <c r="L10" s="21">
        <f t="shared" si="6"/>
        <v>21362.764</v>
      </c>
    </row>
    <row r="11" ht="15.75" customHeight="1" spans="1:12" x14ac:dyDescent="0.25">
      <c r="A11" s="70" t="s">
        <v>24</v>
      </c>
      <c r="B11" s="19">
        <v>1</v>
      </c>
      <c r="C11" s="19">
        <f>319.33*1.0035</f>
        <v>320.447655</v>
      </c>
      <c r="D11" s="17">
        <f>B34</f>
        <v>16.08</v>
      </c>
      <c r="E11" s="17">
        <f t="shared" si="0"/>
        <v>324.1728</v>
      </c>
      <c r="F11" s="71">
        <f t="shared" si="1"/>
        <v>3.7251449999999977</v>
      </c>
      <c r="G11" s="60">
        <f t="shared" si="2"/>
        <v>0.01162481591572262</v>
      </c>
      <c r="H11" s="72">
        <f t="shared" si="3"/>
        <v>324.1728</v>
      </c>
      <c r="I11" s="17">
        <v>325.3</v>
      </c>
      <c r="J11" s="4">
        <f t="shared" si="4"/>
        <v>4.2863230000000385</v>
      </c>
      <c r="K11" s="6">
        <f t="shared" si="5"/>
        <v>0.014916523209345223</v>
      </c>
      <c r="L11" s="3">
        <f t="shared" si="6"/>
        <v>324.73397800000004</v>
      </c>
    </row>
    <row r="12" ht="15.75" customHeight="1" spans="1:39" s="10" customFormat="1" x14ac:dyDescent="0.25">
      <c r="A12" s="73"/>
      <c r="B12" s="74"/>
      <c r="C12" s="75"/>
      <c r="D12" s="74"/>
      <c r="E12" s="76" t="s">
        <v>25</v>
      </c>
      <c r="F12" s="59">
        <f>SUM(F6:F11)</f>
        <v>1187.829989999997</v>
      </c>
      <c r="G12" s="77"/>
      <c r="H12" s="59">
        <f>SUM(H5:H11)</f>
        <v>99164.571617</v>
      </c>
      <c r="I12" s="76" t="s">
        <v>25</v>
      </c>
      <c r="J12" s="78">
        <f>SUM(J6:J11)</f>
        <v>1229.4070880000015</v>
      </c>
      <c r="K12" s="76"/>
      <c r="L12" s="21"/>
      <c r="M12" s="7"/>
      <c r="N12" s="1"/>
      <c r="O12" s="8"/>
      <c r="P12" s="9"/>
      <c r="Q12" s="9"/>
      <c r="R12" s="9"/>
      <c r="S12" s="2"/>
      <c r="T12" s="2"/>
      <c r="U12" s="2"/>
      <c r="V12" s="2"/>
      <c r="W12" s="2"/>
      <c r="X12" s="3"/>
      <c r="AD12" s="68"/>
      <c r="AE12" s="79"/>
      <c r="AG12" s="80"/>
      <c r="AH12" s="81"/>
      <c r="AI12" s="82"/>
      <c r="AJ12" s="83"/>
      <c r="AK12" s="84"/>
      <c r="AL12" s="85"/>
      <c r="AM12" s="85"/>
    </row>
    <row r="13" ht="15.75" customHeight="1" spans="1:39" s="10" customFormat="1" x14ac:dyDescent="0.25">
      <c r="A13" s="73"/>
      <c r="B13" s="74"/>
      <c r="C13" s="75"/>
      <c r="D13" s="86"/>
      <c r="E13" s="76"/>
      <c r="F13" s="59"/>
      <c r="G13" s="77"/>
      <c r="H13" s="59"/>
      <c r="I13" s="76"/>
      <c r="J13" s="76"/>
      <c r="K13" s="76"/>
      <c r="L13" s="21"/>
      <c r="M13" s="7"/>
      <c r="N13" s="1"/>
      <c r="O13" s="8"/>
      <c r="P13" s="9"/>
      <c r="Q13" s="9"/>
      <c r="R13" s="9"/>
      <c r="S13" s="2"/>
      <c r="T13" s="2"/>
      <c r="U13" s="2"/>
      <c r="V13" s="2"/>
      <c r="W13" s="2"/>
      <c r="X13" s="3"/>
      <c r="AD13" s="68"/>
      <c r="AE13" s="79"/>
      <c r="AG13" s="80"/>
      <c r="AH13" s="81"/>
      <c r="AI13" s="82"/>
      <c r="AJ13" s="83"/>
      <c r="AK13" s="84"/>
      <c r="AL13" s="85"/>
      <c r="AM13" s="85"/>
    </row>
    <row r="14" ht="18.75" customHeight="1" spans="1:39" s="10" customFormat="1" x14ac:dyDescent="0.25">
      <c r="A14" s="14" t="s">
        <v>26</v>
      </c>
      <c r="B14" s="19"/>
      <c r="C14" s="87"/>
      <c r="D14" s="19"/>
      <c r="E14" s="17"/>
      <c r="F14" s="88"/>
      <c r="G14" s="19" t="s">
        <v>4</v>
      </c>
      <c r="H14" s="20">
        <v>1.00116</v>
      </c>
      <c r="I14" s="19"/>
      <c r="J14" s="17"/>
      <c r="K14" s="17"/>
      <c r="L14" s="89"/>
      <c r="M14" s="90"/>
      <c r="N14" s="91"/>
      <c r="O14" s="92"/>
      <c r="P14" s="93"/>
      <c r="Q14" s="93"/>
      <c r="R14" s="93"/>
      <c r="S14" s="94"/>
      <c r="T14" s="94"/>
      <c r="U14" s="84"/>
      <c r="V14" s="84"/>
      <c r="W14" s="85"/>
      <c r="X14" s="85"/>
      <c r="Y14" s="95"/>
      <c r="Z14" s="96"/>
      <c r="AA14" s="97"/>
      <c r="AB14" s="98"/>
      <c r="AC14" s="98"/>
      <c r="AD14" s="99"/>
      <c r="AE14" s="9"/>
      <c r="AG14" s="67"/>
      <c r="AH14" s="2"/>
      <c r="AI14" s="2"/>
      <c r="AJ14" s="66"/>
      <c r="AL14" s="68"/>
      <c r="AM14" s="3"/>
    </row>
    <row r="15" ht="18.75" customHeight="1" spans="1:39" s="10" customFormat="1" x14ac:dyDescent="0.25">
      <c r="A15" s="14"/>
      <c r="B15" s="19"/>
      <c r="C15" s="87"/>
      <c r="D15" s="19"/>
      <c r="E15" s="17"/>
      <c r="F15" s="88"/>
      <c r="G15" s="19"/>
      <c r="H15" s="20"/>
      <c r="I15" s="19"/>
      <c r="J15" s="17"/>
      <c r="K15" s="17"/>
      <c r="L15" s="89"/>
      <c r="M15" s="90"/>
      <c r="N15" s="91"/>
      <c r="O15" s="92"/>
      <c r="P15" s="93"/>
      <c r="Q15" s="93"/>
      <c r="R15" s="93"/>
      <c r="S15" s="94"/>
      <c r="T15" s="94"/>
      <c r="U15" s="84"/>
      <c r="V15" s="84"/>
      <c r="W15" s="85"/>
      <c r="X15" s="85"/>
      <c r="Y15" s="95"/>
      <c r="Z15" s="96"/>
      <c r="AA15" s="97"/>
      <c r="AB15" s="98"/>
      <c r="AC15" s="98"/>
      <c r="AD15" s="99"/>
      <c r="AE15" s="9"/>
      <c r="AG15" s="67"/>
      <c r="AH15" s="2"/>
      <c r="AI15" s="2"/>
      <c r="AJ15" s="66"/>
      <c r="AL15" s="68"/>
      <c r="AM15" s="3"/>
    </row>
    <row r="16" ht="18.75" customHeight="1" spans="1:39" s="10" customFormat="1" x14ac:dyDescent="0.25">
      <c r="A16" s="14" t="s">
        <v>27</v>
      </c>
      <c r="B16" s="19"/>
      <c r="C16" s="87"/>
      <c r="D16" s="19"/>
      <c r="E16" s="17"/>
      <c r="F16" s="88"/>
      <c r="G16" s="19"/>
      <c r="H16" s="20"/>
      <c r="I16" s="19"/>
      <c r="J16" s="17"/>
      <c r="K16" s="17"/>
      <c r="L16" s="89"/>
      <c r="M16" s="90"/>
      <c r="N16" s="91"/>
      <c r="O16" s="92"/>
      <c r="P16" s="93"/>
      <c r="Q16" s="93"/>
      <c r="R16" s="93"/>
      <c r="S16" s="94"/>
      <c r="T16" s="94"/>
      <c r="U16" s="84"/>
      <c r="V16" s="84"/>
      <c r="W16" s="85"/>
      <c r="X16" s="85"/>
      <c r="Y16" s="95"/>
      <c r="Z16" s="96"/>
      <c r="AA16" s="97"/>
      <c r="AB16" s="98"/>
      <c r="AC16" s="98"/>
      <c r="AD16" s="99"/>
      <c r="AE16" s="9"/>
      <c r="AG16" s="67"/>
      <c r="AH16" s="2"/>
      <c r="AI16" s="2"/>
      <c r="AJ16" s="66"/>
      <c r="AL16" s="68"/>
      <c r="AM16" s="3"/>
    </row>
    <row r="17" ht="33" customHeight="1" spans="1:39" s="10" customFormat="1" x14ac:dyDescent="0.25">
      <c r="A17" s="23" t="s">
        <v>5</v>
      </c>
      <c r="B17" s="24" t="s">
        <v>6</v>
      </c>
      <c r="C17" s="25" t="s">
        <v>7</v>
      </c>
      <c r="D17" s="24" t="s">
        <v>8</v>
      </c>
      <c r="E17" s="26" t="s">
        <v>28</v>
      </c>
      <c r="F17" s="27" t="s">
        <v>10</v>
      </c>
      <c r="G17" s="28" t="s">
        <v>11</v>
      </c>
      <c r="H17" s="25" t="s">
        <v>12</v>
      </c>
      <c r="I17" s="27" t="s">
        <v>13</v>
      </c>
      <c r="J17" s="26" t="s">
        <v>14</v>
      </c>
      <c r="K17" s="26" t="s">
        <v>15</v>
      </c>
      <c r="L17" s="29" t="s">
        <v>16</v>
      </c>
      <c r="M17" s="30"/>
      <c r="N17" s="31"/>
      <c r="O17" s="92"/>
      <c r="P17" s="33"/>
      <c r="Q17" s="33"/>
      <c r="R17" s="33"/>
      <c r="S17" s="94"/>
      <c r="T17" s="94"/>
      <c r="U17" s="84"/>
      <c r="V17" s="84"/>
      <c r="W17" s="85"/>
      <c r="X17" s="85"/>
      <c r="Y17" s="95"/>
      <c r="Z17" s="96"/>
      <c r="AA17" s="97"/>
      <c r="AB17" s="98"/>
      <c r="AC17" s="98"/>
      <c r="AD17" s="99"/>
      <c r="AE17" s="9"/>
      <c r="AG17" s="67"/>
      <c r="AH17" s="2"/>
      <c r="AI17" s="2"/>
      <c r="AJ17" s="66"/>
      <c r="AL17" s="68"/>
      <c r="AM17" s="3"/>
    </row>
    <row r="18" ht="15.75" customHeight="1" spans="1:39" s="10" customFormat="1" x14ac:dyDescent="0.25">
      <c r="A18" s="46" t="s">
        <v>29</v>
      </c>
      <c r="B18" s="56">
        <v>1</v>
      </c>
      <c r="C18" s="100">
        <f>F1</f>
        <v>20.16</v>
      </c>
      <c r="D18" s="48">
        <f>C18</f>
        <v>20.16</v>
      </c>
      <c r="E18" s="101">
        <f>C18</f>
        <v>20.16</v>
      </c>
      <c r="F18" s="49"/>
      <c r="G18" s="50"/>
      <c r="H18" s="21">
        <f>B18*E18</f>
        <v>20.16</v>
      </c>
      <c r="I18" s="52"/>
      <c r="J18" s="54"/>
      <c r="K18" s="54"/>
      <c r="L18" s="41"/>
      <c r="M18" s="42"/>
      <c r="N18" s="43"/>
      <c r="O18" s="92"/>
      <c r="P18" s="93"/>
      <c r="Q18" s="93"/>
      <c r="R18" s="93"/>
      <c r="S18" s="94"/>
      <c r="T18" s="94"/>
      <c r="U18" s="84"/>
      <c r="V18" s="84"/>
      <c r="W18" s="85"/>
      <c r="X18" s="85"/>
      <c r="Y18" s="95"/>
      <c r="Z18" s="96"/>
      <c r="AA18" s="97"/>
      <c r="AB18" s="98"/>
      <c r="AC18" s="98"/>
      <c r="AD18" s="99"/>
      <c r="AE18" s="9"/>
      <c r="AG18" s="67"/>
      <c r="AH18" s="2"/>
      <c r="AI18" s="2"/>
      <c r="AJ18" s="66"/>
      <c r="AL18" s="68"/>
      <c r="AM18" s="3"/>
    </row>
    <row r="19" ht="15.75" customHeight="1" spans="1:39" s="10" customFormat="1" x14ac:dyDescent="0.25">
      <c r="A19" s="55" t="s">
        <v>21</v>
      </c>
      <c r="B19" s="56">
        <v>1</v>
      </c>
      <c r="C19" s="57">
        <f>4867.863003*1.00116</f>
        <v>4873.50972408348</v>
      </c>
      <c r="D19" s="58">
        <f>B28</f>
        <v>223</v>
      </c>
      <c r="E19" s="17">
        <f>D19*$F$1</f>
        <v>4495.68</v>
      </c>
      <c r="F19" s="59">
        <f>H19-(B19*C19)</f>
        <v>-377.82972408347996</v>
      </c>
      <c r="G19" s="60">
        <f>((B19*E19)/(B19*C19))-1</f>
        <v>-0.07752723303625608</v>
      </c>
      <c r="H19" s="21">
        <f>B19*E19</f>
        <v>4495.68</v>
      </c>
      <c r="I19" s="102">
        <v>5000</v>
      </c>
      <c r="J19" s="54">
        <f>L19-(B19*C19)</f>
        <v>117.79027591651993</v>
      </c>
      <c r="K19" s="103">
        <f>1-(C19/I19)</f>
        <v>0.02529805518330397</v>
      </c>
      <c r="L19" s="21">
        <f>(I19*B19)*0.99826</f>
        <v>4991.3</v>
      </c>
      <c r="M19" s="7"/>
      <c r="N19" s="61"/>
      <c r="O19" s="92"/>
      <c r="P19" s="62"/>
      <c r="Q19" s="62"/>
      <c r="R19" s="62"/>
      <c r="S19" s="63"/>
      <c r="T19" s="63"/>
      <c r="U19" s="6"/>
      <c r="V19" s="6"/>
      <c r="W19" s="3"/>
      <c r="X19" s="3"/>
      <c r="Z19" s="64"/>
      <c r="AA19" s="65"/>
      <c r="AB19" s="66"/>
      <c r="AC19" s="66"/>
      <c r="AD19" s="3"/>
      <c r="AE19" s="62"/>
      <c r="AG19" s="67"/>
      <c r="AH19" s="2"/>
      <c r="AI19" s="2"/>
      <c r="AJ19" s="66"/>
      <c r="AL19" s="68"/>
      <c r="AM19" s="3"/>
    </row>
    <row r="20" ht="15.75" customHeight="1" spans="1:39" s="10" customFormat="1" x14ac:dyDescent="0.25">
      <c r="A20" s="55" t="s">
        <v>30</v>
      </c>
      <c r="B20" s="56">
        <v>1</v>
      </c>
      <c r="C20" s="57">
        <f>4504.917073*1.00116</f>
        <v>4510.14277680468</v>
      </c>
      <c r="D20" s="58">
        <f>B29</f>
        <v>216.25</v>
      </c>
      <c r="E20" s="17">
        <f>D20*$F$1</f>
        <v>4359.6</v>
      </c>
      <c r="F20" s="59">
        <f>H20-(B20*C20)</f>
        <v>-150.5427768046793</v>
      </c>
      <c r="G20" s="60">
        <f>((B20*E20)/(B20*C20))-1</f>
        <v>-0.03337871642975676</v>
      </c>
      <c r="H20" s="21">
        <f>B20*E20</f>
        <v>4359.6</v>
      </c>
      <c r="I20" s="102">
        <v>4600</v>
      </c>
      <c r="J20" s="17">
        <f>L20-(B20*C20)</f>
        <v>81.85322319532042</v>
      </c>
      <c r="K20" s="104">
        <f>1-(C20/I20)</f>
        <v>0.019534178955504466</v>
      </c>
      <c r="L20" s="21">
        <f>(I20*B20)*0.99826</f>
        <v>4591.996</v>
      </c>
      <c r="M20" s="7"/>
      <c r="N20" s="61"/>
      <c r="O20" s="8"/>
      <c r="P20" s="62"/>
      <c r="Q20" s="62"/>
      <c r="R20" s="62"/>
      <c r="S20" s="63"/>
      <c r="T20" s="63"/>
      <c r="U20" s="6"/>
      <c r="V20" s="6"/>
      <c r="W20" s="3"/>
      <c r="X20" s="3"/>
      <c r="Z20" s="64"/>
      <c r="AA20" s="65"/>
      <c r="AB20" s="66"/>
      <c r="AC20" s="66"/>
      <c r="AD20" s="3"/>
      <c r="AE20" s="62"/>
      <c r="AG20" s="67"/>
      <c r="AH20" s="2"/>
      <c r="AI20" s="2"/>
      <c r="AJ20" s="66"/>
      <c r="AL20" s="68"/>
      <c r="AM20" s="3"/>
    </row>
    <row r="21" ht="15.75" customHeight="1" spans="1:39" s="10" customFormat="1" x14ac:dyDescent="0.25">
      <c r="A21" s="55" t="s">
        <v>31</v>
      </c>
      <c r="B21" s="56">
        <v>1</v>
      </c>
      <c r="C21" s="57">
        <f>2884.2338382*1.00116</f>
        <v>2887.5795494523118</v>
      </c>
      <c r="D21" s="58">
        <f>B31</f>
        <v>156.57</v>
      </c>
      <c r="E21" s="17">
        <f>D21*$F$1</f>
        <v>3156.4512</v>
      </c>
      <c r="F21" s="71">
        <f>H21-(B21*C21)</f>
        <v>268.8716505476882</v>
      </c>
      <c r="G21" s="60">
        <f>((B21*E21)/(B21*C21))-1</f>
        <v>0.09311315790371388</v>
      </c>
      <c r="H21" s="72">
        <f>B21*E21</f>
        <v>3156.4512</v>
      </c>
      <c r="I21" s="102">
        <v>3300</v>
      </c>
      <c r="J21" s="17">
        <f>L21-(B21*C21)</f>
        <v>406.6784505476885</v>
      </c>
      <c r="K21" s="104">
        <f>1-(C21/I21)</f>
        <v>0.12497589410536003</v>
      </c>
      <c r="L21" s="21">
        <f>(I21*B21)*0.99826</f>
        <v>3294.2580000000003</v>
      </c>
      <c r="M21" s="7"/>
      <c r="N21" s="61"/>
      <c r="O21" s="8"/>
      <c r="P21" s="62"/>
      <c r="Q21" s="62"/>
      <c r="R21" s="62"/>
      <c r="S21" s="63"/>
      <c r="T21" s="63"/>
      <c r="U21" s="6"/>
      <c r="V21" s="6"/>
      <c r="W21" s="3"/>
      <c r="X21" s="3"/>
      <c r="Z21" s="64"/>
      <c r="AA21" s="65"/>
      <c r="AB21" s="66"/>
      <c r="AC21" s="66"/>
      <c r="AD21" s="3"/>
      <c r="AE21" s="62"/>
      <c r="AG21" s="67"/>
      <c r="AH21" s="2"/>
      <c r="AI21" s="2"/>
      <c r="AJ21" s="66"/>
      <c r="AL21" s="68"/>
      <c r="AM21" s="3"/>
    </row>
    <row r="22" ht="15.75" customHeight="1" spans="1:38" x14ac:dyDescent="0.25">
      <c r="A22" s="46"/>
      <c r="B22" s="47"/>
      <c r="C22" s="105"/>
      <c r="D22" s="47"/>
      <c r="E22" s="54"/>
      <c r="F22" s="49">
        <f>SUM(F19:F21)</f>
        <v>-259.50085034047106</v>
      </c>
      <c r="G22" s="50"/>
      <c r="H22" s="49">
        <f>SUM(H18:H21)</f>
        <v>12031.8912</v>
      </c>
      <c r="I22" s="54"/>
      <c r="J22" s="106">
        <f>J21+J20+J19</f>
        <v>606.3219496595289</v>
      </c>
      <c r="K22" s="54"/>
      <c r="L22" s="21"/>
      <c r="N22" s="61"/>
      <c r="O22" s="92"/>
      <c r="P22" s="93"/>
      <c r="Q22" s="93"/>
      <c r="R22" s="93"/>
      <c r="S22" s="94"/>
      <c r="T22" s="94"/>
      <c r="U22" s="84"/>
      <c r="V22" s="84"/>
      <c r="W22" s="85"/>
      <c r="X22" s="85"/>
      <c r="Y22" s="95"/>
      <c r="Z22" s="96"/>
      <c r="AA22" s="97"/>
      <c r="AB22" s="98"/>
      <c r="AC22" s="98"/>
      <c r="AD22" s="99"/>
      <c r="AE22" s="9"/>
      <c r="AG22" s="67"/>
      <c r="AJ22" s="66"/>
      <c r="AL22" s="68"/>
    </row>
    <row r="23" spans="1:38" x14ac:dyDescent="0.25">
      <c r="A23" s="107"/>
      <c r="B23" s="2"/>
      <c r="C23" s="2"/>
      <c r="D23" s="3" t="s">
        <v>25</v>
      </c>
      <c r="E23" s="4"/>
      <c r="F23" s="108"/>
      <c r="G23" s="6" t="s">
        <v>25</v>
      </c>
      <c r="H23" s="3"/>
      <c r="I23" s="4"/>
      <c r="J23" s="4"/>
      <c r="K23" s="4"/>
      <c r="L23" s="85"/>
      <c r="M23" s="90"/>
      <c r="N23" s="91"/>
      <c r="O23" s="92"/>
      <c r="P23" s="93"/>
      <c r="Q23" s="93"/>
      <c r="R23" s="93"/>
      <c r="S23" s="94"/>
      <c r="T23" s="94"/>
      <c r="U23" s="84"/>
      <c r="V23" s="84"/>
      <c r="W23" s="85"/>
      <c r="X23" s="85"/>
      <c r="Y23" s="95"/>
      <c r="Z23" s="96"/>
      <c r="AA23" s="97"/>
      <c r="AB23" s="98"/>
      <c r="AC23" s="98"/>
      <c r="AD23" s="99"/>
      <c r="AE23" s="9"/>
      <c r="AG23" s="67"/>
      <c r="AJ23" s="66"/>
      <c r="AL23" s="68"/>
    </row>
    <row r="24" ht="15.75" customHeight="1" spans="1:38" x14ac:dyDescent="0.25">
      <c r="A24" s="109"/>
      <c r="B24" s="110"/>
      <c r="C24" s="110"/>
      <c r="D24" s="111"/>
      <c r="E24" s="112"/>
      <c r="F24" s="113"/>
      <c r="G24" s="114"/>
      <c r="H24" s="111"/>
      <c r="I24" s="112"/>
      <c r="J24" s="112"/>
      <c r="K24" s="112"/>
      <c r="L24" s="115"/>
      <c r="M24" s="116"/>
      <c r="N24" s="117"/>
      <c r="O24" s="118"/>
      <c r="P24" s="119"/>
      <c r="Q24" s="119"/>
      <c r="R24" s="119"/>
      <c r="S24" s="120"/>
      <c r="T24" s="94"/>
      <c r="U24" s="84"/>
      <c r="V24" s="84"/>
      <c r="W24" s="85"/>
      <c r="X24" s="85"/>
      <c r="Y24" s="95"/>
      <c r="Z24" s="96"/>
      <c r="AA24" s="97"/>
      <c r="AB24" s="98"/>
      <c r="AC24" s="98"/>
      <c r="AD24" s="99"/>
      <c r="AE24" s="9"/>
      <c r="AG24" s="67"/>
      <c r="AJ24" s="66"/>
      <c r="AL24" s="68"/>
    </row>
    <row r="25" ht="18.75" customHeight="1" spans="1:38" x14ac:dyDescent="0.25">
      <c r="A25" s="121" t="s">
        <v>32</v>
      </c>
      <c r="B25" s="96"/>
      <c r="C25" s="96"/>
      <c r="D25" s="97"/>
      <c r="E25" s="122"/>
      <c r="F25" s="123"/>
      <c r="G25" s="124"/>
      <c r="H25" s="125"/>
      <c r="I25" s="122"/>
      <c r="J25" s="122"/>
      <c r="K25" s="122"/>
      <c r="W25" s="85"/>
      <c r="X25" s="85"/>
      <c r="Y25" s="95"/>
      <c r="Z25" s="96"/>
      <c r="AA25" s="97"/>
      <c r="AB25" s="98"/>
      <c r="AC25" s="98"/>
      <c r="AD25" s="99"/>
      <c r="AE25" s="9"/>
      <c r="AG25" s="67"/>
      <c r="AJ25" s="66"/>
      <c r="AL25" s="68"/>
    </row>
    <row r="26" ht="47.1" customHeight="1" spans="1:38" x14ac:dyDescent="0.25">
      <c r="A26" s="88" t="s">
        <v>5</v>
      </c>
      <c r="B26" s="126" t="s">
        <v>33</v>
      </c>
      <c r="C26" s="127" t="s">
        <v>34</v>
      </c>
      <c r="D26" s="126" t="s">
        <v>35</v>
      </c>
      <c r="E26" s="127" t="s">
        <v>36</v>
      </c>
      <c r="F26" s="32" t="s">
        <v>37</v>
      </c>
      <c r="G26" s="33" t="s">
        <v>38</v>
      </c>
      <c r="H26" s="127" t="s">
        <v>39</v>
      </c>
      <c r="I26" s="127" t="s">
        <v>40</v>
      </c>
      <c r="J26" s="128" t="s">
        <v>41</v>
      </c>
      <c r="K26" s="128" t="s">
        <v>42</v>
      </c>
      <c r="L26" s="127" t="s">
        <v>43</v>
      </c>
      <c r="M26" s="30" t="s">
        <v>44</v>
      </c>
      <c r="N26" s="129"/>
      <c r="O26" s="127" t="s">
        <v>45</v>
      </c>
      <c r="P26" s="127" t="s">
        <v>46</v>
      </c>
      <c r="Q26" s="127" t="s">
        <v>47</v>
      </c>
      <c r="R26" s="127" t="s">
        <v>48</v>
      </c>
      <c r="S26" s="130" t="s">
        <v>49</v>
      </c>
      <c r="T26" s="131" t="s">
        <v>50</v>
      </c>
      <c r="U26" s="127" t="s">
        <v>51</v>
      </c>
      <c r="V26" s="127" t="s">
        <v>52</v>
      </c>
      <c r="W26" s="132" t="s">
        <v>53</v>
      </c>
      <c r="X26" s="131" t="s">
        <v>54</v>
      </c>
      <c r="Y26" s="95"/>
      <c r="Z26" s="96"/>
      <c r="AA26" s="97"/>
      <c r="AB26" s="98"/>
      <c r="AC26" s="98"/>
      <c r="AD26" s="99"/>
      <c r="AE26" s="9"/>
      <c r="AG26" s="67"/>
      <c r="AJ26" s="66"/>
      <c r="AL26" s="68"/>
    </row>
    <row r="27" ht="15.75" customHeight="1" spans="1:39" s="10" customFormat="1" x14ac:dyDescent="0.25">
      <c r="A27" s="19" t="s">
        <v>23</v>
      </c>
      <c r="B27" s="133">
        <v>1057.26</v>
      </c>
      <c r="C27" s="17">
        <f>$F$1*B27</f>
        <v>21314.3616</v>
      </c>
      <c r="D27" s="134">
        <v>1530</v>
      </c>
      <c r="E27" s="60">
        <f>1-(B27/D27)</f>
        <v>0.3089803921568628</v>
      </c>
      <c r="F27" s="135">
        <v>1030</v>
      </c>
      <c r="G27" s="136">
        <v>1243</v>
      </c>
      <c r="H27" s="21" t="s">
        <v>55</v>
      </c>
      <c r="I27" s="21" t="s">
        <v>55</v>
      </c>
      <c r="J27" s="17" t="s">
        <v>56</v>
      </c>
      <c r="K27" s="54"/>
      <c r="L27" s="21"/>
      <c r="M27" s="137"/>
      <c r="N27" s="138"/>
      <c r="O27" s="21"/>
      <c r="P27" s="21"/>
      <c r="Q27" s="21"/>
      <c r="R27" s="21"/>
      <c r="S27" s="21">
        <v>141</v>
      </c>
      <c r="T27" s="60">
        <f>1-(B27/S27)</f>
        <v>-6.498297872340426</v>
      </c>
      <c r="U27" s="21">
        <v>166</v>
      </c>
      <c r="V27" s="60">
        <f>1-(B27/U27)</f>
        <v>-5.369036144578313</v>
      </c>
      <c r="W27" s="21">
        <v>185</v>
      </c>
      <c r="X27" s="60">
        <f>1-(B27/W27)</f>
        <v>-4.714918918918919</v>
      </c>
      <c r="AE27" s="11"/>
      <c r="AH27" s="2"/>
      <c r="AI27" s="2"/>
      <c r="AJ27" s="2"/>
      <c r="AM27" s="3"/>
    </row>
    <row r="28" ht="15.75" customHeight="1" spans="1:39" s="10" customFormat="1" x14ac:dyDescent="0.25">
      <c r="A28" s="19" t="s">
        <v>21</v>
      </c>
      <c r="B28" s="133">
        <v>223</v>
      </c>
      <c r="C28" s="17">
        <f>($F$1*B28)</f>
        <v>4495.68</v>
      </c>
      <c r="D28" s="134">
        <v>300</v>
      </c>
      <c r="E28" s="60">
        <f>1-(B28/D28)</f>
        <v>0.2566666666666667</v>
      </c>
      <c r="F28" s="135">
        <v>220</v>
      </c>
      <c r="G28" s="136">
        <v>384</v>
      </c>
      <c r="H28" s="139"/>
      <c r="I28" s="139"/>
      <c r="J28" s="17" t="s">
        <v>56</v>
      </c>
      <c r="K28" s="54"/>
      <c r="L28" s="21"/>
      <c r="M28" s="137"/>
      <c r="N28" s="138"/>
      <c r="O28" s="21"/>
      <c r="P28" s="21"/>
      <c r="Q28" s="21"/>
      <c r="R28" s="21"/>
      <c r="S28" s="21"/>
      <c r="T28" s="60"/>
      <c r="U28" s="21"/>
      <c r="V28" s="60"/>
      <c r="W28" s="21"/>
      <c r="X28" s="60"/>
      <c r="AE28" s="11"/>
      <c r="AH28" s="2"/>
      <c r="AI28" s="2"/>
      <c r="AJ28" s="2"/>
      <c r="AM28" s="3"/>
    </row>
    <row r="29" ht="15.75" customHeight="1" spans="1:39" s="10" customFormat="1" x14ac:dyDescent="0.25">
      <c r="A29" s="19" t="s">
        <v>30</v>
      </c>
      <c r="B29" s="133">
        <v>216.25</v>
      </c>
      <c r="C29" s="17">
        <f>$F$1*B29</f>
        <v>4359.6</v>
      </c>
      <c r="D29" s="134">
        <v>260</v>
      </c>
      <c r="E29" s="60">
        <f>1-(B29/D29)</f>
        <v>0.16826923076923073</v>
      </c>
      <c r="F29" s="135">
        <v>204</v>
      </c>
      <c r="G29" s="136">
        <v>214.17</v>
      </c>
      <c r="H29" s="140">
        <v>44147</v>
      </c>
      <c r="I29" s="140">
        <v>44166</v>
      </c>
      <c r="J29" s="17" t="s">
        <v>56</v>
      </c>
      <c r="K29" s="54">
        <f>(2214000)*B29</f>
        <v>478777500</v>
      </c>
      <c r="L29" s="21">
        <v>35524000</v>
      </c>
      <c r="M29" s="137"/>
      <c r="N29" s="138"/>
      <c r="O29" s="21">
        <v>12080000</v>
      </c>
      <c r="P29" s="21">
        <v>10301000</v>
      </c>
      <c r="Q29" s="21">
        <v>6699000</v>
      </c>
      <c r="R29" s="21">
        <v>5991000</v>
      </c>
      <c r="S29" s="21">
        <v>245</v>
      </c>
      <c r="T29" s="60">
        <f>1-(B29/S29)</f>
        <v>0.11734693877551017</v>
      </c>
      <c r="U29" s="17">
        <v>270</v>
      </c>
      <c r="V29" s="60">
        <f>1-(B29/U29)</f>
        <v>0.19907407407407407</v>
      </c>
      <c r="W29" s="17">
        <v>297</v>
      </c>
      <c r="X29" s="60">
        <f>1-(B29/W29)</f>
        <v>0.27188552188552184</v>
      </c>
      <c r="AE29" s="11"/>
      <c r="AH29" s="2"/>
      <c r="AI29" s="2"/>
      <c r="AJ29" s="2"/>
      <c r="AM29" s="3"/>
    </row>
    <row r="30" ht="15.75" customHeight="1" spans="1:39" s="10" customFormat="1" x14ac:dyDescent="0.25">
      <c r="A30" s="19" t="s">
        <v>57</v>
      </c>
      <c r="B30" s="141">
        <v>347</v>
      </c>
      <c r="C30" s="17">
        <f>$F$1*B30</f>
        <v>6995.52</v>
      </c>
      <c r="D30" s="105">
        <v>364</v>
      </c>
      <c r="E30" s="60">
        <f>1-(B30/D30)</f>
        <v>0.04670329670329665</v>
      </c>
      <c r="F30" s="135">
        <v>210</v>
      </c>
      <c r="G30" s="69">
        <v>231.61</v>
      </c>
      <c r="H30" s="21" t="s">
        <v>55</v>
      </c>
      <c r="I30" s="21" t="s">
        <v>55</v>
      </c>
      <c r="J30" s="17" t="s">
        <v>56</v>
      </c>
      <c r="K30" s="54">
        <f>(2450918)*B30</f>
        <v>850468546</v>
      </c>
      <c r="L30" s="51">
        <v>393495000</v>
      </c>
      <c r="M30" s="142"/>
      <c r="N30" s="143"/>
      <c r="O30" s="21">
        <v>81417000</v>
      </c>
      <c r="P30" s="21">
        <v>4021000</v>
      </c>
      <c r="Q30" s="21">
        <v>44940000</v>
      </c>
      <c r="R30" s="21">
        <v>24074000</v>
      </c>
      <c r="S30" s="21">
        <v>220</v>
      </c>
      <c r="T30" s="60">
        <f>1-(B30/S30)</f>
        <v>-0.5772727272727274</v>
      </c>
      <c r="U30" s="17">
        <v>226.5</v>
      </c>
      <c r="V30" s="60">
        <f>1-(B30/U30)</f>
        <v>-0.5320088300220751</v>
      </c>
      <c r="W30" s="17">
        <v>233</v>
      </c>
      <c r="X30" s="60">
        <f>1-(B30/W30)</f>
        <v>-0.4892703862660943</v>
      </c>
      <c r="Y30" s="95"/>
      <c r="Z30" s="96"/>
      <c r="AA30" s="97"/>
      <c r="AB30" s="98"/>
      <c r="AC30" s="98"/>
      <c r="AD30" s="99"/>
      <c r="AE30" s="9"/>
      <c r="AG30" s="67"/>
      <c r="AH30" s="2"/>
      <c r="AI30" s="2"/>
      <c r="AJ30" s="66"/>
      <c r="AL30" s="68"/>
      <c r="AM30" s="3"/>
    </row>
    <row r="31" ht="15.75" customHeight="1" spans="1:39" s="10" customFormat="1" x14ac:dyDescent="0.25">
      <c r="A31" s="19" t="s">
        <v>31</v>
      </c>
      <c r="B31" s="133">
        <v>156.57</v>
      </c>
      <c r="C31" s="17">
        <f>($F$1*B31)</f>
        <v>3156.4512</v>
      </c>
      <c r="D31" s="134">
        <v>160</v>
      </c>
      <c r="E31" s="60">
        <f>1-(B31/D31)</f>
        <v>0.021437499999999998</v>
      </c>
      <c r="F31" s="135">
        <v>136</v>
      </c>
      <c r="G31" s="136">
        <v>141.07</v>
      </c>
      <c r="H31" s="139">
        <v>44152</v>
      </c>
      <c r="I31" s="139">
        <v>44152</v>
      </c>
      <c r="J31" s="17" t="s">
        <v>56</v>
      </c>
      <c r="K31" s="54"/>
      <c r="L31" s="21"/>
      <c r="M31" s="137"/>
      <c r="N31" s="138"/>
      <c r="O31" s="21"/>
      <c r="P31" s="21"/>
      <c r="Q31" s="21"/>
      <c r="R31" s="21"/>
      <c r="S31" s="21">
        <v>140</v>
      </c>
      <c r="T31" s="60">
        <f>1-(B31/S31)</f>
        <v>-0.11835714285714283</v>
      </c>
      <c r="U31" s="21">
        <v>165</v>
      </c>
      <c r="V31" s="60">
        <f>1-(B31/U31)</f>
        <v>0.05109090909090919</v>
      </c>
      <c r="W31" s="21">
        <v>184</v>
      </c>
      <c r="X31" s="60">
        <f>1-(B31/W31)</f>
        <v>0.14907608695652175</v>
      </c>
      <c r="AE31" s="11"/>
      <c r="AH31" s="2"/>
      <c r="AI31" s="2"/>
      <c r="AJ31" s="2"/>
      <c r="AM31" s="3"/>
    </row>
    <row r="32" ht="15.75" customHeight="1" spans="1:39" s="10" customFormat="1" x14ac:dyDescent="0.25">
      <c r="A32" s="19" t="s">
        <v>58</v>
      </c>
      <c r="B32" s="141">
        <v>3156</v>
      </c>
      <c r="C32" s="17">
        <f>($F$1*B32)</f>
        <v>63624.96</v>
      </c>
      <c r="D32" s="105"/>
      <c r="E32" s="60"/>
      <c r="F32" s="135"/>
      <c r="G32" s="69"/>
      <c r="H32" s="21"/>
      <c r="I32" s="21"/>
      <c r="J32" s="17"/>
      <c r="K32" s="54"/>
      <c r="L32" s="51"/>
      <c r="M32" s="142"/>
      <c r="N32" s="143"/>
      <c r="O32" s="21"/>
      <c r="P32" s="21"/>
      <c r="Q32" s="21"/>
      <c r="R32" s="21"/>
      <c r="S32" s="21"/>
      <c r="T32" s="60"/>
      <c r="U32" s="17"/>
      <c r="V32" s="60"/>
      <c r="W32" s="17"/>
      <c r="X32" s="60"/>
      <c r="Y32" s="95"/>
      <c r="Z32" s="96"/>
      <c r="AA32" s="97"/>
      <c r="AB32" s="98"/>
      <c r="AC32" s="98"/>
      <c r="AD32" s="99"/>
      <c r="AE32" s="9"/>
      <c r="AG32" s="67"/>
      <c r="AH32" s="2"/>
      <c r="AI32" s="2"/>
      <c r="AJ32" s="66"/>
      <c r="AL32" s="68"/>
      <c r="AM32" s="3"/>
    </row>
    <row r="33" ht="15.75" customHeight="1" spans="1:39" s="10" customFormat="1" x14ac:dyDescent="0.25">
      <c r="A33" s="19" t="s">
        <v>59</v>
      </c>
      <c r="B33" s="141">
        <v>172</v>
      </c>
      <c r="C33" s="17">
        <f t="shared" ref="C33:C50" si="7">($F$1*B33)</f>
        <v>3467.52</v>
      </c>
      <c r="D33" s="105"/>
      <c r="E33" s="60"/>
      <c r="F33" s="135"/>
      <c r="G33" s="69"/>
      <c r="H33" s="21"/>
      <c r="I33" s="21"/>
      <c r="J33" s="17"/>
      <c r="K33" s="54"/>
      <c r="L33" s="51"/>
      <c r="M33" s="142"/>
      <c r="N33" s="143"/>
      <c r="O33" s="21"/>
      <c r="P33" s="21"/>
      <c r="Q33" s="21"/>
      <c r="R33" s="21"/>
      <c r="S33" s="21"/>
      <c r="T33" s="60"/>
      <c r="U33" s="17"/>
      <c r="V33" s="60"/>
      <c r="W33" s="17"/>
      <c r="X33" s="60"/>
      <c r="Y33" s="95"/>
      <c r="Z33" s="96"/>
      <c r="AA33" s="97"/>
      <c r="AB33" s="98"/>
      <c r="AC33" s="98"/>
      <c r="AD33" s="99"/>
      <c r="AE33" s="9"/>
      <c r="AG33" s="67"/>
      <c r="AH33" s="2"/>
      <c r="AI33" s="2"/>
      <c r="AJ33" s="66"/>
      <c r="AL33" s="68"/>
      <c r="AM33" s="3"/>
    </row>
    <row r="34" ht="15.75" customHeight="1" spans="1:39" s="10" customFormat="1" x14ac:dyDescent="0.25">
      <c r="A34" s="19" t="s">
        <v>60</v>
      </c>
      <c r="B34" s="133">
        <v>16.08</v>
      </c>
      <c r="C34" s="17">
        <f t="shared" si="7"/>
        <v>324.1728</v>
      </c>
      <c r="D34" s="134">
        <v>24</v>
      </c>
      <c r="E34" s="60">
        <f>1-(B34/D34)</f>
        <v>0.33000000000000007</v>
      </c>
      <c r="F34" s="135">
        <v>10</v>
      </c>
      <c r="G34" s="136">
        <v>49</v>
      </c>
      <c r="H34" s="140">
        <v>44137</v>
      </c>
      <c r="I34" s="140">
        <v>44141</v>
      </c>
      <c r="J34" s="17" t="s">
        <v>56</v>
      </c>
      <c r="K34" s="54">
        <f>(450964)*B34</f>
        <v>7251501.119999999</v>
      </c>
      <c r="L34" s="21">
        <v>1423414</v>
      </c>
      <c r="M34" s="137"/>
      <c r="N34" s="138"/>
      <c r="O34" s="21">
        <v>92139</v>
      </c>
      <c r="P34" s="21">
        <v>-46302</v>
      </c>
      <c r="Q34" s="21">
        <v>-48260</v>
      </c>
      <c r="R34" s="21">
        <v>197979</v>
      </c>
      <c r="S34" s="17">
        <f>(5+6)/2</f>
        <v>5.5</v>
      </c>
      <c r="T34" s="77">
        <f>1-(B34/S34)</f>
        <v>-1.9236363636363634</v>
      </c>
      <c r="U34" s="17">
        <f>(10.39+10.63)/2</f>
        <v>10.510000000000002</v>
      </c>
      <c r="V34" s="60">
        <f>1-(B34/U34)</f>
        <v>-0.5299714557564221</v>
      </c>
      <c r="W34" s="17">
        <f>(16+14)/2</f>
        <v>15</v>
      </c>
      <c r="X34" s="60">
        <f>1-(B34/W34)</f>
        <v>-0.07199999999999984</v>
      </c>
      <c r="AE34" s="11"/>
      <c r="AH34" s="2"/>
      <c r="AI34" s="2"/>
      <c r="AJ34" s="2"/>
      <c r="AM34" s="3"/>
    </row>
    <row r="35" ht="15.75" customHeight="1" spans="1:39" s="10" customFormat="1" x14ac:dyDescent="0.25">
      <c r="A35" s="19" t="s">
        <v>61</v>
      </c>
      <c r="B35" s="133">
        <v>2717</v>
      </c>
      <c r="C35" s="17">
        <f t="shared" si="7"/>
        <v>54774.72</v>
      </c>
      <c r="D35" s="134">
        <v>3400</v>
      </c>
      <c r="E35" s="60">
        <f>1-(B35/D35)</f>
        <v>0.2008823529411765</v>
      </c>
      <c r="F35" s="135"/>
      <c r="G35" s="136"/>
      <c r="H35" s="140"/>
      <c r="I35" s="140"/>
      <c r="J35" s="17"/>
      <c r="K35" s="54"/>
      <c r="L35" s="21"/>
      <c r="M35" s="137"/>
      <c r="N35" s="138"/>
      <c r="O35" s="21"/>
      <c r="P35" s="21"/>
      <c r="Q35" s="21"/>
      <c r="R35" s="21"/>
      <c r="S35" s="17"/>
      <c r="T35" s="77"/>
      <c r="U35" s="17"/>
      <c r="V35" s="60"/>
      <c r="W35" s="17"/>
      <c r="X35" s="60"/>
      <c r="AE35" s="11"/>
      <c r="AH35" s="2"/>
      <c r="AI35" s="2"/>
      <c r="AJ35" s="2"/>
      <c r="AM35" s="3"/>
    </row>
    <row r="36" ht="15.75" customHeight="1" spans="1:39" s="10" customFormat="1" x14ac:dyDescent="0.25">
      <c r="A36" s="69" t="s">
        <v>62</v>
      </c>
      <c r="B36" s="144">
        <v>301.37</v>
      </c>
      <c r="C36" s="17">
        <f t="shared" si="7"/>
        <v>6075.6192</v>
      </c>
      <c r="D36" s="3"/>
      <c r="E36" s="4"/>
      <c r="F36" s="5"/>
      <c r="G36" s="6"/>
      <c r="H36" s="3"/>
      <c r="I36" s="2"/>
      <c r="J36" s="4"/>
      <c r="K36" s="4"/>
      <c r="L36" s="3"/>
      <c r="M36" s="7"/>
      <c r="N36" s="1"/>
      <c r="O36" s="8"/>
      <c r="P36" s="9"/>
      <c r="Q36" s="9"/>
      <c r="R36" s="9"/>
      <c r="S36" s="2"/>
      <c r="T36" s="2"/>
      <c r="U36" s="2"/>
      <c r="V36" s="2"/>
      <c r="W36" s="2"/>
      <c r="X36" s="3"/>
      <c r="AE36" s="11"/>
      <c r="AH36" s="2"/>
      <c r="AI36" s="2"/>
      <c r="AJ36" s="2"/>
      <c r="AM36" s="3"/>
    </row>
    <row r="37" ht="15.75" customHeight="1" spans="1:39" s="10" customFormat="1" x14ac:dyDescent="0.25">
      <c r="A37" s="19" t="s">
        <v>20</v>
      </c>
      <c r="B37" s="133">
        <v>104.3</v>
      </c>
      <c r="C37" s="17">
        <f t="shared" si="7"/>
        <v>2102.688</v>
      </c>
      <c r="D37" s="145">
        <v>295</v>
      </c>
      <c r="E37" s="60">
        <f>1-(B37/D37)</f>
        <v>0.6464406779661017</v>
      </c>
      <c r="F37" s="135">
        <v>275</v>
      </c>
      <c r="G37" s="146">
        <v>268</v>
      </c>
      <c r="H37" s="140">
        <v>44134</v>
      </c>
      <c r="I37" s="140">
        <v>44138</v>
      </c>
      <c r="J37" s="17" t="s">
        <v>56</v>
      </c>
      <c r="K37" s="54">
        <f>(2668250)*B37</f>
        <v>278298475</v>
      </c>
      <c r="L37" s="21">
        <v>116894342</v>
      </c>
      <c r="M37" s="137"/>
      <c r="N37" s="138"/>
      <c r="O37" s="21" t="e">
        <f>149263000*3.18/#REF!</f>
        <v>#REF!</v>
      </c>
      <c r="P37" s="21" t="e">
        <f>87600000*3.18/#REF!</f>
        <v>#REF!</v>
      </c>
      <c r="Q37" s="21" t="e">
        <f>63985000*3.18/#REF!</f>
        <v>#REF!</v>
      </c>
      <c r="R37" s="21" t="e">
        <f>43675000*3.18/#REF!</f>
        <v>#REF!</v>
      </c>
      <c r="S37" s="17">
        <f>(220.63+216)/2</f>
        <v>218.315</v>
      </c>
      <c r="T37" s="77">
        <f>1-(B37/S37)</f>
        <v>0.5222499599202987</v>
      </c>
      <c r="U37" s="17">
        <f>(293.29+288.6)/2</f>
        <v>290.94500000000005</v>
      </c>
      <c r="V37" s="60">
        <f>1-(B37/U37)</f>
        <v>0.6415130007389713</v>
      </c>
      <c r="W37" s="17">
        <f>(329.32+325)/2</f>
        <v>327.15999999999997</v>
      </c>
      <c r="X37" s="60">
        <f>1-(B37/W37)</f>
        <v>0.6811957452011248</v>
      </c>
      <c r="AE37" s="11"/>
      <c r="AH37" s="2"/>
      <c r="AI37" s="2"/>
      <c r="AJ37" s="2"/>
      <c r="AM37" s="3"/>
    </row>
    <row r="38" ht="15.75" customHeight="1" spans="1:39" s="10" customFormat="1" x14ac:dyDescent="0.25">
      <c r="A38" s="69" t="s">
        <v>22</v>
      </c>
      <c r="B38" s="144">
        <v>362.15</v>
      </c>
      <c r="C38" s="17">
        <f t="shared" si="7"/>
        <v>7300.9439999999995</v>
      </c>
      <c r="D38" s="134">
        <v>500</v>
      </c>
      <c r="E38" s="60">
        <f>1-(B38/D38)</f>
        <v>0.27570000000000006</v>
      </c>
      <c r="F38" s="135">
        <v>136</v>
      </c>
      <c r="G38" s="136">
        <v>141.07</v>
      </c>
      <c r="H38" s="3"/>
      <c r="I38" s="2"/>
      <c r="J38" s="4"/>
      <c r="K38" s="4"/>
      <c r="L38" s="3"/>
      <c r="M38" s="7"/>
      <c r="N38" s="1"/>
      <c r="O38" s="8"/>
      <c r="P38" s="9"/>
      <c r="Q38" s="9"/>
      <c r="R38" s="9"/>
      <c r="S38" s="2"/>
      <c r="T38" s="2"/>
      <c r="U38" s="2"/>
      <c r="V38" s="2"/>
      <c r="W38" s="2"/>
      <c r="X38" s="3"/>
      <c r="AE38" s="11"/>
      <c r="AH38" s="2"/>
      <c r="AI38" s="2"/>
      <c r="AJ38" s="2"/>
      <c r="AM38" s="3"/>
    </row>
    <row r="39" ht="15.75" customHeight="1" spans="1:39" s="10" customFormat="1" x14ac:dyDescent="0.25">
      <c r="A39" s="69" t="s">
        <v>63</v>
      </c>
      <c r="B39" s="147">
        <v>83.36</v>
      </c>
      <c r="C39" s="17">
        <f t="shared" si="7"/>
        <v>1680.5376</v>
      </c>
      <c r="D39" s="3"/>
      <c r="E39" s="4"/>
      <c r="F39" s="5"/>
      <c r="G39" s="6"/>
      <c r="H39" s="3"/>
      <c r="I39" s="2"/>
      <c r="J39" s="4"/>
      <c r="K39" s="4"/>
      <c r="L39" s="3"/>
      <c r="M39" s="7"/>
      <c r="N39" s="1"/>
      <c r="O39" s="8"/>
      <c r="P39" s="9"/>
      <c r="Q39" s="9"/>
      <c r="R39" s="9"/>
      <c r="S39" s="2"/>
      <c r="T39" s="2"/>
      <c r="U39" s="2"/>
      <c r="V39" s="2"/>
      <c r="W39" s="2"/>
      <c r="X39" s="3"/>
      <c r="AE39" s="11"/>
      <c r="AH39" s="2"/>
      <c r="AI39" s="2"/>
      <c r="AJ39" s="2"/>
      <c r="AM39" s="3"/>
    </row>
    <row r="40" ht="15.75" customHeight="1" spans="1:3" x14ac:dyDescent="0.25">
      <c r="A40" s="69" t="s">
        <v>64</v>
      </c>
      <c r="B40" s="148">
        <v>1164</v>
      </c>
      <c r="C40" s="17">
        <f t="shared" si="7"/>
        <v>23466.24</v>
      </c>
    </row>
    <row r="41" ht="15.75" customHeight="1" spans="1:24" x14ac:dyDescent="0.25">
      <c r="A41" s="19" t="s">
        <v>65</v>
      </c>
      <c r="B41" s="133">
        <v>2222</v>
      </c>
      <c r="C41" s="17">
        <f t="shared" si="7"/>
        <v>44795.52</v>
      </c>
      <c r="D41" s="145"/>
      <c r="E41" s="60"/>
      <c r="F41" s="135"/>
      <c r="G41" s="146"/>
      <c r="H41" s="140"/>
      <c r="I41" s="140"/>
      <c r="J41" s="17"/>
      <c r="K41" s="54"/>
      <c r="L41" s="21"/>
      <c r="M41" s="137"/>
      <c r="N41" s="138"/>
      <c r="O41" s="21"/>
      <c r="P41" s="21"/>
      <c r="Q41" s="21"/>
      <c r="R41" s="21"/>
      <c r="S41" s="149"/>
      <c r="T41" s="150"/>
      <c r="U41" s="17"/>
      <c r="V41" s="60"/>
      <c r="W41" s="149"/>
      <c r="X41" s="151"/>
    </row>
    <row r="42" ht="15.75" customHeight="1" spans="1:24" x14ac:dyDescent="0.25">
      <c r="A42" s="17" t="s">
        <v>66</v>
      </c>
      <c r="B42" s="152">
        <v>181</v>
      </c>
      <c r="C42" s="17">
        <f t="shared" si="7"/>
        <v>3648.96</v>
      </c>
      <c r="D42" s="21"/>
      <c r="E42" s="134" t="e">
        <f>1-(B42/D42)</f>
        <v>#DIV/0!</v>
      </c>
      <c r="F42" s="135"/>
      <c r="G42" s="153"/>
      <c r="H42" s="69"/>
      <c r="I42" s="154"/>
      <c r="J42" s="54"/>
      <c r="K42" s="54"/>
      <c r="L42" s="21"/>
      <c r="M42" s="137"/>
      <c r="N42" s="138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ht="15.75" customHeight="1" spans="1:3" x14ac:dyDescent="0.25">
      <c r="A43" s="66" t="s">
        <v>67</v>
      </c>
      <c r="B43" s="148">
        <v>26</v>
      </c>
      <c r="C43" s="17">
        <f t="shared" si="7"/>
        <v>524.16</v>
      </c>
    </row>
    <row r="44" ht="15.75" customHeight="1" spans="1:24" x14ac:dyDescent="0.25">
      <c r="A44" s="17" t="s">
        <v>68</v>
      </c>
      <c r="B44" s="152">
        <v>2.22</v>
      </c>
      <c r="C44" s="17">
        <f t="shared" si="7"/>
        <v>44.7552</v>
      </c>
      <c r="D44" s="21"/>
      <c r="E44" s="134"/>
      <c r="F44" s="135"/>
      <c r="G44" s="153"/>
      <c r="H44" s="69"/>
      <c r="I44" s="154"/>
      <c r="J44" s="54"/>
      <c r="K44" s="54"/>
      <c r="L44" s="21"/>
      <c r="M44" s="137"/>
      <c r="N44" s="138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ht="15.75" customHeight="1" spans="1:24" x14ac:dyDescent="0.25">
      <c r="A45" s="17" t="s">
        <v>69</v>
      </c>
      <c r="B45" s="152">
        <v>76</v>
      </c>
      <c r="C45" s="17">
        <f t="shared" si="7"/>
        <v>1532.16</v>
      </c>
      <c r="D45" s="21"/>
      <c r="E45" s="134"/>
      <c r="F45" s="135"/>
      <c r="G45" s="153"/>
      <c r="H45" s="69"/>
      <c r="I45" s="154"/>
      <c r="J45" s="54"/>
      <c r="K45" s="54"/>
      <c r="L45" s="21"/>
      <c r="M45" s="137"/>
      <c r="N45" s="138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ht="15.75" customHeight="1" spans="1:24" x14ac:dyDescent="0.25">
      <c r="A46" s="17" t="s">
        <v>70</v>
      </c>
      <c r="B46" s="152">
        <v>22.47</v>
      </c>
      <c r="C46" s="17">
        <f t="shared" si="7"/>
        <v>452.99519999999995</v>
      </c>
      <c r="D46" s="21"/>
      <c r="E46" s="134"/>
      <c r="F46" s="135"/>
      <c r="G46" s="153"/>
      <c r="H46" s="69"/>
      <c r="I46" s="154"/>
      <c r="J46" s="54"/>
      <c r="K46" s="54"/>
      <c r="L46" s="21"/>
      <c r="M46" s="137"/>
      <c r="N46" s="138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ht="15.75" customHeight="1" spans="1:24" x14ac:dyDescent="0.25">
      <c r="A47" s="17" t="s">
        <v>71</v>
      </c>
      <c r="B47" s="152">
        <v>28.8</v>
      </c>
      <c r="C47" s="17">
        <f t="shared" si="7"/>
        <v>580.6080000000001</v>
      </c>
      <c r="D47" s="21"/>
      <c r="E47" s="134"/>
      <c r="F47" s="135"/>
      <c r="G47" s="153"/>
      <c r="H47" s="69"/>
      <c r="I47" s="154"/>
      <c r="J47" s="54"/>
      <c r="K47" s="54"/>
      <c r="L47" s="21"/>
      <c r="M47" s="137"/>
      <c r="N47" s="138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ht="15.75" customHeight="1" spans="1:24" x14ac:dyDescent="0.25">
      <c r="A48" s="19" t="s">
        <v>72</v>
      </c>
      <c r="B48" s="133">
        <v>244</v>
      </c>
      <c r="C48" s="17">
        <f t="shared" si="7"/>
        <v>4919.04</v>
      </c>
      <c r="D48" s="145"/>
      <c r="E48" s="60"/>
      <c r="F48" s="135"/>
      <c r="G48" s="146"/>
      <c r="H48" s="140"/>
      <c r="I48" s="140"/>
      <c r="J48" s="17"/>
      <c r="K48" s="54"/>
      <c r="L48" s="21"/>
      <c r="M48" s="137"/>
      <c r="N48" s="138"/>
      <c r="O48" s="21"/>
      <c r="P48" s="21"/>
      <c r="Q48" s="21"/>
      <c r="R48" s="21"/>
      <c r="S48" s="149"/>
      <c r="T48" s="150"/>
      <c r="U48" s="17"/>
      <c r="V48" s="60"/>
      <c r="W48" s="149"/>
      <c r="X48" s="151"/>
    </row>
    <row r="49" ht="15.75" customHeight="1" spans="1:39" s="10" customFormat="1" x14ac:dyDescent="0.25">
      <c r="A49" s="19" t="s">
        <v>73</v>
      </c>
      <c r="B49" s="141">
        <v>47.54</v>
      </c>
      <c r="C49" s="17">
        <f t="shared" si="7"/>
        <v>958.4064</v>
      </c>
      <c r="D49" s="105">
        <v>66</v>
      </c>
      <c r="E49" s="60">
        <f>1-(B49/D49)</f>
        <v>0.27969696969696967</v>
      </c>
      <c r="F49" s="135">
        <v>55</v>
      </c>
      <c r="G49" s="136">
        <v>75</v>
      </c>
      <c r="H49" s="140"/>
      <c r="I49" s="140"/>
      <c r="J49" s="17" t="s">
        <v>56</v>
      </c>
      <c r="K49" s="54">
        <f>(4246000)*B49</f>
        <v>201854840</v>
      </c>
      <c r="L49" s="21">
        <v>82010000</v>
      </c>
      <c r="M49" s="137"/>
      <c r="N49" s="138"/>
      <c r="O49" s="21">
        <v>21048000</v>
      </c>
      <c r="P49" s="21">
        <v>21053000</v>
      </c>
      <c r="Q49" s="21">
        <v>9601000</v>
      </c>
      <c r="R49" s="21">
        <v>10316000</v>
      </c>
      <c r="S49" s="21">
        <v>40</v>
      </c>
      <c r="T49" s="77">
        <f>1-(B49/S49)</f>
        <v>-0.1884999999999999</v>
      </c>
      <c r="U49" s="17">
        <v>63</v>
      </c>
      <c r="V49" s="60">
        <f>1-(B49/U49)</f>
        <v>0.2453968253968254</v>
      </c>
      <c r="W49" s="17">
        <v>85</v>
      </c>
      <c r="X49" s="60">
        <f>1-(B49/W49)</f>
        <v>0.44070588235294117</v>
      </c>
      <c r="Y49" s="155">
        <v>44247</v>
      </c>
      <c r="Z49" s="155"/>
      <c r="AA49" s="155"/>
      <c r="AB49" s="10"/>
      <c r="AC49" s="10"/>
      <c r="AD49" s="10"/>
      <c r="AE49" s="11"/>
      <c r="AH49" s="2"/>
      <c r="AI49" s="2"/>
      <c r="AJ49" s="2"/>
      <c r="AM49" s="3"/>
    </row>
    <row r="50" ht="15.75" customHeight="1" spans="1:3" x14ac:dyDescent="0.25">
      <c r="A50" s="66" t="s">
        <v>74</v>
      </c>
      <c r="B50" s="144">
        <v>103</v>
      </c>
      <c r="C50" s="17">
        <f t="shared" si="7"/>
        <v>2076.48</v>
      </c>
    </row>
    <row r="51" ht="15.75" customHeight="1" spans="1:24" x14ac:dyDescent="0.25">
      <c r="A51" s="17"/>
      <c r="B51" s="19"/>
      <c r="C51" s="17"/>
      <c r="D51" s="21"/>
      <c r="E51" s="134"/>
      <c r="F51" s="135"/>
      <c r="G51" s="153"/>
      <c r="H51" s="69"/>
      <c r="I51" s="154"/>
      <c r="J51" s="54"/>
      <c r="K51" s="54"/>
      <c r="L51" s="21"/>
      <c r="M51" s="137"/>
      <c r="N51" s="138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3:39" x14ac:dyDescent="0.25">
      <c r="C52" s="3"/>
      <c r="J52" s="4"/>
      <c r="L52" s="3"/>
      <c r="Q52" s="156"/>
      <c r="R52" s="2"/>
      <c r="S52" s="66"/>
      <c r="T52" s="66"/>
      <c r="U52" s="66"/>
      <c r="V52" s="66"/>
      <c r="W52" s="10"/>
      <c r="X52" s="10"/>
      <c r="AA52" s="11"/>
      <c r="AD52" s="2"/>
      <c r="AE52" s="2"/>
      <c r="AF52" s="2"/>
      <c r="AH52" s="10"/>
      <c r="AI52" s="3"/>
      <c r="AJ52" s="10"/>
      <c r="AM52" s="10"/>
    </row>
  </sheetData>
  <pageMargins left="0.7" right="0.7" top="0.75" bottom="0.75" header="0.3" footer="0.3"/>
  <pageSetup paperSize="9" orientation="landscape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Fernando Carrillo</cp:lastModifiedBy>
  <cp:lastPrinted>2016-08-05T05:36:23Z</cp:lastPrinted>
  <dcterms:created xsi:type="dcterms:W3CDTF">2009-02-15T19:56:39Z</dcterms:created>
  <dcterms:modified xsi:type="dcterms:W3CDTF">2022-04-28T16:56:48Z</dcterms:modified>
</cp:coreProperties>
</file>