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seunic-my.sharepoint.cn/personal/220201335_seu_edu_cn/Documents/OpenSees/OpenSeesPy/SAT/纤维参数计算/"/>
    </mc:Choice>
  </mc:AlternateContent>
  <xr:revisionPtr revIDLastSave="847" documentId="13_ncr:1_{DA1A95E3-02BC-4A62-8582-89F742F7D652}" xr6:coauthVersionLast="47" xr6:coauthVersionMax="47" xr10:uidLastSave="{FB8D64E5-4BC4-44C6-84D6-AF21288BC0E2}"/>
  <bookViews>
    <workbookView xWindow="2145" yWindow="2145" windowWidth="16200" windowHeight="9308" firstSheet="2" activeTab="6" xr2:uid="{00000000-000D-0000-FFFF-FFFF00000000}"/>
  </bookViews>
  <sheets>
    <sheet name="榫卯" sheetId="1" r:id="rId1"/>
    <sheet name="M&amp;G模型参数推导" sheetId="2" r:id="rId2"/>
    <sheet name="K5_0" sheetId="3" r:id="rId3"/>
    <sheet name="K5_1" sheetId="4" r:id="rId4"/>
    <sheet name="ZFW" sheetId="5" r:id="rId5"/>
    <sheet name="Sheet1" sheetId="6" r:id="rId6"/>
    <sheet name="Sheet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7" l="1"/>
  <c r="E37" i="7"/>
  <c r="F37" i="7"/>
  <c r="G37" i="7"/>
  <c r="H37" i="7"/>
  <c r="I37" i="7"/>
  <c r="J37" i="7"/>
  <c r="K37" i="7"/>
  <c r="L37" i="7"/>
  <c r="M37" i="7"/>
  <c r="C37" i="7"/>
  <c r="D36" i="7"/>
  <c r="E36" i="7"/>
  <c r="F36" i="7"/>
  <c r="G36" i="7"/>
  <c r="H36" i="7"/>
  <c r="I36" i="7"/>
  <c r="J36" i="7"/>
  <c r="K36" i="7"/>
  <c r="L36" i="7"/>
  <c r="M36" i="7"/>
  <c r="C36" i="7"/>
  <c r="D34" i="7"/>
  <c r="D35" i="7" s="1"/>
  <c r="E34" i="7"/>
  <c r="E35" i="7" s="1"/>
  <c r="F34" i="7"/>
  <c r="G34" i="7"/>
  <c r="H34" i="7"/>
  <c r="I34" i="7"/>
  <c r="I35" i="7" s="1"/>
  <c r="J34" i="7"/>
  <c r="J35" i="7" s="1"/>
  <c r="K34" i="7"/>
  <c r="L34" i="7"/>
  <c r="L35" i="7" s="1"/>
  <c r="M34" i="7"/>
  <c r="M35" i="7" s="1"/>
  <c r="F35" i="7"/>
  <c r="G35" i="7"/>
  <c r="H35" i="7"/>
  <c r="K35" i="7"/>
  <c r="C35" i="7"/>
  <c r="C34" i="7"/>
  <c r="D33" i="7"/>
  <c r="E33" i="7"/>
  <c r="F33" i="7"/>
  <c r="G33" i="7"/>
  <c r="H33" i="7"/>
  <c r="I33" i="7"/>
  <c r="J33" i="7"/>
  <c r="K33" i="7"/>
  <c r="L33" i="7"/>
  <c r="M33" i="7"/>
  <c r="C33" i="7"/>
  <c r="D31" i="7"/>
  <c r="E31" i="7"/>
  <c r="E32" i="7" s="1"/>
  <c r="F31" i="7"/>
  <c r="G31" i="7"/>
  <c r="H31" i="7"/>
  <c r="I31" i="7"/>
  <c r="I32" i="7" s="1"/>
  <c r="J31" i="7"/>
  <c r="J32" i="7" s="1"/>
  <c r="K31" i="7"/>
  <c r="L31" i="7"/>
  <c r="M31" i="7"/>
  <c r="M32" i="7" s="1"/>
  <c r="D32" i="7"/>
  <c r="F32" i="7"/>
  <c r="G32" i="7"/>
  <c r="H32" i="7"/>
  <c r="K32" i="7"/>
  <c r="L32" i="7"/>
  <c r="C31" i="7"/>
  <c r="C32" i="7"/>
  <c r="D27" i="7"/>
  <c r="E27" i="7"/>
  <c r="F27" i="7"/>
  <c r="G27" i="7"/>
  <c r="H27" i="7"/>
  <c r="I27" i="7"/>
  <c r="J27" i="7"/>
  <c r="K27" i="7"/>
  <c r="L27" i="7"/>
  <c r="M27" i="7"/>
  <c r="D28" i="7"/>
  <c r="E28" i="7"/>
  <c r="F28" i="7"/>
  <c r="G28" i="7"/>
  <c r="H28" i="7"/>
  <c r="I28" i="7"/>
  <c r="J28" i="7"/>
  <c r="K28" i="7"/>
  <c r="L28" i="7"/>
  <c r="M28" i="7"/>
  <c r="D29" i="7"/>
  <c r="E29" i="7"/>
  <c r="F29" i="7"/>
  <c r="G29" i="7"/>
  <c r="H29" i="7"/>
  <c r="I29" i="7"/>
  <c r="J29" i="7"/>
  <c r="K29" i="7"/>
  <c r="L29" i="7"/>
  <c r="M29" i="7"/>
  <c r="D30" i="7"/>
  <c r="E30" i="7"/>
  <c r="F30" i="7"/>
  <c r="G30" i="7"/>
  <c r="H30" i="7"/>
  <c r="I30" i="7"/>
  <c r="J30" i="7"/>
  <c r="K30" i="7"/>
  <c r="L30" i="7"/>
  <c r="M30" i="7"/>
  <c r="C30" i="7"/>
  <c r="C29" i="7"/>
  <c r="C28" i="7"/>
  <c r="C27" i="7"/>
  <c r="D26" i="7"/>
  <c r="E26" i="7"/>
  <c r="F26" i="7"/>
  <c r="G26" i="7"/>
  <c r="H26" i="7"/>
  <c r="I26" i="7"/>
  <c r="J26" i="7"/>
  <c r="K26" i="7"/>
  <c r="L26" i="7"/>
  <c r="M26" i="7"/>
  <c r="C26" i="7"/>
  <c r="D24" i="7"/>
  <c r="E24" i="7"/>
  <c r="F24" i="7"/>
  <c r="G24" i="7"/>
  <c r="H24" i="7"/>
  <c r="I24" i="7"/>
  <c r="J24" i="7"/>
  <c r="K24" i="7"/>
  <c r="L24" i="7"/>
  <c r="M24" i="7"/>
  <c r="C24" i="7"/>
  <c r="D18" i="7"/>
  <c r="E18" i="7"/>
  <c r="F18" i="7"/>
  <c r="G18" i="7"/>
  <c r="H18" i="7"/>
  <c r="I18" i="7"/>
  <c r="J18" i="7"/>
  <c r="K18" i="7"/>
  <c r="L18" i="7"/>
  <c r="M18" i="7"/>
  <c r="D19" i="7"/>
  <c r="E19" i="7"/>
  <c r="F19" i="7"/>
  <c r="G19" i="7"/>
  <c r="H19" i="7"/>
  <c r="I19" i="7"/>
  <c r="J19" i="7"/>
  <c r="K19" i="7"/>
  <c r="L19" i="7"/>
  <c r="M19" i="7"/>
  <c r="D20" i="7"/>
  <c r="E20" i="7"/>
  <c r="F20" i="7"/>
  <c r="G20" i="7"/>
  <c r="H20" i="7"/>
  <c r="I20" i="7"/>
  <c r="J20" i="7"/>
  <c r="K20" i="7"/>
  <c r="L20" i="7"/>
  <c r="M20" i="7"/>
  <c r="D21" i="7"/>
  <c r="E21" i="7"/>
  <c r="F21" i="7"/>
  <c r="G21" i="7"/>
  <c r="H21" i="7"/>
  <c r="I21" i="7"/>
  <c r="J21" i="7"/>
  <c r="K21" i="7"/>
  <c r="L21" i="7"/>
  <c r="M21" i="7"/>
  <c r="D22" i="7"/>
  <c r="E22" i="7"/>
  <c r="F22" i="7"/>
  <c r="G22" i="7"/>
  <c r="H22" i="7"/>
  <c r="I22" i="7"/>
  <c r="J22" i="7"/>
  <c r="K22" i="7"/>
  <c r="L22" i="7"/>
  <c r="M22" i="7"/>
  <c r="D23" i="7"/>
  <c r="E23" i="7"/>
  <c r="F23" i="7"/>
  <c r="G23" i="7"/>
  <c r="H23" i="7"/>
  <c r="I23" i="7"/>
  <c r="J23" i="7"/>
  <c r="K23" i="7"/>
  <c r="L23" i="7"/>
  <c r="M23" i="7"/>
  <c r="C20" i="7"/>
  <c r="C21" i="7"/>
  <c r="C22" i="7"/>
  <c r="C23" i="7"/>
  <c r="C19" i="7"/>
  <c r="C18" i="7"/>
  <c r="D16" i="7"/>
  <c r="E16" i="7"/>
  <c r="F16" i="7"/>
  <c r="G16" i="7"/>
  <c r="H16" i="7"/>
  <c r="I16" i="7"/>
  <c r="J16" i="7"/>
  <c r="K16" i="7"/>
  <c r="L16" i="7"/>
  <c r="M16" i="7"/>
  <c r="D17" i="7"/>
  <c r="E17" i="7"/>
  <c r="F17" i="7"/>
  <c r="G17" i="7"/>
  <c r="H17" i="7"/>
  <c r="I17" i="7"/>
  <c r="J17" i="7"/>
  <c r="K17" i="7"/>
  <c r="L17" i="7"/>
  <c r="M17" i="7"/>
  <c r="C17" i="7"/>
  <c r="C16" i="7"/>
  <c r="C26" i="5"/>
  <c r="C14" i="6"/>
  <c r="C16" i="6" s="1"/>
  <c r="C17" i="6" s="1"/>
  <c r="D14" i="6"/>
  <c r="D15" i="6" s="1"/>
  <c r="E14" i="6"/>
  <c r="E15" i="6" s="1"/>
  <c r="F14" i="6"/>
  <c r="F16" i="6" s="1"/>
  <c r="F17" i="6" s="1"/>
  <c r="G14" i="6"/>
  <c r="G16" i="6" s="1"/>
  <c r="G17" i="6" s="1"/>
  <c r="H14" i="6"/>
  <c r="H16" i="6" s="1"/>
  <c r="H17" i="6" s="1"/>
  <c r="I14" i="6"/>
  <c r="I16" i="6" s="1"/>
  <c r="I17" i="6" s="1"/>
  <c r="J14" i="6"/>
  <c r="J15" i="6" s="1"/>
  <c r="K14" i="6"/>
  <c r="K16" i="6" s="1"/>
  <c r="K17" i="6" s="1"/>
  <c r="B14" i="6"/>
  <c r="C8" i="6"/>
  <c r="C9" i="6" s="1"/>
  <c r="D8" i="6"/>
  <c r="D9" i="6" s="1"/>
  <c r="E8" i="6"/>
  <c r="E9" i="6" s="1"/>
  <c r="F8" i="6"/>
  <c r="F9" i="6" s="1"/>
  <c r="G8" i="6"/>
  <c r="G9" i="6" s="1"/>
  <c r="B8" i="6"/>
  <c r="B9" i="6" s="1"/>
  <c r="B11" i="6" s="1"/>
  <c r="C17" i="5"/>
  <c r="C27" i="5"/>
  <c r="AF49" i="5"/>
  <c r="AE49" i="5"/>
  <c r="V49" i="5"/>
  <c r="W49" i="5"/>
  <c r="X49" i="5"/>
  <c r="Y49" i="5"/>
  <c r="U49" i="5"/>
  <c r="V48" i="5"/>
  <c r="W48" i="5"/>
  <c r="X48" i="5"/>
  <c r="Y48" i="5"/>
  <c r="U48" i="5"/>
  <c r="AE48" i="5" s="1"/>
  <c r="K30" i="5"/>
  <c r="L30" i="5"/>
  <c r="M30" i="5"/>
  <c r="N30" i="5"/>
  <c r="K27" i="5"/>
  <c r="L27" i="5"/>
  <c r="M27" i="5"/>
  <c r="N27" i="5"/>
  <c r="K17" i="5"/>
  <c r="L17" i="5"/>
  <c r="M17" i="5"/>
  <c r="N17" i="5"/>
  <c r="K14" i="5"/>
  <c r="K31" i="5" s="1"/>
  <c r="L14" i="5"/>
  <c r="L31" i="5" s="1"/>
  <c r="M14" i="5"/>
  <c r="N14" i="5"/>
  <c r="K15" i="5"/>
  <c r="L15" i="5"/>
  <c r="M15" i="5"/>
  <c r="N15" i="5"/>
  <c r="K10" i="5"/>
  <c r="L10" i="5"/>
  <c r="M10" i="5"/>
  <c r="N10" i="5"/>
  <c r="K7" i="5"/>
  <c r="K26" i="5" s="1"/>
  <c r="L7" i="5"/>
  <c r="L26" i="5" s="1"/>
  <c r="M7" i="5"/>
  <c r="M26" i="5" s="1"/>
  <c r="N7" i="5"/>
  <c r="N26" i="5" s="1"/>
  <c r="K6" i="5"/>
  <c r="L6" i="5"/>
  <c r="M6" i="5"/>
  <c r="N6" i="5"/>
  <c r="D30" i="5"/>
  <c r="E30" i="5"/>
  <c r="F30" i="5"/>
  <c r="G30" i="5"/>
  <c r="H30" i="5"/>
  <c r="I30" i="5"/>
  <c r="D27" i="5"/>
  <c r="E27" i="5"/>
  <c r="F27" i="5"/>
  <c r="G27" i="5"/>
  <c r="H27" i="5"/>
  <c r="I27" i="5"/>
  <c r="D17" i="5"/>
  <c r="E17" i="5"/>
  <c r="F17" i="5"/>
  <c r="G17" i="5"/>
  <c r="H17" i="5"/>
  <c r="I17" i="5"/>
  <c r="D15" i="5"/>
  <c r="E15" i="5"/>
  <c r="F15" i="5"/>
  <c r="G15" i="5"/>
  <c r="H15" i="5"/>
  <c r="I15" i="5"/>
  <c r="D14" i="5"/>
  <c r="E14" i="5"/>
  <c r="F14" i="5"/>
  <c r="G14" i="5"/>
  <c r="H14" i="5"/>
  <c r="I14" i="5"/>
  <c r="D10" i="5"/>
  <c r="E10" i="5"/>
  <c r="F10" i="5"/>
  <c r="G10" i="5"/>
  <c r="H10" i="5"/>
  <c r="I10" i="5"/>
  <c r="D7" i="5"/>
  <c r="E7" i="5"/>
  <c r="F7" i="5"/>
  <c r="F26" i="5" s="1"/>
  <c r="G7" i="5"/>
  <c r="H7" i="5"/>
  <c r="I7" i="5"/>
  <c r="I26" i="5" s="1"/>
  <c r="D6" i="5"/>
  <c r="E6" i="5"/>
  <c r="F6" i="5"/>
  <c r="G6" i="5"/>
  <c r="H6" i="5"/>
  <c r="I6" i="5"/>
  <c r="C10" i="5"/>
  <c r="C15" i="5"/>
  <c r="C14" i="5"/>
  <c r="C7" i="5"/>
  <c r="C6" i="5"/>
  <c r="C30" i="5"/>
  <c r="L7" i="4"/>
  <c r="L6" i="4"/>
  <c r="L5" i="4"/>
  <c r="L4" i="4"/>
  <c r="L2" i="4"/>
  <c r="L3" i="4"/>
  <c r="B8" i="4"/>
  <c r="C70" i="4"/>
  <c r="B70" i="4"/>
  <c r="C69" i="4"/>
  <c r="B69" i="4"/>
  <c r="C68" i="4"/>
  <c r="B68" i="4"/>
  <c r="B21" i="4"/>
  <c r="B22" i="4" s="1"/>
  <c r="B23" i="4" s="1"/>
  <c r="B24" i="4" s="1"/>
  <c r="B18" i="4"/>
  <c r="B19" i="4" s="1"/>
  <c r="M52" i="4" s="1"/>
  <c r="B14" i="4"/>
  <c r="B13" i="4"/>
  <c r="B12" i="4"/>
  <c r="B11" i="4"/>
  <c r="F8" i="4"/>
  <c r="F9" i="4" s="1"/>
  <c r="C68" i="3"/>
  <c r="C69" i="3"/>
  <c r="B68" i="3"/>
  <c r="B69" i="3"/>
  <c r="C70" i="3"/>
  <c r="B70" i="3"/>
  <c r="M52" i="3"/>
  <c r="M51" i="3"/>
  <c r="B21" i="3"/>
  <c r="B22" i="3" s="1"/>
  <c r="B23" i="3" s="1"/>
  <c r="B24" i="3" s="1"/>
  <c r="B19" i="3"/>
  <c r="B18" i="3"/>
  <c r="F8" i="3"/>
  <c r="F9" i="3" s="1"/>
  <c r="F3" i="3"/>
  <c r="F5" i="3" s="1"/>
  <c r="F13" i="3" s="1"/>
  <c r="F2" i="3"/>
  <c r="B14" i="3"/>
  <c r="B13" i="3"/>
  <c r="B12" i="3"/>
  <c r="B11" i="3"/>
  <c r="AJ41" i="2"/>
  <c r="AJ46" i="2"/>
  <c r="AJ45" i="2"/>
  <c r="AJ44" i="2"/>
  <c r="C21" i="2"/>
  <c r="I38" i="2" s="1"/>
  <c r="I37" i="2"/>
  <c r="K37" i="2"/>
  <c r="E69" i="2"/>
  <c r="U43" i="2"/>
  <c r="I44" i="2"/>
  <c r="I43" i="2"/>
  <c r="K43" i="2" s="1"/>
  <c r="C68" i="2"/>
  <c r="C69" i="2" s="1"/>
  <c r="I45" i="2"/>
  <c r="C27" i="2"/>
  <c r="C24" i="2"/>
  <c r="C25" i="2" s="1"/>
  <c r="C40" i="2" s="1"/>
  <c r="C37" i="2" s="1"/>
  <c r="C8" i="2"/>
  <c r="C9" i="2"/>
  <c r="I16" i="1"/>
  <c r="I15" i="1"/>
  <c r="G16" i="1"/>
  <c r="G15" i="1"/>
  <c r="F15" i="6" l="1"/>
  <c r="E16" i="6"/>
  <c r="E17" i="6" s="1"/>
  <c r="K15" i="6"/>
  <c r="C15" i="6"/>
  <c r="H15" i="6"/>
  <c r="L14" i="6"/>
  <c r="M14" i="6" s="1"/>
  <c r="B15" i="6"/>
  <c r="D16" i="6"/>
  <c r="D17" i="6" s="1"/>
  <c r="I15" i="6"/>
  <c r="G15" i="6"/>
  <c r="J16" i="6"/>
  <c r="J17" i="6" s="1"/>
  <c r="C11" i="6"/>
  <c r="J11" i="6" s="1"/>
  <c r="D11" i="6"/>
  <c r="I11" i="6" s="1"/>
  <c r="B12" i="6"/>
  <c r="K11" i="6"/>
  <c r="F11" i="6"/>
  <c r="E11" i="6"/>
  <c r="C12" i="6"/>
  <c r="D12" i="6"/>
  <c r="D21" i="5"/>
  <c r="N21" i="5"/>
  <c r="N22" i="5" s="1"/>
  <c r="N23" i="5" s="1"/>
  <c r="G21" i="5"/>
  <c r="E21" i="5"/>
  <c r="L21" i="5"/>
  <c r="L22" i="5" s="1"/>
  <c r="L23" i="5" s="1"/>
  <c r="N31" i="5"/>
  <c r="K21" i="5"/>
  <c r="K22" i="5" s="1"/>
  <c r="K23" i="5" s="1"/>
  <c r="M31" i="5"/>
  <c r="M21" i="5"/>
  <c r="M22" i="5" s="1"/>
  <c r="M23" i="5" s="1"/>
  <c r="H21" i="5"/>
  <c r="H22" i="5" s="1"/>
  <c r="H23" i="5" s="1"/>
  <c r="G22" i="5"/>
  <c r="G23" i="5" s="1"/>
  <c r="I31" i="5"/>
  <c r="I21" i="5"/>
  <c r="I22" i="5" s="1"/>
  <c r="I23" i="5" s="1"/>
  <c r="H31" i="5"/>
  <c r="G31" i="5"/>
  <c r="F31" i="5"/>
  <c r="H26" i="5"/>
  <c r="G26" i="5"/>
  <c r="F21" i="5"/>
  <c r="F22" i="5" s="1"/>
  <c r="F23" i="5" s="1"/>
  <c r="E31" i="5"/>
  <c r="E22" i="5"/>
  <c r="E23" i="5" s="1"/>
  <c r="E26" i="5"/>
  <c r="D31" i="5"/>
  <c r="D22" i="5"/>
  <c r="D23" i="5" s="1"/>
  <c r="D26" i="5"/>
  <c r="C31" i="5"/>
  <c r="C21" i="5"/>
  <c r="C22" i="5" s="1"/>
  <c r="C23" i="5" s="1"/>
  <c r="F2" i="4"/>
  <c r="F3" i="4" s="1"/>
  <c r="F5" i="4" s="1"/>
  <c r="F13" i="4" s="1"/>
  <c r="M51" i="4" s="1"/>
  <c r="E28" i="4"/>
  <c r="E29" i="4" s="1"/>
  <c r="D28" i="4"/>
  <c r="C28" i="4"/>
  <c r="B28" i="4"/>
  <c r="B29" i="4" s="1"/>
  <c r="G28" i="4"/>
  <c r="G29" i="4" s="1"/>
  <c r="F28" i="4"/>
  <c r="C29" i="4"/>
  <c r="D28" i="3"/>
  <c r="E28" i="3"/>
  <c r="F28" i="3"/>
  <c r="B28" i="3"/>
  <c r="B29" i="3" s="1"/>
  <c r="G28" i="3"/>
  <c r="C28" i="3"/>
  <c r="F10" i="3"/>
  <c r="F11" i="3" s="1"/>
  <c r="K38" i="2"/>
  <c r="U37" i="2" s="1"/>
  <c r="S43" i="2"/>
  <c r="T43" i="2"/>
  <c r="V43" i="2"/>
  <c r="R43" i="2"/>
  <c r="L15" i="6" l="1"/>
  <c r="M15" i="6" s="1"/>
  <c r="H11" i="6"/>
  <c r="J12" i="6"/>
  <c r="G11" i="6"/>
  <c r="E12" i="6"/>
  <c r="F12" i="6"/>
  <c r="I12" i="6"/>
  <c r="K12" i="6"/>
  <c r="F10" i="4"/>
  <c r="F11" i="4" s="1"/>
  <c r="B48" i="4"/>
  <c r="B49" i="4" s="1"/>
  <c r="D29" i="4"/>
  <c r="D48" i="4" s="1"/>
  <c r="F29" i="4"/>
  <c r="F48" i="4" s="1"/>
  <c r="E29" i="3"/>
  <c r="D29" i="3"/>
  <c r="C29" i="3"/>
  <c r="C48" i="3" s="1"/>
  <c r="B48" i="3"/>
  <c r="B49" i="3" s="1"/>
  <c r="G29" i="3"/>
  <c r="F29" i="3"/>
  <c r="F48" i="3" s="1"/>
  <c r="V37" i="2"/>
  <c r="S37" i="2"/>
  <c r="T37" i="2"/>
  <c r="AB41" i="2" s="1"/>
  <c r="R37" i="2"/>
  <c r="Z41" i="2" s="1"/>
  <c r="Q37" i="2"/>
  <c r="AC41" i="2"/>
  <c r="G12" i="6" l="1"/>
  <c r="B16" i="6"/>
  <c r="B17" i="6" s="1"/>
  <c r="H12" i="6"/>
  <c r="K48" i="4"/>
  <c r="I48" i="4"/>
  <c r="C48" i="4"/>
  <c r="G48" i="4"/>
  <c r="D49" i="4"/>
  <c r="B51" i="4"/>
  <c r="K49" i="4"/>
  <c r="K51" i="4" s="1"/>
  <c r="K52" i="4" s="1"/>
  <c r="E48" i="4"/>
  <c r="F49" i="4"/>
  <c r="B51" i="3"/>
  <c r="B53" i="3" s="1"/>
  <c r="K49" i="3"/>
  <c r="K51" i="3" s="1"/>
  <c r="K52" i="3" s="1"/>
  <c r="G48" i="3"/>
  <c r="F49" i="3"/>
  <c r="K48" i="3"/>
  <c r="D48" i="3"/>
  <c r="E48" i="3"/>
  <c r="J48" i="3"/>
  <c r="C49" i="3"/>
  <c r="Y41" i="2"/>
  <c r="AA41" i="2"/>
  <c r="AB42" i="2"/>
  <c r="AE41" i="2"/>
  <c r="AG41" i="2"/>
  <c r="Z42" i="2"/>
  <c r="AD41" i="2"/>
  <c r="AC42" i="2"/>
  <c r="K53" i="4" l="1"/>
  <c r="K54" i="4" s="1"/>
  <c r="K59" i="4" s="1"/>
  <c r="J48" i="4"/>
  <c r="C49" i="4"/>
  <c r="I49" i="4"/>
  <c r="I51" i="4" s="1"/>
  <c r="I52" i="4" s="1"/>
  <c r="D51" i="4"/>
  <c r="G49" i="4"/>
  <c r="G51" i="4" s="1"/>
  <c r="G52" i="4" s="1"/>
  <c r="F51" i="4"/>
  <c r="H48" i="4"/>
  <c r="E49" i="4"/>
  <c r="B52" i="4"/>
  <c r="B53" i="4"/>
  <c r="L48" i="3"/>
  <c r="B58" i="3"/>
  <c r="B54" i="3"/>
  <c r="B59" i="3" s="1"/>
  <c r="H48" i="3"/>
  <c r="E49" i="3"/>
  <c r="J49" i="3"/>
  <c r="J51" i="3" s="1"/>
  <c r="J52" i="3" s="1"/>
  <c r="C51" i="3"/>
  <c r="G49" i="3"/>
  <c r="G51" i="3" s="1"/>
  <c r="G52" i="3" s="1"/>
  <c r="F51" i="3"/>
  <c r="I48" i="3"/>
  <c r="D49" i="3"/>
  <c r="K53" i="3"/>
  <c r="B52" i="3"/>
  <c r="AH41" i="2"/>
  <c r="Y42" i="2"/>
  <c r="AF41" i="2"/>
  <c r="AI41" i="2" s="1"/>
  <c r="AA42" i="2"/>
  <c r="AC44" i="2"/>
  <c r="AD42" i="2"/>
  <c r="AG42" i="2"/>
  <c r="Z44" i="2"/>
  <c r="AE42" i="2"/>
  <c r="AB44" i="2"/>
  <c r="L48" i="4" l="1"/>
  <c r="K58" i="4"/>
  <c r="I53" i="4"/>
  <c r="I58" i="4" s="1"/>
  <c r="F52" i="4"/>
  <c r="F53" i="4"/>
  <c r="H49" i="4"/>
  <c r="H51" i="4" s="1"/>
  <c r="H52" i="4" s="1"/>
  <c r="E51" i="4"/>
  <c r="D52" i="4"/>
  <c r="D53" i="4"/>
  <c r="C51" i="4"/>
  <c r="J49" i="4"/>
  <c r="J51" i="4" s="1"/>
  <c r="J52" i="4" s="1"/>
  <c r="B58" i="4"/>
  <c r="B54" i="4"/>
  <c r="B59" i="4" s="1"/>
  <c r="G53" i="4"/>
  <c r="K61" i="4"/>
  <c r="K63" i="4"/>
  <c r="C52" i="3"/>
  <c r="C53" i="3"/>
  <c r="E51" i="3"/>
  <c r="H49" i="3"/>
  <c r="H51" i="3" s="1"/>
  <c r="H52" i="3" s="1"/>
  <c r="G53" i="3"/>
  <c r="J53" i="3"/>
  <c r="K54" i="3"/>
  <c r="K59" i="3" s="1"/>
  <c r="K58" i="3"/>
  <c r="H53" i="3"/>
  <c r="D51" i="3"/>
  <c r="I49" i="3"/>
  <c r="I51" i="3" s="1"/>
  <c r="I52" i="3" s="1"/>
  <c r="I53" i="3"/>
  <c r="B63" i="3"/>
  <c r="B61" i="3"/>
  <c r="B60" i="3" s="1"/>
  <c r="L51" i="3"/>
  <c r="N51" i="3" s="1"/>
  <c r="F52" i="3"/>
  <c r="F53" i="3"/>
  <c r="AH42" i="2"/>
  <c r="Y44" i="2"/>
  <c r="AA44" i="2"/>
  <c r="AF42" i="2"/>
  <c r="AB45" i="2"/>
  <c r="AB47" i="2" s="1"/>
  <c r="AB46" i="2"/>
  <c r="AE44" i="2"/>
  <c r="Z45" i="2"/>
  <c r="Z47" i="2" s="1"/>
  <c r="Z46" i="2"/>
  <c r="AG44" i="2"/>
  <c r="AD44" i="2"/>
  <c r="AC45" i="2"/>
  <c r="AC47" i="2" s="1"/>
  <c r="AC46" i="2"/>
  <c r="K60" i="4" l="1"/>
  <c r="I54" i="4"/>
  <c r="I59" i="4" s="1"/>
  <c r="I61" i="4" s="1"/>
  <c r="I60" i="4" s="1"/>
  <c r="J53" i="4"/>
  <c r="E52" i="4"/>
  <c r="E53" i="4"/>
  <c r="F58" i="4"/>
  <c r="F54" i="4"/>
  <c r="F59" i="4" s="1"/>
  <c r="B63" i="4"/>
  <c r="B61" i="4"/>
  <c r="B60" i="4" s="1"/>
  <c r="C52" i="4"/>
  <c r="L51" i="4"/>
  <c r="N51" i="4" s="1"/>
  <c r="C53" i="4"/>
  <c r="H53" i="4"/>
  <c r="D58" i="4"/>
  <c r="D54" i="4"/>
  <c r="D59" i="4" s="1"/>
  <c r="I63" i="4"/>
  <c r="G58" i="4"/>
  <c r="G54" i="4"/>
  <c r="G59" i="4" s="1"/>
  <c r="J54" i="3"/>
  <c r="J59" i="3" s="1"/>
  <c r="J58" i="3"/>
  <c r="I54" i="3"/>
  <c r="I59" i="3" s="1"/>
  <c r="I58" i="3"/>
  <c r="G58" i="3"/>
  <c r="G54" i="3"/>
  <c r="G59" i="3" s="1"/>
  <c r="D52" i="3"/>
  <c r="D53" i="3"/>
  <c r="E52" i="3"/>
  <c r="E53" i="3"/>
  <c r="K61" i="3"/>
  <c r="K60" i="3" s="1"/>
  <c r="K63" i="3"/>
  <c r="F58" i="3"/>
  <c r="F54" i="3"/>
  <c r="F59" i="3" s="1"/>
  <c r="H54" i="3"/>
  <c r="H59" i="3" s="1"/>
  <c r="H58" i="3"/>
  <c r="C54" i="3"/>
  <c r="C59" i="3" s="1"/>
  <c r="C58" i="3"/>
  <c r="Y45" i="2"/>
  <c r="Y47" i="2" s="1"/>
  <c r="Y55" i="2" s="1"/>
  <c r="Y46" i="2"/>
  <c r="AH44" i="2"/>
  <c r="AA45" i="2"/>
  <c r="AA47" i="2" s="1"/>
  <c r="AA46" i="2"/>
  <c r="AF44" i="2"/>
  <c r="AI44" i="2" s="1"/>
  <c r="AE46" i="2"/>
  <c r="AE45" i="2"/>
  <c r="AE47" i="2" s="1"/>
  <c r="AC48" i="2"/>
  <c r="AC56" i="2" s="1"/>
  <c r="AC58" i="2" s="1"/>
  <c r="AC55" i="2"/>
  <c r="AD45" i="2"/>
  <c r="AD47" i="2" s="1"/>
  <c r="AD46" i="2"/>
  <c r="AG46" i="2"/>
  <c r="AG45" i="2"/>
  <c r="AG47" i="2" s="1"/>
  <c r="Z48" i="2"/>
  <c r="Z56" i="2" s="1"/>
  <c r="Z58" i="2" s="1"/>
  <c r="Z55" i="2"/>
  <c r="AB48" i="2"/>
  <c r="AB56" i="2" s="1"/>
  <c r="AB58" i="2" s="1"/>
  <c r="AB55" i="2"/>
  <c r="F63" i="4" l="1"/>
  <c r="F61" i="4"/>
  <c r="F60" i="4" s="1"/>
  <c r="D63" i="4"/>
  <c r="D61" i="4"/>
  <c r="H54" i="4"/>
  <c r="H59" i="4" s="1"/>
  <c r="H58" i="4"/>
  <c r="C54" i="4"/>
  <c r="C59" i="4" s="1"/>
  <c r="C58" i="4"/>
  <c r="G63" i="4"/>
  <c r="G61" i="4"/>
  <c r="G60" i="4" s="1"/>
  <c r="J58" i="4"/>
  <c r="J54" i="4"/>
  <c r="J59" i="4" s="1"/>
  <c r="D60" i="4"/>
  <c r="E58" i="4"/>
  <c r="E54" i="4"/>
  <c r="E59" i="4" s="1"/>
  <c r="L52" i="4"/>
  <c r="N52" i="4" s="1"/>
  <c r="L52" i="3"/>
  <c r="N52" i="3" s="1"/>
  <c r="H61" i="3"/>
  <c r="H60" i="3" s="1"/>
  <c r="H63" i="3"/>
  <c r="F61" i="3"/>
  <c r="F63" i="3"/>
  <c r="G61" i="3"/>
  <c r="G60" i="3" s="1"/>
  <c r="G63" i="3"/>
  <c r="F60" i="3"/>
  <c r="I61" i="3"/>
  <c r="I60" i="3" s="1"/>
  <c r="I63" i="3"/>
  <c r="E58" i="3"/>
  <c r="E54" i="3"/>
  <c r="E59" i="3" s="1"/>
  <c r="C61" i="3"/>
  <c r="C60" i="3" s="1"/>
  <c r="C63" i="3"/>
  <c r="J61" i="3"/>
  <c r="J60" i="3" s="1"/>
  <c r="J63" i="3"/>
  <c r="D58" i="3"/>
  <c r="D54" i="3"/>
  <c r="D59" i="3" s="1"/>
  <c r="Y48" i="2"/>
  <c r="Y56" i="2" s="1"/>
  <c r="Y58" i="2" s="1"/>
  <c r="AH45" i="2"/>
  <c r="AH47" i="2" s="1"/>
  <c r="AH46" i="2"/>
  <c r="AF45" i="2"/>
  <c r="AF47" i="2" s="1"/>
  <c r="AF46" i="2"/>
  <c r="AA55" i="2"/>
  <c r="AA48" i="2"/>
  <c r="AA56" i="2" s="1"/>
  <c r="AA58" i="2" s="1"/>
  <c r="AI46" i="2"/>
  <c r="Y59" i="2"/>
  <c r="Y57" i="2"/>
  <c r="AE48" i="2"/>
  <c r="AE56" i="2" s="1"/>
  <c r="AE58" i="2" s="1"/>
  <c r="AE55" i="2"/>
  <c r="AG48" i="2"/>
  <c r="AG56" i="2" s="1"/>
  <c r="AG58" i="2" s="1"/>
  <c r="AG55" i="2"/>
  <c r="AB59" i="2"/>
  <c r="AB57" i="2"/>
  <c r="Z57" i="2"/>
  <c r="Z59" i="2"/>
  <c r="AD48" i="2"/>
  <c r="AD56" i="2" s="1"/>
  <c r="AD58" i="2" s="1"/>
  <c r="AD55" i="2"/>
  <c r="AC59" i="2"/>
  <c r="AC57" i="2"/>
  <c r="C61" i="4" l="1"/>
  <c r="C60" i="4" s="1"/>
  <c r="C63" i="4"/>
  <c r="E63" i="4"/>
  <c r="E61" i="4"/>
  <c r="E60" i="4"/>
  <c r="H61" i="4"/>
  <c r="H60" i="4" s="1"/>
  <c r="H63" i="4"/>
  <c r="J61" i="4"/>
  <c r="J60" i="4" s="1"/>
  <c r="J63" i="4"/>
  <c r="E61" i="3"/>
  <c r="E60" i="3" s="1"/>
  <c r="E63" i="3"/>
  <c r="D61" i="3"/>
  <c r="D60" i="3" s="1"/>
  <c r="D63" i="3"/>
  <c r="AI45" i="2"/>
  <c r="AH48" i="2"/>
  <c r="AH56" i="2" s="1"/>
  <c r="AH58" i="2" s="1"/>
  <c r="AH55" i="2"/>
  <c r="AA59" i="2"/>
  <c r="AA57" i="2"/>
  <c r="AF48" i="2"/>
  <c r="AF56" i="2" s="1"/>
  <c r="AF58" i="2" s="1"/>
  <c r="AF55" i="2"/>
  <c r="AD59" i="2"/>
  <c r="AD57" i="2"/>
  <c r="AG57" i="2"/>
  <c r="AG59" i="2"/>
  <c r="AE59" i="2"/>
  <c r="AE57" i="2"/>
  <c r="AH59" i="2" l="1"/>
  <c r="AH57" i="2"/>
  <c r="AF59" i="2"/>
  <c r="AF57" i="2"/>
</calcChain>
</file>

<file path=xl/sharedStrings.xml><?xml version="1.0" encoding="utf-8"?>
<sst xmlns="http://schemas.openxmlformats.org/spreadsheetml/2006/main" count="431" uniqueCount="229">
  <si>
    <t>轴向，侧向刚度</t>
    <phoneticPr fontId="2" type="noConversion"/>
  </si>
  <si>
    <t>N/mm</t>
    <phoneticPr fontId="2" type="noConversion"/>
  </si>
  <si>
    <t>转动刚度</t>
    <phoneticPr fontId="2" type="noConversion"/>
  </si>
  <si>
    <t>陈春桥</t>
    <phoneticPr fontId="2" type="noConversion"/>
  </si>
  <si>
    <t>My</t>
    <phoneticPr fontId="2" type="noConversion"/>
  </si>
  <si>
    <t>a</t>
    <phoneticPr fontId="2" type="noConversion"/>
  </si>
  <si>
    <t>h</t>
    <phoneticPr fontId="2" type="noConversion"/>
  </si>
  <si>
    <t>h'</t>
    <phoneticPr fontId="2" type="noConversion"/>
  </si>
  <si>
    <t>d</t>
    <phoneticPr fontId="2" type="noConversion"/>
  </si>
  <si>
    <t>fcr</t>
    <phoneticPr fontId="2" type="noConversion"/>
  </si>
  <si>
    <t>fcl</t>
    <phoneticPr fontId="2" type="noConversion"/>
  </si>
  <si>
    <t>Ecr</t>
    <phoneticPr fontId="2" type="noConversion"/>
  </si>
  <si>
    <t>Ecl</t>
    <phoneticPr fontId="2" type="noConversion"/>
  </si>
  <si>
    <t>u</t>
    <phoneticPr fontId="2" type="noConversion"/>
  </si>
  <si>
    <t>n</t>
    <phoneticPr fontId="2" type="noConversion"/>
  </si>
  <si>
    <t>枋宽</t>
    <phoneticPr fontId="2" type="noConversion"/>
  </si>
  <si>
    <t>枋高</t>
    <phoneticPr fontId="2" type="noConversion"/>
  </si>
  <si>
    <t>枋柱缝隙</t>
    <phoneticPr fontId="2" type="noConversion"/>
  </si>
  <si>
    <t>柱直径</t>
    <phoneticPr fontId="2" type="noConversion"/>
  </si>
  <si>
    <t>顺纹抗压强度</t>
    <phoneticPr fontId="2" type="noConversion"/>
  </si>
  <si>
    <t>mm</t>
    <phoneticPr fontId="2" type="noConversion"/>
  </si>
  <si>
    <t>Mpa</t>
    <phoneticPr fontId="2" type="noConversion"/>
  </si>
  <si>
    <t>横纹抗压强度</t>
    <phoneticPr fontId="2" type="noConversion"/>
  </si>
  <si>
    <t>顺纹抗压模量</t>
    <phoneticPr fontId="2" type="noConversion"/>
  </si>
  <si>
    <t>横纹抗压模量</t>
    <phoneticPr fontId="2" type="noConversion"/>
  </si>
  <si>
    <t>摩擦系数</t>
    <phoneticPr fontId="2" type="noConversion"/>
  </si>
  <si>
    <t>My=0.5afc(0.05h-20h'+d)[d-0.5(0.025h-20h'+d)+uh}</t>
    <phoneticPr fontId="2" type="noConversion"/>
  </si>
  <si>
    <r>
      <t>θu</t>
    </r>
    <r>
      <rPr>
        <sz val="11"/>
        <color theme="1"/>
        <rFont val="等线"/>
        <family val="2"/>
      </rPr>
      <t>=0.48rad</t>
    </r>
    <phoneticPr fontId="2" type="noConversion"/>
  </si>
  <si>
    <t>My=0.5afc(0.5hθu-h'/θu+d)[d-0.5(0.5hθu-h'/θu+d)+uh}</t>
    <phoneticPr fontId="2" type="noConversion"/>
  </si>
  <si>
    <t>fcy</t>
    <phoneticPr fontId="2" type="noConversion"/>
  </si>
  <si>
    <t>fcu</t>
    <phoneticPr fontId="2" type="noConversion"/>
  </si>
  <si>
    <t>Mu</t>
    <phoneticPr fontId="2" type="noConversion"/>
  </si>
  <si>
    <t>θ(rad)</t>
    <phoneticPr fontId="2" type="noConversion"/>
  </si>
  <si>
    <t>M(N*mm)</t>
    <phoneticPr fontId="2" type="noConversion"/>
  </si>
  <si>
    <r>
      <t>θ</t>
    </r>
    <r>
      <rPr>
        <sz val="11"/>
        <color theme="1"/>
        <rFont val="等线"/>
        <family val="3"/>
        <charset val="134"/>
      </rPr>
      <t>y</t>
    </r>
    <r>
      <rPr>
        <sz val="11"/>
        <color theme="1"/>
        <rFont val="等线"/>
        <family val="2"/>
      </rPr>
      <t>=0.05rad</t>
    </r>
    <phoneticPr fontId="2" type="noConversion"/>
  </si>
  <si>
    <t>柱高</t>
    <phoneticPr fontId="2" type="noConversion"/>
  </si>
  <si>
    <t>柱跨</t>
    <phoneticPr fontId="2" type="noConversion"/>
  </si>
  <si>
    <t>墙高</t>
    <phoneticPr fontId="2" type="noConversion"/>
  </si>
  <si>
    <t>墙宽</t>
    <phoneticPr fontId="2" type="noConversion"/>
  </si>
  <si>
    <t>墙厚</t>
    <phoneticPr fontId="2" type="noConversion"/>
  </si>
  <si>
    <t>hcol</t>
    <phoneticPr fontId="2" type="noConversion"/>
  </si>
  <si>
    <t>Lcol</t>
    <phoneticPr fontId="2" type="noConversion"/>
  </si>
  <si>
    <t>hinf</t>
    <phoneticPr fontId="2" type="noConversion"/>
  </si>
  <si>
    <t>Linf</t>
    <phoneticPr fontId="2" type="noConversion"/>
  </si>
  <si>
    <t>tinf</t>
    <phoneticPr fontId="2" type="noConversion"/>
  </si>
  <si>
    <t>几何参数</t>
    <phoneticPr fontId="2" type="noConversion"/>
  </si>
  <si>
    <t>材性</t>
    <phoneticPr fontId="2" type="noConversion"/>
  </si>
  <si>
    <t>等效斜撑与梁的角度</t>
    <phoneticPr fontId="2" type="noConversion"/>
  </si>
  <si>
    <t>θ</t>
    <phoneticPr fontId="2" type="noConversion"/>
  </si>
  <si>
    <t>填充墙砌块剪切强度</t>
    <phoneticPr fontId="2" type="noConversion"/>
  </si>
  <si>
    <t>砌块抗压强度平均值</t>
    <phoneticPr fontId="2" type="noConversion"/>
  </si>
  <si>
    <t>框架木构件弹性模量</t>
    <phoneticPr fontId="2" type="noConversion"/>
  </si>
  <si>
    <t>Mpa</t>
  </si>
  <si>
    <t>fm</t>
    <phoneticPr fontId="2" type="noConversion"/>
  </si>
  <si>
    <t>Einf</t>
    <phoneticPr fontId="2" type="noConversion"/>
  </si>
  <si>
    <t>Ef</t>
    <phoneticPr fontId="2" type="noConversion"/>
  </si>
  <si>
    <t>砌体弹性模量</t>
    <phoneticPr fontId="2" type="noConversion"/>
  </si>
  <si>
    <t>砌体抗压强度平均值</t>
    <phoneticPr fontId="2" type="noConversion"/>
  </si>
  <si>
    <t>f1</t>
    <phoneticPr fontId="2" type="noConversion"/>
  </si>
  <si>
    <t>砂浆抗压强度平均值</t>
    <phoneticPr fontId="2" type="noConversion"/>
  </si>
  <si>
    <t>f2</t>
    <phoneticPr fontId="2" type="noConversion"/>
  </si>
  <si>
    <t>mm</t>
  </si>
  <si>
    <t>等效斜撑长度</t>
    <phoneticPr fontId="2" type="noConversion"/>
  </si>
  <si>
    <t>rad</t>
    <phoneticPr fontId="2" type="noConversion"/>
  </si>
  <si>
    <t>框架柱惯性矩</t>
    <phoneticPr fontId="2" type="noConversion"/>
  </si>
  <si>
    <t>Icol</t>
    <phoneticPr fontId="2" type="noConversion"/>
  </si>
  <si>
    <t>mm4</t>
    <phoneticPr fontId="2" type="noConversion"/>
  </si>
  <si>
    <t>等效斜撑宽度</t>
    <phoneticPr fontId="2" type="noConversion"/>
  </si>
  <si>
    <t>Ldiag</t>
    <phoneticPr fontId="2" type="noConversion"/>
  </si>
  <si>
    <t>mm-1</t>
    <phoneticPr fontId="2" type="noConversion"/>
  </si>
  <si>
    <t>fvie</t>
    <phoneticPr fontId="2" type="noConversion"/>
  </si>
  <si>
    <t>设计值</t>
    <phoneticPr fontId="2" type="noConversion"/>
  </si>
  <si>
    <t>斜撑截面总面积</t>
    <phoneticPr fontId="2" type="noConversion"/>
  </si>
  <si>
    <t>mm2</t>
    <phoneticPr fontId="2" type="noConversion"/>
  </si>
  <si>
    <t>Atol</t>
    <phoneticPr fontId="2" type="noConversion"/>
  </si>
  <si>
    <t>N</t>
    <phoneticPr fontId="2" type="noConversion"/>
  </si>
  <si>
    <t>P_IP0_tol</t>
    <phoneticPr fontId="2" type="noConversion"/>
  </si>
  <si>
    <t>等效斜撑平面内轴向力为零时平面外弯矩</t>
  </si>
  <si>
    <t>填充墙平面外强度</t>
    <phoneticPr fontId="2" type="noConversion"/>
  </si>
  <si>
    <t>M_OOP0_tol</t>
    <phoneticPr fontId="2" type="noConversion"/>
  </si>
  <si>
    <t>qin</t>
    <phoneticPr fontId="2" type="noConversion"/>
  </si>
  <si>
    <t>N*mm</t>
    <phoneticPr fontId="2" type="noConversion"/>
  </si>
  <si>
    <t>KN</t>
    <phoneticPr fontId="2" type="noConversion"/>
  </si>
  <si>
    <t>KN*m</t>
    <phoneticPr fontId="2" type="noConversion"/>
  </si>
  <si>
    <t>面内面外关系</t>
    <phoneticPr fontId="2" type="noConversion"/>
  </si>
  <si>
    <t>等效斜撑平面外的等效惯性矩</t>
  </si>
  <si>
    <t>Ieq</t>
    <phoneticPr fontId="2" type="noConversion"/>
  </si>
  <si>
    <t>Iinf</t>
    <phoneticPr fontId="2" type="noConversion"/>
  </si>
  <si>
    <t>纤维面外弯矩</t>
    <phoneticPr fontId="2" type="noConversion"/>
  </si>
  <si>
    <t>纤维面内轴力</t>
    <phoneticPr fontId="2" type="noConversion"/>
  </si>
  <si>
    <t>细长比</t>
    <phoneticPr fontId="2" type="noConversion"/>
  </si>
  <si>
    <t>lambda2</t>
    <phoneticPr fontId="2" type="noConversion"/>
  </si>
  <si>
    <t>hinf/tinf</t>
    <phoneticPr fontId="2" type="noConversion"/>
  </si>
  <si>
    <t>纤维z坐标</t>
    <phoneticPr fontId="2" type="noConversion"/>
  </si>
  <si>
    <t>z(m)</t>
    <phoneticPr fontId="2" type="noConversion"/>
  </si>
  <si>
    <t>Fy(KN)</t>
    <phoneticPr fontId="2" type="noConversion"/>
  </si>
  <si>
    <t>γ</t>
    <phoneticPr fontId="2" type="noConversion"/>
  </si>
  <si>
    <t>μ</t>
    <phoneticPr fontId="2" type="noConversion"/>
  </si>
  <si>
    <t>m2</t>
    <phoneticPr fontId="2" type="noConversion"/>
  </si>
  <si>
    <t>Ai(mm2)</t>
    <phoneticPr fontId="2" type="noConversion"/>
  </si>
  <si>
    <t>Ai(m2)</t>
    <phoneticPr fontId="2" type="noConversion"/>
  </si>
  <si>
    <t>sum</t>
    <phoneticPr fontId="2" type="noConversion"/>
  </si>
  <si>
    <t>Ii(m4)</t>
    <phoneticPr fontId="2" type="noConversion"/>
  </si>
  <si>
    <t>纤维元屈服应力fyi（Mpa)</t>
    <phoneticPr fontId="2" type="noConversion"/>
  </si>
  <si>
    <r>
      <t>纤维元屈服应变</t>
    </r>
    <r>
      <rPr>
        <sz val="11"/>
        <color rgb="FF3F3F76"/>
        <rFont val="等线"/>
        <family val="3"/>
        <charset val="134"/>
        <scheme val="minor"/>
      </rPr>
      <t>εyi</t>
    </r>
    <phoneticPr fontId="2" type="noConversion"/>
  </si>
  <si>
    <t>Hysteretic本构特征点</t>
    <phoneticPr fontId="2" type="noConversion"/>
  </si>
  <si>
    <t>屈服应力fy</t>
    <phoneticPr fontId="2" type="noConversion"/>
  </si>
  <si>
    <t>屈服应变εy</t>
    <phoneticPr fontId="2" type="noConversion"/>
  </si>
  <si>
    <t>最大应力fn</t>
    <phoneticPr fontId="2" type="noConversion"/>
  </si>
  <si>
    <t>最大应变εm</t>
    <phoneticPr fontId="2" type="noConversion"/>
  </si>
  <si>
    <t>极限应力fu</t>
    <phoneticPr fontId="2" type="noConversion"/>
  </si>
  <si>
    <t>极限应变εu</t>
    <phoneticPr fontId="2" type="noConversion"/>
  </si>
  <si>
    <t>等效斜撑面内总轴力</t>
    <phoneticPr fontId="2" type="noConversion"/>
  </si>
  <si>
    <t>f'me</t>
    <phoneticPr fontId="2" type="noConversion"/>
  </si>
  <si>
    <t>Em</t>
    <phoneticPr fontId="2" type="noConversion"/>
  </si>
  <si>
    <t>Efe</t>
    <phoneticPr fontId="2" type="noConversion"/>
  </si>
  <si>
    <t>MPa</t>
    <phoneticPr fontId="2" type="noConversion"/>
  </si>
  <si>
    <t>rinf</t>
    <phoneticPr fontId="2" type="noConversion"/>
  </si>
  <si>
    <t>θinf</t>
    <phoneticPr fontId="2" type="noConversion"/>
  </si>
  <si>
    <t>θdiag</t>
    <phoneticPr fontId="2" type="noConversion"/>
  </si>
  <si>
    <t>Γ</t>
    <phoneticPr fontId="2" type="noConversion"/>
  </si>
  <si>
    <t>λ1</t>
    <phoneticPr fontId="2" type="noConversion"/>
  </si>
  <si>
    <t>kinf</t>
    <phoneticPr fontId="2" type="noConversion"/>
  </si>
  <si>
    <t>vme</t>
    <phoneticPr fontId="2" type="noConversion"/>
  </si>
  <si>
    <t>Qce</t>
    <phoneticPr fontId="2" type="noConversion"/>
  </si>
  <si>
    <t>Pn0</t>
    <phoneticPr fontId="2" type="noConversion"/>
  </si>
  <si>
    <t>δAy0</t>
    <phoneticPr fontId="2" type="noConversion"/>
  </si>
  <si>
    <t>uHy0</t>
    <phoneticPr fontId="2" type="noConversion"/>
  </si>
  <si>
    <t>Aelem</t>
    <phoneticPr fontId="2" type="noConversion"/>
  </si>
  <si>
    <t>Meq_y</t>
    <phoneticPr fontId="2" type="noConversion"/>
  </si>
  <si>
    <t>Mn0</t>
    <phoneticPr fontId="2" type="noConversion"/>
  </si>
  <si>
    <t>Mn</t>
    <phoneticPr fontId="2" type="noConversion"/>
  </si>
  <si>
    <t>Pn</t>
    <phoneticPr fontId="2" type="noConversion"/>
  </si>
  <si>
    <t>Fy</t>
    <phoneticPr fontId="2" type="noConversion"/>
  </si>
  <si>
    <t>z</t>
    <phoneticPr fontId="2" type="noConversion"/>
  </si>
  <si>
    <t>η</t>
    <phoneticPr fontId="2" type="noConversion"/>
  </si>
  <si>
    <t>Ai</t>
    <phoneticPr fontId="2" type="noConversion"/>
  </si>
  <si>
    <t>Ii</t>
    <phoneticPr fontId="2" type="noConversion"/>
  </si>
  <si>
    <t>σy</t>
    <phoneticPr fontId="2" type="noConversion"/>
  </si>
  <si>
    <r>
      <rPr>
        <b/>
        <sz val="11"/>
        <color rgb="FFFA7D00"/>
        <rFont val="等线"/>
        <family val="3"/>
        <charset val="134"/>
        <scheme val="minor"/>
      </rPr>
      <t>εy</t>
    </r>
    <phoneticPr fontId="2" type="noConversion"/>
  </si>
  <si>
    <t>Hysteretic本构特征点</t>
  </si>
  <si>
    <t>屈服应力fy</t>
  </si>
  <si>
    <t>屈服应变εy</t>
  </si>
  <si>
    <t>最大应力fn</t>
  </si>
  <si>
    <t>最大应变εm</t>
  </si>
  <si>
    <t>极限应力fu</t>
  </si>
  <si>
    <t>极限应变εu</t>
  </si>
  <si>
    <t>t</t>
    <phoneticPr fontId="2" type="noConversion"/>
  </si>
  <si>
    <t>A</t>
    <phoneticPr fontId="2" type="noConversion"/>
  </si>
  <si>
    <t>V</t>
    <phoneticPr fontId="2" type="noConversion"/>
  </si>
  <si>
    <t>fy</t>
    <phoneticPr fontId="2" type="noConversion"/>
  </si>
  <si>
    <t>输入参数</t>
    <phoneticPr fontId="2" type="noConversion"/>
  </si>
  <si>
    <t>砌体抗压强度</t>
  </si>
  <si>
    <t>填充墙厚度</t>
    <phoneticPr fontId="2" type="noConversion"/>
  </si>
  <si>
    <t>填充墙高度</t>
    <phoneticPr fontId="2" type="noConversion"/>
  </si>
  <si>
    <t>填充墙长度</t>
    <phoneticPr fontId="2" type="noConversion"/>
  </si>
  <si>
    <t>框架柱高度</t>
    <phoneticPr fontId="2" type="noConversion"/>
  </si>
  <si>
    <t>框架跨度（柱中心线跨度）</t>
    <phoneticPr fontId="2" type="noConversion"/>
  </si>
  <si>
    <t>框架柱弹性模量</t>
    <phoneticPr fontId="2" type="noConversion"/>
  </si>
  <si>
    <t>t_inf</t>
    <phoneticPr fontId="2" type="noConversion"/>
  </si>
  <si>
    <t>h_inf</t>
    <phoneticPr fontId="2" type="noConversion"/>
  </si>
  <si>
    <t>L_inf</t>
    <phoneticPr fontId="2" type="noConversion"/>
  </si>
  <si>
    <t>fk</t>
    <phoneticPr fontId="2" type="noConversion"/>
  </si>
  <si>
    <t>砌体剪切强度</t>
    <phoneticPr fontId="2" type="noConversion"/>
  </si>
  <si>
    <t>fvk</t>
    <phoneticPr fontId="2" type="noConversion"/>
  </si>
  <si>
    <t>h_col</t>
    <phoneticPr fontId="2" type="noConversion"/>
  </si>
  <si>
    <t>L_col</t>
    <phoneticPr fontId="2" type="noConversion"/>
  </si>
  <si>
    <t>E_col</t>
    <phoneticPr fontId="2" type="noConversion"/>
  </si>
  <si>
    <t>E_m</t>
    <phoneticPr fontId="2" type="noConversion"/>
  </si>
  <si>
    <t>框架柱直径</t>
    <phoneticPr fontId="2" type="noConversion"/>
  </si>
  <si>
    <t>框架柱截面惯性矩</t>
    <phoneticPr fontId="2" type="noConversion"/>
  </si>
  <si>
    <t>I_col</t>
    <phoneticPr fontId="2" type="noConversion"/>
  </si>
  <si>
    <t>填充墙对角线长度</t>
    <phoneticPr fontId="2" type="noConversion"/>
  </si>
  <si>
    <t>r_inf</t>
    <phoneticPr fontId="2" type="noConversion"/>
  </si>
  <si>
    <t>填充墙对角线角度</t>
    <phoneticPr fontId="2" type="noConversion"/>
  </si>
  <si>
    <t>θ _inf</t>
    <phoneticPr fontId="2" type="noConversion"/>
  </si>
  <si>
    <t>框架对角线长度</t>
    <phoneticPr fontId="2" type="noConversion"/>
  </si>
  <si>
    <t>框架对角线角度</t>
    <phoneticPr fontId="2" type="noConversion"/>
  </si>
  <si>
    <t>L_diag</t>
    <phoneticPr fontId="2" type="noConversion"/>
  </si>
  <si>
    <t>θ _diag</t>
    <phoneticPr fontId="2" type="noConversion"/>
  </si>
  <si>
    <t>墙片</t>
    <phoneticPr fontId="2" type="noConversion"/>
  </si>
  <si>
    <t>填充墙等效杆宽度</t>
    <phoneticPr fontId="2" type="noConversion"/>
  </si>
  <si>
    <t>墙框刚度相对系数</t>
    <phoneticPr fontId="2" type="noConversion"/>
  </si>
  <si>
    <t xml:space="preserve">λ1 </t>
  </si>
  <si>
    <t>等效杆宽度</t>
    <phoneticPr fontId="2" type="noConversion"/>
  </si>
  <si>
    <t>轴向承载力</t>
    <phoneticPr fontId="2" type="noConversion"/>
  </si>
  <si>
    <t>P_IP0</t>
    <phoneticPr fontId="2" type="noConversion"/>
  </si>
  <si>
    <t>承载力（Eurocode 6）</t>
    <phoneticPr fontId="2" type="noConversion"/>
  </si>
  <si>
    <t>出平面承载力</t>
    <phoneticPr fontId="2" type="noConversion"/>
  </si>
  <si>
    <t>M_oop0</t>
    <phoneticPr fontId="2" type="noConversion"/>
  </si>
  <si>
    <t>等效杆面外等效惯性矩</t>
    <phoneticPr fontId="2" type="noConversion"/>
  </si>
  <si>
    <t>I_eq</t>
    <phoneticPr fontId="2" type="noConversion"/>
  </si>
  <si>
    <t>I_inf</t>
    <phoneticPr fontId="2" type="noConversion"/>
  </si>
  <si>
    <t>出平面承载力(FEMA 356)</t>
    <phoneticPr fontId="2" type="noConversion"/>
  </si>
  <si>
    <t>出平面承载力(Eurocode6)</t>
    <phoneticPr fontId="2" type="noConversion"/>
  </si>
  <si>
    <t>M_oop0_E</t>
    <phoneticPr fontId="2" type="noConversion"/>
  </si>
  <si>
    <t>M_oop0_F</t>
    <phoneticPr fontId="2" type="noConversion"/>
  </si>
  <si>
    <t>山墙</t>
    <phoneticPr fontId="2" type="noConversion"/>
  </si>
  <si>
    <t>隔墙</t>
    <phoneticPr fontId="2" type="noConversion"/>
  </si>
  <si>
    <t>纵边墙1</t>
    <phoneticPr fontId="2" type="noConversion"/>
  </si>
  <si>
    <t>纵边墙2</t>
    <phoneticPr fontId="2" type="noConversion"/>
  </si>
  <si>
    <t>纵中墙1</t>
    <phoneticPr fontId="2" type="noConversion"/>
  </si>
  <si>
    <t>纵中墙2</t>
    <phoneticPr fontId="2" type="noConversion"/>
  </si>
  <si>
    <t>隔墙(开洞)</t>
    <phoneticPr fontId="2" type="noConversion"/>
  </si>
  <si>
    <t>开洞折减系数</t>
    <phoneticPr fontId="2" type="noConversion"/>
  </si>
  <si>
    <t>等效杆截面面积</t>
    <phoneticPr fontId="2" type="noConversion"/>
  </si>
  <si>
    <t>A_elem</t>
    <phoneticPr fontId="2" type="noConversion"/>
  </si>
  <si>
    <t>山墙x</t>
    <phoneticPr fontId="2" type="noConversion"/>
  </si>
  <si>
    <t>隔墙x</t>
    <phoneticPr fontId="2" type="noConversion"/>
  </si>
  <si>
    <t>纵边墙x</t>
    <phoneticPr fontId="2" type="noConversion"/>
  </si>
  <si>
    <t>纵中墙x</t>
    <phoneticPr fontId="2" type="noConversion"/>
  </si>
  <si>
    <t xml:space="preserve">γ </t>
  </si>
  <si>
    <t xml:space="preserve">η </t>
  </si>
  <si>
    <t xml:space="preserve">σy </t>
  </si>
  <si>
    <t xml:space="preserve">εy </t>
  </si>
  <si>
    <t>ai</t>
    <phoneticPr fontId="2" type="noConversion"/>
  </si>
  <si>
    <t>ii</t>
    <phoneticPr fontId="2" type="noConversion"/>
  </si>
  <si>
    <t>I</t>
    <phoneticPr fontId="2" type="noConversion"/>
  </si>
  <si>
    <t>P0</t>
    <phoneticPr fontId="2" type="noConversion"/>
  </si>
  <si>
    <t>M0</t>
    <phoneticPr fontId="2" type="noConversion"/>
  </si>
  <si>
    <t>E</t>
    <phoneticPr fontId="2" type="noConversion"/>
  </si>
  <si>
    <t>α</t>
    <phoneticPr fontId="2" type="noConversion"/>
  </si>
  <si>
    <t>砌体弹模</t>
    <phoneticPr fontId="2" type="noConversion"/>
  </si>
  <si>
    <t>Ldiag</t>
  </si>
  <si>
    <t>ainf</t>
    <phoneticPr fontId="2" type="noConversion"/>
  </si>
  <si>
    <t>adiag</t>
    <phoneticPr fontId="2" type="noConversion"/>
  </si>
  <si>
    <t xml:space="preserve">Icol </t>
    <phoneticPr fontId="2" type="noConversion"/>
  </si>
  <si>
    <t xml:space="preserve">k </t>
    <phoneticPr fontId="2" type="noConversion"/>
  </si>
  <si>
    <t xml:space="preserve">Mn0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</si>
</sst>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"/>
    <numFmt numFmtId="177" formatCode="0.00000"/>
    <numFmt numFmtId="178" formatCode="0.000"/>
    <numFmt numFmtId="179" formatCode="0.0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2"/>
    </font>
    <font>
      <sz val="11"/>
      <color theme="1"/>
      <name val="等线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3F3F76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FA7D00"/>
      <name val="等线"/>
      <family val="3"/>
      <charset val="134"/>
      <scheme val="minor"/>
    </font>
    <font>
      <sz val="10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7" fillId="2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1" applyAlignment="1">
      <alignment horizontal="center" vertical="center"/>
    </xf>
    <xf numFmtId="0" fontId="8" fillId="3" borderId="1" xfId="2" applyAlignment="1">
      <alignment horizontal="center" vertical="center"/>
    </xf>
    <xf numFmtId="0" fontId="7" fillId="2" borderId="1" xfId="1" applyAlignment="1">
      <alignment horizontal="center" vertical="center"/>
    </xf>
    <xf numFmtId="2" fontId="7" fillId="2" borderId="1" xfId="1" applyNumberFormat="1" applyAlignment="1">
      <alignment horizontal="center" vertical="center"/>
    </xf>
    <xf numFmtId="11" fontId="7" fillId="2" borderId="1" xfId="1" applyNumberFormat="1" applyAlignment="1">
      <alignment horizontal="center" vertical="center"/>
    </xf>
    <xf numFmtId="176" fontId="7" fillId="2" borderId="1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6" borderId="0" xfId="5" applyAlignment="1">
      <alignment horizontal="center" vertical="center"/>
    </xf>
    <xf numFmtId="0" fontId="10" fillId="4" borderId="0" xfId="3" applyAlignment="1">
      <alignment horizontal="center" vertical="center"/>
    </xf>
    <xf numFmtId="0" fontId="11" fillId="5" borderId="0" xfId="4" applyAlignment="1">
      <alignment horizontal="center" vertical="center"/>
    </xf>
    <xf numFmtId="0" fontId="1" fillId="7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1" xfId="2" applyAlignment="1">
      <alignment horizontal="center" vertical="center"/>
    </xf>
    <xf numFmtId="177" fontId="8" fillId="3" borderId="1" xfId="2" applyNumberFormat="1" applyAlignment="1">
      <alignment horizontal="center" vertical="center"/>
    </xf>
    <xf numFmtId="0" fontId="8" fillId="3" borderId="1" xfId="2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8" fillId="3" borderId="1" xfId="2" applyNumberFormat="1" applyAlignment="1">
      <alignment horizontal="center" vertical="center"/>
    </xf>
    <xf numFmtId="0" fontId="8" fillId="3" borderId="1" xfId="2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8" fillId="3" borderId="1" xfId="2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9" fontId="8" fillId="3" borderId="1" xfId="2" applyNumberFormat="1" applyAlignment="1">
      <alignment horizontal="center" vertical="center"/>
    </xf>
    <xf numFmtId="0" fontId="0" fillId="0" borderId="0" xfId="0"/>
    <xf numFmtId="11" fontId="8" fillId="3" borderId="1" xfId="2" applyNumberFormat="1" applyAlignment="1">
      <alignment horizontal="center" vertical="center"/>
    </xf>
    <xf numFmtId="0" fontId="8" fillId="3" borderId="1" xfId="2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0" fontId="0" fillId="0" borderId="0" xfId="0" applyNumberFormat="1"/>
    <xf numFmtId="0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0" xfId="0"/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2" borderId="2" xfId="1" applyBorder="1" applyAlignment="1">
      <alignment horizontal="center" vertical="center"/>
    </xf>
    <xf numFmtId="0" fontId="7" fillId="2" borderId="3" xfId="1" applyBorder="1" applyAlignment="1">
      <alignment horizontal="center" vertical="center"/>
    </xf>
    <xf numFmtId="0" fontId="7" fillId="2" borderId="4" xfId="1" applyBorder="1" applyAlignment="1">
      <alignment horizontal="center" vertical="center"/>
    </xf>
    <xf numFmtId="0" fontId="0" fillId="0" borderId="0" xfId="0"/>
    <xf numFmtId="0" fontId="8" fillId="3" borderId="2" xfId="2" applyBorder="1" applyAlignment="1">
      <alignment horizontal="center" vertical="center"/>
    </xf>
    <xf numFmtId="0" fontId="8" fillId="3" borderId="3" xfId="2" applyBorder="1" applyAlignment="1">
      <alignment horizontal="center" vertical="center"/>
    </xf>
    <xf numFmtId="0" fontId="8" fillId="3" borderId="4" xfId="2" applyBorder="1" applyAlignment="1">
      <alignment horizontal="center" vertical="center"/>
    </xf>
    <xf numFmtId="0" fontId="7" fillId="2" borderId="1" xfId="1" applyAlignment="1">
      <alignment horizontal="center" vertical="center"/>
    </xf>
    <xf numFmtId="11" fontId="7" fillId="2" borderId="1" xfId="1" applyNumberFormat="1" applyAlignment="1">
      <alignment horizontal="center" vertical="center"/>
    </xf>
    <xf numFmtId="11" fontId="8" fillId="3" borderId="1" xfId="2" applyNumberFormat="1" applyAlignment="1">
      <alignment horizontal="center" vertical="center"/>
    </xf>
    <xf numFmtId="0" fontId="8" fillId="3" borderId="1" xfId="2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3" borderId="1" xfId="2" applyNumberFormat="1" applyAlignment="1">
      <alignment horizontal="center" vertical="center"/>
    </xf>
    <xf numFmtId="11" fontId="8" fillId="3" borderId="2" xfId="2" applyNumberFormat="1" applyBorder="1" applyAlignment="1">
      <alignment horizontal="center" vertical="center"/>
    </xf>
    <xf numFmtId="11" fontId="8" fillId="3" borderId="3" xfId="2" applyNumberFormat="1" applyBorder="1" applyAlignment="1">
      <alignment horizontal="center" vertical="center"/>
    </xf>
    <xf numFmtId="11" fontId="8" fillId="3" borderId="4" xfId="2" applyNumberForma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/>
    <xf numFmtId="0" fontId="0" fillId="8" borderId="9" xfId="0" applyFill="1" applyBorder="1" applyAlignment="1">
      <alignment horizontal="center" vertical="center"/>
    </xf>
  </cellXfs>
  <cellStyles count="7">
    <cellStyle name="20% - 着色 2" xfId="6" builtinId="34"/>
    <cellStyle name="差" xfId="4" builtinId="27"/>
    <cellStyle name="常规" xfId="0" builtinId="0"/>
    <cellStyle name="好" xfId="3" builtinId="26"/>
    <cellStyle name="计算" xfId="2" builtinId="22"/>
    <cellStyle name="适中" xfId="5" builtinId="28"/>
    <cellStyle name="输入" xfId="1" builtinId="20"/>
  </cellStyles>
  <dxfs count="0"/>
  <tableStyles count="0" defaultTableStyle="TableStyleMedium2" defaultPivotStyle="PivotStyleLight16"/>
  <colors>
    <mruColors>
      <color rgb="FFFFAB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榫卯节点弯矩</a:t>
            </a:r>
            <a:r>
              <a:rPr lang="en-US" altLang="zh-CN"/>
              <a:t>-</a:t>
            </a:r>
            <a:r>
              <a:rPr lang="zh-CN" altLang="en-US"/>
              <a:t>转角简化模型</a:t>
            </a:r>
          </a:p>
        </c:rich>
      </c:tx>
      <c:layout>
        <c:manualLayout>
          <c:xMode val="edge"/>
          <c:yMode val="edge"/>
          <c:x val="0.26703412073490818"/>
          <c:y val="3.0370689813224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榫卯!$B$5:$B$8</c:f>
              <c:numCache>
                <c:formatCode>General</c:formatCode>
                <c:ptCount val="4"/>
                <c:pt idx="0">
                  <c:v>0</c:v>
                </c:pt>
                <c:pt idx="1">
                  <c:v>5.0000000000000001E-3</c:v>
                </c:pt>
                <c:pt idx="2">
                  <c:v>0.05</c:v>
                </c:pt>
                <c:pt idx="3">
                  <c:v>0.48</c:v>
                </c:pt>
              </c:numCache>
            </c:numRef>
          </c:xVal>
          <c:yVal>
            <c:numRef>
              <c:f>榫卯!$C$5:$C$8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790921.4</c:v>
                </c:pt>
                <c:pt idx="3">
                  <c:v>1195419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9-431B-8597-84D96A0A9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202639"/>
        <c:axId val="966207631"/>
      </c:scatterChart>
      <c:valAx>
        <c:axId val="96620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转角</a:t>
                </a:r>
                <a:r>
                  <a:rPr lang="en-US" altLang="zh-CN"/>
                  <a:t>(rad)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6207631"/>
        <c:crosses val="autoZero"/>
        <c:crossBetween val="midCat"/>
      </c:valAx>
      <c:valAx>
        <c:axId val="9662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弯矩</a:t>
                </a:r>
                <a:r>
                  <a:rPr lang="en-US" altLang="zh-CN"/>
                  <a:t>(N*mm)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620263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M-P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'M&amp;G模型参数推导'!$Q$43:$V$43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2.4283360721593015</c:v>
                </c:pt>
                <c:pt idx="2">
                  <c:v>4.8566721443186029</c:v>
                </c:pt>
                <c:pt idx="3">
                  <c:v>7.2850082164779053</c:v>
                </c:pt>
                <c:pt idx="4">
                  <c:v>9.7133442886372059</c:v>
                </c:pt>
                <c:pt idx="5">
                  <c:v>12.141680360796508</c:v>
                </c:pt>
              </c:numCache>
            </c:numRef>
          </c:xVal>
          <c:yVal>
            <c:numRef>
              <c:f>'M&amp;G模型参数推导'!$Q$37:$V$37</c:f>
              <c:numCache>
                <c:formatCode>0.00</c:formatCode>
                <c:ptCount val="6"/>
                <c:pt idx="0">
                  <c:v>188.99166648294312</c:v>
                </c:pt>
                <c:pt idx="1">
                  <c:v>177.54733945772045</c:v>
                </c:pt>
                <c:pt idx="2">
                  <c:v>155.59535093361796</c:v>
                </c:pt>
                <c:pt idx="3">
                  <c:v>124.58797018327405</c:v>
                </c:pt>
                <c:pt idx="4">
                  <c:v>81.743834796362933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19-4BD5-8856-A04ED866B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747727"/>
        <c:axId val="301746479"/>
      </c:scatterChart>
      <c:valAx>
        <c:axId val="30174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746479"/>
        <c:crosses val="autoZero"/>
        <c:crossBetween val="midCat"/>
      </c:valAx>
      <c:valAx>
        <c:axId val="30174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74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M-P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K5_0!$B$28:$G$28</c:f>
              <c:numCache>
                <c:formatCode>General</c:formatCode>
                <c:ptCount val="6"/>
                <c:pt idx="0">
                  <c:v>0</c:v>
                </c:pt>
                <c:pt idx="1">
                  <c:v>2579347.4199097306</c:v>
                </c:pt>
                <c:pt idx="2">
                  <c:v>5158694.8398194611</c:v>
                </c:pt>
                <c:pt idx="3">
                  <c:v>7738042.2597291917</c:v>
                </c:pt>
                <c:pt idx="4">
                  <c:v>10317389.679638922</c:v>
                </c:pt>
                <c:pt idx="5">
                  <c:v>12896737.099548653</c:v>
                </c:pt>
              </c:numCache>
            </c:numRef>
          </c:xVal>
          <c:yVal>
            <c:numRef>
              <c:f>K5_0!$B$29:$G$29</c:f>
              <c:numCache>
                <c:formatCode>General</c:formatCode>
                <c:ptCount val="6"/>
                <c:pt idx="0">
                  <c:v>182156.99615531249</c:v>
                </c:pt>
                <c:pt idx="1">
                  <c:v>171126.54030120862</c:v>
                </c:pt>
                <c:pt idx="2">
                  <c:v>149968.42066767818</c:v>
                </c:pt>
                <c:pt idx="3">
                  <c:v>120082.38684810513</c:v>
                </c:pt>
                <c:pt idx="4">
                  <c:v>78787.661264765076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9-4E47-A478-805225E19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55040"/>
        <c:axId val="1388144832"/>
      </c:scatterChart>
      <c:valAx>
        <c:axId val="14837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144832"/>
        <c:crosses val="autoZero"/>
        <c:crossBetween val="midCat"/>
      </c:valAx>
      <c:valAx>
        <c:axId val="13881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75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K5_0!$B$68:$B$74</c:f>
              <c:numCache>
                <c:formatCode>General</c:formatCode>
                <c:ptCount val="7"/>
                <c:pt idx="0">
                  <c:v>-0.25259881867467632</c:v>
                </c:pt>
                <c:pt idx="1">
                  <c:v>-4.2941799174694976E-2</c:v>
                </c:pt>
                <c:pt idx="2">
                  <c:v>-2.5259881867467633E-3</c:v>
                </c:pt>
                <c:pt idx="3">
                  <c:v>0</c:v>
                </c:pt>
                <c:pt idx="4">
                  <c:v>2.5259881867467633E-3</c:v>
                </c:pt>
                <c:pt idx="5">
                  <c:v>4.2941799174694976E-2</c:v>
                </c:pt>
                <c:pt idx="6">
                  <c:v>0.25259881867467632</c:v>
                </c:pt>
              </c:numCache>
            </c:numRef>
          </c:xVal>
          <c:yVal>
            <c:numRef>
              <c:f>K5_0!$C$68:$C$74</c:f>
              <c:numCache>
                <c:formatCode>General</c:formatCode>
                <c:ptCount val="7"/>
                <c:pt idx="0">
                  <c:v>0</c:v>
                </c:pt>
                <c:pt idx="1">
                  <c:v>-18.38688019433738</c:v>
                </c:pt>
                <c:pt idx="2">
                  <c:v>-12.423567698876607</c:v>
                </c:pt>
                <c:pt idx="3">
                  <c:v>0</c:v>
                </c:pt>
                <c:pt idx="4">
                  <c:v>12.423567698876607</c:v>
                </c:pt>
                <c:pt idx="5">
                  <c:v>18.38688019433738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57A-A35C-82EE3E4C3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293056"/>
        <c:axId val="1998294304"/>
      </c:scatterChart>
      <c:valAx>
        <c:axId val="19982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294304"/>
        <c:crosses val="autoZero"/>
        <c:crossBetween val="midCat"/>
      </c:valAx>
      <c:valAx>
        <c:axId val="19982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2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M-P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K5_1!$B$28:$G$28</c:f>
              <c:numCache>
                <c:formatCode>General</c:formatCode>
                <c:ptCount val="6"/>
                <c:pt idx="0">
                  <c:v>0</c:v>
                </c:pt>
                <c:pt idx="1">
                  <c:v>5269238.3006727342</c:v>
                </c:pt>
                <c:pt idx="2">
                  <c:v>10538476.601345468</c:v>
                </c:pt>
                <c:pt idx="3">
                  <c:v>15807714.902018204</c:v>
                </c:pt>
                <c:pt idx="4">
                  <c:v>21076953.202690937</c:v>
                </c:pt>
                <c:pt idx="5">
                  <c:v>26346191.503363673</c:v>
                </c:pt>
              </c:numCache>
            </c:numRef>
          </c:xVal>
          <c:yVal>
            <c:numRef>
              <c:f>K5_1!$B$29:$G$29</c:f>
              <c:numCache>
                <c:formatCode>General</c:formatCode>
                <c:ptCount val="6"/>
                <c:pt idx="0">
                  <c:v>61686.632164149662</c:v>
                </c:pt>
                <c:pt idx="1">
                  <c:v>57951.218827102537</c:v>
                </c:pt>
                <c:pt idx="2">
                  <c:v>50786.118552799395</c:v>
                </c:pt>
                <c:pt idx="3">
                  <c:v>40665.350127844373</c:v>
                </c:pt>
                <c:pt idx="4">
                  <c:v>26681.080507988187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0-40A7-838E-35B388DA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55040"/>
        <c:axId val="1388144832"/>
      </c:scatterChart>
      <c:valAx>
        <c:axId val="14837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144832"/>
        <c:crosses val="autoZero"/>
        <c:crossBetween val="midCat"/>
      </c:valAx>
      <c:valAx>
        <c:axId val="13881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75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K5_1!$B$68:$B$74</c:f>
              <c:numCache>
                <c:formatCode>General</c:formatCode>
                <c:ptCount val="7"/>
                <c:pt idx="0">
                  <c:v>-0.25259881867467632</c:v>
                </c:pt>
                <c:pt idx="1">
                  <c:v>-4.2941799174694976E-2</c:v>
                </c:pt>
                <c:pt idx="2">
                  <c:v>-2.5259881867467633E-3</c:v>
                </c:pt>
                <c:pt idx="3">
                  <c:v>0</c:v>
                </c:pt>
                <c:pt idx="4">
                  <c:v>2.5259881867467633E-3</c:v>
                </c:pt>
                <c:pt idx="5">
                  <c:v>4.2941799174694976E-2</c:v>
                </c:pt>
                <c:pt idx="6">
                  <c:v>0.25259881867467632</c:v>
                </c:pt>
              </c:numCache>
            </c:numRef>
          </c:xVal>
          <c:yVal>
            <c:numRef>
              <c:f>K5_1!$C$68:$C$74</c:f>
              <c:numCache>
                <c:formatCode>General</c:formatCode>
                <c:ptCount val="7"/>
                <c:pt idx="0">
                  <c:v>0</c:v>
                </c:pt>
                <c:pt idx="1">
                  <c:v>-18.38688019433738</c:v>
                </c:pt>
                <c:pt idx="2">
                  <c:v>-12.423567698876607</c:v>
                </c:pt>
                <c:pt idx="3">
                  <c:v>0</c:v>
                </c:pt>
                <c:pt idx="4">
                  <c:v>12.423567698876607</c:v>
                </c:pt>
                <c:pt idx="5">
                  <c:v>18.38688019433738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D-4F4D-A217-0A39E33A3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293056"/>
        <c:axId val="1998294304"/>
      </c:scatterChart>
      <c:valAx>
        <c:axId val="19982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294304"/>
        <c:crosses val="autoZero"/>
        <c:crossBetween val="midCat"/>
      </c:valAx>
      <c:valAx>
        <c:axId val="19982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2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chart" Target="../charts/chart2.xml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200025</xdr:colOff>
          <xdr:row>15</xdr:row>
          <xdr:rowOff>123825</xdr:rowOff>
        </xdr:from>
        <xdr:to>
          <xdr:col>12</xdr:col>
          <xdr:colOff>466725</xdr:colOff>
          <xdr:row>18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507999</xdr:colOff>
      <xdr:row>26</xdr:row>
      <xdr:rowOff>23999</xdr:rowOff>
    </xdr:from>
    <xdr:to>
      <xdr:col>7</xdr:col>
      <xdr:colOff>307695</xdr:colOff>
      <xdr:row>40</xdr:row>
      <xdr:rowOff>22881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17</xdr:row>
          <xdr:rowOff>38100</xdr:rowOff>
        </xdr:from>
        <xdr:to>
          <xdr:col>6</xdr:col>
          <xdr:colOff>209550</xdr:colOff>
          <xdr:row>19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319087</xdr:colOff>
      <xdr:row>35</xdr:row>
      <xdr:rowOff>142876</xdr:rowOff>
    </xdr:from>
    <xdr:to>
      <xdr:col>1</xdr:col>
      <xdr:colOff>461962</xdr:colOff>
      <xdr:row>42</xdr:row>
      <xdr:rowOff>19050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rgbClr val="FFAB7C">
              <a:tint val="45000"/>
              <a:satMod val="400000"/>
            </a:srgbClr>
          </a:duotone>
        </a:blip>
        <a:stretch>
          <a:fillRect/>
        </a:stretch>
      </xdr:blipFill>
      <xdr:spPr>
        <a:xfrm>
          <a:off x="319087" y="6310314"/>
          <a:ext cx="2043113" cy="1109661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209549</xdr:colOff>
      <xdr:row>35</xdr:row>
      <xdr:rowOff>24410</xdr:rowOff>
    </xdr:from>
    <xdr:to>
      <xdr:col>15</xdr:col>
      <xdr:colOff>79633</xdr:colOff>
      <xdr:row>38</xdr:row>
      <xdr:rowOff>138112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1937" y="6191848"/>
          <a:ext cx="1813184" cy="642339"/>
        </a:xfrm>
        <a:prstGeom prst="rect">
          <a:avLst/>
        </a:prstGeom>
      </xdr:spPr>
    </xdr:pic>
    <xdr:clientData/>
  </xdr:twoCellAnchor>
  <xdr:twoCellAnchor editAs="oneCell">
    <xdr:from>
      <xdr:col>12</xdr:col>
      <xdr:colOff>384799</xdr:colOff>
      <xdr:row>41</xdr:row>
      <xdr:rowOff>47624</xdr:rowOff>
    </xdr:from>
    <xdr:to>
      <xdr:col>14</xdr:col>
      <xdr:colOff>314325</xdr:colOff>
      <xdr:row>46</xdr:row>
      <xdr:rowOff>124673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67187" y="7272337"/>
          <a:ext cx="1224926" cy="958111"/>
        </a:xfrm>
        <a:prstGeom prst="rect">
          <a:avLst/>
        </a:prstGeom>
      </xdr:spPr>
    </xdr:pic>
    <xdr:clientData/>
  </xdr:twoCellAnchor>
  <xdr:twoCellAnchor editAs="oneCell">
    <xdr:from>
      <xdr:col>6</xdr:col>
      <xdr:colOff>3109912</xdr:colOff>
      <xdr:row>51</xdr:row>
      <xdr:rowOff>87350</xdr:rowOff>
    </xdr:from>
    <xdr:to>
      <xdr:col>14</xdr:col>
      <xdr:colOff>198441</xdr:colOff>
      <xdr:row>65</xdr:row>
      <xdr:rowOff>61163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91537" y="9074188"/>
          <a:ext cx="5160967" cy="2440788"/>
        </a:xfrm>
        <a:prstGeom prst="rect">
          <a:avLst/>
        </a:prstGeom>
      </xdr:spPr>
    </xdr:pic>
    <xdr:clientData/>
  </xdr:twoCellAnchor>
  <xdr:twoCellAnchor>
    <xdr:from>
      <xdr:col>15</xdr:col>
      <xdr:colOff>283367</xdr:colOff>
      <xdr:row>46</xdr:row>
      <xdr:rowOff>0</xdr:rowOff>
    </xdr:from>
    <xdr:to>
      <xdr:col>22</xdr:col>
      <xdr:colOff>226217</xdr:colOff>
      <xdr:row>61</xdr:row>
      <xdr:rowOff>100012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19050</xdr:rowOff>
    </xdr:from>
    <xdr:to>
      <xdr:col>7</xdr:col>
      <xdr:colOff>19050</xdr:colOff>
      <xdr:row>44</xdr:row>
      <xdr:rowOff>119063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370416</xdr:colOff>
      <xdr:row>65</xdr:row>
      <xdr:rowOff>147108</xdr:rowOff>
    </xdr:from>
    <xdr:to>
      <xdr:col>9</xdr:col>
      <xdr:colOff>254000</xdr:colOff>
      <xdr:row>81</xdr:row>
      <xdr:rowOff>96308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19050</xdr:rowOff>
    </xdr:from>
    <xdr:to>
      <xdr:col>7</xdr:col>
      <xdr:colOff>19050</xdr:colOff>
      <xdr:row>44</xdr:row>
      <xdr:rowOff>119063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370416</xdr:colOff>
      <xdr:row>65</xdr:row>
      <xdr:rowOff>147108</xdr:rowOff>
    </xdr:from>
    <xdr:to>
      <xdr:col>9</xdr:col>
      <xdr:colOff>254000</xdr:colOff>
      <xdr:row>81</xdr:row>
      <xdr:rowOff>96308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opLeftCell="A25" zoomScale="180" zoomScaleNormal="180" workbookViewId="0">
      <selection activeCell="I30" sqref="I30"/>
    </sheetView>
  </sheetViews>
  <sheetFormatPr defaultColWidth="9" defaultRowHeight="13.9" x14ac:dyDescent="0.4"/>
  <cols>
    <col min="1" max="1" width="18.86328125" style="1" customWidth="1"/>
    <col min="2" max="2" width="13.46484375" style="1" customWidth="1"/>
    <col min="3" max="5" width="9" style="1"/>
    <col min="6" max="6" width="13.86328125" style="1" customWidth="1"/>
    <col min="7" max="16384" width="9" style="1"/>
  </cols>
  <sheetData>
    <row r="1" spans="1:9" x14ac:dyDescent="0.4">
      <c r="A1" s="1" t="s">
        <v>0</v>
      </c>
      <c r="B1" s="5">
        <v>1000000000</v>
      </c>
      <c r="C1" s="1" t="s">
        <v>1</v>
      </c>
    </row>
    <row r="4" spans="1:9" x14ac:dyDescent="0.4">
      <c r="A4" s="1" t="s">
        <v>2</v>
      </c>
      <c r="B4" s="4" t="s">
        <v>32</v>
      </c>
      <c r="C4" s="1" t="s">
        <v>33</v>
      </c>
      <c r="F4" s="1" t="s">
        <v>15</v>
      </c>
      <c r="G4" s="1" t="s">
        <v>5</v>
      </c>
      <c r="H4" s="1">
        <v>120</v>
      </c>
      <c r="I4" s="2" t="s">
        <v>20</v>
      </c>
    </row>
    <row r="5" spans="1:9" x14ac:dyDescent="0.4">
      <c r="A5" s="1" t="s">
        <v>3</v>
      </c>
      <c r="B5" s="1">
        <v>0</v>
      </c>
      <c r="C5" s="1">
        <v>0</v>
      </c>
      <c r="F5" s="1" t="s">
        <v>16</v>
      </c>
      <c r="G5" s="1" t="s">
        <v>6</v>
      </c>
      <c r="H5" s="1">
        <v>200</v>
      </c>
      <c r="I5" s="2" t="s">
        <v>20</v>
      </c>
    </row>
    <row r="6" spans="1:9" x14ac:dyDescent="0.4">
      <c r="B6" s="1">
        <v>5.0000000000000001E-3</v>
      </c>
      <c r="C6" s="1">
        <v>0</v>
      </c>
      <c r="F6" s="1" t="s">
        <v>17</v>
      </c>
      <c r="G6" s="1" t="s">
        <v>7</v>
      </c>
      <c r="H6" s="1">
        <v>1</v>
      </c>
      <c r="I6" s="2" t="s">
        <v>20</v>
      </c>
    </row>
    <row r="7" spans="1:9" x14ac:dyDescent="0.4">
      <c r="B7" s="3">
        <v>0.05</v>
      </c>
      <c r="C7" s="3">
        <v>790921.4</v>
      </c>
      <c r="D7" s="3"/>
      <c r="F7" s="1" t="s">
        <v>18</v>
      </c>
      <c r="G7" s="1" t="s">
        <v>8</v>
      </c>
      <c r="H7" s="1">
        <v>200</v>
      </c>
      <c r="I7" s="2" t="s">
        <v>20</v>
      </c>
    </row>
    <row r="8" spans="1:9" x14ac:dyDescent="0.4">
      <c r="B8" s="3">
        <v>0.48</v>
      </c>
      <c r="C8" s="3">
        <v>1195419</v>
      </c>
      <c r="D8" s="3"/>
      <c r="F8" s="1" t="s">
        <v>19</v>
      </c>
      <c r="G8" s="1" t="s">
        <v>9</v>
      </c>
      <c r="H8" s="1">
        <v>1.5</v>
      </c>
      <c r="I8" s="2" t="s">
        <v>21</v>
      </c>
    </row>
    <row r="9" spans="1:9" x14ac:dyDescent="0.4">
      <c r="F9" s="1" t="s">
        <v>22</v>
      </c>
      <c r="G9" s="1" t="s">
        <v>10</v>
      </c>
      <c r="H9" s="1">
        <v>31.8</v>
      </c>
      <c r="I9" s="2" t="s">
        <v>21</v>
      </c>
    </row>
    <row r="10" spans="1:9" x14ac:dyDescent="0.4">
      <c r="F10" s="1" t="s">
        <v>23</v>
      </c>
      <c r="G10" s="1" t="s">
        <v>11</v>
      </c>
      <c r="H10" s="1">
        <v>201.9</v>
      </c>
      <c r="I10" s="2" t="s">
        <v>21</v>
      </c>
    </row>
    <row r="11" spans="1:9" x14ac:dyDescent="0.4">
      <c r="F11" s="1" t="s">
        <v>24</v>
      </c>
      <c r="G11" s="1" t="s">
        <v>12</v>
      </c>
      <c r="H11" s="1">
        <v>7125.3</v>
      </c>
      <c r="I11" s="2" t="s">
        <v>21</v>
      </c>
    </row>
    <row r="12" spans="1:9" x14ac:dyDescent="0.4">
      <c r="F12" s="1" t="s">
        <v>25</v>
      </c>
      <c r="G12" s="1" t="s">
        <v>13</v>
      </c>
      <c r="H12" s="1">
        <v>0.48</v>
      </c>
    </row>
    <row r="13" spans="1:9" x14ac:dyDescent="0.4">
      <c r="G13" s="1" t="s">
        <v>14</v>
      </c>
      <c r="H13" s="1">
        <v>2.5</v>
      </c>
    </row>
    <row r="15" spans="1:9" x14ac:dyDescent="0.4">
      <c r="F15" s="1" t="s">
        <v>29</v>
      </c>
      <c r="G15" s="1">
        <f>(H8+H9)/(H8*(SIN(0.05)^2.5+H9*(COS(0.05)^2.5)))</f>
        <v>0.7002867999500757</v>
      </c>
      <c r="H15" s="1" t="s">
        <v>4</v>
      </c>
      <c r="I15" s="1">
        <f>0.5*H4*G15*(0.025*H5-20*H6+H7)*(H7-0.5*(0.025*H5-20*H6+H7)+H12*H5)</f>
        <v>1581842.8380672284</v>
      </c>
    </row>
    <row r="16" spans="1:9" x14ac:dyDescent="0.4">
      <c r="F16" s="1" t="s">
        <v>30</v>
      </c>
      <c r="G16" s="1">
        <f>(H8+H9)/(H8*(SIN(0.48)^2.5+H9*(COS(0.48)^2.5)))</f>
        <v>0.9363978450752225</v>
      </c>
      <c r="H16" s="1" t="s">
        <v>31</v>
      </c>
      <c r="I16" s="1">
        <f>0.5*H4*G16*(0.5*H5*0.48-H6/0.48+H7)*(H7-0.5*(0.5*H5*0.48-H6/0.48+H7)+H12*H7)</f>
        <v>2390838.8748985264</v>
      </c>
    </row>
    <row r="18" spans="6:10" x14ac:dyDescent="0.4">
      <c r="F18" s="3"/>
    </row>
    <row r="20" spans="6:10" x14ac:dyDescent="0.4">
      <c r="F20" s="4" t="s">
        <v>34</v>
      </c>
    </row>
    <row r="21" spans="6:10" x14ac:dyDescent="0.4">
      <c r="F21" s="46" t="s">
        <v>26</v>
      </c>
      <c r="G21" s="46"/>
      <c r="H21" s="46"/>
      <c r="I21" s="46"/>
      <c r="J21" s="46"/>
    </row>
    <row r="23" spans="6:10" x14ac:dyDescent="0.4">
      <c r="F23" s="4" t="s">
        <v>27</v>
      </c>
    </row>
    <row r="24" spans="6:10" x14ac:dyDescent="0.4">
      <c r="F24" s="46" t="s">
        <v>28</v>
      </c>
      <c r="G24" s="46"/>
      <c r="H24" s="46"/>
      <c r="I24" s="46"/>
      <c r="J24" s="46"/>
    </row>
  </sheetData>
  <mergeCells count="2">
    <mergeCell ref="F24:J24"/>
    <mergeCell ref="F21:J21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AxMath" shapeId="1025" r:id="rId4">
          <objectPr defaultSize="0" r:id="rId5">
            <anchor moveWithCells="1">
              <from>
                <xdr:col>10</xdr:col>
                <xdr:colOff>200025</xdr:colOff>
                <xdr:row>15</xdr:row>
                <xdr:rowOff>123825</xdr:rowOff>
              </from>
              <to>
                <xdr:col>12</xdr:col>
                <xdr:colOff>466725</xdr:colOff>
                <xdr:row>18</xdr:row>
                <xdr:rowOff>0</xdr:rowOff>
              </to>
            </anchor>
          </objectPr>
        </oleObject>
      </mc:Choice>
      <mc:Fallback>
        <oleObject progId="Equation.AxMath" shapeId="1025" r:id="rId4"/>
      </mc:Fallback>
    </mc:AlternateContent>
    <mc:AlternateContent xmlns:mc="http://schemas.openxmlformats.org/markup-compatibility/2006">
      <mc:Choice Requires="x14">
        <oleObject progId="Equation.AxMath" shapeId="1026" r:id="rId6">
          <objectPr defaultSize="0" autoPict="0" r:id="rId7">
            <anchor moveWithCells="1">
              <from>
                <xdr:col>5</xdr:col>
                <xdr:colOff>180975</xdr:colOff>
                <xdr:row>17</xdr:row>
                <xdr:rowOff>38100</xdr:rowOff>
              </from>
              <to>
                <xdr:col>6</xdr:col>
                <xdr:colOff>209550</xdr:colOff>
                <xdr:row>19</xdr:row>
                <xdr:rowOff>0</xdr:rowOff>
              </to>
            </anchor>
          </objectPr>
        </oleObject>
      </mc:Choice>
      <mc:Fallback>
        <oleObject progId="Equation.AxMath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16D0-31BD-4EDD-B508-BB2F7D395698}">
  <dimension ref="A1:AJ69"/>
  <sheetViews>
    <sheetView topLeftCell="A31" workbookViewId="0">
      <selection activeCell="B8" sqref="B8"/>
    </sheetView>
  </sheetViews>
  <sheetFormatPr defaultColWidth="9.1328125" defaultRowHeight="13.9" x14ac:dyDescent="0.4"/>
  <cols>
    <col min="1" max="1" width="26.46484375" style="6" customWidth="1"/>
    <col min="2" max="2" width="9.1328125" style="6"/>
    <col min="3" max="3" width="12.46484375" style="6" bestFit="1" customWidth="1"/>
    <col min="4" max="6" width="9.1328125" style="6"/>
    <col min="7" max="7" width="43.86328125" style="6" customWidth="1"/>
    <col min="8" max="8" width="11.46484375" style="6" customWidth="1"/>
    <col min="9" max="9" width="12.265625" style="6" bestFit="1" customWidth="1"/>
    <col min="10" max="15" width="9.1328125" style="6"/>
    <col min="16" max="16" width="18.73046875" style="6" customWidth="1"/>
    <col min="17" max="17" width="9.1328125" style="6" customWidth="1"/>
    <col min="18" max="21" width="9.1328125" style="6" bestFit="1" customWidth="1"/>
    <col min="22" max="22" width="9.46484375" style="6" bestFit="1" customWidth="1"/>
    <col min="23" max="23" width="9.1328125" style="6"/>
    <col min="24" max="24" width="26.73046875" style="6" customWidth="1"/>
    <col min="25" max="29" width="12.46484375" style="6" bestFit="1" customWidth="1"/>
    <col min="30" max="34" width="13.46484375" style="6" bestFit="1" customWidth="1"/>
    <col min="35" max="16384" width="9.1328125" style="6"/>
  </cols>
  <sheetData>
    <row r="1" spans="1:12" x14ac:dyDescent="0.4">
      <c r="A1" s="47" t="s">
        <v>45</v>
      </c>
      <c r="B1" s="48"/>
      <c r="C1" s="48"/>
      <c r="D1" s="49"/>
      <c r="G1" s="50"/>
      <c r="H1" s="50"/>
      <c r="I1" s="50"/>
      <c r="J1" s="50"/>
      <c r="K1"/>
      <c r="L1"/>
    </row>
    <row r="2" spans="1:12" x14ac:dyDescent="0.4">
      <c r="A2" s="7" t="s">
        <v>35</v>
      </c>
      <c r="B2" s="7" t="s">
        <v>40</v>
      </c>
      <c r="C2" s="7">
        <v>2600</v>
      </c>
      <c r="D2" s="7" t="s">
        <v>20</v>
      </c>
      <c r="G2"/>
      <c r="H2"/>
      <c r="I2"/>
      <c r="J2"/>
      <c r="K2"/>
      <c r="L2"/>
    </row>
    <row r="3" spans="1:12" x14ac:dyDescent="0.4">
      <c r="A3" s="7" t="s">
        <v>36</v>
      </c>
      <c r="B3" s="7" t="s">
        <v>41</v>
      </c>
      <c r="C3" s="7">
        <v>2100</v>
      </c>
      <c r="D3" s="7" t="s">
        <v>61</v>
      </c>
      <c r="G3"/>
      <c r="H3"/>
      <c r="I3"/>
      <c r="J3"/>
      <c r="K3"/>
      <c r="L3"/>
    </row>
    <row r="4" spans="1:12" x14ac:dyDescent="0.4">
      <c r="A4" s="7" t="s">
        <v>18</v>
      </c>
      <c r="B4" s="7" t="s">
        <v>8</v>
      </c>
      <c r="C4" s="7">
        <v>200</v>
      </c>
      <c r="D4" s="7" t="s">
        <v>20</v>
      </c>
      <c r="G4"/>
      <c r="H4"/>
      <c r="I4"/>
      <c r="J4"/>
      <c r="K4"/>
      <c r="L4"/>
    </row>
    <row r="5" spans="1:12" x14ac:dyDescent="0.4">
      <c r="A5" s="7" t="s">
        <v>37</v>
      </c>
      <c r="B5" s="7" t="s">
        <v>42</v>
      </c>
      <c r="C5" s="7">
        <v>2500</v>
      </c>
      <c r="D5" s="7" t="s">
        <v>20</v>
      </c>
      <c r="G5"/>
      <c r="H5"/>
      <c r="I5"/>
      <c r="J5"/>
      <c r="K5"/>
      <c r="L5"/>
    </row>
    <row r="6" spans="1:12" x14ac:dyDescent="0.4">
      <c r="A6" s="7" t="s">
        <v>38</v>
      </c>
      <c r="B6" s="7" t="s">
        <v>43</v>
      </c>
      <c r="C6" s="7">
        <v>1900</v>
      </c>
      <c r="D6" s="7" t="s">
        <v>61</v>
      </c>
      <c r="G6"/>
      <c r="H6"/>
      <c r="I6"/>
      <c r="J6"/>
      <c r="K6"/>
      <c r="L6"/>
    </row>
    <row r="7" spans="1:12" x14ac:dyDescent="0.4">
      <c r="A7" s="7" t="s">
        <v>39</v>
      </c>
      <c r="B7" s="7" t="s">
        <v>44</v>
      </c>
      <c r="C7" s="7">
        <v>120</v>
      </c>
      <c r="D7" s="7" t="s">
        <v>61</v>
      </c>
      <c r="G7"/>
      <c r="H7"/>
      <c r="I7"/>
      <c r="J7"/>
      <c r="K7"/>
      <c r="L7"/>
    </row>
    <row r="8" spans="1:12" x14ac:dyDescent="0.4">
      <c r="A8" s="7" t="s">
        <v>47</v>
      </c>
      <c r="B8" s="7" t="s">
        <v>48</v>
      </c>
      <c r="C8" s="7">
        <f>ATAN(C5/C6)</f>
        <v>0.92092587738294907</v>
      </c>
      <c r="D8" s="7" t="s">
        <v>63</v>
      </c>
      <c r="G8"/>
      <c r="H8"/>
      <c r="I8"/>
      <c r="J8"/>
      <c r="K8"/>
      <c r="L8"/>
    </row>
    <row r="9" spans="1:12" x14ac:dyDescent="0.4">
      <c r="A9" s="7" t="s">
        <v>62</v>
      </c>
      <c r="B9" s="7" t="s">
        <v>68</v>
      </c>
      <c r="C9" s="7">
        <f>(C5^2+C6^2)^0.5</f>
        <v>3140.0636936215164</v>
      </c>
      <c r="D9" s="7" t="s">
        <v>20</v>
      </c>
      <c r="G9"/>
      <c r="H9"/>
      <c r="I9"/>
      <c r="J9"/>
      <c r="K9"/>
      <c r="L9"/>
    </row>
    <row r="20" spans="1:5" x14ac:dyDescent="0.4">
      <c r="A20" s="51" t="s">
        <v>46</v>
      </c>
      <c r="B20" s="52"/>
      <c r="C20" s="52"/>
      <c r="D20" s="53"/>
    </row>
    <row r="21" spans="1:5" x14ac:dyDescent="0.4">
      <c r="A21" s="8" t="s">
        <v>49</v>
      </c>
      <c r="B21" s="8" t="s">
        <v>70</v>
      </c>
      <c r="C21" s="8">
        <f>0.125*C23^0.5</f>
        <v>0.50156006619347204</v>
      </c>
      <c r="D21" s="8" t="s">
        <v>52</v>
      </c>
      <c r="E21" s="6" t="s">
        <v>71</v>
      </c>
    </row>
    <row r="22" spans="1:5" x14ac:dyDescent="0.4">
      <c r="A22" s="8" t="s">
        <v>50</v>
      </c>
      <c r="B22" s="8" t="s">
        <v>58</v>
      </c>
      <c r="C22" s="8">
        <v>11.44</v>
      </c>
      <c r="D22" s="8" t="s">
        <v>21</v>
      </c>
    </row>
    <row r="23" spans="1:5" x14ac:dyDescent="0.4">
      <c r="A23" s="8" t="s">
        <v>59</v>
      </c>
      <c r="B23" s="8" t="s">
        <v>60</v>
      </c>
      <c r="C23" s="8">
        <v>16.100000000000001</v>
      </c>
      <c r="D23" s="8" t="s">
        <v>21</v>
      </c>
    </row>
    <row r="24" spans="1:5" x14ac:dyDescent="0.4">
      <c r="A24" s="8" t="s">
        <v>57</v>
      </c>
      <c r="B24" s="8" t="s">
        <v>53</v>
      </c>
      <c r="C24" s="8">
        <f>0.78*C22^0.5*(1+0.07*C23)</f>
        <v>5.6114500939047849</v>
      </c>
      <c r="D24" s="8" t="s">
        <v>52</v>
      </c>
    </row>
    <row r="25" spans="1:5" x14ac:dyDescent="0.4">
      <c r="A25" s="8" t="s">
        <v>56</v>
      </c>
      <c r="B25" s="8" t="s">
        <v>54</v>
      </c>
      <c r="C25" s="8">
        <f>370*C24^1.5</f>
        <v>4918.2928151512151</v>
      </c>
      <c r="D25" s="8" t="s">
        <v>21</v>
      </c>
    </row>
    <row r="26" spans="1:5" x14ac:dyDescent="0.4">
      <c r="A26" s="8" t="s">
        <v>51</v>
      </c>
      <c r="B26" s="8" t="s">
        <v>55</v>
      </c>
      <c r="C26" s="8">
        <v>7125.3</v>
      </c>
      <c r="D26" s="8" t="s">
        <v>21</v>
      </c>
    </row>
    <row r="27" spans="1:5" x14ac:dyDescent="0.4">
      <c r="A27" s="8" t="s">
        <v>64</v>
      </c>
      <c r="B27" s="8" t="s">
        <v>65</v>
      </c>
      <c r="C27" s="8">
        <f>(3.1416*C4^4)/32</f>
        <v>157080000</v>
      </c>
      <c r="D27" s="8" t="s">
        <v>66</v>
      </c>
    </row>
    <row r="36" spans="1:36" x14ac:dyDescent="0.4">
      <c r="A36" s="47" t="s">
        <v>67</v>
      </c>
      <c r="B36" s="48"/>
      <c r="C36" s="48"/>
      <c r="D36" s="49"/>
    </row>
    <row r="37" spans="1:36" x14ac:dyDescent="0.4">
      <c r="A37" s="7"/>
      <c r="B37" s="7"/>
      <c r="C37" s="54">
        <f>0.175*(C40*C2)^(-0.4)*C9</f>
        <v>253.16014741781936</v>
      </c>
      <c r="D37" s="54" t="s">
        <v>20</v>
      </c>
      <c r="G37" s="7" t="s">
        <v>72</v>
      </c>
      <c r="H37" s="7" t="s">
        <v>74</v>
      </c>
      <c r="I37" s="7">
        <f>C37*C7</f>
        <v>30379.217690138325</v>
      </c>
      <c r="J37" s="7" t="s">
        <v>73</v>
      </c>
      <c r="K37" s="7">
        <f>I37/1000000</f>
        <v>3.0379217690138325E-2</v>
      </c>
      <c r="L37" s="7" t="s">
        <v>98</v>
      </c>
      <c r="P37" s="7" t="s">
        <v>89</v>
      </c>
      <c r="Q37" s="10">
        <f>$K$38*(1-(Q43/$K$43)^1.5)^(2/3)</f>
        <v>188.99166648294312</v>
      </c>
      <c r="R37" s="10">
        <f>$K$38*(1-(R43/$K$43)^1.5)^(2/3)</f>
        <v>177.54733945772045</v>
      </c>
      <c r="S37" s="10">
        <f t="shared" ref="S37:U37" si="0">$K$38*(1-(S43/$K$43)^1.5)^(2/3)</f>
        <v>155.59535093361796</v>
      </c>
      <c r="T37" s="10">
        <f t="shared" si="0"/>
        <v>124.58797018327405</v>
      </c>
      <c r="U37" s="10">
        <f t="shared" si="0"/>
        <v>81.743834796362933</v>
      </c>
      <c r="V37" s="10">
        <f>$K$38*(1-(V43/$K$43)^1.5)^(2/3)</f>
        <v>0</v>
      </c>
    </row>
    <row r="38" spans="1:36" x14ac:dyDescent="0.4">
      <c r="A38" s="7"/>
      <c r="B38" s="7"/>
      <c r="C38" s="54"/>
      <c r="D38" s="54"/>
      <c r="G38" s="7" t="s">
        <v>112</v>
      </c>
      <c r="H38" s="7" t="s">
        <v>76</v>
      </c>
      <c r="I38" s="7">
        <f>C7*C6*C21/COS(C8)</f>
        <v>188991.66648294311</v>
      </c>
      <c r="J38" s="7" t="s">
        <v>75</v>
      </c>
      <c r="K38" s="7">
        <f>I38/1000</f>
        <v>188.99166648294312</v>
      </c>
      <c r="L38" s="7" t="s">
        <v>82</v>
      </c>
    </row>
    <row r="39" spans="1:36" x14ac:dyDescent="0.4">
      <c r="A39" s="7"/>
      <c r="B39" s="7"/>
      <c r="C39" s="54"/>
      <c r="D39" s="54"/>
    </row>
    <row r="40" spans="1:36" x14ac:dyDescent="0.4">
      <c r="A40" s="7"/>
      <c r="B40" s="7"/>
      <c r="C40" s="54">
        <f>((C25*C7*SIN(2*C8)/(4*C26*C27*C5))^0.25)</f>
        <v>2.6698051574325812E-3</v>
      </c>
      <c r="D40" s="54" t="s">
        <v>69</v>
      </c>
      <c r="X40" s="7"/>
      <c r="Y40" s="7">
        <v>1</v>
      </c>
      <c r="Z40" s="7">
        <v>2</v>
      </c>
      <c r="AA40" s="7">
        <v>3</v>
      </c>
      <c r="AB40" s="7">
        <v>4</v>
      </c>
      <c r="AC40" s="7">
        <v>5</v>
      </c>
      <c r="AD40" s="7">
        <v>6</v>
      </c>
      <c r="AE40" s="7">
        <v>7</v>
      </c>
      <c r="AF40" s="7">
        <v>8</v>
      </c>
      <c r="AG40" s="7">
        <v>9</v>
      </c>
      <c r="AH40" s="7">
        <v>10</v>
      </c>
      <c r="AI40" s="7" t="s">
        <v>101</v>
      </c>
    </row>
    <row r="41" spans="1:36" x14ac:dyDescent="0.4">
      <c r="A41" s="7"/>
      <c r="B41" s="7"/>
      <c r="C41" s="54"/>
      <c r="D41" s="54"/>
      <c r="X41" s="7" t="s">
        <v>95</v>
      </c>
      <c r="Y41" s="7">
        <f>(Q37-R37)/2</f>
        <v>5.7221635126113313</v>
      </c>
      <c r="Z41" s="7">
        <f>(R37-S37)/2</f>
        <v>10.975994262051245</v>
      </c>
      <c r="AA41" s="7">
        <f t="shared" ref="AA41:AC41" si="1">(S37-T37)/2</f>
        <v>15.503690375171956</v>
      </c>
      <c r="AB41" s="7">
        <f t="shared" si="1"/>
        <v>21.42206769345556</v>
      </c>
      <c r="AC41" s="7">
        <f t="shared" si="1"/>
        <v>40.871917398181466</v>
      </c>
      <c r="AD41" s="7">
        <f>AC41</f>
        <v>40.871917398181466</v>
      </c>
      <c r="AE41" s="7">
        <f>AB41</f>
        <v>21.42206769345556</v>
      </c>
      <c r="AF41" s="7">
        <f>AA41</f>
        <v>15.503690375171956</v>
      </c>
      <c r="AG41" s="7">
        <f>Z41</f>
        <v>10.975994262051245</v>
      </c>
      <c r="AH41" s="7">
        <f>Y41</f>
        <v>5.7221635126113313</v>
      </c>
      <c r="AI41" s="7">
        <f>SUM(Y41:AH41)</f>
        <v>188.99166648294315</v>
      </c>
      <c r="AJ41" s="6">
        <f>K38</f>
        <v>188.99166648294312</v>
      </c>
    </row>
    <row r="42" spans="1:36" x14ac:dyDescent="0.4">
      <c r="A42" s="7"/>
      <c r="B42" s="7"/>
      <c r="C42" s="54"/>
      <c r="D42" s="54"/>
      <c r="X42" s="7" t="s">
        <v>94</v>
      </c>
      <c r="Y42" s="12">
        <f>(R43-Q43)/(2*Y41)</f>
        <v>0.21218688235729224</v>
      </c>
      <c r="Z42" s="12">
        <f>(S43-R43)/(2*Z41)</f>
        <v>0.1106203235070516</v>
      </c>
      <c r="AA42" s="12">
        <f t="shared" ref="AA42:AC42" si="2">(T43-S43)/(2*AA41)</f>
        <v>7.8314775817766191E-2</v>
      </c>
      <c r="AB42" s="12">
        <f t="shared" si="2"/>
        <v>5.6678377337523705E-2</v>
      </c>
      <c r="AC42" s="12">
        <f t="shared" si="2"/>
        <v>2.9706657122322178E-2</v>
      </c>
      <c r="AD42" s="12">
        <f>-AC42</f>
        <v>-2.9706657122322178E-2</v>
      </c>
      <c r="AE42" s="12">
        <f>-AB42</f>
        <v>-5.6678377337523705E-2</v>
      </c>
      <c r="AF42" s="12">
        <f>-AA42</f>
        <v>-7.8314775817766191E-2</v>
      </c>
      <c r="AG42" s="12">
        <f>-Z42</f>
        <v>-0.1106203235070516</v>
      </c>
      <c r="AH42" s="12">
        <f>-Y42</f>
        <v>-0.21218688235729224</v>
      </c>
      <c r="AI42" s="9"/>
    </row>
    <row r="43" spans="1:36" x14ac:dyDescent="0.4">
      <c r="G43" s="7" t="s">
        <v>77</v>
      </c>
      <c r="H43" s="7" t="s">
        <v>79</v>
      </c>
      <c r="I43" s="7">
        <f>1.57*C9*(I44*C6*C5/8)</f>
        <v>12141680.360796507</v>
      </c>
      <c r="J43" s="7" t="s">
        <v>81</v>
      </c>
      <c r="K43" s="7">
        <f>I43/1000000</f>
        <v>12.141680360796508</v>
      </c>
      <c r="L43" s="7" t="s">
        <v>83</v>
      </c>
      <c r="P43" s="7" t="s">
        <v>88</v>
      </c>
      <c r="Q43" s="7">
        <v>0</v>
      </c>
      <c r="R43" s="10">
        <f>K43/5</f>
        <v>2.4283360721593015</v>
      </c>
      <c r="S43" s="10">
        <f>2*(K43/5)</f>
        <v>4.8566721443186029</v>
      </c>
      <c r="T43" s="10">
        <f>3*K43/5</f>
        <v>7.2850082164779053</v>
      </c>
      <c r="U43" s="10">
        <f>4*K43/5</f>
        <v>9.7133442886372059</v>
      </c>
      <c r="V43" s="10">
        <f>5*K43/5</f>
        <v>12.141680360796508</v>
      </c>
      <c r="X43" s="7" t="s">
        <v>96</v>
      </c>
      <c r="Y43" s="55"/>
      <c r="Z43" s="54"/>
      <c r="AA43" s="54"/>
      <c r="AB43" s="54"/>
      <c r="AC43" s="7" t="s">
        <v>97</v>
      </c>
      <c r="AD43" s="55"/>
      <c r="AE43" s="54"/>
      <c r="AF43" s="54"/>
      <c r="AG43" s="54"/>
      <c r="AH43" s="54"/>
      <c r="AI43" s="7"/>
    </row>
    <row r="44" spans="1:36" x14ac:dyDescent="0.4">
      <c r="G44" s="7" t="s">
        <v>78</v>
      </c>
      <c r="H44" s="7" t="s">
        <v>80</v>
      </c>
      <c r="I44" s="7">
        <f>(0.7*C24*I46)/(C5/C7)</f>
        <v>4.1479839094144171E-3</v>
      </c>
      <c r="J44" s="7"/>
      <c r="K44" s="7"/>
      <c r="L44" s="7"/>
      <c r="X44" s="7" t="s">
        <v>100</v>
      </c>
      <c r="Y44" s="7">
        <f>$Y$43*Y42^$AD$43</f>
        <v>0</v>
      </c>
      <c r="Z44" s="7">
        <f t="shared" ref="Z44:AB44" si="3">$Y$43*Z42^$AD$43</f>
        <v>0</v>
      </c>
      <c r="AA44" s="7">
        <f t="shared" si="3"/>
        <v>0</v>
      </c>
      <c r="AB44" s="7">
        <f t="shared" si="3"/>
        <v>0</v>
      </c>
      <c r="AC44" s="7">
        <f>$Y$43*AC42^$AD$43</f>
        <v>0</v>
      </c>
      <c r="AD44" s="7">
        <f>AC44</f>
        <v>0</v>
      </c>
      <c r="AE44" s="7">
        <f>AB44</f>
        <v>0</v>
      </c>
      <c r="AF44" s="7">
        <f>AA44</f>
        <v>0</v>
      </c>
      <c r="AG44" s="7">
        <f>Z44</f>
        <v>0</v>
      </c>
      <c r="AH44" s="7">
        <f>Y44</f>
        <v>0</v>
      </c>
      <c r="AI44" s="9">
        <f>SUM(Y44:AH44)</f>
        <v>0</v>
      </c>
      <c r="AJ44" s="6">
        <f>K37</f>
        <v>3.0379217690138325E-2</v>
      </c>
    </row>
    <row r="45" spans="1:36" x14ac:dyDescent="0.4">
      <c r="G45" s="7"/>
      <c r="H45" s="7" t="s">
        <v>92</v>
      </c>
      <c r="I45" s="7">
        <f>C5/C7</f>
        <v>20.833333333333332</v>
      </c>
      <c r="J45" s="7"/>
      <c r="K45" s="7"/>
      <c r="L45" s="7"/>
      <c r="X45" s="7" t="s">
        <v>99</v>
      </c>
      <c r="Y45" s="7">
        <f>Y44*1000000</f>
        <v>0</v>
      </c>
      <c r="Z45" s="7">
        <f t="shared" ref="Z45:AH45" si="4">Z44*1000000</f>
        <v>0</v>
      </c>
      <c r="AA45" s="7">
        <f t="shared" si="4"/>
        <v>0</v>
      </c>
      <c r="AB45" s="7">
        <f t="shared" si="4"/>
        <v>0</v>
      </c>
      <c r="AC45" s="7">
        <f t="shared" si="4"/>
        <v>0</v>
      </c>
      <c r="AD45" s="7">
        <f t="shared" si="4"/>
        <v>0</v>
      </c>
      <c r="AE45" s="7">
        <f t="shared" si="4"/>
        <v>0</v>
      </c>
      <c r="AF45" s="7">
        <f t="shared" si="4"/>
        <v>0</v>
      </c>
      <c r="AG45" s="7">
        <f t="shared" si="4"/>
        <v>0</v>
      </c>
      <c r="AH45" s="7">
        <f t="shared" si="4"/>
        <v>0</v>
      </c>
      <c r="AI45" s="7">
        <f>SUM(Y45:AH45)</f>
        <v>0</v>
      </c>
      <c r="AJ45" s="6">
        <f>I37</f>
        <v>30379.217690138325</v>
      </c>
    </row>
    <row r="46" spans="1:36" x14ac:dyDescent="0.4">
      <c r="G46" s="7" t="s">
        <v>90</v>
      </c>
      <c r="H46" s="7" t="s">
        <v>91</v>
      </c>
      <c r="I46" s="7">
        <v>2.1999999999999999E-2</v>
      </c>
      <c r="J46" s="7"/>
      <c r="K46" s="7"/>
      <c r="L46" s="7"/>
      <c r="X46" s="7" t="s">
        <v>102</v>
      </c>
      <c r="Y46" s="11">
        <f>Y44*Y42^2</f>
        <v>0</v>
      </c>
      <c r="Z46" s="11">
        <f>Z44*Z42^2</f>
        <v>0</v>
      </c>
      <c r="AA46" s="11">
        <f t="shared" ref="AA46:AH46" si="5">AA44*AA42^2</f>
        <v>0</v>
      </c>
      <c r="AB46" s="11">
        <f t="shared" si="5"/>
        <v>0</v>
      </c>
      <c r="AC46" s="11">
        <f t="shared" si="5"/>
        <v>0</v>
      </c>
      <c r="AD46" s="11">
        <f t="shared" si="5"/>
        <v>0</v>
      </c>
      <c r="AE46" s="11">
        <f t="shared" si="5"/>
        <v>0</v>
      </c>
      <c r="AF46" s="11">
        <f t="shared" si="5"/>
        <v>0</v>
      </c>
      <c r="AG46" s="11">
        <f t="shared" si="5"/>
        <v>0</v>
      </c>
      <c r="AH46" s="11">
        <f t="shared" si="5"/>
        <v>0</v>
      </c>
      <c r="AI46" s="7">
        <f>SUM(Y46:AH46)</f>
        <v>0</v>
      </c>
      <c r="AJ46" s="6">
        <f>E69</f>
        <v>0.11171923849758569</v>
      </c>
    </row>
    <row r="47" spans="1:36" x14ac:dyDescent="0.4">
      <c r="X47" s="7" t="s">
        <v>103</v>
      </c>
      <c r="Y47" s="7" t="e">
        <f>Y41*1000/Y45</f>
        <v>#DIV/0!</v>
      </c>
      <c r="Z47" s="7" t="e">
        <f t="shared" ref="Z47:AH47" si="6">Z41*1000/Z45</f>
        <v>#DIV/0!</v>
      </c>
      <c r="AA47" s="7" t="e">
        <f t="shared" si="6"/>
        <v>#DIV/0!</v>
      </c>
      <c r="AB47" s="7" t="e">
        <f t="shared" si="6"/>
        <v>#DIV/0!</v>
      </c>
      <c r="AC47" s="7" t="e">
        <f t="shared" si="6"/>
        <v>#DIV/0!</v>
      </c>
      <c r="AD47" s="7" t="e">
        <f t="shared" si="6"/>
        <v>#DIV/0!</v>
      </c>
      <c r="AE47" s="7" t="e">
        <f t="shared" si="6"/>
        <v>#DIV/0!</v>
      </c>
      <c r="AF47" s="7" t="e">
        <f t="shared" si="6"/>
        <v>#DIV/0!</v>
      </c>
      <c r="AG47" s="7" t="e">
        <f t="shared" si="6"/>
        <v>#DIV/0!</v>
      </c>
      <c r="AH47" s="7" t="e">
        <f t="shared" si="6"/>
        <v>#DIV/0!</v>
      </c>
    </row>
    <row r="48" spans="1:36" x14ac:dyDescent="0.4">
      <c r="X48" s="7" t="s">
        <v>104</v>
      </c>
      <c r="Y48" s="7" t="e">
        <f>Y47/$C$25</f>
        <v>#DIV/0!</v>
      </c>
      <c r="Z48" s="7" t="e">
        <f t="shared" ref="Z48:AH48" si="7">Z47/$C$25</f>
        <v>#DIV/0!</v>
      </c>
      <c r="AA48" s="7" t="e">
        <f t="shared" si="7"/>
        <v>#DIV/0!</v>
      </c>
      <c r="AB48" s="7" t="e">
        <f t="shared" si="7"/>
        <v>#DIV/0!</v>
      </c>
      <c r="AC48" s="7" t="e">
        <f t="shared" si="7"/>
        <v>#DIV/0!</v>
      </c>
      <c r="AD48" s="7" t="e">
        <f t="shared" si="7"/>
        <v>#DIV/0!</v>
      </c>
      <c r="AE48" s="7" t="e">
        <f t="shared" si="7"/>
        <v>#DIV/0!</v>
      </c>
      <c r="AF48" s="7" t="e">
        <f t="shared" si="7"/>
        <v>#DIV/0!</v>
      </c>
      <c r="AG48" s="7" t="e">
        <f t="shared" si="7"/>
        <v>#DIV/0!</v>
      </c>
      <c r="AH48" s="7" t="e">
        <f t="shared" si="7"/>
        <v>#DIV/0!</v>
      </c>
    </row>
    <row r="51" spans="7:34" x14ac:dyDescent="0.4">
      <c r="G51" s="6" t="s">
        <v>84</v>
      </c>
    </row>
    <row r="54" spans="7:34" x14ac:dyDescent="0.4">
      <c r="X54" s="9" t="s">
        <v>105</v>
      </c>
      <c r="Y54" s="9">
        <v>1</v>
      </c>
      <c r="Z54" s="9">
        <v>2</v>
      </c>
      <c r="AA54" s="9">
        <v>3</v>
      </c>
      <c r="AB54" s="9">
        <v>4</v>
      </c>
      <c r="AC54" s="9">
        <v>5</v>
      </c>
      <c r="AD54" s="9">
        <v>6</v>
      </c>
      <c r="AE54" s="9">
        <v>7</v>
      </c>
      <c r="AF54" s="9">
        <v>8</v>
      </c>
      <c r="AG54" s="9">
        <v>9</v>
      </c>
      <c r="AH54" s="9">
        <v>10</v>
      </c>
    </row>
    <row r="55" spans="7:34" x14ac:dyDescent="0.4">
      <c r="X55" s="9" t="s">
        <v>106</v>
      </c>
      <c r="Y55" s="9" t="e">
        <f>Y47</f>
        <v>#DIV/0!</v>
      </c>
      <c r="Z55" s="9" t="e">
        <f t="shared" ref="Z55:AH55" si="8">Z47</f>
        <v>#DIV/0!</v>
      </c>
      <c r="AA55" s="9" t="e">
        <f t="shared" si="8"/>
        <v>#DIV/0!</v>
      </c>
      <c r="AB55" s="9" t="e">
        <f t="shared" si="8"/>
        <v>#DIV/0!</v>
      </c>
      <c r="AC55" s="9" t="e">
        <f t="shared" si="8"/>
        <v>#DIV/0!</v>
      </c>
      <c r="AD55" s="9" t="e">
        <f t="shared" si="8"/>
        <v>#DIV/0!</v>
      </c>
      <c r="AE55" s="9" t="e">
        <f t="shared" si="8"/>
        <v>#DIV/0!</v>
      </c>
      <c r="AF55" s="9" t="e">
        <f t="shared" si="8"/>
        <v>#DIV/0!</v>
      </c>
      <c r="AG55" s="9" t="e">
        <f t="shared" si="8"/>
        <v>#DIV/0!</v>
      </c>
      <c r="AH55" s="9" t="e">
        <f t="shared" si="8"/>
        <v>#DIV/0!</v>
      </c>
    </row>
    <row r="56" spans="7:34" x14ac:dyDescent="0.4">
      <c r="X56" s="9" t="s">
        <v>107</v>
      </c>
      <c r="Y56" s="9" t="e">
        <f>Y48</f>
        <v>#DIV/0!</v>
      </c>
      <c r="Z56" s="9" t="e">
        <f t="shared" ref="Z56:AH56" si="9">Z48</f>
        <v>#DIV/0!</v>
      </c>
      <c r="AA56" s="9" t="e">
        <f t="shared" si="9"/>
        <v>#DIV/0!</v>
      </c>
      <c r="AB56" s="9" t="e">
        <f t="shared" si="9"/>
        <v>#DIV/0!</v>
      </c>
      <c r="AC56" s="9" t="e">
        <f t="shared" si="9"/>
        <v>#DIV/0!</v>
      </c>
      <c r="AD56" s="9" t="e">
        <f t="shared" si="9"/>
        <v>#DIV/0!</v>
      </c>
      <c r="AE56" s="9" t="e">
        <f t="shared" si="9"/>
        <v>#DIV/0!</v>
      </c>
      <c r="AF56" s="9" t="e">
        <f t="shared" si="9"/>
        <v>#DIV/0!</v>
      </c>
      <c r="AG56" s="9" t="e">
        <f t="shared" si="9"/>
        <v>#DIV/0!</v>
      </c>
      <c r="AH56" s="9" t="e">
        <f t="shared" si="9"/>
        <v>#DIV/0!</v>
      </c>
    </row>
    <row r="57" spans="7:34" x14ac:dyDescent="0.4">
      <c r="X57" s="9" t="s">
        <v>108</v>
      </c>
      <c r="Y57" s="9" t="e">
        <f>Y55+(Y58-Y56)*0.03*$C$25</f>
        <v>#DIV/0!</v>
      </c>
      <c r="Z57" s="9" t="e">
        <f t="shared" ref="Z57:AH57" si="10">Z55+(Z58-Z56)*0.03*$C$25</f>
        <v>#DIV/0!</v>
      </c>
      <c r="AA57" s="9" t="e">
        <f t="shared" si="10"/>
        <v>#DIV/0!</v>
      </c>
      <c r="AB57" s="9" t="e">
        <f t="shared" si="10"/>
        <v>#DIV/0!</v>
      </c>
      <c r="AC57" s="9" t="e">
        <f t="shared" si="10"/>
        <v>#DIV/0!</v>
      </c>
      <c r="AD57" s="9" t="e">
        <f t="shared" si="10"/>
        <v>#DIV/0!</v>
      </c>
      <c r="AE57" s="9" t="e">
        <f t="shared" si="10"/>
        <v>#DIV/0!</v>
      </c>
      <c r="AF57" s="9" t="e">
        <f t="shared" si="10"/>
        <v>#DIV/0!</v>
      </c>
      <c r="AG57" s="9" t="e">
        <f t="shared" si="10"/>
        <v>#DIV/0!</v>
      </c>
      <c r="AH57" s="9" t="e">
        <f t="shared" si="10"/>
        <v>#DIV/0!</v>
      </c>
    </row>
    <row r="58" spans="7:34" x14ac:dyDescent="0.4">
      <c r="X58" s="9" t="s">
        <v>109</v>
      </c>
      <c r="Y58" s="9" t="e">
        <f>Y56*17</f>
        <v>#DIV/0!</v>
      </c>
      <c r="Z58" s="9" t="e">
        <f t="shared" ref="Z58:AH58" si="11">Z56*17</f>
        <v>#DIV/0!</v>
      </c>
      <c r="AA58" s="9" t="e">
        <f t="shared" si="11"/>
        <v>#DIV/0!</v>
      </c>
      <c r="AB58" s="9" t="e">
        <f t="shared" si="11"/>
        <v>#DIV/0!</v>
      </c>
      <c r="AC58" s="9" t="e">
        <f t="shared" si="11"/>
        <v>#DIV/0!</v>
      </c>
      <c r="AD58" s="9" t="e">
        <f t="shared" si="11"/>
        <v>#DIV/0!</v>
      </c>
      <c r="AE58" s="9" t="e">
        <f t="shared" si="11"/>
        <v>#DIV/0!</v>
      </c>
      <c r="AF58" s="9" t="e">
        <f t="shared" si="11"/>
        <v>#DIV/0!</v>
      </c>
      <c r="AG58" s="9" t="e">
        <f t="shared" si="11"/>
        <v>#DIV/0!</v>
      </c>
      <c r="AH58" s="9" t="e">
        <f t="shared" si="11"/>
        <v>#DIV/0!</v>
      </c>
    </row>
    <row r="59" spans="7:34" x14ac:dyDescent="0.4">
      <c r="X59" s="9" t="s">
        <v>110</v>
      </c>
      <c r="Y59" s="9" t="e">
        <f>100*Y55</f>
        <v>#DIV/0!</v>
      </c>
      <c r="Z59" s="9" t="e">
        <f t="shared" ref="Z59:AH59" si="12">100*Z55</f>
        <v>#DIV/0!</v>
      </c>
      <c r="AA59" s="9" t="e">
        <f t="shared" si="12"/>
        <v>#DIV/0!</v>
      </c>
      <c r="AB59" s="9" t="e">
        <f t="shared" si="12"/>
        <v>#DIV/0!</v>
      </c>
      <c r="AC59" s="9" t="e">
        <f t="shared" si="12"/>
        <v>#DIV/0!</v>
      </c>
      <c r="AD59" s="9" t="e">
        <f t="shared" si="12"/>
        <v>#DIV/0!</v>
      </c>
      <c r="AE59" s="9" t="e">
        <f t="shared" si="12"/>
        <v>#DIV/0!</v>
      </c>
      <c r="AF59" s="9" t="e">
        <f t="shared" si="12"/>
        <v>#DIV/0!</v>
      </c>
      <c r="AG59" s="9" t="e">
        <f t="shared" si="12"/>
        <v>#DIV/0!</v>
      </c>
      <c r="AH59" s="9" t="e">
        <f t="shared" si="12"/>
        <v>#DIV/0!</v>
      </c>
    </row>
    <row r="60" spans="7:34" x14ac:dyDescent="0.4">
      <c r="X60" s="9" t="s">
        <v>111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</row>
    <row r="68" spans="1:7" x14ac:dyDescent="0.4">
      <c r="A68" s="7"/>
      <c r="B68" s="7" t="s">
        <v>87</v>
      </c>
      <c r="C68" s="7">
        <f>0.5*(C7*C6^3/12)</f>
        <v>34295000000</v>
      </c>
      <c r="D68" s="7" t="s">
        <v>66</v>
      </c>
      <c r="G68" s="6" t="s">
        <v>93</v>
      </c>
    </row>
    <row r="69" spans="1:7" x14ac:dyDescent="0.4">
      <c r="A69" s="7" t="s">
        <v>85</v>
      </c>
      <c r="B69" s="7" t="s">
        <v>86</v>
      </c>
      <c r="C69" s="7">
        <f>1.644*((C9/C5)^3)*C68</f>
        <v>111719238497.58569</v>
      </c>
      <c r="D69" s="7" t="s">
        <v>66</v>
      </c>
      <c r="E69" s="6">
        <f>C69/1000000000000</f>
        <v>0.11171923849758569</v>
      </c>
    </row>
  </sheetData>
  <mergeCells count="10">
    <mergeCell ref="A1:D1"/>
    <mergeCell ref="G1:J1"/>
    <mergeCell ref="A20:D20"/>
    <mergeCell ref="C37:C39"/>
    <mergeCell ref="AD43:AH43"/>
    <mergeCell ref="C40:C42"/>
    <mergeCell ref="D37:D39"/>
    <mergeCell ref="D40:D42"/>
    <mergeCell ref="A36:D36"/>
    <mergeCell ref="Y43:AB4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4553-2F75-4628-914C-F8149FCC9C38}">
  <dimension ref="A2:N74"/>
  <sheetViews>
    <sheetView topLeftCell="A13" zoomScale="90" zoomScaleNormal="90" workbookViewId="0">
      <selection activeCell="E2" sqref="E2"/>
    </sheetView>
  </sheetViews>
  <sheetFormatPr defaultColWidth="9.1328125" defaultRowHeight="13.9" x14ac:dyDescent="0.4"/>
  <cols>
    <col min="1" max="1" width="34.46484375" style="13" customWidth="1"/>
    <col min="2" max="2" width="13" style="13" bestFit="1" customWidth="1"/>
    <col min="3" max="5" width="11.86328125" style="13" bestFit="1" customWidth="1"/>
    <col min="6" max="7" width="9.1328125" style="13" bestFit="1" customWidth="1"/>
    <col min="8" max="10" width="11.86328125" style="13" bestFit="1" customWidth="1"/>
    <col min="11" max="12" width="13" style="13" bestFit="1" customWidth="1"/>
    <col min="13" max="14" width="10.73046875" style="13" bestFit="1" customWidth="1"/>
    <col min="15" max="16384" width="9.1328125" style="13"/>
  </cols>
  <sheetData>
    <row r="2" spans="1:7" x14ac:dyDescent="0.4">
      <c r="A2" s="14" t="s">
        <v>113</v>
      </c>
      <c r="B2" s="14">
        <v>5.6</v>
      </c>
      <c r="C2" s="14" t="s">
        <v>21</v>
      </c>
      <c r="E2" s="15" t="s">
        <v>121</v>
      </c>
      <c r="F2" s="15">
        <f>((B8*B3*SIN(2*B12)/(4*B9*B10*B4)))^0.25</f>
        <v>2.6698061324729339E-3</v>
      </c>
      <c r="G2" s="15"/>
    </row>
    <row r="3" spans="1:7" x14ac:dyDescent="0.4">
      <c r="A3" s="14" t="s">
        <v>44</v>
      </c>
      <c r="B3" s="14">
        <v>120</v>
      </c>
      <c r="C3" s="14" t="s">
        <v>20</v>
      </c>
      <c r="E3" s="15" t="s">
        <v>5</v>
      </c>
      <c r="F3" s="15">
        <f>0.175*(F2*B6)^(-0.4)*B11</f>
        <v>253.16011043515113</v>
      </c>
      <c r="G3" s="15" t="s">
        <v>20</v>
      </c>
    </row>
    <row r="4" spans="1:7" x14ac:dyDescent="0.4">
      <c r="A4" s="14" t="s">
        <v>42</v>
      </c>
      <c r="B4" s="14">
        <v>2500</v>
      </c>
      <c r="C4" s="14" t="s">
        <v>20</v>
      </c>
      <c r="E4" s="15"/>
      <c r="F4" s="15"/>
      <c r="G4" s="15"/>
    </row>
    <row r="5" spans="1:7" x14ac:dyDescent="0.4">
      <c r="A5" s="14" t="s">
        <v>43</v>
      </c>
      <c r="B5" s="14">
        <v>1900</v>
      </c>
      <c r="C5" s="14" t="s">
        <v>20</v>
      </c>
      <c r="E5" s="15" t="s">
        <v>122</v>
      </c>
      <c r="F5" s="15">
        <f>F3*B3*B8/B11</f>
        <v>47583.138151589963</v>
      </c>
      <c r="G5" s="15"/>
    </row>
    <row r="6" spans="1:7" x14ac:dyDescent="0.4">
      <c r="A6" s="14" t="s">
        <v>40</v>
      </c>
      <c r="B6" s="14">
        <v>2600</v>
      </c>
      <c r="C6" s="14" t="s">
        <v>20</v>
      </c>
      <c r="E6" s="15"/>
      <c r="F6" s="15"/>
      <c r="G6" s="15"/>
    </row>
    <row r="7" spans="1:7" x14ac:dyDescent="0.4">
      <c r="A7" s="14" t="s">
        <v>41</v>
      </c>
      <c r="B7" s="14">
        <v>2100</v>
      </c>
      <c r="C7" s="14" t="s">
        <v>20</v>
      </c>
      <c r="E7" s="15" t="s">
        <v>123</v>
      </c>
      <c r="F7" s="15">
        <v>0.502</v>
      </c>
      <c r="G7" s="15" t="s">
        <v>21</v>
      </c>
    </row>
    <row r="8" spans="1:7" x14ac:dyDescent="0.4">
      <c r="A8" s="14" t="s">
        <v>114</v>
      </c>
      <c r="B8" s="14">
        <v>4918.3</v>
      </c>
      <c r="C8" s="14" t="s">
        <v>116</v>
      </c>
      <c r="E8" s="15" t="s">
        <v>124</v>
      </c>
      <c r="F8" s="15">
        <f>F7*B3*B5</f>
        <v>114456</v>
      </c>
      <c r="G8" s="15" t="s">
        <v>75</v>
      </c>
    </row>
    <row r="9" spans="1:7" x14ac:dyDescent="0.4">
      <c r="A9" s="14" t="s">
        <v>115</v>
      </c>
      <c r="B9" s="14">
        <v>7125.3</v>
      </c>
      <c r="C9" s="14" t="s">
        <v>116</v>
      </c>
      <c r="E9" s="15" t="s">
        <v>125</v>
      </c>
      <c r="F9" s="15">
        <f>F8/COS(B14)</f>
        <v>182156.99615531249</v>
      </c>
      <c r="G9" s="15" t="s">
        <v>75</v>
      </c>
    </row>
    <row r="10" spans="1:7" x14ac:dyDescent="0.4">
      <c r="A10" s="14" t="s">
        <v>65</v>
      </c>
      <c r="B10" s="14">
        <v>157080000</v>
      </c>
      <c r="C10" s="14" t="s">
        <v>66</v>
      </c>
      <c r="E10" s="15" t="s">
        <v>126</v>
      </c>
      <c r="F10" s="15">
        <f>F9/F5</f>
        <v>3.8281837480957699</v>
      </c>
      <c r="G10" s="15" t="s">
        <v>20</v>
      </c>
    </row>
    <row r="11" spans="1:7" x14ac:dyDescent="0.4">
      <c r="A11" s="14" t="s">
        <v>117</v>
      </c>
      <c r="B11" s="14">
        <f>(B4^2+B5^2)^0.5</f>
        <v>3140.0636936215164</v>
      </c>
      <c r="C11" s="14" t="s">
        <v>20</v>
      </c>
      <c r="E11" s="15" t="s">
        <v>127</v>
      </c>
      <c r="F11" s="15">
        <f>F10/COS(B14)</f>
        <v>6.0925635378111318</v>
      </c>
      <c r="G11" s="15" t="s">
        <v>20</v>
      </c>
    </row>
    <row r="12" spans="1:7" x14ac:dyDescent="0.4">
      <c r="A12" s="14" t="s">
        <v>118</v>
      </c>
      <c r="B12" s="14">
        <f>ATAN(B4/B5)</f>
        <v>0.92092587738294907</v>
      </c>
      <c r="C12" s="14" t="s">
        <v>63</v>
      </c>
      <c r="E12" s="15"/>
      <c r="F12" s="15"/>
      <c r="G12" s="15"/>
    </row>
    <row r="13" spans="1:7" x14ac:dyDescent="0.4">
      <c r="A13" s="14" t="s">
        <v>68</v>
      </c>
      <c r="B13" s="14">
        <f>(B6^2+B7^2)^0.5</f>
        <v>3342.1549934136806</v>
      </c>
      <c r="C13" s="14" t="s">
        <v>20</v>
      </c>
      <c r="E13" s="15" t="s">
        <v>128</v>
      </c>
      <c r="F13" s="15">
        <f>F5*B13/B8</f>
        <v>32334.388462604842</v>
      </c>
      <c r="G13" s="15" t="s">
        <v>73</v>
      </c>
    </row>
    <row r="14" spans="1:7" x14ac:dyDescent="0.4">
      <c r="A14" s="14" t="s">
        <v>119</v>
      </c>
      <c r="B14" s="14">
        <f>ATAN(B6/B7)</f>
        <v>0.89138252138704821</v>
      </c>
      <c r="C14" s="14" t="s">
        <v>63</v>
      </c>
    </row>
    <row r="15" spans="1:7" x14ac:dyDescent="0.4">
      <c r="A15" s="14" t="s">
        <v>120</v>
      </c>
      <c r="B15" s="14"/>
      <c r="C15" s="14"/>
    </row>
    <row r="18" spans="1:7" x14ac:dyDescent="0.4">
      <c r="A18" s="16" t="s">
        <v>87</v>
      </c>
      <c r="B18" s="16">
        <f>(B5*B3^3)/24</f>
        <v>136800000</v>
      </c>
      <c r="C18" s="16" t="s">
        <v>66</v>
      </c>
    </row>
    <row r="19" spans="1:7" x14ac:dyDescent="0.4">
      <c r="A19" s="16" t="s">
        <v>86</v>
      </c>
      <c r="B19" s="16">
        <f>1.644*B18*(B13/B4)^3</f>
        <v>537338111.01262522</v>
      </c>
      <c r="C19" s="16" t="s">
        <v>66</v>
      </c>
    </row>
    <row r="20" spans="1:7" x14ac:dyDescent="0.4">
      <c r="A20" s="16"/>
      <c r="B20" s="16"/>
      <c r="C20" s="16"/>
    </row>
    <row r="21" spans="1:7" x14ac:dyDescent="0.4">
      <c r="A21" s="16" t="s">
        <v>80</v>
      </c>
      <c r="B21" s="16">
        <f>0.7*B2*0.022/(B4/B3)</f>
        <v>4.1395199999999998E-3</v>
      </c>
      <c r="C21" s="16"/>
    </row>
    <row r="22" spans="1:7" x14ac:dyDescent="0.4">
      <c r="A22" s="16" t="s">
        <v>4</v>
      </c>
      <c r="B22" s="16">
        <f>(B21*B5*B4^2)/8</f>
        <v>6144600</v>
      </c>
      <c r="C22" s="16" t="s">
        <v>81</v>
      </c>
    </row>
    <row r="23" spans="1:7" x14ac:dyDescent="0.4">
      <c r="A23" s="16" t="s">
        <v>129</v>
      </c>
      <c r="B23" s="16">
        <f>1.57*B13*B22/B4</f>
        <v>12896737.099548653</v>
      </c>
      <c r="C23" s="16" t="s">
        <v>81</v>
      </c>
    </row>
    <row r="24" spans="1:7" x14ac:dyDescent="0.4">
      <c r="A24" s="16" t="s">
        <v>130</v>
      </c>
      <c r="B24" s="16">
        <f>B23</f>
        <v>12896737.099548653</v>
      </c>
      <c r="C24" s="16" t="s">
        <v>81</v>
      </c>
    </row>
    <row r="27" spans="1:7" x14ac:dyDescent="0.4">
      <c r="A27" s="17"/>
      <c r="B27" s="17">
        <v>1</v>
      </c>
      <c r="C27" s="17">
        <v>2</v>
      </c>
      <c r="D27" s="17">
        <v>3</v>
      </c>
      <c r="E27" s="17">
        <v>4</v>
      </c>
      <c r="F27" s="17">
        <v>5</v>
      </c>
      <c r="G27" s="17">
        <v>6</v>
      </c>
    </row>
    <row r="28" spans="1:7" x14ac:dyDescent="0.4">
      <c r="A28" s="17" t="s">
        <v>131</v>
      </c>
      <c r="B28" s="17">
        <f>(B27-1)*$B$24/5</f>
        <v>0</v>
      </c>
      <c r="C28" s="17">
        <f t="shared" ref="C28:G28" si="0">(C27-1)*$B$24/5</f>
        <v>2579347.4199097306</v>
      </c>
      <c r="D28" s="17">
        <f t="shared" si="0"/>
        <v>5158694.8398194611</v>
      </c>
      <c r="E28" s="17">
        <f t="shared" si="0"/>
        <v>7738042.2597291917</v>
      </c>
      <c r="F28" s="17">
        <f t="shared" si="0"/>
        <v>10317389.679638922</v>
      </c>
      <c r="G28" s="17">
        <f t="shared" si="0"/>
        <v>12896737.099548653</v>
      </c>
    </row>
    <row r="29" spans="1:7" x14ac:dyDescent="0.4">
      <c r="A29" s="17" t="s">
        <v>132</v>
      </c>
      <c r="B29" s="17">
        <f>$F$9*(1-(B28/$B$24)^1.5)^(2/3)</f>
        <v>182156.99615531249</v>
      </c>
      <c r="C29" s="17">
        <f t="shared" ref="C29:G29" si="1">$F$9*(1-(C28/$B$24)^1.5)^(2/3)</f>
        <v>171126.54030120862</v>
      </c>
      <c r="D29" s="17">
        <f t="shared" si="1"/>
        <v>149968.42066767818</v>
      </c>
      <c r="E29" s="17">
        <f t="shared" si="1"/>
        <v>120082.38684810513</v>
      </c>
      <c r="F29" s="17">
        <f t="shared" si="1"/>
        <v>78787.661264765076</v>
      </c>
      <c r="G29" s="17">
        <f t="shared" si="1"/>
        <v>0</v>
      </c>
    </row>
    <row r="47" spans="1:14" x14ac:dyDescent="0.4">
      <c r="A47" s="8"/>
      <c r="B47" s="8">
        <v>1</v>
      </c>
      <c r="C47" s="8">
        <v>2</v>
      </c>
      <c r="D47" s="8">
        <v>3</v>
      </c>
      <c r="E47" s="8">
        <v>4</v>
      </c>
      <c r="F47" s="8">
        <v>5</v>
      </c>
      <c r="G47" s="8">
        <v>6</v>
      </c>
      <c r="H47" s="8">
        <v>7</v>
      </c>
      <c r="I47" s="8">
        <v>8</v>
      </c>
      <c r="J47" s="8">
        <v>9</v>
      </c>
      <c r="K47" s="8">
        <v>10</v>
      </c>
      <c r="L47" s="8" t="s">
        <v>101</v>
      </c>
      <c r="M47" s="8"/>
      <c r="N47" s="8"/>
    </row>
    <row r="48" spans="1:14" x14ac:dyDescent="0.4">
      <c r="A48" s="8" t="s">
        <v>133</v>
      </c>
      <c r="B48" s="8">
        <f>(B29-C29)/2</f>
        <v>5515.2279270519357</v>
      </c>
      <c r="C48" s="8">
        <f t="shared" ref="C48:F48" si="2">(C29-D29)/2</f>
        <v>10579.059816765221</v>
      </c>
      <c r="D48" s="8">
        <f t="shared" si="2"/>
        <v>14943.016909786522</v>
      </c>
      <c r="E48" s="8">
        <f t="shared" si="2"/>
        <v>20647.362791670028</v>
      </c>
      <c r="F48" s="8">
        <f t="shared" si="2"/>
        <v>39393.830632382538</v>
      </c>
      <c r="G48" s="8">
        <f>F48</f>
        <v>39393.830632382538</v>
      </c>
      <c r="H48" s="8">
        <f>E48</f>
        <v>20647.362791670028</v>
      </c>
      <c r="I48" s="8">
        <f>D48</f>
        <v>14943.016909786522</v>
      </c>
      <c r="J48" s="8">
        <f>C48</f>
        <v>10579.059816765221</v>
      </c>
      <c r="K48" s="8">
        <f>B48</f>
        <v>5515.2279270519357</v>
      </c>
      <c r="L48" s="8">
        <f>SUM(B48:K48)</f>
        <v>182156.99615531252</v>
      </c>
      <c r="M48" s="8"/>
      <c r="N48" s="8"/>
    </row>
    <row r="49" spans="1:14" x14ac:dyDescent="0.4">
      <c r="A49" s="8" t="s">
        <v>134</v>
      </c>
      <c r="B49" s="8">
        <f>(C28-B28)/(2*B48)</f>
        <v>233.83869660745586</v>
      </c>
      <c r="C49" s="8">
        <f t="shared" ref="C49:F49" si="3">(D28-C28)/(2*C48)</f>
        <v>121.90815935373085</v>
      </c>
      <c r="D49" s="8">
        <f t="shared" si="3"/>
        <v>86.30611326620587</v>
      </c>
      <c r="E49" s="8">
        <f t="shared" si="3"/>
        <v>62.461909686363008</v>
      </c>
      <c r="F49" s="8">
        <f t="shared" si="3"/>
        <v>32.737961484119467</v>
      </c>
      <c r="G49" s="8">
        <f>-F49</f>
        <v>-32.737961484119467</v>
      </c>
      <c r="H49" s="8">
        <f>-E49</f>
        <v>-62.461909686363008</v>
      </c>
      <c r="I49" s="8">
        <f>-D49</f>
        <v>-86.30611326620587</v>
      </c>
      <c r="J49" s="8">
        <f>-C49</f>
        <v>-121.90815935373085</v>
      </c>
      <c r="K49" s="8">
        <f>-B49</f>
        <v>-233.83869660745586</v>
      </c>
      <c r="L49" s="8"/>
      <c r="M49" s="8"/>
      <c r="N49" s="8"/>
    </row>
    <row r="50" spans="1:14" x14ac:dyDescent="0.4">
      <c r="A50" s="8" t="s">
        <v>96</v>
      </c>
      <c r="B50" s="56">
        <v>2958.6529999999998</v>
      </c>
      <c r="C50" s="57"/>
      <c r="D50" s="57"/>
      <c r="E50" s="57"/>
      <c r="F50" s="57"/>
      <c r="G50" s="8" t="s">
        <v>135</v>
      </c>
      <c r="H50" s="56">
        <v>1.9859290000000002E-2</v>
      </c>
      <c r="I50" s="57"/>
      <c r="J50" s="57"/>
      <c r="K50" s="57"/>
      <c r="L50" s="57"/>
      <c r="M50" s="8"/>
      <c r="N50" s="8"/>
    </row>
    <row r="51" spans="1:14" x14ac:dyDescent="0.4">
      <c r="A51" s="8" t="s">
        <v>136</v>
      </c>
      <c r="B51" s="8">
        <f>$B$50*(ABS(B49)^$H$50)</f>
        <v>3297.1524661608532</v>
      </c>
      <c r="C51" s="8">
        <f t="shared" ref="C51:K51" si="4">$B$50*(ABS(C49)^$H$50)</f>
        <v>3254.7764317486526</v>
      </c>
      <c r="D51" s="8">
        <f t="shared" si="4"/>
        <v>3232.5291023906252</v>
      </c>
      <c r="E51" s="8">
        <f t="shared" si="4"/>
        <v>3211.8383316555169</v>
      </c>
      <c r="F51" s="8">
        <f t="shared" si="4"/>
        <v>3170.8951556600528</v>
      </c>
      <c r="G51" s="8">
        <f t="shared" si="4"/>
        <v>3170.8951556600528</v>
      </c>
      <c r="H51" s="8">
        <f t="shared" si="4"/>
        <v>3211.8383316555169</v>
      </c>
      <c r="I51" s="8">
        <f t="shared" si="4"/>
        <v>3232.5291023906252</v>
      </c>
      <c r="J51" s="8">
        <f t="shared" si="4"/>
        <v>3254.7764317486526</v>
      </c>
      <c r="K51" s="8">
        <f t="shared" si="4"/>
        <v>3297.1524661608532</v>
      </c>
      <c r="L51" s="8">
        <f>SUM(B51:K51)</f>
        <v>32334.382975231401</v>
      </c>
      <c r="M51" s="8">
        <f>F13</f>
        <v>32334.388462604842</v>
      </c>
      <c r="N51" s="8">
        <f>L51/M51</f>
        <v>0.99999983029295736</v>
      </c>
    </row>
    <row r="52" spans="1:14" x14ac:dyDescent="0.4">
      <c r="A52" s="8" t="s">
        <v>137</v>
      </c>
      <c r="B52" s="8">
        <f>B51*B49^2</f>
        <v>180290064.22585234</v>
      </c>
      <c r="C52" s="8">
        <f t="shared" ref="C52:K52" si="5">C51*C49^2</f>
        <v>48371183.195111111</v>
      </c>
      <c r="D52" s="8">
        <f t="shared" si="5"/>
        <v>24078285.593654778</v>
      </c>
      <c r="E52" s="8">
        <f t="shared" si="5"/>
        <v>12530955.651820134</v>
      </c>
      <c r="F52" s="8">
        <f t="shared" si="5"/>
        <v>3398483.3718418637</v>
      </c>
      <c r="G52" s="8">
        <f t="shared" si="5"/>
        <v>3398483.3718418637</v>
      </c>
      <c r="H52" s="8">
        <f t="shared" si="5"/>
        <v>12530955.651820134</v>
      </c>
      <c r="I52" s="8">
        <f t="shared" si="5"/>
        <v>24078285.593654778</v>
      </c>
      <c r="J52" s="8">
        <f t="shared" si="5"/>
        <v>48371183.195111111</v>
      </c>
      <c r="K52" s="8">
        <f t="shared" si="5"/>
        <v>180290064.22585234</v>
      </c>
      <c r="L52" s="8">
        <f>SUM(B52:K52)</f>
        <v>537337944.07656038</v>
      </c>
      <c r="M52" s="8">
        <f>B19</f>
        <v>537338111.01262522</v>
      </c>
      <c r="N52" s="8">
        <f>L52/M52</f>
        <v>0.99999968932770367</v>
      </c>
    </row>
    <row r="53" spans="1:14" x14ac:dyDescent="0.4">
      <c r="A53" s="8" t="s">
        <v>138</v>
      </c>
      <c r="B53" s="8">
        <f>B48/B51</f>
        <v>1.6727245657140541</v>
      </c>
      <c r="C53" s="8">
        <f>C48/C51</f>
        <v>3.2503184285015676</v>
      </c>
      <c r="D53" s="8">
        <f t="shared" ref="D53:K53" si="6">D48/D51</f>
        <v>4.6227014317474744</v>
      </c>
      <c r="E53" s="8">
        <f t="shared" si="6"/>
        <v>6.4285187047467316</v>
      </c>
      <c r="F53" s="8">
        <f t="shared" si="6"/>
        <v>12.423567698876607</v>
      </c>
      <c r="G53" s="8">
        <f t="shared" si="6"/>
        <v>12.423567698876607</v>
      </c>
      <c r="H53" s="8">
        <f t="shared" si="6"/>
        <v>6.4285187047467316</v>
      </c>
      <c r="I53" s="8">
        <f t="shared" si="6"/>
        <v>4.6227014317474744</v>
      </c>
      <c r="J53" s="8">
        <f t="shared" si="6"/>
        <v>3.2503184285015676</v>
      </c>
      <c r="K53" s="8">
        <f t="shared" si="6"/>
        <v>1.6727245657140541</v>
      </c>
      <c r="L53" s="8"/>
      <c r="M53" s="8"/>
      <c r="N53" s="8"/>
    </row>
    <row r="54" spans="1:14" x14ac:dyDescent="0.4">
      <c r="A54" s="8" t="s">
        <v>139</v>
      </c>
      <c r="B54" s="8">
        <f>B53/$B$8</f>
        <v>3.4010218280992497E-4</v>
      </c>
      <c r="C54" s="8">
        <f t="shared" ref="C54:K54" si="7">C53/$B$8</f>
        <v>6.6086217361721882E-4</v>
      </c>
      <c r="D54" s="8">
        <f t="shared" si="7"/>
        <v>9.3989822331851948E-4</v>
      </c>
      <c r="E54" s="8">
        <f t="shared" si="7"/>
        <v>1.3070611196443348E-3</v>
      </c>
      <c r="F54" s="8">
        <f t="shared" si="7"/>
        <v>2.5259881867467633E-3</v>
      </c>
      <c r="G54" s="8">
        <f t="shared" si="7"/>
        <v>2.5259881867467633E-3</v>
      </c>
      <c r="H54" s="8">
        <f t="shared" si="7"/>
        <v>1.3070611196443348E-3</v>
      </c>
      <c r="I54" s="8">
        <f t="shared" si="7"/>
        <v>9.3989822331851948E-4</v>
      </c>
      <c r="J54" s="8">
        <f t="shared" si="7"/>
        <v>6.6086217361721882E-4</v>
      </c>
      <c r="K54" s="8">
        <f t="shared" si="7"/>
        <v>3.4010218280992497E-4</v>
      </c>
      <c r="L54" s="8"/>
      <c r="M54" s="8"/>
      <c r="N54" s="8"/>
    </row>
    <row r="57" spans="1:14" x14ac:dyDescent="0.4">
      <c r="A57" s="8" t="s">
        <v>140</v>
      </c>
      <c r="B57" s="8">
        <v>1</v>
      </c>
      <c r="C57" s="8">
        <v>2</v>
      </c>
      <c r="D57" s="8">
        <v>3</v>
      </c>
      <c r="E57" s="8">
        <v>4</v>
      </c>
      <c r="F57" s="8">
        <v>5</v>
      </c>
      <c r="G57" s="8">
        <v>6</v>
      </c>
      <c r="H57" s="8">
        <v>7</v>
      </c>
      <c r="I57" s="8">
        <v>8</v>
      </c>
      <c r="J57" s="8">
        <v>9</v>
      </c>
      <c r="K57" s="8">
        <v>10</v>
      </c>
    </row>
    <row r="58" spans="1:14" x14ac:dyDescent="0.4">
      <c r="A58" s="8" t="s">
        <v>141</v>
      </c>
      <c r="B58" s="8">
        <f>B53</f>
        <v>1.6727245657140541</v>
      </c>
      <c r="C58" s="8">
        <f t="shared" ref="C58:K58" si="8">C53</f>
        <v>3.2503184285015676</v>
      </c>
      <c r="D58" s="8">
        <f t="shared" si="8"/>
        <v>4.6227014317474744</v>
      </c>
      <c r="E58" s="8">
        <f t="shared" si="8"/>
        <v>6.4285187047467316</v>
      </c>
      <c r="F58" s="8">
        <f t="shared" si="8"/>
        <v>12.423567698876607</v>
      </c>
      <c r="G58" s="8">
        <f t="shared" si="8"/>
        <v>12.423567698876607</v>
      </c>
      <c r="H58" s="8">
        <f t="shared" si="8"/>
        <v>6.4285187047467316</v>
      </c>
      <c r="I58" s="8">
        <f t="shared" si="8"/>
        <v>4.6227014317474744</v>
      </c>
      <c r="J58" s="8">
        <f t="shared" si="8"/>
        <v>3.2503184285015676</v>
      </c>
      <c r="K58" s="8">
        <f t="shared" si="8"/>
        <v>1.6727245657140541</v>
      </c>
    </row>
    <row r="59" spans="1:14" x14ac:dyDescent="0.4">
      <c r="A59" s="8" t="s">
        <v>142</v>
      </c>
      <c r="B59" s="8">
        <f>B54</f>
        <v>3.4010218280992497E-4</v>
      </c>
      <c r="C59" s="8">
        <f t="shared" ref="C59:K59" si="9">C54</f>
        <v>6.6086217361721882E-4</v>
      </c>
      <c r="D59" s="8">
        <f t="shared" si="9"/>
        <v>9.3989822331851948E-4</v>
      </c>
      <c r="E59" s="8">
        <f t="shared" si="9"/>
        <v>1.3070611196443348E-3</v>
      </c>
      <c r="F59" s="8">
        <f t="shared" si="9"/>
        <v>2.5259881867467633E-3</v>
      </c>
      <c r="G59" s="8">
        <f t="shared" si="9"/>
        <v>2.5259881867467633E-3</v>
      </c>
      <c r="H59" s="8">
        <f t="shared" si="9"/>
        <v>1.3070611196443348E-3</v>
      </c>
      <c r="I59" s="8">
        <f t="shared" si="9"/>
        <v>9.3989822331851948E-4</v>
      </c>
      <c r="J59" s="8">
        <f t="shared" si="9"/>
        <v>6.6086217361721882E-4</v>
      </c>
      <c r="K59" s="8">
        <f t="shared" si="9"/>
        <v>3.4010218280992497E-4</v>
      </c>
    </row>
    <row r="60" spans="1:14" x14ac:dyDescent="0.4">
      <c r="A60" s="8" t="s">
        <v>143</v>
      </c>
      <c r="B60" s="8">
        <f>B58+(B61-B59)*0.03*$B$8</f>
        <v>2.4756323572568002</v>
      </c>
      <c r="C60" s="8">
        <f t="shared" ref="C60:K60" si="10">C58+(C61-C59)*0.03*$B$8</f>
        <v>4.8104712741823201</v>
      </c>
      <c r="D60" s="8">
        <f t="shared" si="10"/>
        <v>6.841598118986262</v>
      </c>
      <c r="E60" s="8">
        <f t="shared" si="10"/>
        <v>9.5142076830251625</v>
      </c>
      <c r="F60" s="8">
        <f t="shared" si="10"/>
        <v>18.38688019433738</v>
      </c>
      <c r="G60" s="8">
        <f t="shared" si="10"/>
        <v>18.38688019433738</v>
      </c>
      <c r="H60" s="8">
        <f t="shared" si="10"/>
        <v>9.5142076830251625</v>
      </c>
      <c r="I60" s="8">
        <f t="shared" si="10"/>
        <v>6.841598118986262</v>
      </c>
      <c r="J60" s="8">
        <f t="shared" si="10"/>
        <v>4.8104712741823201</v>
      </c>
      <c r="K60" s="8">
        <f t="shared" si="10"/>
        <v>2.4756323572568002</v>
      </c>
    </row>
    <row r="61" spans="1:14" x14ac:dyDescent="0.4">
      <c r="A61" s="8" t="s">
        <v>144</v>
      </c>
      <c r="B61" s="8">
        <f>17*B59</f>
        <v>5.7817371077687248E-3</v>
      </c>
      <c r="C61" s="8">
        <f t="shared" ref="C61:K61" si="11">17*C59</f>
        <v>1.1234656951492721E-2</v>
      </c>
      <c r="D61" s="8">
        <f t="shared" si="11"/>
        <v>1.597826979641483E-2</v>
      </c>
      <c r="E61" s="8">
        <f t="shared" si="11"/>
        <v>2.2220039033953691E-2</v>
      </c>
      <c r="F61" s="8">
        <f t="shared" si="11"/>
        <v>4.2941799174694976E-2</v>
      </c>
      <c r="G61" s="8">
        <f t="shared" si="11"/>
        <v>4.2941799174694976E-2</v>
      </c>
      <c r="H61" s="8">
        <f t="shared" si="11"/>
        <v>2.2220039033953691E-2</v>
      </c>
      <c r="I61" s="8">
        <f t="shared" si="11"/>
        <v>1.597826979641483E-2</v>
      </c>
      <c r="J61" s="8">
        <f t="shared" si="11"/>
        <v>1.1234656951492721E-2</v>
      </c>
      <c r="K61" s="8">
        <f t="shared" si="11"/>
        <v>5.7817371077687248E-3</v>
      </c>
    </row>
    <row r="62" spans="1:14" x14ac:dyDescent="0.4">
      <c r="A62" s="8" t="s">
        <v>145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</row>
    <row r="63" spans="1:14" x14ac:dyDescent="0.4">
      <c r="A63" s="8" t="s">
        <v>146</v>
      </c>
      <c r="B63" s="8">
        <f>B59*100</f>
        <v>3.4010218280992495E-2</v>
      </c>
      <c r="C63" s="8">
        <f t="shared" ref="C63:K63" si="12">C59*100</f>
        <v>6.6086217361721877E-2</v>
      </c>
      <c r="D63" s="8">
        <f t="shared" si="12"/>
        <v>9.3989822331851949E-2</v>
      </c>
      <c r="E63" s="8">
        <f t="shared" si="12"/>
        <v>0.13070611196443349</v>
      </c>
      <c r="F63" s="8">
        <f t="shared" si="12"/>
        <v>0.25259881867467632</v>
      </c>
      <c r="G63" s="8">
        <f t="shared" si="12"/>
        <v>0.25259881867467632</v>
      </c>
      <c r="H63" s="8">
        <f t="shared" si="12"/>
        <v>0.13070611196443349</v>
      </c>
      <c r="I63" s="8">
        <f t="shared" si="12"/>
        <v>9.3989822331851949E-2</v>
      </c>
      <c r="J63" s="8">
        <f t="shared" si="12"/>
        <v>6.6086217361721877E-2</v>
      </c>
      <c r="K63" s="8">
        <f t="shared" si="12"/>
        <v>3.4010218280992495E-2</v>
      </c>
    </row>
    <row r="68" spans="2:3" x14ac:dyDescent="0.4">
      <c r="B68" s="13">
        <f>-B74</f>
        <v>-0.25259881867467632</v>
      </c>
      <c r="C68" s="13">
        <f>-C74</f>
        <v>0</v>
      </c>
    </row>
    <row r="69" spans="2:3" x14ac:dyDescent="0.4">
      <c r="B69" s="13">
        <f>-B73</f>
        <v>-4.2941799174694976E-2</v>
      </c>
      <c r="C69" s="13">
        <f>-C73</f>
        <v>-18.38688019433738</v>
      </c>
    </row>
    <row r="70" spans="2:3" x14ac:dyDescent="0.4">
      <c r="B70" s="13">
        <f>-B72</f>
        <v>-2.5259881867467633E-3</v>
      </c>
      <c r="C70" s="13">
        <f>-C72</f>
        <v>-12.423567698876607</v>
      </c>
    </row>
    <row r="71" spans="2:3" x14ac:dyDescent="0.4">
      <c r="B71" s="13">
        <v>0</v>
      </c>
      <c r="C71" s="13">
        <v>0</v>
      </c>
    </row>
    <row r="72" spans="2:3" x14ac:dyDescent="0.4">
      <c r="B72" s="13">
        <v>2.5259881867467633E-3</v>
      </c>
      <c r="C72" s="13">
        <v>12.423567698876607</v>
      </c>
    </row>
    <row r="73" spans="2:3" x14ac:dyDescent="0.4">
      <c r="B73" s="13">
        <v>4.2941799174694976E-2</v>
      </c>
      <c r="C73" s="13">
        <v>18.38688019433738</v>
      </c>
    </row>
    <row r="74" spans="2:3" x14ac:dyDescent="0.4">
      <c r="B74" s="13">
        <v>0.25259881867467632</v>
      </c>
      <c r="C74" s="13">
        <v>0</v>
      </c>
    </row>
  </sheetData>
  <mergeCells count="2">
    <mergeCell ref="B50:F50"/>
    <mergeCell ref="H50:L5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18CBD-F2D5-42B6-8EB8-0AF0518F24E5}">
  <dimension ref="A2:N74"/>
  <sheetViews>
    <sheetView zoomScale="90" zoomScaleNormal="90" workbookViewId="0">
      <selection activeCell="A54" sqref="A54"/>
    </sheetView>
  </sheetViews>
  <sheetFormatPr defaultColWidth="9.1328125" defaultRowHeight="13.9" x14ac:dyDescent="0.4"/>
  <cols>
    <col min="1" max="1" width="34.46484375" style="18" customWidth="1"/>
    <col min="2" max="2" width="13.1328125" style="18" bestFit="1" customWidth="1"/>
    <col min="3" max="3" width="11.86328125" style="18" bestFit="1" customWidth="1"/>
    <col min="4" max="5" width="12.46484375" style="18" bestFit="1" customWidth="1"/>
    <col min="6" max="7" width="13.46484375" style="18" bestFit="1" customWidth="1"/>
    <col min="8" max="9" width="12.46484375" style="18" bestFit="1" customWidth="1"/>
    <col min="10" max="10" width="11.86328125" style="18" bestFit="1" customWidth="1"/>
    <col min="11" max="11" width="13.1328125" style="18" bestFit="1" customWidth="1"/>
    <col min="12" max="12" width="13" style="18" bestFit="1" customWidth="1"/>
    <col min="13" max="14" width="10.73046875" style="18" bestFit="1" customWidth="1"/>
    <col min="15" max="16384" width="9.1328125" style="18"/>
  </cols>
  <sheetData>
    <row r="2" spans="1:12" x14ac:dyDescent="0.4">
      <c r="A2" s="14" t="s">
        <v>113</v>
      </c>
      <c r="B2" s="14">
        <v>11.44</v>
      </c>
      <c r="C2" s="14" t="s">
        <v>21</v>
      </c>
      <c r="E2" s="15" t="s">
        <v>121</v>
      </c>
      <c r="F2" s="15">
        <f>((B8*B3*SIN(2*B12)/(4*B9*B10*B4)))^0.25</f>
        <v>3.4872747283026064E-3</v>
      </c>
      <c r="G2" s="15"/>
      <c r="K2" s="18" t="s">
        <v>147</v>
      </c>
      <c r="L2" s="18">
        <f>B3</f>
        <v>120</v>
      </c>
    </row>
    <row r="3" spans="1:12" x14ac:dyDescent="0.4">
      <c r="A3" s="14" t="s">
        <v>44</v>
      </c>
      <c r="B3" s="14">
        <v>120</v>
      </c>
      <c r="C3" s="14" t="s">
        <v>20</v>
      </c>
      <c r="E3" s="15" t="s">
        <v>5</v>
      </c>
      <c r="F3" s="15">
        <f>0.175*(F2*B6)^(-0.4)*B11</f>
        <v>227.50591994970034</v>
      </c>
      <c r="G3" s="15" t="s">
        <v>20</v>
      </c>
      <c r="K3" s="18" t="s">
        <v>5</v>
      </c>
      <c r="L3" s="18">
        <f>0.3/(F2*COS(B12))</f>
        <v>142.17392353631496</v>
      </c>
    </row>
    <row r="4" spans="1:12" x14ac:dyDescent="0.4">
      <c r="A4" s="14" t="s">
        <v>42</v>
      </c>
      <c r="B4" s="14">
        <v>2500</v>
      </c>
      <c r="C4" s="14" t="s">
        <v>20</v>
      </c>
      <c r="E4" s="15"/>
      <c r="F4" s="15"/>
      <c r="G4" s="15"/>
      <c r="K4" s="18" t="s">
        <v>148</v>
      </c>
      <c r="L4" s="18">
        <f>L2*L3</f>
        <v>17060.870824357797</v>
      </c>
    </row>
    <row r="5" spans="1:12" x14ac:dyDescent="0.4">
      <c r="A5" s="14" t="s">
        <v>43</v>
      </c>
      <c r="B5" s="14">
        <v>1900</v>
      </c>
      <c r="C5" s="14" t="s">
        <v>20</v>
      </c>
      <c r="E5" s="15" t="s">
        <v>122</v>
      </c>
      <c r="F5" s="15">
        <f>F3*B3*B8/B11</f>
        <v>124473.31366860667</v>
      </c>
      <c r="G5" s="15"/>
      <c r="K5" s="18" t="s">
        <v>149</v>
      </c>
      <c r="L5" s="18">
        <f>F8</f>
        <v>38760.000000000007</v>
      </c>
    </row>
    <row r="6" spans="1:12" x14ac:dyDescent="0.4">
      <c r="A6" s="14" t="s">
        <v>40</v>
      </c>
      <c r="B6" s="14">
        <v>2600</v>
      </c>
      <c r="C6" s="14" t="s">
        <v>20</v>
      </c>
      <c r="E6" s="15"/>
      <c r="F6" s="15"/>
      <c r="G6" s="15"/>
      <c r="K6" s="18" t="s">
        <v>150</v>
      </c>
      <c r="L6" s="18">
        <f>(L5*B11)/(L4*B13)</f>
        <v>2.1344915730288223</v>
      </c>
    </row>
    <row r="7" spans="1:12" x14ac:dyDescent="0.4">
      <c r="A7" s="14" t="s">
        <v>41</v>
      </c>
      <c r="B7" s="14">
        <v>2100</v>
      </c>
      <c r="C7" s="14" t="s">
        <v>20</v>
      </c>
      <c r="E7" s="15" t="s">
        <v>123</v>
      </c>
      <c r="F7" s="15">
        <v>0.17</v>
      </c>
      <c r="G7" s="15" t="s">
        <v>21</v>
      </c>
      <c r="K7" s="21" t="s">
        <v>139</v>
      </c>
      <c r="L7" s="18">
        <f>L6/B8</f>
        <v>1.4909177450696687E-4</v>
      </c>
    </row>
    <row r="8" spans="1:12" x14ac:dyDescent="0.4">
      <c r="A8" s="14" t="s">
        <v>114</v>
      </c>
      <c r="B8" s="14">
        <f>370*B2*B2^0.5</f>
        <v>14316.628667727609</v>
      </c>
      <c r="C8" s="14" t="s">
        <v>116</v>
      </c>
      <c r="E8" s="15" t="s">
        <v>124</v>
      </c>
      <c r="F8" s="15">
        <f>F7*B3*B5</f>
        <v>38760.000000000007</v>
      </c>
      <c r="G8" s="15" t="s">
        <v>75</v>
      </c>
    </row>
    <row r="9" spans="1:12" x14ac:dyDescent="0.4">
      <c r="A9" s="14" t="s">
        <v>115</v>
      </c>
      <c r="B9" s="14">
        <v>7125.3</v>
      </c>
      <c r="C9" s="14" t="s">
        <v>116</v>
      </c>
      <c r="E9" s="15" t="s">
        <v>125</v>
      </c>
      <c r="F9" s="15">
        <f>F8/COS(B14)</f>
        <v>61686.632164149662</v>
      </c>
      <c r="G9" s="15" t="s">
        <v>75</v>
      </c>
    </row>
    <row r="10" spans="1:12" x14ac:dyDescent="0.4">
      <c r="A10" s="14" t="s">
        <v>65</v>
      </c>
      <c r="B10" s="14">
        <v>157080000</v>
      </c>
      <c r="C10" s="14" t="s">
        <v>66</v>
      </c>
      <c r="E10" s="15" t="s">
        <v>126</v>
      </c>
      <c r="F10" s="15">
        <f>F9/F5</f>
        <v>0.49558118399886064</v>
      </c>
      <c r="G10" s="15" t="s">
        <v>20</v>
      </c>
    </row>
    <row r="11" spans="1:12" x14ac:dyDescent="0.4">
      <c r="A11" s="14" t="s">
        <v>117</v>
      </c>
      <c r="B11" s="14">
        <f>(B4^2+B5^2)^0.5</f>
        <v>3140.0636936215164</v>
      </c>
      <c r="C11" s="14" t="s">
        <v>20</v>
      </c>
      <c r="E11" s="15" t="s">
        <v>127</v>
      </c>
      <c r="F11" s="15">
        <f>F10/COS(B14)</f>
        <v>0.78871863273507437</v>
      </c>
      <c r="G11" s="15" t="s">
        <v>20</v>
      </c>
    </row>
    <row r="12" spans="1:12" x14ac:dyDescent="0.4">
      <c r="A12" s="14" t="s">
        <v>118</v>
      </c>
      <c r="B12" s="14">
        <f>ATAN(B4/B5)</f>
        <v>0.92092587738294907</v>
      </c>
      <c r="C12" s="14" t="s">
        <v>63</v>
      </c>
      <c r="E12" s="15"/>
      <c r="F12" s="15"/>
      <c r="G12" s="15"/>
    </row>
    <row r="13" spans="1:12" x14ac:dyDescent="0.4">
      <c r="A13" s="14" t="s">
        <v>68</v>
      </c>
      <c r="B13" s="14">
        <f>(B6^2+B7^2)^0.5</f>
        <v>3342.1549934136806</v>
      </c>
      <c r="C13" s="14" t="s">
        <v>20</v>
      </c>
      <c r="E13" s="15" t="s">
        <v>128</v>
      </c>
      <c r="F13" s="15">
        <f>F5*B13/B8</f>
        <v>29057.756297196171</v>
      </c>
      <c r="G13" s="15" t="s">
        <v>73</v>
      </c>
    </row>
    <row r="14" spans="1:12" x14ac:dyDescent="0.4">
      <c r="A14" s="14" t="s">
        <v>119</v>
      </c>
      <c r="B14" s="14">
        <f>ATAN(B6/B7)</f>
        <v>0.89138252138704821</v>
      </c>
      <c r="C14" s="14" t="s">
        <v>63</v>
      </c>
    </row>
    <row r="15" spans="1:12" x14ac:dyDescent="0.4">
      <c r="A15" s="14" t="s">
        <v>120</v>
      </c>
      <c r="B15" s="14"/>
      <c r="C15" s="14"/>
    </row>
    <row r="18" spans="1:7" x14ac:dyDescent="0.4">
      <c r="A18" s="16" t="s">
        <v>87</v>
      </c>
      <c r="B18" s="16">
        <f>(B5*B3^3)/24</f>
        <v>136800000</v>
      </c>
      <c r="C18" s="16" t="s">
        <v>66</v>
      </c>
    </row>
    <row r="19" spans="1:7" x14ac:dyDescent="0.4">
      <c r="A19" s="16" t="s">
        <v>86</v>
      </c>
      <c r="B19" s="16">
        <f>1.644*B18*(B13/B4)^3</f>
        <v>537338111.01262522</v>
      </c>
      <c r="C19" s="16" t="s">
        <v>66</v>
      </c>
    </row>
    <row r="20" spans="1:7" x14ac:dyDescent="0.4">
      <c r="A20" s="16"/>
      <c r="B20" s="16"/>
      <c r="C20" s="16"/>
    </row>
    <row r="21" spans="1:7" x14ac:dyDescent="0.4">
      <c r="A21" s="16" t="s">
        <v>80</v>
      </c>
      <c r="B21" s="16">
        <f>0.7*B2*0.022/(B4/B3)</f>
        <v>8.4564479999999984E-3</v>
      </c>
      <c r="C21" s="16"/>
    </row>
    <row r="22" spans="1:7" x14ac:dyDescent="0.4">
      <c r="A22" s="16" t="s">
        <v>4</v>
      </c>
      <c r="B22" s="16">
        <f>(B21*B5*B4^2)/8</f>
        <v>12552539.999999998</v>
      </c>
      <c r="C22" s="16" t="s">
        <v>81</v>
      </c>
    </row>
    <row r="23" spans="1:7" x14ac:dyDescent="0.4">
      <c r="A23" s="16" t="s">
        <v>129</v>
      </c>
      <c r="B23" s="16">
        <f>1.57*B13*B22/B4</f>
        <v>26346191.503363673</v>
      </c>
      <c r="C23" s="16" t="s">
        <v>81</v>
      </c>
    </row>
    <row r="24" spans="1:7" x14ac:dyDescent="0.4">
      <c r="A24" s="16" t="s">
        <v>130</v>
      </c>
      <c r="B24" s="16">
        <f>B23</f>
        <v>26346191.503363673</v>
      </c>
      <c r="C24" s="16" t="s">
        <v>81</v>
      </c>
    </row>
    <row r="27" spans="1:7" x14ac:dyDescent="0.4">
      <c r="A27" s="17"/>
      <c r="B27" s="17">
        <v>1</v>
      </c>
      <c r="C27" s="17">
        <v>2</v>
      </c>
      <c r="D27" s="17">
        <v>3</v>
      </c>
      <c r="E27" s="17">
        <v>4</v>
      </c>
      <c r="F27" s="17">
        <v>5</v>
      </c>
      <c r="G27" s="17">
        <v>6</v>
      </c>
    </row>
    <row r="28" spans="1:7" x14ac:dyDescent="0.4">
      <c r="A28" s="17" t="s">
        <v>131</v>
      </c>
      <c r="B28" s="17">
        <f>(B27-1)*$B$24/5</f>
        <v>0</v>
      </c>
      <c r="C28" s="17">
        <f t="shared" ref="C28:G28" si="0">(C27-1)*$B$24/5</f>
        <v>5269238.3006727342</v>
      </c>
      <c r="D28" s="17">
        <f t="shared" si="0"/>
        <v>10538476.601345468</v>
      </c>
      <c r="E28" s="17">
        <f t="shared" si="0"/>
        <v>15807714.902018204</v>
      </c>
      <c r="F28" s="17">
        <f t="shared" si="0"/>
        <v>21076953.202690937</v>
      </c>
      <c r="G28" s="17">
        <f t="shared" si="0"/>
        <v>26346191.503363673</v>
      </c>
    </row>
    <row r="29" spans="1:7" x14ac:dyDescent="0.4">
      <c r="A29" s="17" t="s">
        <v>132</v>
      </c>
      <c r="B29" s="17">
        <f>$F$9*(1-(B28/$B$24)^1.5)^(2/3)</f>
        <v>61686.632164149662</v>
      </c>
      <c r="C29" s="17">
        <f t="shared" ref="C29:G29" si="1">$F$9*(1-(C28/$B$24)^1.5)^(2/3)</f>
        <v>57951.218827102537</v>
      </c>
      <c r="D29" s="17">
        <f t="shared" si="1"/>
        <v>50786.118552799395</v>
      </c>
      <c r="E29" s="17">
        <f t="shared" si="1"/>
        <v>40665.350127844373</v>
      </c>
      <c r="F29" s="17">
        <f t="shared" si="1"/>
        <v>26681.080507988187</v>
      </c>
      <c r="G29" s="17">
        <f t="shared" si="1"/>
        <v>0</v>
      </c>
    </row>
    <row r="47" spans="1:14" x14ac:dyDescent="0.4">
      <c r="A47" s="19"/>
      <c r="B47" s="19">
        <v>1</v>
      </c>
      <c r="C47" s="19">
        <v>2</v>
      </c>
      <c r="D47" s="19">
        <v>3</v>
      </c>
      <c r="E47" s="19">
        <v>4</v>
      </c>
      <c r="F47" s="19">
        <v>5</v>
      </c>
      <c r="G47" s="19">
        <v>6</v>
      </c>
      <c r="H47" s="19">
        <v>7</v>
      </c>
      <c r="I47" s="19">
        <v>8</v>
      </c>
      <c r="J47" s="19">
        <v>9</v>
      </c>
      <c r="K47" s="19">
        <v>10</v>
      </c>
      <c r="L47" s="19" t="s">
        <v>101</v>
      </c>
      <c r="M47" s="19"/>
      <c r="N47" s="19"/>
    </row>
    <row r="48" spans="1:14" x14ac:dyDescent="0.4">
      <c r="A48" s="19" t="s">
        <v>133</v>
      </c>
      <c r="B48" s="19">
        <f>(B29-C29)/2</f>
        <v>1867.7066685235623</v>
      </c>
      <c r="C48" s="19">
        <f t="shared" ref="C48:F48" si="2">(C29-D29)/2</f>
        <v>3582.5501371515711</v>
      </c>
      <c r="D48" s="19">
        <f t="shared" si="2"/>
        <v>5060.384212477511</v>
      </c>
      <c r="E48" s="19">
        <f t="shared" si="2"/>
        <v>6992.1348099280931</v>
      </c>
      <c r="F48" s="19">
        <f t="shared" si="2"/>
        <v>13340.540253994093</v>
      </c>
      <c r="G48" s="19">
        <f>F48</f>
        <v>13340.540253994093</v>
      </c>
      <c r="H48" s="19">
        <f>E48</f>
        <v>6992.1348099280931</v>
      </c>
      <c r="I48" s="19">
        <f>D48</f>
        <v>5060.384212477511</v>
      </c>
      <c r="J48" s="19">
        <f>C48</f>
        <v>3582.5501371515711</v>
      </c>
      <c r="K48" s="19">
        <f>B48</f>
        <v>1867.7066685235623</v>
      </c>
      <c r="L48" s="19">
        <f>SUM(B48:K48)</f>
        <v>61686.632164149662</v>
      </c>
      <c r="M48" s="19"/>
      <c r="N48" s="19"/>
    </row>
    <row r="49" spans="1:14" x14ac:dyDescent="0.4">
      <c r="A49" s="19" t="s">
        <v>134</v>
      </c>
      <c r="B49" s="19">
        <f>(C28-B28)/(2*B48)</f>
        <v>1410.617199551499</v>
      </c>
      <c r="C49" s="19">
        <f t="shared" ref="C49:F49" si="3">(D28-C28)/(2*C48)</f>
        <v>735.40328801402654</v>
      </c>
      <c r="D49" s="19">
        <f t="shared" si="3"/>
        <v>520.63618881746652</v>
      </c>
      <c r="E49" s="19">
        <f t="shared" si="3"/>
        <v>376.79753350800462</v>
      </c>
      <c r="F49" s="19">
        <f t="shared" si="3"/>
        <v>197.48968933605036</v>
      </c>
      <c r="G49" s="19">
        <f>-F49</f>
        <v>-197.48968933605036</v>
      </c>
      <c r="H49" s="19">
        <f>-E49</f>
        <v>-376.79753350800462</v>
      </c>
      <c r="I49" s="19">
        <f>-D49</f>
        <v>-520.63618881746652</v>
      </c>
      <c r="J49" s="19">
        <f>-C49</f>
        <v>-735.40328801402654</v>
      </c>
      <c r="K49" s="19">
        <f>-B49</f>
        <v>-1410.617199551499</v>
      </c>
      <c r="L49" s="19"/>
      <c r="M49" s="19"/>
      <c r="N49" s="19"/>
    </row>
    <row r="50" spans="1:14" x14ac:dyDescent="0.4">
      <c r="A50" s="19" t="s">
        <v>96</v>
      </c>
      <c r="B50" s="56">
        <v>4499878</v>
      </c>
      <c r="C50" s="57"/>
      <c r="D50" s="57"/>
      <c r="E50" s="57"/>
      <c r="F50" s="57"/>
      <c r="G50" s="19" t="s">
        <v>135</v>
      </c>
      <c r="H50" s="56">
        <v>-1.5295510000000001</v>
      </c>
      <c r="I50" s="57"/>
      <c r="J50" s="57"/>
      <c r="K50" s="57"/>
      <c r="L50" s="57"/>
      <c r="M50" s="19"/>
      <c r="N50" s="19"/>
    </row>
    <row r="51" spans="1:14" x14ac:dyDescent="0.4">
      <c r="A51" s="19" t="s">
        <v>136</v>
      </c>
      <c r="B51" s="19">
        <f>$B$50*(ABS(B49)^$H$50)</f>
        <v>68.55178797552027</v>
      </c>
      <c r="C51" s="19">
        <f t="shared" ref="C51:K51" si="4">$B$50*(ABS(C49)^$H$50)</f>
        <v>185.6537352639192</v>
      </c>
      <c r="D51" s="19">
        <f t="shared" si="4"/>
        <v>314.86392474237294</v>
      </c>
      <c r="E51" s="19">
        <f t="shared" si="4"/>
        <v>516.31185086263008</v>
      </c>
      <c r="F51" s="19">
        <f t="shared" si="4"/>
        <v>1386.9105957386171</v>
      </c>
      <c r="G51" s="19">
        <f t="shared" si="4"/>
        <v>1386.9105957386171</v>
      </c>
      <c r="H51" s="19">
        <f t="shared" si="4"/>
        <v>516.31185086263008</v>
      </c>
      <c r="I51" s="19">
        <f t="shared" si="4"/>
        <v>314.86392474237294</v>
      </c>
      <c r="J51" s="19">
        <f t="shared" si="4"/>
        <v>185.6537352639192</v>
      </c>
      <c r="K51" s="19">
        <f t="shared" si="4"/>
        <v>68.55178797552027</v>
      </c>
      <c r="L51" s="19">
        <f>SUM(B51:K51)</f>
        <v>4944.5837891661195</v>
      </c>
      <c r="M51" s="19">
        <f>F13</f>
        <v>29057.756297196171</v>
      </c>
      <c r="N51" s="19">
        <f>L51/M51</f>
        <v>0.17016399127978199</v>
      </c>
    </row>
    <row r="52" spans="1:14" x14ac:dyDescent="0.4">
      <c r="A52" s="19" t="s">
        <v>137</v>
      </c>
      <c r="B52" s="19">
        <f>B51*B49^2</f>
        <v>136407150.36240295</v>
      </c>
      <c r="C52" s="19">
        <f t="shared" ref="C52:K52" si="5">C51*C49^2</f>
        <v>100404881.05940223</v>
      </c>
      <c r="D52" s="19">
        <f t="shared" si="5"/>
        <v>85347658.111432165</v>
      </c>
      <c r="E52" s="19">
        <f t="shared" si="5"/>
        <v>73304088.185949698</v>
      </c>
      <c r="F52" s="19">
        <f t="shared" si="5"/>
        <v>54092533.08468467</v>
      </c>
      <c r="G52" s="19">
        <f t="shared" si="5"/>
        <v>54092533.08468467</v>
      </c>
      <c r="H52" s="19">
        <f t="shared" si="5"/>
        <v>73304088.185949698</v>
      </c>
      <c r="I52" s="19">
        <f t="shared" si="5"/>
        <v>85347658.111432165</v>
      </c>
      <c r="J52" s="19">
        <f t="shared" si="5"/>
        <v>100404881.05940223</v>
      </c>
      <c r="K52" s="19">
        <f t="shared" si="5"/>
        <v>136407150.36240295</v>
      </c>
      <c r="L52" s="19">
        <f>SUM(B52:K52)</f>
        <v>899112621.60774338</v>
      </c>
      <c r="M52" s="19">
        <f>B19</f>
        <v>537338111.01262522</v>
      </c>
      <c r="N52" s="19">
        <f>L52/M52</f>
        <v>1.6732716388073541</v>
      </c>
    </row>
    <row r="53" spans="1:14" x14ac:dyDescent="0.4">
      <c r="A53" s="19" t="s">
        <v>138</v>
      </c>
      <c r="B53" s="19">
        <f>B48/B51</f>
        <v>27.24519262999409</v>
      </c>
      <c r="C53" s="19">
        <f>C48/C51</f>
        <v>19.296946178102672</v>
      </c>
      <c r="D53" s="19">
        <f t="shared" ref="D53:K53" si="6">D48/D51</f>
        <v>16.071654498425008</v>
      </c>
      <c r="E53" s="19">
        <f t="shared" si="6"/>
        <v>13.542464303784536</v>
      </c>
      <c r="F53" s="19">
        <f t="shared" si="6"/>
        <v>9.6188898512880829</v>
      </c>
      <c r="G53" s="19">
        <f t="shared" si="6"/>
        <v>9.6188898512880829</v>
      </c>
      <c r="H53" s="19">
        <f t="shared" si="6"/>
        <v>13.542464303784536</v>
      </c>
      <c r="I53" s="19">
        <f t="shared" si="6"/>
        <v>16.071654498425008</v>
      </c>
      <c r="J53" s="19">
        <f t="shared" si="6"/>
        <v>19.296946178102672</v>
      </c>
      <c r="K53" s="19">
        <f t="shared" si="6"/>
        <v>27.24519262999409</v>
      </c>
      <c r="L53" s="19"/>
      <c r="M53" s="19"/>
      <c r="N53" s="19"/>
    </row>
    <row r="54" spans="1:14" x14ac:dyDescent="0.4">
      <c r="A54" s="19" t="s">
        <v>139</v>
      </c>
      <c r="B54" s="19">
        <f>B53/$B$8</f>
        <v>1.9030452812825907E-3</v>
      </c>
      <c r="C54" s="19">
        <f t="shared" ref="C54:K54" si="7">C53/$B$8</f>
        <v>1.3478694339262736E-3</v>
      </c>
      <c r="D54" s="19">
        <f t="shared" si="7"/>
        <v>1.1225865300713959E-3</v>
      </c>
      <c r="E54" s="19">
        <f t="shared" si="7"/>
        <v>9.4592551208035546E-4</v>
      </c>
      <c r="F54" s="19">
        <f t="shared" si="7"/>
        <v>6.7186836192593871E-4</v>
      </c>
      <c r="G54" s="19">
        <f t="shared" si="7"/>
        <v>6.7186836192593871E-4</v>
      </c>
      <c r="H54" s="19">
        <f t="shared" si="7"/>
        <v>9.4592551208035546E-4</v>
      </c>
      <c r="I54" s="19">
        <f t="shared" si="7"/>
        <v>1.1225865300713959E-3</v>
      </c>
      <c r="J54" s="19">
        <f t="shared" si="7"/>
        <v>1.3478694339262736E-3</v>
      </c>
      <c r="K54" s="19">
        <f t="shared" si="7"/>
        <v>1.9030452812825907E-3</v>
      </c>
      <c r="L54" s="19"/>
      <c r="M54" s="19"/>
      <c r="N54" s="19"/>
    </row>
    <row r="57" spans="1:14" x14ac:dyDescent="0.4">
      <c r="A57" s="19" t="s">
        <v>140</v>
      </c>
      <c r="B57" s="19">
        <v>1</v>
      </c>
      <c r="C57" s="19">
        <v>2</v>
      </c>
      <c r="D57" s="19">
        <v>3</v>
      </c>
      <c r="E57" s="19">
        <v>4</v>
      </c>
      <c r="F57" s="19">
        <v>5</v>
      </c>
      <c r="G57" s="19">
        <v>6</v>
      </c>
      <c r="H57" s="19">
        <v>7</v>
      </c>
      <c r="I57" s="19">
        <v>8</v>
      </c>
      <c r="J57" s="19">
        <v>9</v>
      </c>
      <c r="K57" s="19">
        <v>10</v>
      </c>
    </row>
    <row r="58" spans="1:14" x14ac:dyDescent="0.4">
      <c r="A58" s="19" t="s">
        <v>141</v>
      </c>
      <c r="B58" s="20">
        <f>B53</f>
        <v>27.24519262999409</v>
      </c>
      <c r="C58" s="20">
        <f t="shared" ref="C58:K59" si="8">C53</f>
        <v>19.296946178102672</v>
      </c>
      <c r="D58" s="20">
        <f t="shared" si="8"/>
        <v>16.071654498425008</v>
      </c>
      <c r="E58" s="20">
        <f t="shared" si="8"/>
        <v>13.542464303784536</v>
      </c>
      <c r="F58" s="20">
        <f t="shared" si="8"/>
        <v>9.6188898512880829</v>
      </c>
      <c r="G58" s="20">
        <f t="shared" si="8"/>
        <v>9.6188898512880829</v>
      </c>
      <c r="H58" s="20">
        <f t="shared" si="8"/>
        <v>13.542464303784536</v>
      </c>
      <c r="I58" s="20">
        <f t="shared" si="8"/>
        <v>16.071654498425008</v>
      </c>
      <c r="J58" s="20">
        <f t="shared" si="8"/>
        <v>19.296946178102672</v>
      </c>
      <c r="K58" s="20">
        <f t="shared" si="8"/>
        <v>27.24519262999409</v>
      </c>
    </row>
    <row r="59" spans="1:14" x14ac:dyDescent="0.4">
      <c r="A59" s="19" t="s">
        <v>142</v>
      </c>
      <c r="B59" s="20">
        <f>B54</f>
        <v>1.9030452812825907E-3</v>
      </c>
      <c r="C59" s="20">
        <f t="shared" si="8"/>
        <v>1.3478694339262736E-3</v>
      </c>
      <c r="D59" s="20">
        <f t="shared" si="8"/>
        <v>1.1225865300713959E-3</v>
      </c>
      <c r="E59" s="20">
        <f t="shared" si="8"/>
        <v>9.4592551208035546E-4</v>
      </c>
      <c r="F59" s="20">
        <f t="shared" si="8"/>
        <v>6.7186836192593871E-4</v>
      </c>
      <c r="G59" s="20">
        <f t="shared" si="8"/>
        <v>6.7186836192593871E-4</v>
      </c>
      <c r="H59" s="20">
        <f t="shared" si="8"/>
        <v>9.4592551208035546E-4</v>
      </c>
      <c r="I59" s="20">
        <f t="shared" si="8"/>
        <v>1.1225865300713959E-3</v>
      </c>
      <c r="J59" s="20">
        <f t="shared" si="8"/>
        <v>1.3478694339262736E-3</v>
      </c>
      <c r="K59" s="20">
        <f t="shared" si="8"/>
        <v>1.9030452812825907E-3</v>
      </c>
    </row>
    <row r="60" spans="1:14" x14ac:dyDescent="0.4">
      <c r="A60" s="19" t="s">
        <v>143</v>
      </c>
      <c r="B60" s="20">
        <f>B58+(B61-B59)*0.03*$B$8</f>
        <v>40.322885092391253</v>
      </c>
      <c r="C60" s="20">
        <f t="shared" ref="C60:K60" si="9">C58+(C61-C59)*0.03*$B$8</f>
        <v>28.559480343591957</v>
      </c>
      <c r="D60" s="20">
        <f t="shared" si="9"/>
        <v>23.786048657669014</v>
      </c>
      <c r="E60" s="20">
        <f t="shared" si="9"/>
        <v>20.042847169601114</v>
      </c>
      <c r="F60" s="20">
        <f t="shared" si="9"/>
        <v>14.235956979906362</v>
      </c>
      <c r="G60" s="20">
        <f t="shared" si="9"/>
        <v>14.235956979906362</v>
      </c>
      <c r="H60" s="20">
        <f t="shared" si="9"/>
        <v>20.042847169601114</v>
      </c>
      <c r="I60" s="20">
        <f t="shared" si="9"/>
        <v>23.786048657669014</v>
      </c>
      <c r="J60" s="20">
        <f t="shared" si="9"/>
        <v>28.559480343591957</v>
      </c>
      <c r="K60" s="20">
        <f t="shared" si="9"/>
        <v>40.322885092391253</v>
      </c>
    </row>
    <row r="61" spans="1:14" x14ac:dyDescent="0.4">
      <c r="A61" s="19" t="s">
        <v>144</v>
      </c>
      <c r="B61" s="20">
        <f>17*B59</f>
        <v>3.2351769781804041E-2</v>
      </c>
      <c r="C61" s="20">
        <f t="shared" ref="C61:K61" si="10">17*C59</f>
        <v>2.2913780376746653E-2</v>
      </c>
      <c r="D61" s="20">
        <f t="shared" si="10"/>
        <v>1.908397101121373E-2</v>
      </c>
      <c r="E61" s="20">
        <f t="shared" si="10"/>
        <v>1.6080733705366043E-2</v>
      </c>
      <c r="F61" s="20">
        <f t="shared" si="10"/>
        <v>1.1421762152740957E-2</v>
      </c>
      <c r="G61" s="20">
        <f t="shared" si="10"/>
        <v>1.1421762152740957E-2</v>
      </c>
      <c r="H61" s="20">
        <f t="shared" si="10"/>
        <v>1.6080733705366043E-2</v>
      </c>
      <c r="I61" s="20">
        <f t="shared" si="10"/>
        <v>1.908397101121373E-2</v>
      </c>
      <c r="J61" s="20">
        <f t="shared" si="10"/>
        <v>2.2913780376746653E-2</v>
      </c>
      <c r="K61" s="20">
        <f t="shared" si="10"/>
        <v>3.2351769781804041E-2</v>
      </c>
    </row>
    <row r="62" spans="1:14" x14ac:dyDescent="0.4">
      <c r="A62" s="19" t="s">
        <v>145</v>
      </c>
      <c r="B62" s="20">
        <v>0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</row>
    <row r="63" spans="1:14" x14ac:dyDescent="0.4">
      <c r="A63" s="19" t="s">
        <v>146</v>
      </c>
      <c r="B63" s="20">
        <f>B59*100</f>
        <v>0.19030452812825907</v>
      </c>
      <c r="C63" s="20">
        <f t="shared" ref="C63:K63" si="11">C59*100</f>
        <v>0.13478694339262737</v>
      </c>
      <c r="D63" s="20">
        <f t="shared" si="11"/>
        <v>0.11225865300713959</v>
      </c>
      <c r="E63" s="20">
        <f t="shared" si="11"/>
        <v>9.4592551208035544E-2</v>
      </c>
      <c r="F63" s="20">
        <f t="shared" si="11"/>
        <v>6.7186836192593871E-2</v>
      </c>
      <c r="G63" s="20">
        <f t="shared" si="11"/>
        <v>6.7186836192593871E-2</v>
      </c>
      <c r="H63" s="20">
        <f t="shared" si="11"/>
        <v>9.4592551208035544E-2</v>
      </c>
      <c r="I63" s="20">
        <f t="shared" si="11"/>
        <v>0.11225865300713959</v>
      </c>
      <c r="J63" s="20">
        <f t="shared" si="11"/>
        <v>0.13478694339262737</v>
      </c>
      <c r="K63" s="20">
        <f t="shared" si="11"/>
        <v>0.19030452812825907</v>
      </c>
    </row>
    <row r="68" spans="2:3" x14ac:dyDescent="0.4">
      <c r="B68" s="18">
        <f>-B74</f>
        <v>-0.25259881867467632</v>
      </c>
      <c r="C68" s="18">
        <f>-C74</f>
        <v>0</v>
      </c>
    </row>
    <row r="69" spans="2:3" x14ac:dyDescent="0.4">
      <c r="B69" s="18">
        <f>-B73</f>
        <v>-4.2941799174694976E-2</v>
      </c>
      <c r="C69" s="18">
        <f>-C73</f>
        <v>-18.38688019433738</v>
      </c>
    </row>
    <row r="70" spans="2:3" x14ac:dyDescent="0.4">
      <c r="B70" s="18">
        <f>-B72</f>
        <v>-2.5259881867467633E-3</v>
      </c>
      <c r="C70" s="18">
        <f>-C72</f>
        <v>-12.423567698876607</v>
      </c>
    </row>
    <row r="71" spans="2:3" x14ac:dyDescent="0.4">
      <c r="B71" s="18">
        <v>0</v>
      </c>
      <c r="C71" s="18">
        <v>0</v>
      </c>
    </row>
    <row r="72" spans="2:3" x14ac:dyDescent="0.4">
      <c r="B72" s="18">
        <v>2.5259881867467633E-3</v>
      </c>
      <c r="C72" s="18">
        <v>12.423567698876607</v>
      </c>
    </row>
    <row r="73" spans="2:3" x14ac:dyDescent="0.4">
      <c r="B73" s="18">
        <v>4.2941799174694976E-2</v>
      </c>
      <c r="C73" s="18">
        <v>18.38688019433738</v>
      </c>
    </row>
    <row r="74" spans="2:3" x14ac:dyDescent="0.4">
      <c r="B74" s="18">
        <v>0.25259881867467632</v>
      </c>
      <c r="C74" s="18">
        <v>0</v>
      </c>
    </row>
  </sheetData>
  <mergeCells count="2">
    <mergeCell ref="B50:F50"/>
    <mergeCell ref="H50:L5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1C67-C139-4614-B3C8-60CC240455E0}">
  <dimension ref="A1:AL49"/>
  <sheetViews>
    <sheetView workbookViewId="0">
      <selection activeCell="C27" sqref="C27"/>
    </sheetView>
  </sheetViews>
  <sheetFormatPr defaultColWidth="9" defaultRowHeight="13.9" x14ac:dyDescent="0.4"/>
  <cols>
    <col min="1" max="1" width="22.86328125" style="22" customWidth="1"/>
    <col min="2" max="2" width="9.265625" style="22" bestFit="1" customWidth="1"/>
    <col min="3" max="3" width="10.46484375" style="22" customWidth="1"/>
    <col min="4" max="4" width="9" style="22"/>
    <col min="5" max="5" width="9.73046875" style="22" customWidth="1"/>
    <col min="6" max="10" width="9" style="22"/>
    <col min="11" max="11" width="9.86328125" style="22" customWidth="1"/>
    <col min="12" max="12" width="9.265625" style="22" customWidth="1"/>
    <col min="13" max="19" width="9" style="22"/>
    <col min="20" max="20" width="13.1328125" style="22" bestFit="1" customWidth="1"/>
    <col min="21" max="21" width="11.73046875" style="22" bestFit="1" customWidth="1"/>
    <col min="22" max="23" width="10" style="22" bestFit="1" customWidth="1"/>
    <col min="24" max="24" width="11.1328125" style="22" customWidth="1"/>
    <col min="25" max="28" width="11.1328125" style="22" bestFit="1" customWidth="1"/>
    <col min="29" max="29" width="10.86328125" style="22" customWidth="1"/>
    <col min="30" max="30" width="9" style="22"/>
    <col min="31" max="31" width="12.73046875" style="22" bestFit="1" customWidth="1"/>
    <col min="32" max="16384" width="9" style="22"/>
  </cols>
  <sheetData>
    <row r="1" spans="1:38" x14ac:dyDescent="0.4">
      <c r="A1" s="61" t="s">
        <v>180</v>
      </c>
      <c r="B1" s="61"/>
      <c r="C1" s="22" t="s">
        <v>197</v>
      </c>
      <c r="D1" s="22" t="s">
        <v>198</v>
      </c>
      <c r="E1" s="22" t="s">
        <v>203</v>
      </c>
      <c r="F1" s="22" t="s">
        <v>199</v>
      </c>
      <c r="G1" s="22" t="s">
        <v>200</v>
      </c>
      <c r="H1" s="22" t="s">
        <v>201</v>
      </c>
      <c r="I1" s="22" t="s">
        <v>202</v>
      </c>
      <c r="K1" s="25" t="s">
        <v>207</v>
      </c>
      <c r="L1" s="25" t="s">
        <v>208</v>
      </c>
      <c r="M1" s="25" t="s">
        <v>209</v>
      </c>
      <c r="N1" s="25" t="s">
        <v>210</v>
      </c>
      <c r="S1" s="24"/>
      <c r="T1" s="24"/>
      <c r="U1" s="24"/>
      <c r="V1" s="24"/>
      <c r="W1" s="24"/>
      <c r="X1" s="24"/>
      <c r="Y1" s="24"/>
    </row>
    <row r="2" spans="1:38" x14ac:dyDescent="0.4">
      <c r="A2" s="58" t="s">
        <v>151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60"/>
      <c r="S2" s="24"/>
      <c r="T2" s="24"/>
      <c r="U2" s="24"/>
      <c r="V2" s="24"/>
      <c r="W2" s="24"/>
      <c r="X2" s="24"/>
      <c r="Y2" s="24"/>
    </row>
    <row r="3" spans="1:38" x14ac:dyDescent="0.4">
      <c r="A3" s="22" t="s">
        <v>153</v>
      </c>
      <c r="B3" s="22" t="s">
        <v>159</v>
      </c>
      <c r="C3" s="22">
        <v>110</v>
      </c>
      <c r="D3" s="22">
        <v>60</v>
      </c>
      <c r="E3" s="22">
        <v>60</v>
      </c>
      <c r="F3" s="22">
        <v>110</v>
      </c>
      <c r="G3" s="22">
        <v>110</v>
      </c>
      <c r="H3" s="22">
        <v>110</v>
      </c>
      <c r="I3" s="22">
        <v>110</v>
      </c>
      <c r="K3" s="22">
        <v>110</v>
      </c>
      <c r="L3" s="22">
        <v>60</v>
      </c>
      <c r="M3" s="22">
        <v>110</v>
      </c>
      <c r="N3" s="22">
        <v>110</v>
      </c>
      <c r="O3" s="38"/>
      <c r="S3" s="24"/>
      <c r="T3" s="24"/>
      <c r="U3" s="24"/>
      <c r="V3" s="24"/>
      <c r="W3" s="24"/>
      <c r="X3" s="24"/>
      <c r="Y3" s="24"/>
    </row>
    <row r="4" spans="1:38" x14ac:dyDescent="0.4">
      <c r="A4" s="22" t="s">
        <v>154</v>
      </c>
      <c r="B4" s="22" t="s">
        <v>160</v>
      </c>
      <c r="C4" s="22">
        <v>1350</v>
      </c>
      <c r="D4" s="22">
        <v>1350</v>
      </c>
      <c r="E4" s="25">
        <v>1350</v>
      </c>
      <c r="F4" s="22">
        <v>1200</v>
      </c>
      <c r="G4" s="22">
        <v>1200</v>
      </c>
      <c r="H4" s="22">
        <v>1200</v>
      </c>
      <c r="I4" s="25">
        <v>1200</v>
      </c>
      <c r="K4" s="22">
        <v>225</v>
      </c>
      <c r="L4" s="22">
        <v>225</v>
      </c>
      <c r="M4" s="22">
        <v>175</v>
      </c>
      <c r="N4" s="22">
        <v>175</v>
      </c>
      <c r="O4" s="38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 spans="1:38" x14ac:dyDescent="0.4">
      <c r="A5" s="22" t="s">
        <v>155</v>
      </c>
      <c r="B5" s="22" t="s">
        <v>161</v>
      </c>
      <c r="C5" s="22">
        <v>1170</v>
      </c>
      <c r="D5" s="22">
        <v>1170</v>
      </c>
      <c r="E5" s="25">
        <v>1170</v>
      </c>
      <c r="F5" s="22">
        <v>1550</v>
      </c>
      <c r="G5" s="22">
        <v>1550</v>
      </c>
      <c r="H5" s="22">
        <v>1700</v>
      </c>
      <c r="I5" s="25">
        <v>1700</v>
      </c>
      <c r="K5" s="22">
        <v>470</v>
      </c>
      <c r="L5" s="22">
        <v>470</v>
      </c>
      <c r="M5" s="22">
        <v>1550</v>
      </c>
      <c r="N5" s="22">
        <v>1700</v>
      </c>
      <c r="O5" s="38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spans="1:38" x14ac:dyDescent="0.4">
      <c r="A6" s="22" t="s">
        <v>172</v>
      </c>
      <c r="B6" s="22" t="s">
        <v>173</v>
      </c>
      <c r="C6" s="22">
        <f>(C4^2+C5^2)^0.5</f>
        <v>1786.4489917151286</v>
      </c>
      <c r="D6" s="22">
        <f t="shared" ref="D6:N6" si="0">(D4^2+D5^2)^0.5</f>
        <v>1786.4489917151286</v>
      </c>
      <c r="E6" s="22">
        <f t="shared" si="0"/>
        <v>1786.4489917151286</v>
      </c>
      <c r="F6" s="22">
        <f t="shared" si="0"/>
        <v>1960.2295783912659</v>
      </c>
      <c r="G6" s="22">
        <f t="shared" si="0"/>
        <v>1960.2295783912659</v>
      </c>
      <c r="H6" s="22">
        <f t="shared" si="0"/>
        <v>2080.8652046684811</v>
      </c>
      <c r="I6" s="22">
        <f t="shared" si="0"/>
        <v>2080.8652046684811</v>
      </c>
      <c r="J6" s="25"/>
      <c r="K6" s="25">
        <f t="shared" si="0"/>
        <v>521.08060796771167</v>
      </c>
      <c r="L6" s="25">
        <f t="shared" si="0"/>
        <v>521.08060796771167</v>
      </c>
      <c r="M6" s="25">
        <f t="shared" si="0"/>
        <v>1559.8477489806496</v>
      </c>
      <c r="N6" s="25">
        <f t="shared" si="0"/>
        <v>1708.98361607126</v>
      </c>
      <c r="O6" s="39"/>
      <c r="S6" s="24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38" x14ac:dyDescent="0.4">
      <c r="A7" s="22" t="s">
        <v>174</v>
      </c>
      <c r="B7" s="22" t="s">
        <v>175</v>
      </c>
      <c r="C7" s="22">
        <f>ATAN(C4/C5)</f>
        <v>0.85670562818273854</v>
      </c>
      <c r="D7" s="22">
        <f t="shared" ref="D7:N7" si="1">ATAN(D4/D5)</f>
        <v>0.85670562818273854</v>
      </c>
      <c r="E7" s="22">
        <f t="shared" si="1"/>
        <v>0.85670562818273854</v>
      </c>
      <c r="F7" s="22">
        <f t="shared" si="1"/>
        <v>0.65880603611747623</v>
      </c>
      <c r="G7" s="22">
        <f t="shared" si="1"/>
        <v>0.65880603611747623</v>
      </c>
      <c r="H7" s="22">
        <f t="shared" si="1"/>
        <v>0.61466295192216558</v>
      </c>
      <c r="I7" s="22">
        <f t="shared" si="1"/>
        <v>0.61466295192216558</v>
      </c>
      <c r="J7" s="25"/>
      <c r="K7" s="25">
        <f t="shared" si="1"/>
        <v>0.44648191324629538</v>
      </c>
      <c r="L7" s="25">
        <f t="shared" si="1"/>
        <v>0.44648191324629538</v>
      </c>
      <c r="M7" s="25">
        <f t="shared" si="1"/>
        <v>0.11242713083019013</v>
      </c>
      <c r="N7" s="25">
        <f t="shared" si="1"/>
        <v>0.10257985241829468</v>
      </c>
      <c r="O7" s="39"/>
      <c r="S7" s="24"/>
      <c r="T7" s="56"/>
      <c r="U7" s="57"/>
      <c r="V7" s="57"/>
      <c r="W7" s="57"/>
      <c r="X7" s="57"/>
      <c r="Y7" s="24"/>
      <c r="Z7" s="57"/>
      <c r="AA7" s="57"/>
      <c r="AB7" s="57"/>
      <c r="AC7" s="57"/>
      <c r="AH7" s="25"/>
      <c r="AI7" s="25"/>
      <c r="AJ7" s="25"/>
      <c r="AK7" s="25"/>
      <c r="AL7" s="25"/>
    </row>
    <row r="8" spans="1:38" x14ac:dyDescent="0.4">
      <c r="A8" s="22" t="s">
        <v>152</v>
      </c>
      <c r="B8" s="22" t="s">
        <v>162</v>
      </c>
      <c r="C8" s="22">
        <v>4.62</v>
      </c>
      <c r="D8" s="22">
        <v>4.62</v>
      </c>
      <c r="E8" s="22">
        <v>4.62</v>
      </c>
      <c r="F8" s="22">
        <v>4.62</v>
      </c>
      <c r="G8" s="22">
        <v>4.62</v>
      </c>
      <c r="H8" s="22">
        <v>4.62</v>
      </c>
      <c r="I8" s="22">
        <v>4.62</v>
      </c>
      <c r="J8" s="25"/>
      <c r="K8" s="25">
        <v>4.62</v>
      </c>
      <c r="L8" s="25">
        <v>4.62</v>
      </c>
      <c r="M8" s="25">
        <v>4.62</v>
      </c>
      <c r="N8" s="25">
        <v>4.62</v>
      </c>
      <c r="O8" s="38"/>
      <c r="S8" s="24"/>
      <c r="T8" s="23"/>
      <c r="U8" s="23"/>
      <c r="V8" s="23"/>
      <c r="W8" s="23"/>
      <c r="X8" s="23"/>
      <c r="Y8" s="23"/>
      <c r="Z8" s="23"/>
      <c r="AA8" s="23"/>
      <c r="AB8" s="23"/>
      <c r="AC8" s="23"/>
      <c r="AI8" s="25"/>
      <c r="AJ8" s="25"/>
      <c r="AK8" s="25"/>
      <c r="AL8" s="25"/>
    </row>
    <row r="9" spans="1:38" x14ac:dyDescent="0.4">
      <c r="A9" s="22" t="s">
        <v>163</v>
      </c>
      <c r="B9" s="22" t="s">
        <v>164</v>
      </c>
      <c r="C9" s="22">
        <v>9.8000000000000004E-2</v>
      </c>
      <c r="D9" s="22">
        <v>9.8000000000000004E-2</v>
      </c>
      <c r="E9" s="22">
        <v>9.8000000000000004E-2</v>
      </c>
      <c r="F9" s="22">
        <v>9.8000000000000004E-2</v>
      </c>
      <c r="G9" s="22">
        <v>9.8000000000000004E-2</v>
      </c>
      <c r="H9" s="22">
        <v>9.8000000000000004E-2</v>
      </c>
      <c r="I9" s="22">
        <v>9.8000000000000004E-2</v>
      </c>
      <c r="J9" s="25"/>
      <c r="K9" s="25">
        <v>9.8000000000000004E-2</v>
      </c>
      <c r="L9" s="25">
        <v>9.8000000000000004E-2</v>
      </c>
      <c r="M9" s="25">
        <v>9.8000000000000004E-2</v>
      </c>
      <c r="N9" s="25">
        <v>9.8000000000000004E-2</v>
      </c>
      <c r="O9" s="38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5"/>
    </row>
    <row r="10" spans="1:38" x14ac:dyDescent="0.4">
      <c r="A10" s="22" t="s">
        <v>56</v>
      </c>
      <c r="B10" s="22" t="s">
        <v>168</v>
      </c>
      <c r="C10" s="22">
        <f>370*C8*C8^0.5</f>
        <v>3674.2160283793878</v>
      </c>
      <c r="D10" s="22">
        <f t="shared" ref="D10:I10" si="2">370*D8*D8^0.5</f>
        <v>3674.2160283793878</v>
      </c>
      <c r="E10" s="22">
        <f t="shared" si="2"/>
        <v>3674.2160283793878</v>
      </c>
      <c r="F10" s="22">
        <f t="shared" si="2"/>
        <v>3674.2160283793878</v>
      </c>
      <c r="G10" s="22">
        <f t="shared" si="2"/>
        <v>3674.2160283793878</v>
      </c>
      <c r="H10" s="22">
        <f t="shared" si="2"/>
        <v>3674.2160283793878</v>
      </c>
      <c r="I10" s="22">
        <f t="shared" si="2"/>
        <v>3674.2160283793878</v>
      </c>
      <c r="J10" s="25"/>
      <c r="K10" s="25">
        <f t="shared" ref="K10:N10" si="3">370*K8*K8^0.5</f>
        <v>3674.2160283793878</v>
      </c>
      <c r="L10" s="25">
        <f t="shared" si="3"/>
        <v>3674.2160283793878</v>
      </c>
      <c r="M10" s="25">
        <f t="shared" si="3"/>
        <v>3674.2160283793878</v>
      </c>
      <c r="N10" s="25">
        <f t="shared" si="3"/>
        <v>3674.2160283793878</v>
      </c>
      <c r="O10" s="38"/>
      <c r="S10" s="24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38" x14ac:dyDescent="0.4">
      <c r="A11" s="22" t="s">
        <v>169</v>
      </c>
      <c r="B11" s="22" t="s">
        <v>8</v>
      </c>
      <c r="C11" s="22">
        <v>130</v>
      </c>
      <c r="D11" s="22">
        <v>130</v>
      </c>
      <c r="E11" s="22">
        <v>130</v>
      </c>
      <c r="F11" s="22">
        <v>130</v>
      </c>
      <c r="G11" s="22">
        <v>130</v>
      </c>
      <c r="H11" s="22">
        <v>130</v>
      </c>
      <c r="I11" s="22">
        <v>130</v>
      </c>
      <c r="J11" s="25"/>
      <c r="K11" s="25">
        <v>130</v>
      </c>
      <c r="L11" s="25">
        <v>130</v>
      </c>
      <c r="M11" s="25">
        <v>130</v>
      </c>
      <c r="N11" s="25">
        <v>130</v>
      </c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spans="1:38" x14ac:dyDescent="0.4">
      <c r="A12" s="22" t="s">
        <v>156</v>
      </c>
      <c r="B12" s="22" t="s">
        <v>165</v>
      </c>
      <c r="C12" s="22">
        <v>1387.5</v>
      </c>
      <c r="D12" s="22">
        <v>1387.5</v>
      </c>
      <c r="E12" s="25">
        <v>1387.5</v>
      </c>
      <c r="F12" s="22">
        <v>1237.2</v>
      </c>
      <c r="G12" s="22">
        <v>1237.5</v>
      </c>
      <c r="H12" s="22">
        <v>1237.5</v>
      </c>
      <c r="I12" s="25">
        <v>1237.5</v>
      </c>
      <c r="K12" s="22">
        <v>300</v>
      </c>
      <c r="L12" s="22">
        <v>300</v>
      </c>
      <c r="M12" s="22">
        <v>262.5</v>
      </c>
      <c r="N12" s="22">
        <v>262.5</v>
      </c>
      <c r="O12" s="38"/>
    </row>
    <row r="13" spans="1:38" x14ac:dyDescent="0.4">
      <c r="A13" s="22" t="s">
        <v>157</v>
      </c>
      <c r="B13" s="22" t="s">
        <v>166</v>
      </c>
      <c r="C13" s="22">
        <v>1200</v>
      </c>
      <c r="D13" s="22">
        <v>1200</v>
      </c>
      <c r="E13" s="25">
        <v>1200</v>
      </c>
      <c r="F13" s="22">
        <v>1680</v>
      </c>
      <c r="G13" s="22">
        <v>1680</v>
      </c>
      <c r="H13" s="22">
        <v>1830</v>
      </c>
      <c r="I13" s="25">
        <v>1830</v>
      </c>
      <c r="K13" s="22">
        <v>600</v>
      </c>
      <c r="L13" s="22">
        <v>600</v>
      </c>
      <c r="M13" s="22">
        <v>1680</v>
      </c>
      <c r="N13" s="22">
        <v>1830</v>
      </c>
      <c r="O13" s="38"/>
    </row>
    <row r="14" spans="1:38" x14ac:dyDescent="0.4">
      <c r="A14" s="22" t="s">
        <v>176</v>
      </c>
      <c r="B14" s="22" t="s">
        <v>178</v>
      </c>
      <c r="C14" s="22">
        <f>(C12^2+C13^2)^0.5</f>
        <v>1834.4362212952512</v>
      </c>
      <c r="D14" s="22">
        <f t="shared" ref="D14:I14" si="4">(D12^2+D13^2)^0.5</f>
        <v>1834.4362212952512</v>
      </c>
      <c r="E14" s="22">
        <f t="shared" si="4"/>
        <v>1834.4362212952512</v>
      </c>
      <c r="F14" s="22">
        <f t="shared" si="4"/>
        <v>2086.3997315950746</v>
      </c>
      <c r="G14" s="22">
        <f t="shared" si="4"/>
        <v>2086.5776405396468</v>
      </c>
      <c r="H14" s="22">
        <f t="shared" si="4"/>
        <v>2209.1415187805419</v>
      </c>
      <c r="I14" s="22">
        <f t="shared" si="4"/>
        <v>2209.1415187805419</v>
      </c>
      <c r="J14" s="25"/>
      <c r="K14" s="25">
        <f t="shared" ref="K14:N14" si="5">(K12^2+K13^2)^0.5</f>
        <v>670.82039324993696</v>
      </c>
      <c r="L14" s="25">
        <f t="shared" si="5"/>
        <v>670.82039324993696</v>
      </c>
      <c r="M14" s="25">
        <f t="shared" si="5"/>
        <v>1700.384147773673</v>
      </c>
      <c r="N14" s="25">
        <f t="shared" si="5"/>
        <v>1848.730983675018</v>
      </c>
      <c r="O14" s="39"/>
    </row>
    <row r="15" spans="1:38" x14ac:dyDescent="0.4">
      <c r="A15" s="22" t="s">
        <v>177</v>
      </c>
      <c r="B15" s="22" t="s">
        <v>179</v>
      </c>
      <c r="C15" s="22">
        <f>ATAN(C12/C13)</f>
        <v>0.85773549393604331</v>
      </c>
      <c r="D15" s="22">
        <f t="shared" ref="D15:I15" si="6">ATAN(D12/D13)</f>
        <v>0.85773549393604331</v>
      </c>
      <c r="E15" s="22">
        <f t="shared" si="6"/>
        <v>0.85773549393604331</v>
      </c>
      <c r="F15" s="22">
        <f t="shared" si="6"/>
        <v>0.63475866501607514</v>
      </c>
      <c r="G15" s="22">
        <f t="shared" si="6"/>
        <v>0.63487443566563084</v>
      </c>
      <c r="H15" s="22">
        <f t="shared" si="6"/>
        <v>0.59459384519472824</v>
      </c>
      <c r="I15" s="22">
        <f t="shared" si="6"/>
        <v>0.59459384519472824</v>
      </c>
      <c r="J15" s="25"/>
      <c r="K15" s="25">
        <f t="shared" ref="K15:N15" si="7">ATAN(K12/K13)</f>
        <v>0.46364760900080609</v>
      </c>
      <c r="L15" s="25">
        <f t="shared" si="7"/>
        <v>0.46364760900080609</v>
      </c>
      <c r="M15" s="25">
        <f t="shared" si="7"/>
        <v>0.15499674192394097</v>
      </c>
      <c r="N15" s="25">
        <f t="shared" si="7"/>
        <v>0.14247077800650498</v>
      </c>
      <c r="O15" s="39"/>
    </row>
    <row r="16" spans="1:38" x14ac:dyDescent="0.4">
      <c r="A16" s="22" t="s">
        <v>158</v>
      </c>
      <c r="B16" s="22" t="s">
        <v>167</v>
      </c>
      <c r="C16" s="22">
        <v>11612</v>
      </c>
      <c r="D16" s="22">
        <v>11612</v>
      </c>
      <c r="E16" s="22">
        <v>11612</v>
      </c>
      <c r="F16" s="22">
        <v>11612</v>
      </c>
      <c r="G16" s="22">
        <v>11612</v>
      </c>
      <c r="H16" s="22">
        <v>11612</v>
      </c>
      <c r="I16" s="22">
        <v>11612</v>
      </c>
      <c r="J16" s="25"/>
      <c r="K16" s="25">
        <v>11614</v>
      </c>
      <c r="L16" s="25">
        <v>11615</v>
      </c>
      <c r="M16" s="25">
        <v>11616</v>
      </c>
      <c r="N16" s="25">
        <v>11618</v>
      </c>
      <c r="O16" s="38"/>
    </row>
    <row r="17" spans="1:30" x14ac:dyDescent="0.4">
      <c r="A17" s="22" t="s">
        <v>170</v>
      </c>
      <c r="B17" s="22" t="s">
        <v>171</v>
      </c>
      <c r="C17" s="22">
        <f>(3.14159*C11^4)/32</f>
        <v>28039672.496874999</v>
      </c>
      <c r="D17" s="22">
        <f t="shared" ref="D17:I17" si="8">(3.14159*D11^4)/32</f>
        <v>28039672.496874999</v>
      </c>
      <c r="E17" s="22">
        <f t="shared" si="8"/>
        <v>28039672.496874999</v>
      </c>
      <c r="F17" s="22">
        <f t="shared" si="8"/>
        <v>28039672.496874999</v>
      </c>
      <c r="G17" s="22">
        <f t="shared" si="8"/>
        <v>28039672.496874999</v>
      </c>
      <c r="H17" s="22">
        <f t="shared" si="8"/>
        <v>28039672.496874999</v>
      </c>
      <c r="I17" s="22">
        <f t="shared" si="8"/>
        <v>28039672.496874999</v>
      </c>
      <c r="J17" s="25"/>
      <c r="K17" s="25">
        <f t="shared" ref="K17:N17" si="9">(3.14159*K11^4)/32</f>
        <v>28039672.496874999</v>
      </c>
      <c r="L17" s="25">
        <f t="shared" si="9"/>
        <v>28039672.496874999</v>
      </c>
      <c r="M17" s="25">
        <f t="shared" si="9"/>
        <v>28039672.496874999</v>
      </c>
      <c r="N17" s="25">
        <f t="shared" si="9"/>
        <v>28039672.496874999</v>
      </c>
      <c r="O17" s="38"/>
    </row>
    <row r="19" spans="1:30" x14ac:dyDescent="0.4">
      <c r="A19" s="58" t="s">
        <v>181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60"/>
      <c r="T19" s="25"/>
      <c r="U19" s="25"/>
      <c r="V19" s="25"/>
      <c r="W19" s="25"/>
      <c r="X19" s="25"/>
      <c r="AA19" s="26"/>
    </row>
    <row r="20" spans="1:30" x14ac:dyDescent="0.4">
      <c r="A20" s="22" t="s">
        <v>204</v>
      </c>
      <c r="C20" s="22">
        <v>1</v>
      </c>
      <c r="D20" s="22">
        <v>1</v>
      </c>
      <c r="E20" s="22">
        <v>0.92</v>
      </c>
      <c r="F20" s="22">
        <v>1</v>
      </c>
      <c r="G20" s="22">
        <v>1</v>
      </c>
      <c r="H20" s="22">
        <v>1</v>
      </c>
      <c r="I20" s="22">
        <v>1</v>
      </c>
      <c r="K20" s="22">
        <v>1</v>
      </c>
      <c r="L20" s="22">
        <v>1</v>
      </c>
      <c r="M20" s="22">
        <v>1</v>
      </c>
      <c r="N20" s="22">
        <v>1</v>
      </c>
      <c r="O20" s="39"/>
      <c r="U20" s="25"/>
      <c r="V20" s="25"/>
      <c r="W20" s="25"/>
      <c r="X20" s="25"/>
      <c r="Y20" s="25"/>
      <c r="AA20" s="26"/>
      <c r="AC20" s="25"/>
      <c r="AD20" s="25"/>
    </row>
    <row r="21" spans="1:30" x14ac:dyDescent="0.4">
      <c r="A21" s="22" t="s">
        <v>182</v>
      </c>
      <c r="B21" s="22" t="s">
        <v>183</v>
      </c>
      <c r="C21" s="22">
        <f>((C10*C3*SIN(2*C7))/(4*C16*C17*C4))^0.25</f>
        <v>3.8838550083299247E-3</v>
      </c>
      <c r="D21" s="22">
        <f t="shared" ref="D21:I21" si="10">((D10*D3*SIN(2*D7))/(4*D16*D17*D4))^0.25</f>
        <v>3.3377411250999443E-3</v>
      </c>
      <c r="E21" s="22">
        <f t="shared" si="10"/>
        <v>3.3377411250999443E-3</v>
      </c>
      <c r="F21" s="22">
        <f t="shared" si="10"/>
        <v>3.9777850276067053E-3</v>
      </c>
      <c r="G21" s="22">
        <f t="shared" si="10"/>
        <v>3.9777850276067053E-3</v>
      </c>
      <c r="H21" s="22">
        <f t="shared" si="10"/>
        <v>3.9509552388175394E-3</v>
      </c>
      <c r="I21" s="22">
        <f t="shared" si="10"/>
        <v>3.9509552388175394E-3</v>
      </c>
      <c r="J21" s="25"/>
      <c r="K21" s="25">
        <f t="shared" ref="K21:N21" si="11">((K10*K3*SIN(2*K7))/(4*K16*K17*K4))^0.25</f>
        <v>5.7248638612541437E-3</v>
      </c>
      <c r="L21" s="25">
        <f t="shared" si="11"/>
        <v>4.9197774402192475E-3</v>
      </c>
      <c r="M21" s="25">
        <f t="shared" si="11"/>
        <v>4.4587824029352126E-3</v>
      </c>
      <c r="N21" s="25">
        <f t="shared" si="11"/>
        <v>4.3591222392569129E-3</v>
      </c>
      <c r="O21" s="39"/>
      <c r="U21" s="28"/>
      <c r="V21" s="28"/>
      <c r="W21" s="28"/>
      <c r="X21" s="28"/>
      <c r="Y21" s="25"/>
      <c r="AA21" s="26"/>
      <c r="AC21" s="25"/>
      <c r="AD21" s="25"/>
    </row>
    <row r="22" spans="1:30" x14ac:dyDescent="0.4">
      <c r="A22" s="22" t="s">
        <v>184</v>
      </c>
      <c r="B22" s="22" t="s">
        <v>5</v>
      </c>
      <c r="C22" s="22">
        <f>0.175*C6*C20*(C21*C12)^(-0.4)</f>
        <v>159.37869589498857</v>
      </c>
      <c r="D22" s="22">
        <f t="shared" ref="D22:I22" si="12">0.175*D6*D20*(D21*D12)^(-0.4)</f>
        <v>169.3379946395097</v>
      </c>
      <c r="E22" s="22">
        <f t="shared" si="12"/>
        <v>155.79095506834892</v>
      </c>
      <c r="F22" s="22">
        <f t="shared" si="12"/>
        <v>181.34788659891487</v>
      </c>
      <c r="G22" s="22">
        <f t="shared" si="12"/>
        <v>181.33030007021262</v>
      </c>
      <c r="H22" s="22">
        <f t="shared" si="12"/>
        <v>193.0114485063051</v>
      </c>
      <c r="I22" s="22">
        <f t="shared" si="12"/>
        <v>193.0114485063051</v>
      </c>
      <c r="J22" s="25"/>
      <c r="K22" s="25">
        <f t="shared" ref="K22:N22" si="13">0.175*K6*K20*(K21*K12)^(-0.4)</f>
        <v>73.449423701838128</v>
      </c>
      <c r="L22" s="25">
        <f t="shared" si="13"/>
        <v>78.039822926633747</v>
      </c>
      <c r="M22" s="25">
        <f t="shared" si="13"/>
        <v>256.31972280073558</v>
      </c>
      <c r="N22" s="25">
        <f t="shared" si="13"/>
        <v>283.37700482388965</v>
      </c>
      <c r="O22" s="39"/>
      <c r="AA22" s="26"/>
      <c r="AC22" s="25"/>
      <c r="AD22" s="25"/>
    </row>
    <row r="23" spans="1:30" x14ac:dyDescent="0.4">
      <c r="A23" s="22" t="s">
        <v>205</v>
      </c>
      <c r="B23" s="22" t="s">
        <v>206</v>
      </c>
      <c r="C23" s="22">
        <f>C22*C3</f>
        <v>17531.656548448744</v>
      </c>
      <c r="D23" s="22">
        <f t="shared" ref="D23:I23" si="14">D22*D3</f>
        <v>10160.279678370582</v>
      </c>
      <c r="E23" s="22">
        <f t="shared" si="14"/>
        <v>9347.4573041009353</v>
      </c>
      <c r="F23" s="22">
        <f t="shared" si="14"/>
        <v>19948.267525880634</v>
      </c>
      <c r="G23" s="22">
        <f t="shared" si="14"/>
        <v>19946.333007723388</v>
      </c>
      <c r="H23" s="22">
        <f t="shared" si="14"/>
        <v>21231.259335693561</v>
      </c>
      <c r="I23" s="22">
        <f t="shared" si="14"/>
        <v>21231.259335693561</v>
      </c>
      <c r="J23" s="25"/>
      <c r="K23" s="25">
        <f t="shared" ref="K23:N23" si="15">K22*K3</f>
        <v>8079.436607202194</v>
      </c>
      <c r="L23" s="25">
        <f t="shared" si="15"/>
        <v>4682.3893755980243</v>
      </c>
      <c r="M23" s="25">
        <f t="shared" si="15"/>
        <v>28195.169508080915</v>
      </c>
      <c r="N23" s="25">
        <f t="shared" si="15"/>
        <v>31171.470530627863</v>
      </c>
      <c r="O23" s="39"/>
      <c r="AA23" s="26"/>
      <c r="AC23" s="25"/>
      <c r="AD23" s="25"/>
    </row>
    <row r="24" spans="1:30" x14ac:dyDescent="0.4">
      <c r="AA24" s="25"/>
      <c r="AB24" s="25"/>
      <c r="AD24" s="25"/>
    </row>
    <row r="25" spans="1:30" x14ac:dyDescent="0.4">
      <c r="A25" s="58" t="s">
        <v>187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60"/>
      <c r="P25" s="28"/>
    </row>
    <row r="26" spans="1:30" x14ac:dyDescent="0.4">
      <c r="A26" s="22" t="s">
        <v>185</v>
      </c>
      <c r="B26" s="22" t="s">
        <v>186</v>
      </c>
      <c r="C26" s="34">
        <f t="shared" ref="C26:H26" si="16">C9*C3*C5/COS(C7)</f>
        <v>19257.920130689086</v>
      </c>
      <c r="D26" s="22">
        <f t="shared" si="16"/>
        <v>10504.320071284954</v>
      </c>
      <c r="E26" s="22">
        <f t="shared" si="16"/>
        <v>10504.320071284954</v>
      </c>
      <c r="F26" s="22">
        <f t="shared" si="16"/>
        <v>21131.274855057844</v>
      </c>
      <c r="G26" s="22">
        <f t="shared" si="16"/>
        <v>21131.274855057844</v>
      </c>
      <c r="H26" s="22">
        <f t="shared" si="16"/>
        <v>22431.726906326236</v>
      </c>
      <c r="I26" s="22">
        <f>I9*I3*I5/COS(I7)</f>
        <v>22431.726906326236</v>
      </c>
      <c r="J26" s="25"/>
      <c r="K26" s="25">
        <f t="shared" ref="K26:N26" si="17">K9*K3*K5/COS(K7)</f>
        <v>5617.2489538919317</v>
      </c>
      <c r="L26" s="25">
        <f t="shared" si="17"/>
        <v>3063.9539748501443</v>
      </c>
      <c r="M26" s="25">
        <f t="shared" si="17"/>
        <v>16815.158734011402</v>
      </c>
      <c r="N26" s="25">
        <f t="shared" si="17"/>
        <v>18422.843381248189</v>
      </c>
      <c r="O26" s="39"/>
    </row>
    <row r="27" spans="1:30" x14ac:dyDescent="0.4">
      <c r="A27" s="22" t="s">
        <v>194</v>
      </c>
      <c r="B27" s="22" t="s">
        <v>195</v>
      </c>
      <c r="C27" s="28">
        <f t="shared" ref="C27:H27" si="18">(C8*C3^2*C5)/8</f>
        <v>8175667.5</v>
      </c>
      <c r="D27" s="22">
        <f t="shared" si="18"/>
        <v>2432430</v>
      </c>
      <c r="E27" s="22">
        <f t="shared" si="18"/>
        <v>2432430</v>
      </c>
      <c r="F27" s="22">
        <f t="shared" si="18"/>
        <v>10831012.5</v>
      </c>
      <c r="G27" s="22">
        <f t="shared" si="18"/>
        <v>10831012.5</v>
      </c>
      <c r="H27" s="22">
        <f t="shared" si="18"/>
        <v>11879175</v>
      </c>
      <c r="I27" s="22">
        <f>(I8*I3^2*I5)/8</f>
        <v>11879175</v>
      </c>
      <c r="J27" s="25"/>
      <c r="K27" s="25">
        <f t="shared" ref="K27:N27" si="19">(K8*K3^2*K5)/8</f>
        <v>3284242.5</v>
      </c>
      <c r="L27" s="25">
        <f t="shared" si="19"/>
        <v>977130</v>
      </c>
      <c r="M27" s="25">
        <f t="shared" si="19"/>
        <v>10831012.5</v>
      </c>
      <c r="N27" s="25">
        <f t="shared" si="19"/>
        <v>11879175</v>
      </c>
      <c r="O27" s="39"/>
    </row>
    <row r="28" spans="1:30" x14ac:dyDescent="0.4">
      <c r="A28" s="22" t="s">
        <v>193</v>
      </c>
      <c r="B28" s="22" t="s">
        <v>196</v>
      </c>
      <c r="C28" s="22">
        <v>7219614.8466999996</v>
      </c>
      <c r="D28" s="22">
        <v>1491599.6712</v>
      </c>
      <c r="E28" s="25">
        <v>1491599.6710000001</v>
      </c>
    </row>
    <row r="29" spans="1:30" x14ac:dyDescent="0.4">
      <c r="A29" s="22" t="s">
        <v>188</v>
      </c>
      <c r="B29" s="22" t="s">
        <v>189</v>
      </c>
    </row>
    <row r="30" spans="1:30" x14ac:dyDescent="0.4">
      <c r="B30" s="22" t="s">
        <v>192</v>
      </c>
      <c r="C30" s="22">
        <f>(C5*C3^3)/24</f>
        <v>64886250</v>
      </c>
      <c r="D30" s="22">
        <f t="shared" ref="D30:I30" si="20">(D5*D3^3)/24</f>
        <v>10530000</v>
      </c>
      <c r="E30" s="22">
        <f t="shared" si="20"/>
        <v>10530000</v>
      </c>
      <c r="F30" s="22">
        <f t="shared" si="20"/>
        <v>85960416.666666672</v>
      </c>
      <c r="G30" s="22">
        <f t="shared" si="20"/>
        <v>85960416.666666672</v>
      </c>
      <c r="H30" s="22">
        <f t="shared" si="20"/>
        <v>94279166.666666672</v>
      </c>
      <c r="I30" s="22">
        <f t="shared" si="20"/>
        <v>94279166.666666672</v>
      </c>
      <c r="J30" s="25"/>
      <c r="K30" s="25">
        <f t="shared" ref="K30:N30" si="21">(K5*K3^3)/24</f>
        <v>26065416.666666668</v>
      </c>
      <c r="L30" s="25">
        <f t="shared" si="21"/>
        <v>4230000</v>
      </c>
      <c r="M30" s="25">
        <f t="shared" si="21"/>
        <v>85960416.666666672</v>
      </c>
      <c r="N30" s="25">
        <f t="shared" si="21"/>
        <v>94279166.666666672</v>
      </c>
      <c r="O30" s="39"/>
    </row>
    <row r="31" spans="1:30" x14ac:dyDescent="0.4">
      <c r="A31" s="22" t="s">
        <v>190</v>
      </c>
      <c r="B31" s="22" t="s">
        <v>191</v>
      </c>
      <c r="C31" s="22">
        <f>1.644*C30*(C14/C4)^3</f>
        <v>267646170.79782754</v>
      </c>
      <c r="D31" s="22">
        <f t="shared" ref="D31:I31" si="22">1.644*D30*(D14/D4)^3</f>
        <v>43434690.377408527</v>
      </c>
      <c r="E31" s="22">
        <f t="shared" si="22"/>
        <v>43434690.377408527</v>
      </c>
      <c r="F31" s="22">
        <f t="shared" si="22"/>
        <v>742761084.29195583</v>
      </c>
      <c r="G31" s="22">
        <f t="shared" si="22"/>
        <v>742951107.95842361</v>
      </c>
      <c r="H31" s="22">
        <f t="shared" si="22"/>
        <v>967039967.87726116</v>
      </c>
      <c r="I31" s="22">
        <f t="shared" si="22"/>
        <v>967039967.87726116</v>
      </c>
      <c r="J31" s="25"/>
      <c r="K31" s="25">
        <f t="shared" ref="K31:N31" si="23">1.644*K30*(K14/K4)^3</f>
        <v>1135632208.1290812</v>
      </c>
      <c r="L31" s="25">
        <f t="shared" si="23"/>
        <v>184294933.85115066</v>
      </c>
      <c r="M31" s="25">
        <f t="shared" si="23"/>
        <v>129636507282.7305</v>
      </c>
      <c r="N31" s="25">
        <f t="shared" si="23"/>
        <v>182736188303.12598</v>
      </c>
      <c r="O31" s="39"/>
    </row>
    <row r="35" spans="3:31" x14ac:dyDescent="0.4">
      <c r="C35" s="25"/>
    </row>
    <row r="36" spans="3:31" x14ac:dyDescent="0.4">
      <c r="C36" s="25"/>
    </row>
    <row r="46" spans="3:31" x14ac:dyDescent="0.4">
      <c r="U46" s="25">
        <v>1402.155663</v>
      </c>
      <c r="V46" s="25">
        <v>730.99199769999996</v>
      </c>
      <c r="W46" s="25">
        <v>517.51317119999999</v>
      </c>
      <c r="X46" s="25">
        <v>374.537327</v>
      </c>
      <c r="Y46" s="25">
        <v>196.30505450000001</v>
      </c>
    </row>
    <row r="47" spans="3:31" x14ac:dyDescent="0.4">
      <c r="U47" s="25">
        <v>583.07844969999996</v>
      </c>
      <c r="V47" s="25">
        <v>1118.43461</v>
      </c>
      <c r="W47" s="25">
        <v>1579.7989219999999</v>
      </c>
      <c r="X47" s="25">
        <v>2182.8712150000001</v>
      </c>
      <c r="Y47" s="25">
        <v>4164.7768679999999</v>
      </c>
    </row>
    <row r="48" spans="3:31" x14ac:dyDescent="0.4">
      <c r="T48" s="22" t="s">
        <v>215</v>
      </c>
      <c r="U48" s="22">
        <f>U47/1.0985</f>
        <v>530.79512944924898</v>
      </c>
      <c r="V48" s="25">
        <f t="shared" ref="V48:Y48" si="24">V47/1.0985</f>
        <v>1018.1471187983614</v>
      </c>
      <c r="W48" s="25">
        <f t="shared" si="24"/>
        <v>1438.1419408284023</v>
      </c>
      <c r="X48" s="25">
        <f t="shared" si="24"/>
        <v>1987.1381110605371</v>
      </c>
      <c r="Y48" s="25">
        <f t="shared" si="24"/>
        <v>3791.3307856167498</v>
      </c>
      <c r="Z48" s="25">
        <v>530.79512939999995</v>
      </c>
      <c r="AA48" s="25">
        <v>1018.147119</v>
      </c>
      <c r="AB48" s="25">
        <v>1438.1419410000001</v>
      </c>
      <c r="AC48" s="25">
        <v>1987.138111</v>
      </c>
      <c r="AD48" s="25">
        <v>3791.330786</v>
      </c>
      <c r="AE48" s="22">
        <f>SUM(U48:AD48)</f>
        <v>17531.106172153297</v>
      </c>
    </row>
    <row r="49" spans="20:32" x14ac:dyDescent="0.4">
      <c r="T49" s="22" t="s">
        <v>216</v>
      </c>
      <c r="U49" s="22">
        <f>U48*U46^2</f>
        <v>1043564723.4425504</v>
      </c>
      <c r="V49" s="25">
        <f t="shared" ref="V49:Y49" si="25">V48*V46^2</f>
        <v>544046200.94108701</v>
      </c>
      <c r="W49" s="25">
        <f t="shared" si="25"/>
        <v>385163005.41752648</v>
      </c>
      <c r="X49" s="25">
        <f t="shared" si="25"/>
        <v>278752175.88375682</v>
      </c>
      <c r="Y49" s="25">
        <f t="shared" si="25"/>
        <v>146101488.7815727</v>
      </c>
      <c r="Z49" s="22">
        <v>1043564723.4425504</v>
      </c>
      <c r="AA49" s="22">
        <v>544046200.94108701</v>
      </c>
      <c r="AB49" s="22">
        <v>385163005.41752648</v>
      </c>
      <c r="AC49" s="22">
        <v>278752175.88375682</v>
      </c>
      <c r="AD49" s="22">
        <v>146101488.7815727</v>
      </c>
      <c r="AE49" s="22">
        <f>SUM(U49:AD49)</f>
        <v>4795255188.9329863</v>
      </c>
      <c r="AF49" s="22" t="e">
        <f>AE49/AE9</f>
        <v>#DIV/0!</v>
      </c>
    </row>
  </sheetData>
  <mergeCells count="6">
    <mergeCell ref="A25:N25"/>
    <mergeCell ref="T7:X7"/>
    <mergeCell ref="Z7:AC7"/>
    <mergeCell ref="A1:B1"/>
    <mergeCell ref="A2:N2"/>
    <mergeCell ref="A19:N19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46CA-F431-4EB4-9E94-02A22939C2B5}">
  <dimension ref="A1:O40"/>
  <sheetViews>
    <sheetView workbookViewId="0">
      <selection activeCell="H13" sqref="H13:K13"/>
    </sheetView>
  </sheetViews>
  <sheetFormatPr defaultRowHeight="13.9" x14ac:dyDescent="0.4"/>
  <cols>
    <col min="2" max="2" width="15.3984375" bestFit="1" customWidth="1"/>
    <col min="3" max="3" width="14.265625" bestFit="1" customWidth="1"/>
    <col min="4" max="4" width="13.1328125" bestFit="1" customWidth="1"/>
    <col min="5" max="5" width="16.73046875" customWidth="1"/>
    <col min="6" max="7" width="11.86328125" bestFit="1" customWidth="1"/>
    <col min="8" max="9" width="13.1328125" bestFit="1" customWidth="1"/>
    <col min="10" max="10" width="14.265625" bestFit="1" customWidth="1"/>
    <col min="11" max="11" width="15.3984375" bestFit="1" customWidth="1"/>
    <col min="12" max="12" width="15.73046875" customWidth="1"/>
    <col min="13" max="13" width="18.86328125" customWidth="1"/>
  </cols>
  <sheetData>
    <row r="1" spans="1:13" x14ac:dyDescent="0.4">
      <c r="A1" s="36" t="s">
        <v>220</v>
      </c>
      <c r="B1" s="36">
        <v>3674.2159999999999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4">
      <c r="A2" s="36" t="s">
        <v>5</v>
      </c>
      <c r="B2" s="36">
        <v>159.4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x14ac:dyDescent="0.4">
      <c r="A3" s="36" t="s">
        <v>148</v>
      </c>
      <c r="B3" s="36">
        <v>18002.599999999999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 x14ac:dyDescent="0.4">
      <c r="A4" s="36" t="s">
        <v>217</v>
      </c>
      <c r="B4" s="36">
        <v>267646170.80000001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x14ac:dyDescent="0.4">
      <c r="A5" s="36" t="s">
        <v>218</v>
      </c>
      <c r="B5" s="36">
        <v>19280.8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3" x14ac:dyDescent="0.4">
      <c r="A6" s="36" t="s">
        <v>219</v>
      </c>
      <c r="B6" s="36">
        <v>7219614.7999999998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</row>
    <row r="7" spans="1:13" x14ac:dyDescent="0.4">
      <c r="A7" s="27" t="s">
        <v>197</v>
      </c>
      <c r="B7" s="27">
        <v>1</v>
      </c>
      <c r="C7" s="27">
        <v>2</v>
      </c>
      <c r="D7" s="27">
        <v>3</v>
      </c>
      <c r="E7" s="27">
        <v>4</v>
      </c>
      <c r="F7" s="27">
        <v>5</v>
      </c>
      <c r="G7" s="27">
        <v>6</v>
      </c>
      <c r="H7" s="37"/>
      <c r="I7" s="37"/>
      <c r="J7" s="37"/>
      <c r="K7" s="37"/>
      <c r="L7" s="36"/>
      <c r="M7" s="36"/>
    </row>
    <row r="8" spans="1:13" x14ac:dyDescent="0.4">
      <c r="A8" s="27" t="s">
        <v>131</v>
      </c>
      <c r="B8" s="27">
        <f t="shared" ref="B8:G8" si="0">$B$6*(B7-1)/5</f>
        <v>0</v>
      </c>
      <c r="C8" s="27">
        <f t="shared" si="0"/>
        <v>1443922.96</v>
      </c>
      <c r="D8" s="27">
        <f t="shared" si="0"/>
        <v>2887845.92</v>
      </c>
      <c r="E8" s="27">
        <f t="shared" si="0"/>
        <v>4331768.88</v>
      </c>
      <c r="F8" s="27">
        <f t="shared" si="0"/>
        <v>5775691.8399999999</v>
      </c>
      <c r="G8" s="27">
        <f t="shared" si="0"/>
        <v>7219614.7999999998</v>
      </c>
      <c r="H8" s="37"/>
      <c r="I8" s="37"/>
      <c r="J8" s="37"/>
      <c r="K8" s="37"/>
      <c r="L8" s="36"/>
      <c r="M8" s="36"/>
    </row>
    <row r="9" spans="1:13" x14ac:dyDescent="0.4">
      <c r="A9" s="27" t="s">
        <v>132</v>
      </c>
      <c r="B9" s="27">
        <f t="shared" ref="B9:G9" si="1">$B$5*(1-(B8/$B$6)^1.5)^(2/3)</f>
        <v>19280.8</v>
      </c>
      <c r="C9" s="27">
        <f t="shared" si="1"/>
        <v>18113.257617765765</v>
      </c>
      <c r="D9" s="27">
        <f t="shared" si="1"/>
        <v>15873.73082691801</v>
      </c>
      <c r="E9" s="27">
        <f t="shared" si="1"/>
        <v>12710.379141116626</v>
      </c>
      <c r="F9" s="27">
        <f t="shared" si="1"/>
        <v>8339.4498777222998</v>
      </c>
      <c r="G9" s="27">
        <f t="shared" si="1"/>
        <v>0</v>
      </c>
      <c r="H9" s="37"/>
      <c r="I9" s="37"/>
      <c r="J9" s="37"/>
      <c r="K9" s="37"/>
      <c r="L9" s="36"/>
      <c r="M9" s="36"/>
    </row>
    <row r="10" spans="1:13" x14ac:dyDescent="0.4">
      <c r="A10" s="27"/>
      <c r="B10" s="27">
        <v>1</v>
      </c>
      <c r="C10" s="27">
        <v>2</v>
      </c>
      <c r="D10" s="27">
        <v>3</v>
      </c>
      <c r="E10" s="27">
        <v>4</v>
      </c>
      <c r="F10" s="27">
        <v>5</v>
      </c>
      <c r="G10" s="27">
        <v>6</v>
      </c>
      <c r="H10" s="27">
        <v>7</v>
      </c>
      <c r="I10" s="27">
        <v>8</v>
      </c>
      <c r="J10" s="27">
        <v>9</v>
      </c>
      <c r="K10" s="27">
        <v>10</v>
      </c>
      <c r="L10" s="36"/>
      <c r="M10" s="36"/>
    </row>
    <row r="11" spans="1:13" x14ac:dyDescent="0.4">
      <c r="A11" s="27" t="s">
        <v>133</v>
      </c>
      <c r="B11" s="27">
        <f>(B9-C9)/2</f>
        <v>583.77119111711727</v>
      </c>
      <c r="C11" s="27">
        <f t="shared" ref="C11:F11" si="2">(C9-D9)/2</f>
        <v>1119.7633954238772</v>
      </c>
      <c r="D11" s="27">
        <f t="shared" si="2"/>
        <v>1581.6758429006923</v>
      </c>
      <c r="E11" s="27">
        <f t="shared" si="2"/>
        <v>2185.464631697163</v>
      </c>
      <c r="F11" s="27">
        <f t="shared" si="2"/>
        <v>4169.7249388611499</v>
      </c>
      <c r="G11" s="27">
        <f>F11</f>
        <v>4169.7249388611499</v>
      </c>
      <c r="H11" s="27">
        <f>E11</f>
        <v>2185.464631697163</v>
      </c>
      <c r="I11" s="27">
        <f>D11</f>
        <v>1581.6758429006923</v>
      </c>
      <c r="J11" s="27">
        <f>C11</f>
        <v>1119.7633954238772</v>
      </c>
      <c r="K11" s="27">
        <f>B11</f>
        <v>583.77119111711727</v>
      </c>
      <c r="L11" s="36"/>
      <c r="M11" s="36"/>
    </row>
    <row r="12" spans="1:13" x14ac:dyDescent="0.4">
      <c r="A12" s="27" t="s">
        <v>134</v>
      </c>
      <c r="B12" s="29">
        <f>(C8-B8)/(2*B11)</f>
        <v>1236.7199529295694</v>
      </c>
      <c r="C12" s="29">
        <f t="shared" ref="C12:F12" si="3">(D8-C8)/(2*C11)</f>
        <v>644.74466923140255</v>
      </c>
      <c r="D12" s="29">
        <f t="shared" si="3"/>
        <v>456.45350356743694</v>
      </c>
      <c r="E12" s="29">
        <f t="shared" si="3"/>
        <v>330.34690634153498</v>
      </c>
      <c r="F12" s="29">
        <f t="shared" si="3"/>
        <v>173.1436702866028</v>
      </c>
      <c r="G12" s="29">
        <f>-F12</f>
        <v>-173.1436702866028</v>
      </c>
      <c r="H12" s="29">
        <f>-E12</f>
        <v>-330.34690634153498</v>
      </c>
      <c r="I12" s="29">
        <f>-D12</f>
        <v>-456.45350356743694</v>
      </c>
      <c r="J12" s="29">
        <f>-C12</f>
        <v>-644.74466923140255</v>
      </c>
      <c r="K12" s="29">
        <f>-B12</f>
        <v>-1236.7199529295694</v>
      </c>
      <c r="L12" s="36"/>
      <c r="M12" s="36"/>
    </row>
    <row r="13" spans="1:13" x14ac:dyDescent="0.4">
      <c r="A13" s="27" t="s">
        <v>211</v>
      </c>
      <c r="B13" s="62">
        <v>-4.0199999999999996</v>
      </c>
      <c r="C13" s="62"/>
      <c r="D13" s="62"/>
      <c r="E13" s="62"/>
      <c r="F13" s="62"/>
      <c r="G13" s="27" t="s">
        <v>212</v>
      </c>
      <c r="H13" s="62">
        <v>-7355.3</v>
      </c>
      <c r="I13" s="62"/>
      <c r="J13" s="62"/>
      <c r="K13" s="62"/>
      <c r="L13" s="36"/>
      <c r="M13" s="36"/>
    </row>
    <row r="14" spans="1:13" x14ac:dyDescent="0.4">
      <c r="A14" s="27" t="s">
        <v>136</v>
      </c>
      <c r="B14" s="27">
        <f>$B$13*B12+$H$13</f>
        <v>-12326.914210776868</v>
      </c>
      <c r="C14" s="27">
        <f>B13*C12+H13</f>
        <v>-9947.1735703102386</v>
      </c>
      <c r="D14" s="27">
        <f t="shared" ref="D14:K14" si="4">$B$13*D12+$H$13</f>
        <v>-9190.2430843410966</v>
      </c>
      <c r="E14" s="27">
        <f t="shared" si="4"/>
        <v>-8683.2945634929711</v>
      </c>
      <c r="F14" s="27">
        <f t="shared" si="4"/>
        <v>-8051.337554552143</v>
      </c>
      <c r="G14" s="27">
        <f t="shared" si="4"/>
        <v>-6659.2624454478573</v>
      </c>
      <c r="H14" s="27">
        <f t="shared" si="4"/>
        <v>-6027.3054365070293</v>
      </c>
      <c r="I14" s="27">
        <f t="shared" si="4"/>
        <v>-5520.3569156589037</v>
      </c>
      <c r="J14" s="27">
        <f t="shared" si="4"/>
        <v>-4763.4264296897618</v>
      </c>
      <c r="K14" s="27">
        <f t="shared" si="4"/>
        <v>-2383.6857892231319</v>
      </c>
      <c r="L14" s="36">
        <f>SUM(B14:K14)</f>
        <v>-73553</v>
      </c>
      <c r="M14" s="36">
        <f>L14/B3</f>
        <v>-4.0856876228989147</v>
      </c>
    </row>
    <row r="15" spans="1:13" x14ac:dyDescent="0.4">
      <c r="A15" s="27" t="s">
        <v>137</v>
      </c>
      <c r="B15" s="27">
        <f>B14*B12^2</f>
        <v>-18853722422.236336</v>
      </c>
      <c r="C15" s="27">
        <f t="shared" ref="C15:K15" si="5">C14*C12^2</f>
        <v>-4134997165.9621024</v>
      </c>
      <c r="D15" s="27">
        <f t="shared" si="5"/>
        <v>-1914785317.0195751</v>
      </c>
      <c r="E15" s="27">
        <f t="shared" si="5"/>
        <v>-947599934.31353521</v>
      </c>
      <c r="F15" s="27">
        <f t="shared" si="5"/>
        <v>-241368879.19807076</v>
      </c>
      <c r="G15" s="27">
        <f t="shared" si="5"/>
        <v>-199636234.58251116</v>
      </c>
      <c r="H15" s="27">
        <f t="shared" si="5"/>
        <v>-657754288.30139303</v>
      </c>
      <c r="I15" s="27">
        <f t="shared" si="5"/>
        <v>-1150165264.379292</v>
      </c>
      <c r="J15" s="27">
        <f t="shared" si="5"/>
        <v>-1980135829.319989</v>
      </c>
      <c r="K15" s="27">
        <f t="shared" si="5"/>
        <v>-3645790782.948102</v>
      </c>
      <c r="L15" s="36">
        <f>SUM(B15:K15)</f>
        <v>-33725956118.260899</v>
      </c>
      <c r="M15" s="36">
        <f>L15/B4</f>
        <v>-126.00948490110397</v>
      </c>
    </row>
    <row r="16" spans="1:13" x14ac:dyDescent="0.4">
      <c r="A16" s="27" t="s">
        <v>213</v>
      </c>
      <c r="B16" s="27">
        <f>B11/B14</f>
        <v>-4.7357447381823452E-2</v>
      </c>
      <c r="C16" s="27">
        <f t="shared" ref="C16:K16" si="6">C11/C14</f>
        <v>-0.11257101200747956</v>
      </c>
      <c r="D16" s="27">
        <f t="shared" si="6"/>
        <v>-0.17210380926655239</v>
      </c>
      <c r="E16" s="27">
        <f t="shared" si="6"/>
        <v>-0.25168611011832709</v>
      </c>
      <c r="F16" s="27">
        <f t="shared" si="6"/>
        <v>-0.51789220245816558</v>
      </c>
      <c r="G16" s="27">
        <f t="shared" si="6"/>
        <v>-0.62615416842618854</v>
      </c>
      <c r="H16" s="27">
        <f t="shared" si="6"/>
        <v>-0.36259397415965255</v>
      </c>
      <c r="I16" s="27">
        <f t="shared" si="6"/>
        <v>-0.28651695299159929</v>
      </c>
      <c r="J16" s="27">
        <f t="shared" si="6"/>
        <v>-0.23507519470533872</v>
      </c>
      <c r="K16" s="27">
        <f t="shared" si="6"/>
        <v>-0.24490274421083594</v>
      </c>
      <c r="L16" s="36"/>
      <c r="M16" s="36"/>
    </row>
    <row r="17" spans="1:15" x14ac:dyDescent="0.4">
      <c r="A17" s="27" t="s">
        <v>214</v>
      </c>
      <c r="B17" s="27">
        <f>B16/$B$1</f>
        <v>-1.2889129921001774E-5</v>
      </c>
      <c r="C17" s="27">
        <f t="shared" ref="C17:K17" si="7">C16/$B$1</f>
        <v>-3.0638104022049757E-5</v>
      </c>
      <c r="D17" s="27">
        <f t="shared" si="7"/>
        <v>-4.6840961246304626E-5</v>
      </c>
      <c r="E17" s="27">
        <f t="shared" si="7"/>
        <v>-6.8500629826424763E-5</v>
      </c>
      <c r="F17" s="27">
        <f t="shared" si="7"/>
        <v>-1.40953118286504E-4</v>
      </c>
      <c r="G17" s="27">
        <f t="shared" si="7"/>
        <v>-1.704184425809992E-4</v>
      </c>
      <c r="H17" s="27">
        <f t="shared" si="7"/>
        <v>-9.8686080012621078E-5</v>
      </c>
      <c r="I17" s="27">
        <f t="shared" si="7"/>
        <v>-7.7980432558020349E-5</v>
      </c>
      <c r="J17" s="27">
        <f t="shared" si="7"/>
        <v>-6.397968837578921E-5</v>
      </c>
      <c r="K17" s="27">
        <f t="shared" si="7"/>
        <v>-6.6654422116401419E-5</v>
      </c>
      <c r="L17" s="36"/>
      <c r="M17" s="36"/>
    </row>
    <row r="21" spans="1:15" x14ac:dyDescent="0.4">
      <c r="A21" s="30"/>
      <c r="C21" s="30"/>
      <c r="D21" s="30"/>
      <c r="E21" s="30"/>
      <c r="F21" s="30"/>
      <c r="G21" s="30"/>
      <c r="H21" s="30"/>
      <c r="I21" s="30"/>
      <c r="J21" s="30"/>
      <c r="K21" s="30"/>
      <c r="O21" s="30">
        <v>169.3</v>
      </c>
    </row>
    <row r="22" spans="1:15" x14ac:dyDescent="0.4">
      <c r="A22" s="30"/>
      <c r="C22" s="30"/>
      <c r="D22" s="30"/>
      <c r="E22" s="30"/>
      <c r="F22" s="30"/>
      <c r="G22" s="30"/>
      <c r="H22" s="30"/>
      <c r="I22" s="30"/>
      <c r="J22" s="30"/>
      <c r="K22" s="30"/>
      <c r="O22" s="30">
        <v>10433.200000000001</v>
      </c>
    </row>
    <row r="23" spans="1:15" x14ac:dyDescent="0.4">
      <c r="A23" s="30"/>
      <c r="C23" s="30"/>
      <c r="D23" s="30"/>
      <c r="E23" s="30"/>
      <c r="F23" s="30"/>
      <c r="G23" s="30"/>
      <c r="H23" s="30"/>
      <c r="I23" s="30"/>
      <c r="J23" s="30"/>
      <c r="K23" s="30"/>
      <c r="O23" s="30">
        <v>43434690.399999999</v>
      </c>
    </row>
    <row r="24" spans="1:15" x14ac:dyDescent="0.4">
      <c r="A24" s="30"/>
      <c r="C24" s="30"/>
      <c r="D24" s="30"/>
      <c r="E24" s="30"/>
      <c r="F24" s="30"/>
      <c r="G24" s="30"/>
      <c r="H24" s="30"/>
      <c r="I24" s="30"/>
      <c r="J24" s="30"/>
      <c r="K24" s="30"/>
      <c r="O24" s="30">
        <v>10516.8</v>
      </c>
    </row>
    <row r="25" spans="1:15" x14ac:dyDescent="0.4">
      <c r="A25" s="30"/>
      <c r="C25" s="30"/>
      <c r="D25" s="30"/>
      <c r="E25" s="30"/>
      <c r="F25" s="30"/>
      <c r="G25" s="30"/>
      <c r="H25" s="30"/>
      <c r="I25" s="30"/>
      <c r="J25" s="30"/>
      <c r="K25" s="30"/>
      <c r="O25" s="30">
        <v>1491599.7</v>
      </c>
    </row>
    <row r="26" spans="1:15" x14ac:dyDescent="0.4">
      <c r="A26" s="32"/>
      <c r="B26" s="32"/>
      <c r="C26" s="32"/>
      <c r="D26" s="32"/>
      <c r="E26" s="32"/>
      <c r="F26" s="32"/>
      <c r="G26" s="32"/>
      <c r="H26" s="33"/>
      <c r="I26" s="33"/>
      <c r="J26" s="33"/>
      <c r="K26" s="33"/>
      <c r="L26" s="30"/>
      <c r="M26" s="30"/>
      <c r="N26" s="30"/>
      <c r="O26" s="30"/>
    </row>
    <row r="27" spans="1:15" x14ac:dyDescent="0.4">
      <c r="A27" s="32"/>
      <c r="B27" s="32"/>
      <c r="C27" s="32"/>
      <c r="D27" s="32"/>
      <c r="E27" s="32"/>
      <c r="F27" s="32"/>
      <c r="G27" s="32"/>
      <c r="H27" s="33"/>
      <c r="I27" s="33"/>
      <c r="J27" s="33"/>
      <c r="K27" s="33"/>
      <c r="L27" s="30"/>
      <c r="M27" s="30"/>
      <c r="N27" s="30"/>
      <c r="O27" s="30"/>
    </row>
    <row r="28" spans="1:15" x14ac:dyDescent="0.4">
      <c r="A28" s="32"/>
      <c r="B28" s="32"/>
      <c r="C28" s="32"/>
      <c r="D28" s="32"/>
      <c r="E28" s="32"/>
      <c r="F28" s="32"/>
      <c r="G28" s="32"/>
      <c r="H28" s="33"/>
      <c r="I28" s="33"/>
      <c r="J28" s="33"/>
      <c r="K28" s="33"/>
      <c r="L28" s="30"/>
      <c r="M28" s="30"/>
      <c r="N28" s="30"/>
      <c r="O28" s="30"/>
    </row>
    <row r="29" spans="1:15" x14ac:dyDescent="0.4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0"/>
      <c r="M29" s="30"/>
      <c r="N29" s="30"/>
      <c r="O29" s="30"/>
    </row>
    <row r="30" spans="1:15" x14ac:dyDescent="0.4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0"/>
      <c r="M30" s="30"/>
      <c r="N30" s="30"/>
      <c r="O30" s="30"/>
    </row>
    <row r="31" spans="1:15" x14ac:dyDescent="0.4">
      <c r="A31" s="32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30"/>
      <c r="M31" s="30"/>
      <c r="N31" s="30"/>
      <c r="O31" s="30"/>
    </row>
    <row r="32" spans="1:15" x14ac:dyDescent="0.4">
      <c r="A32" s="32"/>
      <c r="B32" s="63"/>
      <c r="C32" s="64"/>
      <c r="D32" s="64"/>
      <c r="E32" s="64"/>
      <c r="F32" s="65"/>
      <c r="G32" s="32"/>
      <c r="H32" s="51"/>
      <c r="I32" s="52"/>
      <c r="J32" s="52"/>
      <c r="K32" s="53"/>
      <c r="L32" s="30"/>
      <c r="M32" s="30"/>
      <c r="N32" s="30"/>
      <c r="O32" s="30"/>
    </row>
    <row r="33" spans="1:11" x14ac:dyDescent="0.4">
      <c r="A33" s="32"/>
      <c r="B33" s="31"/>
      <c r="C33" s="31"/>
      <c r="D33" s="31"/>
      <c r="E33" s="31"/>
      <c r="F33" s="31"/>
      <c r="G33" s="31"/>
      <c r="H33" s="31"/>
      <c r="I33" s="31"/>
      <c r="J33" s="31"/>
      <c r="K33" s="31"/>
    </row>
    <row r="34" spans="1:11" x14ac:dyDescent="0.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 x14ac:dyDescent="0.4">
      <c r="A35" s="32"/>
      <c r="B35" s="27"/>
      <c r="C35" s="27"/>
      <c r="D35" s="27"/>
      <c r="E35" s="27"/>
      <c r="F35" s="27"/>
      <c r="G35" s="27"/>
      <c r="H35" s="27"/>
      <c r="I35" s="27"/>
      <c r="J35" s="27"/>
      <c r="K35" s="27"/>
    </row>
    <row r="36" spans="1:11" x14ac:dyDescent="0.4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40" spans="1:11" x14ac:dyDescent="0.4">
      <c r="D40" s="35"/>
    </row>
  </sheetData>
  <mergeCells count="4">
    <mergeCell ref="B13:F13"/>
    <mergeCell ref="H13:K13"/>
    <mergeCell ref="B32:F32"/>
    <mergeCell ref="H32:K3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1354B-D7C8-47CF-A956-D17E634D08B9}">
  <dimension ref="A1:M37"/>
  <sheetViews>
    <sheetView tabSelected="1" topLeftCell="B1" zoomScale="70" zoomScaleNormal="70" workbookViewId="0">
      <selection activeCell="E25" sqref="E25"/>
    </sheetView>
  </sheetViews>
  <sheetFormatPr defaultRowHeight="13.9" x14ac:dyDescent="0.4"/>
  <cols>
    <col min="1" max="1" width="20.46484375" customWidth="1"/>
    <col min="3" max="3" width="15.3984375" customWidth="1"/>
    <col min="4" max="4" width="22.46484375" customWidth="1"/>
  </cols>
  <sheetData>
    <row r="1" spans="1:13" s="40" customFormat="1" x14ac:dyDescent="0.4">
      <c r="C1" s="41" t="s">
        <v>197</v>
      </c>
      <c r="D1" s="41" t="s">
        <v>198</v>
      </c>
      <c r="E1" s="41" t="s">
        <v>203</v>
      </c>
      <c r="F1" s="41" t="s">
        <v>199</v>
      </c>
      <c r="G1" s="41" t="s">
        <v>200</v>
      </c>
      <c r="H1" s="41" t="s">
        <v>201</v>
      </c>
      <c r="I1" s="41" t="s">
        <v>202</v>
      </c>
      <c r="J1" s="41" t="s">
        <v>207</v>
      </c>
      <c r="K1" s="41" t="s">
        <v>208</v>
      </c>
      <c r="L1" s="41" t="s">
        <v>209</v>
      </c>
      <c r="M1" s="41" t="s">
        <v>210</v>
      </c>
    </row>
    <row r="2" spans="1:13" x14ac:dyDescent="0.4">
      <c r="A2" s="41" t="s">
        <v>152</v>
      </c>
      <c r="B2" s="41" t="s">
        <v>162</v>
      </c>
      <c r="C2" s="41">
        <v>4.62</v>
      </c>
      <c r="D2" s="41">
        <v>4.62</v>
      </c>
      <c r="E2" s="41">
        <v>4.62</v>
      </c>
      <c r="F2" s="41">
        <v>4.62</v>
      </c>
      <c r="G2" s="41">
        <v>4.62</v>
      </c>
      <c r="H2" s="41">
        <v>4.62</v>
      </c>
      <c r="I2" s="41">
        <v>4.62</v>
      </c>
      <c r="J2" s="41">
        <v>4.62</v>
      </c>
      <c r="K2" s="41">
        <v>4.62</v>
      </c>
      <c r="L2" s="41">
        <v>4.62</v>
      </c>
      <c r="M2" s="41">
        <v>4.62</v>
      </c>
    </row>
    <row r="3" spans="1:13" x14ac:dyDescent="0.4">
      <c r="A3" s="41" t="s">
        <v>163</v>
      </c>
      <c r="B3" s="41" t="s">
        <v>164</v>
      </c>
      <c r="C3" s="41">
        <v>9.8000000000000004E-2</v>
      </c>
      <c r="D3" s="41">
        <v>9.8000000000000004E-2</v>
      </c>
      <c r="E3" s="41">
        <v>9.8000000000000004E-2</v>
      </c>
      <c r="F3" s="41">
        <v>9.8000000000000004E-2</v>
      </c>
      <c r="G3" s="41">
        <v>9.8000000000000004E-2</v>
      </c>
      <c r="H3" s="41">
        <v>9.8000000000000004E-2</v>
      </c>
      <c r="I3" s="41">
        <v>9.8000000000000004E-2</v>
      </c>
      <c r="J3" s="41">
        <v>9.8000000000000004E-2</v>
      </c>
      <c r="K3" s="41">
        <v>9.8000000000000004E-2</v>
      </c>
      <c r="L3" s="41">
        <v>9.8000000000000004E-2</v>
      </c>
      <c r="M3" s="41">
        <v>9.8000000000000004E-2</v>
      </c>
    </row>
    <row r="4" spans="1:13" s="40" customFormat="1" x14ac:dyDescent="0.4">
      <c r="A4" s="41" t="s">
        <v>153</v>
      </c>
      <c r="B4" s="41" t="s">
        <v>159</v>
      </c>
      <c r="C4" s="41">
        <v>110</v>
      </c>
      <c r="D4" s="41">
        <v>60</v>
      </c>
      <c r="E4" s="41">
        <v>60</v>
      </c>
      <c r="F4" s="41">
        <v>110</v>
      </c>
      <c r="G4" s="41">
        <v>110</v>
      </c>
      <c r="H4" s="41">
        <v>110</v>
      </c>
      <c r="I4" s="41">
        <v>110</v>
      </c>
      <c r="J4" s="41">
        <v>110</v>
      </c>
      <c r="K4" s="41">
        <v>60</v>
      </c>
      <c r="L4" s="41">
        <v>110</v>
      </c>
      <c r="M4" s="41">
        <v>110</v>
      </c>
    </row>
    <row r="5" spans="1:13" x14ac:dyDescent="0.4">
      <c r="A5" s="41" t="s">
        <v>154</v>
      </c>
      <c r="B5" s="41" t="s">
        <v>160</v>
      </c>
      <c r="C5" s="41">
        <v>1350</v>
      </c>
      <c r="D5" s="41">
        <v>1350</v>
      </c>
      <c r="E5" s="41">
        <v>1350</v>
      </c>
      <c r="F5" s="41">
        <v>1200</v>
      </c>
      <c r="G5" s="41">
        <v>1200</v>
      </c>
      <c r="H5" s="41">
        <v>1200</v>
      </c>
      <c r="I5" s="41">
        <v>1200</v>
      </c>
      <c r="J5" s="41">
        <v>225</v>
      </c>
      <c r="K5" s="41">
        <v>225</v>
      </c>
      <c r="L5" s="41">
        <v>175</v>
      </c>
      <c r="M5" s="41">
        <v>175</v>
      </c>
    </row>
    <row r="6" spans="1:13" x14ac:dyDescent="0.4">
      <c r="A6" s="41" t="s">
        <v>155</v>
      </c>
      <c r="B6" s="41" t="s">
        <v>161</v>
      </c>
      <c r="C6" s="41">
        <v>1170</v>
      </c>
      <c r="D6" s="41">
        <v>1170</v>
      </c>
      <c r="E6" s="41">
        <v>1170</v>
      </c>
      <c r="F6" s="41">
        <v>1550</v>
      </c>
      <c r="G6" s="41">
        <v>1550</v>
      </c>
      <c r="H6" s="41">
        <v>1700</v>
      </c>
      <c r="I6" s="41">
        <v>1700</v>
      </c>
      <c r="J6" s="41">
        <v>470</v>
      </c>
      <c r="K6" s="41">
        <v>470</v>
      </c>
      <c r="L6" s="41">
        <v>1550</v>
      </c>
      <c r="M6" s="41">
        <v>1700</v>
      </c>
    </row>
    <row r="7" spans="1:13" x14ac:dyDescent="0.4">
      <c r="A7" s="41" t="s">
        <v>169</v>
      </c>
      <c r="B7" s="41" t="s">
        <v>8</v>
      </c>
      <c r="C7" s="41">
        <v>130</v>
      </c>
      <c r="D7" s="41">
        <v>130</v>
      </c>
      <c r="E7" s="41">
        <v>130</v>
      </c>
      <c r="F7" s="41">
        <v>130</v>
      </c>
      <c r="G7" s="41">
        <v>130</v>
      </c>
      <c r="H7" s="41">
        <v>130</v>
      </c>
      <c r="I7" s="41">
        <v>130</v>
      </c>
      <c r="J7" s="41">
        <v>130</v>
      </c>
      <c r="K7" s="41">
        <v>130</v>
      </c>
      <c r="L7" s="41">
        <v>130</v>
      </c>
      <c r="M7" s="41">
        <v>130</v>
      </c>
    </row>
    <row r="8" spans="1:13" x14ac:dyDescent="0.4">
      <c r="A8" s="41" t="s">
        <v>156</v>
      </c>
      <c r="B8" s="41" t="s">
        <v>165</v>
      </c>
      <c r="C8" s="41">
        <v>1387.5</v>
      </c>
      <c r="D8" s="41">
        <v>1387.5</v>
      </c>
      <c r="E8" s="41">
        <v>1387.5</v>
      </c>
      <c r="F8" s="41">
        <v>1237.2</v>
      </c>
      <c r="G8" s="41">
        <v>1237.5</v>
      </c>
      <c r="H8" s="41">
        <v>1237.5</v>
      </c>
      <c r="I8" s="41">
        <v>1237.5</v>
      </c>
      <c r="J8" s="41">
        <v>300</v>
      </c>
      <c r="K8" s="41">
        <v>300</v>
      </c>
      <c r="L8" s="41">
        <v>262.5</v>
      </c>
      <c r="M8" s="41">
        <v>262.5</v>
      </c>
    </row>
    <row r="9" spans="1:13" x14ac:dyDescent="0.4">
      <c r="A9" s="41" t="s">
        <v>157</v>
      </c>
      <c r="B9" s="41" t="s">
        <v>166</v>
      </c>
      <c r="C9" s="41">
        <v>1200</v>
      </c>
      <c r="D9" s="41">
        <v>1200</v>
      </c>
      <c r="E9" s="41">
        <v>1200</v>
      </c>
      <c r="F9" s="41">
        <v>1680</v>
      </c>
      <c r="G9" s="41">
        <v>1680</v>
      </c>
      <c r="H9" s="41">
        <v>1830</v>
      </c>
      <c r="I9" s="41">
        <v>1830</v>
      </c>
      <c r="J9" s="41">
        <v>600</v>
      </c>
      <c r="K9" s="41">
        <v>600</v>
      </c>
      <c r="L9" s="41">
        <v>1680</v>
      </c>
      <c r="M9" s="41">
        <v>1830</v>
      </c>
    </row>
    <row r="10" spans="1:13" x14ac:dyDescent="0.4">
      <c r="A10" s="41" t="s">
        <v>158</v>
      </c>
      <c r="B10" s="41" t="s">
        <v>167</v>
      </c>
      <c r="C10" s="41">
        <v>11612</v>
      </c>
      <c r="D10" s="41">
        <v>11612</v>
      </c>
      <c r="E10" s="41">
        <v>11612</v>
      </c>
      <c r="F10" s="41">
        <v>11612</v>
      </c>
      <c r="G10" s="41">
        <v>11612</v>
      </c>
      <c r="H10" s="41">
        <v>11612</v>
      </c>
      <c r="I10" s="41">
        <v>11612</v>
      </c>
      <c r="J10" s="41">
        <v>11612</v>
      </c>
      <c r="K10" s="41">
        <v>11612</v>
      </c>
      <c r="L10" s="41">
        <v>11612</v>
      </c>
      <c r="M10" s="41">
        <v>11612</v>
      </c>
    </row>
    <row r="11" spans="1:13" x14ac:dyDescent="0.4">
      <c r="A11" s="43" t="s">
        <v>204</v>
      </c>
      <c r="B11" s="43" t="s">
        <v>221</v>
      </c>
      <c r="C11" s="43">
        <v>1</v>
      </c>
      <c r="D11" s="43">
        <v>1</v>
      </c>
      <c r="E11" s="43">
        <v>1</v>
      </c>
      <c r="F11" s="43">
        <v>1</v>
      </c>
      <c r="G11" s="43">
        <v>1</v>
      </c>
      <c r="H11" s="43">
        <v>1</v>
      </c>
      <c r="I11" s="43">
        <v>1</v>
      </c>
      <c r="J11" s="43">
        <v>1</v>
      </c>
      <c r="K11" s="43">
        <v>1</v>
      </c>
      <c r="L11" s="43">
        <v>1</v>
      </c>
      <c r="M11" s="43">
        <v>1</v>
      </c>
    </row>
    <row r="16" spans="1:13" x14ac:dyDescent="0.4">
      <c r="A16" s="66" t="s">
        <v>152</v>
      </c>
      <c r="B16" s="66" t="s">
        <v>162</v>
      </c>
      <c r="C16" s="67">
        <f>C2/6.895</f>
        <v>0.67005076142131981</v>
      </c>
      <c r="D16" s="67">
        <f t="shared" ref="D16:M16" si="0">D2/6.895</f>
        <v>0.67005076142131981</v>
      </c>
      <c r="E16" s="67">
        <f t="shared" si="0"/>
        <v>0.67005076142131981</v>
      </c>
      <c r="F16" s="67">
        <f t="shared" si="0"/>
        <v>0.67005076142131981</v>
      </c>
      <c r="G16" s="67">
        <f t="shared" si="0"/>
        <v>0.67005076142131981</v>
      </c>
      <c r="H16" s="67">
        <f t="shared" si="0"/>
        <v>0.67005076142131981</v>
      </c>
      <c r="I16" s="67">
        <f t="shared" si="0"/>
        <v>0.67005076142131981</v>
      </c>
      <c r="J16" s="67">
        <f t="shared" si="0"/>
        <v>0.67005076142131981</v>
      </c>
      <c r="K16" s="67">
        <f t="shared" si="0"/>
        <v>0.67005076142131981</v>
      </c>
      <c r="L16" s="67">
        <f t="shared" si="0"/>
        <v>0.67005076142131981</v>
      </c>
      <c r="M16" s="67">
        <f t="shared" si="0"/>
        <v>0.67005076142131981</v>
      </c>
    </row>
    <row r="17" spans="1:13" x14ac:dyDescent="0.4">
      <c r="A17" s="66" t="s">
        <v>163</v>
      </c>
      <c r="B17" s="66" t="s">
        <v>164</v>
      </c>
      <c r="C17" s="67">
        <f>C3/6.895</f>
        <v>1.4213197969543149E-2</v>
      </c>
      <c r="D17" s="67">
        <f t="shared" ref="D17:M17" si="1">D3/6.895</f>
        <v>1.4213197969543149E-2</v>
      </c>
      <c r="E17" s="67">
        <f t="shared" si="1"/>
        <v>1.4213197969543149E-2</v>
      </c>
      <c r="F17" s="67">
        <f t="shared" si="1"/>
        <v>1.4213197969543149E-2</v>
      </c>
      <c r="G17" s="67">
        <f t="shared" si="1"/>
        <v>1.4213197969543149E-2</v>
      </c>
      <c r="H17" s="67">
        <f t="shared" si="1"/>
        <v>1.4213197969543149E-2</v>
      </c>
      <c r="I17" s="67">
        <f t="shared" si="1"/>
        <v>1.4213197969543149E-2</v>
      </c>
      <c r="J17" s="67">
        <f t="shared" si="1"/>
        <v>1.4213197969543149E-2</v>
      </c>
      <c r="K17" s="67">
        <f t="shared" si="1"/>
        <v>1.4213197969543149E-2</v>
      </c>
      <c r="L17" s="67">
        <f t="shared" si="1"/>
        <v>1.4213197969543149E-2</v>
      </c>
      <c r="M17" s="67">
        <f t="shared" si="1"/>
        <v>1.4213197969543149E-2</v>
      </c>
    </row>
    <row r="18" spans="1:13" x14ac:dyDescent="0.4">
      <c r="A18" s="66" t="s">
        <v>153</v>
      </c>
      <c r="B18" s="66" t="s">
        <v>159</v>
      </c>
      <c r="C18" s="67">
        <f>C4/25.4</f>
        <v>4.3307086614173231</v>
      </c>
      <c r="D18" s="67">
        <f t="shared" ref="D18:M18" si="2">D4/25.4</f>
        <v>2.3622047244094491</v>
      </c>
      <c r="E18" s="67">
        <f t="shared" si="2"/>
        <v>2.3622047244094491</v>
      </c>
      <c r="F18" s="67">
        <f t="shared" si="2"/>
        <v>4.3307086614173231</v>
      </c>
      <c r="G18" s="67">
        <f t="shared" si="2"/>
        <v>4.3307086614173231</v>
      </c>
      <c r="H18" s="67">
        <f t="shared" si="2"/>
        <v>4.3307086614173231</v>
      </c>
      <c r="I18" s="67">
        <f t="shared" si="2"/>
        <v>4.3307086614173231</v>
      </c>
      <c r="J18" s="67">
        <f t="shared" si="2"/>
        <v>4.3307086614173231</v>
      </c>
      <c r="K18" s="67">
        <f t="shared" si="2"/>
        <v>2.3622047244094491</v>
      </c>
      <c r="L18" s="67">
        <f t="shared" si="2"/>
        <v>4.3307086614173231</v>
      </c>
      <c r="M18" s="67">
        <f t="shared" si="2"/>
        <v>4.3307086614173231</v>
      </c>
    </row>
    <row r="19" spans="1:13" x14ac:dyDescent="0.4">
      <c r="A19" s="66" t="s">
        <v>154</v>
      </c>
      <c r="B19" s="66" t="s">
        <v>160</v>
      </c>
      <c r="C19" s="67">
        <f>C5/25.4</f>
        <v>53.1496062992126</v>
      </c>
      <c r="D19" s="67">
        <f t="shared" ref="D19:M19" si="3">D5/25.4</f>
        <v>53.1496062992126</v>
      </c>
      <c r="E19" s="67">
        <f t="shared" si="3"/>
        <v>53.1496062992126</v>
      </c>
      <c r="F19" s="67">
        <f t="shared" si="3"/>
        <v>47.244094488188978</v>
      </c>
      <c r="G19" s="67">
        <f t="shared" si="3"/>
        <v>47.244094488188978</v>
      </c>
      <c r="H19" s="67">
        <f t="shared" si="3"/>
        <v>47.244094488188978</v>
      </c>
      <c r="I19" s="67">
        <f t="shared" si="3"/>
        <v>47.244094488188978</v>
      </c>
      <c r="J19" s="67">
        <f t="shared" si="3"/>
        <v>8.8582677165354333</v>
      </c>
      <c r="K19" s="67">
        <f t="shared" si="3"/>
        <v>8.8582677165354333</v>
      </c>
      <c r="L19" s="67">
        <f t="shared" si="3"/>
        <v>6.8897637795275593</v>
      </c>
      <c r="M19" s="67">
        <f t="shared" si="3"/>
        <v>6.8897637795275593</v>
      </c>
    </row>
    <row r="20" spans="1:13" x14ac:dyDescent="0.4">
      <c r="A20" s="66" t="s">
        <v>155</v>
      </c>
      <c r="B20" s="66" t="s">
        <v>161</v>
      </c>
      <c r="C20" s="67">
        <f t="shared" ref="C20:M23" si="4">C6/25.4</f>
        <v>46.062992125984252</v>
      </c>
      <c r="D20" s="67">
        <f t="shared" si="4"/>
        <v>46.062992125984252</v>
      </c>
      <c r="E20" s="67">
        <f t="shared" si="4"/>
        <v>46.062992125984252</v>
      </c>
      <c r="F20" s="67">
        <f t="shared" si="4"/>
        <v>61.023622047244096</v>
      </c>
      <c r="G20" s="67">
        <f t="shared" si="4"/>
        <v>61.023622047244096</v>
      </c>
      <c r="H20" s="67">
        <f t="shared" si="4"/>
        <v>66.929133858267718</v>
      </c>
      <c r="I20" s="67">
        <f t="shared" si="4"/>
        <v>66.929133858267718</v>
      </c>
      <c r="J20" s="67">
        <f t="shared" si="4"/>
        <v>18.503937007874018</v>
      </c>
      <c r="K20" s="67">
        <f t="shared" si="4"/>
        <v>18.503937007874018</v>
      </c>
      <c r="L20" s="67">
        <f t="shared" si="4"/>
        <v>61.023622047244096</v>
      </c>
      <c r="M20" s="67">
        <f t="shared" si="4"/>
        <v>66.929133858267718</v>
      </c>
    </row>
    <row r="21" spans="1:13" x14ac:dyDescent="0.4">
      <c r="A21" s="66" t="s">
        <v>169</v>
      </c>
      <c r="B21" s="66" t="s">
        <v>8</v>
      </c>
      <c r="C21" s="67">
        <f t="shared" si="4"/>
        <v>5.1181102362204731</v>
      </c>
      <c r="D21" s="67">
        <f t="shared" si="4"/>
        <v>5.1181102362204731</v>
      </c>
      <c r="E21" s="67">
        <f t="shared" si="4"/>
        <v>5.1181102362204731</v>
      </c>
      <c r="F21" s="67">
        <f t="shared" si="4"/>
        <v>5.1181102362204731</v>
      </c>
      <c r="G21" s="67">
        <f t="shared" si="4"/>
        <v>5.1181102362204731</v>
      </c>
      <c r="H21" s="67">
        <f t="shared" si="4"/>
        <v>5.1181102362204731</v>
      </c>
      <c r="I21" s="67">
        <f t="shared" si="4"/>
        <v>5.1181102362204731</v>
      </c>
      <c r="J21" s="67">
        <f t="shared" si="4"/>
        <v>5.1181102362204731</v>
      </c>
      <c r="K21" s="67">
        <f t="shared" si="4"/>
        <v>5.1181102362204731</v>
      </c>
      <c r="L21" s="67">
        <f t="shared" si="4"/>
        <v>5.1181102362204731</v>
      </c>
      <c r="M21" s="67">
        <f t="shared" si="4"/>
        <v>5.1181102362204731</v>
      </c>
    </row>
    <row r="22" spans="1:13" x14ac:dyDescent="0.4">
      <c r="A22" s="66" t="s">
        <v>156</v>
      </c>
      <c r="B22" s="66" t="s">
        <v>165</v>
      </c>
      <c r="C22" s="67">
        <f t="shared" si="4"/>
        <v>54.625984251968504</v>
      </c>
      <c r="D22" s="67">
        <f t="shared" si="4"/>
        <v>54.625984251968504</v>
      </c>
      <c r="E22" s="67">
        <f t="shared" si="4"/>
        <v>54.625984251968504</v>
      </c>
      <c r="F22" s="67">
        <f t="shared" si="4"/>
        <v>48.708661417322837</v>
      </c>
      <c r="G22" s="67">
        <f t="shared" si="4"/>
        <v>48.720472440944881</v>
      </c>
      <c r="H22" s="67">
        <f t="shared" si="4"/>
        <v>48.720472440944881</v>
      </c>
      <c r="I22" s="67">
        <f t="shared" si="4"/>
        <v>48.720472440944881</v>
      </c>
      <c r="J22" s="67">
        <f t="shared" si="4"/>
        <v>11.811023622047244</v>
      </c>
      <c r="K22" s="67">
        <f t="shared" si="4"/>
        <v>11.811023622047244</v>
      </c>
      <c r="L22" s="67">
        <f t="shared" si="4"/>
        <v>10.334645669291339</v>
      </c>
      <c r="M22" s="67">
        <f t="shared" si="4"/>
        <v>10.334645669291339</v>
      </c>
    </row>
    <row r="23" spans="1:13" x14ac:dyDescent="0.4">
      <c r="A23" s="66" t="s">
        <v>157</v>
      </c>
      <c r="B23" s="66" t="s">
        <v>166</v>
      </c>
      <c r="C23" s="67">
        <f t="shared" si="4"/>
        <v>47.244094488188978</v>
      </c>
      <c r="D23" s="67">
        <f t="shared" si="4"/>
        <v>47.244094488188978</v>
      </c>
      <c r="E23" s="67">
        <f t="shared" si="4"/>
        <v>47.244094488188978</v>
      </c>
      <c r="F23" s="67">
        <f t="shared" si="4"/>
        <v>66.141732283464577</v>
      </c>
      <c r="G23" s="67">
        <f t="shared" si="4"/>
        <v>66.141732283464577</v>
      </c>
      <c r="H23" s="67">
        <f t="shared" si="4"/>
        <v>72.047244094488192</v>
      </c>
      <c r="I23" s="67">
        <f t="shared" si="4"/>
        <v>72.047244094488192</v>
      </c>
      <c r="J23" s="67">
        <f t="shared" si="4"/>
        <v>23.622047244094489</v>
      </c>
      <c r="K23" s="67">
        <f t="shared" si="4"/>
        <v>23.622047244094489</v>
      </c>
      <c r="L23" s="67">
        <f t="shared" si="4"/>
        <v>66.141732283464577</v>
      </c>
      <c r="M23" s="67">
        <f t="shared" si="4"/>
        <v>72.047244094488192</v>
      </c>
    </row>
    <row r="24" spans="1:13" x14ac:dyDescent="0.4">
      <c r="A24" s="66" t="s">
        <v>158</v>
      </c>
      <c r="B24" s="66" t="s">
        <v>167</v>
      </c>
      <c r="C24" s="67">
        <f>C10/6.895</f>
        <v>1684.1189267585207</v>
      </c>
      <c r="D24" s="67">
        <f t="shared" ref="D24:M24" si="5">D10/6.895</f>
        <v>1684.1189267585207</v>
      </c>
      <c r="E24" s="67">
        <f t="shared" si="5"/>
        <v>1684.1189267585207</v>
      </c>
      <c r="F24" s="67">
        <f t="shared" si="5"/>
        <v>1684.1189267585207</v>
      </c>
      <c r="G24" s="67">
        <f t="shared" si="5"/>
        <v>1684.1189267585207</v>
      </c>
      <c r="H24" s="67">
        <f t="shared" si="5"/>
        <v>1684.1189267585207</v>
      </c>
      <c r="I24" s="67">
        <f t="shared" si="5"/>
        <v>1684.1189267585207</v>
      </c>
      <c r="J24" s="67">
        <f t="shared" si="5"/>
        <v>1684.1189267585207</v>
      </c>
      <c r="K24" s="67">
        <f t="shared" si="5"/>
        <v>1684.1189267585207</v>
      </c>
      <c r="L24" s="67">
        <f t="shared" si="5"/>
        <v>1684.1189267585207</v>
      </c>
      <c r="M24" s="67">
        <f t="shared" si="5"/>
        <v>1684.1189267585207</v>
      </c>
    </row>
    <row r="25" spans="1:13" x14ac:dyDescent="0.4">
      <c r="A25" s="68" t="s">
        <v>204</v>
      </c>
      <c r="B25" s="68" t="s">
        <v>221</v>
      </c>
      <c r="C25" s="67">
        <v>1</v>
      </c>
      <c r="D25" s="67">
        <v>1</v>
      </c>
      <c r="E25" s="67">
        <v>0.89</v>
      </c>
      <c r="F25" s="67">
        <v>1</v>
      </c>
      <c r="G25" s="67">
        <v>1</v>
      </c>
      <c r="H25" s="67">
        <v>1</v>
      </c>
      <c r="I25" s="67">
        <v>1</v>
      </c>
      <c r="J25" s="67">
        <v>1</v>
      </c>
      <c r="K25" s="67">
        <v>1</v>
      </c>
      <c r="L25" s="67">
        <v>1</v>
      </c>
      <c r="M25" s="67">
        <v>1</v>
      </c>
    </row>
    <row r="26" spans="1:13" x14ac:dyDescent="0.4">
      <c r="A26" s="43" t="s">
        <v>222</v>
      </c>
      <c r="B26" s="43" t="s">
        <v>168</v>
      </c>
      <c r="C26">
        <f>550*C16</f>
        <v>368.52791878172587</v>
      </c>
      <c r="D26" s="42">
        <f t="shared" ref="D26:M26" si="6">550*D16</f>
        <v>368.52791878172587</v>
      </c>
      <c r="E26" s="42">
        <f t="shared" si="6"/>
        <v>368.52791878172587</v>
      </c>
      <c r="F26" s="42">
        <f t="shared" si="6"/>
        <v>368.52791878172587</v>
      </c>
      <c r="G26" s="42">
        <f t="shared" si="6"/>
        <v>368.52791878172587</v>
      </c>
      <c r="H26" s="42">
        <f t="shared" si="6"/>
        <v>368.52791878172587</v>
      </c>
      <c r="I26" s="42">
        <f t="shared" si="6"/>
        <v>368.52791878172587</v>
      </c>
      <c r="J26" s="42">
        <f t="shared" si="6"/>
        <v>368.52791878172587</v>
      </c>
      <c r="K26" s="42">
        <f t="shared" si="6"/>
        <v>368.52791878172587</v>
      </c>
      <c r="L26" s="42">
        <f t="shared" si="6"/>
        <v>368.52791878172587</v>
      </c>
      <c r="M26" s="42">
        <f t="shared" si="6"/>
        <v>368.52791878172587</v>
      </c>
    </row>
    <row r="27" spans="1:13" x14ac:dyDescent="0.4">
      <c r="B27" s="43" t="s">
        <v>117</v>
      </c>
      <c r="C27">
        <f>SQRT(C19^2+C20^2)</f>
        <v>70.332637469099552</v>
      </c>
      <c r="D27" s="42">
        <f t="shared" ref="D27:M27" si="7">SQRT(D19^2+D20^2)</f>
        <v>70.332637469099552</v>
      </c>
      <c r="E27" s="42">
        <f t="shared" si="7"/>
        <v>70.332637469099552</v>
      </c>
      <c r="F27" s="42">
        <f t="shared" si="7"/>
        <v>77.174392850049841</v>
      </c>
      <c r="G27" s="42">
        <f t="shared" si="7"/>
        <v>77.174392850049841</v>
      </c>
      <c r="H27" s="42">
        <f t="shared" si="7"/>
        <v>81.923826955452014</v>
      </c>
      <c r="I27" s="42">
        <f t="shared" si="7"/>
        <v>81.923826955452014</v>
      </c>
      <c r="J27" s="42">
        <f t="shared" si="7"/>
        <v>20.51498456565794</v>
      </c>
      <c r="K27" s="42">
        <f t="shared" si="7"/>
        <v>20.51498456565794</v>
      </c>
      <c r="L27" s="42">
        <f t="shared" si="7"/>
        <v>61.411328700025585</v>
      </c>
      <c r="M27" s="42">
        <f t="shared" si="7"/>
        <v>67.282819530364577</v>
      </c>
    </row>
    <row r="28" spans="1:13" x14ac:dyDescent="0.4">
      <c r="B28" s="43" t="s">
        <v>224</v>
      </c>
      <c r="C28">
        <f>ATAN(C19/C20)</f>
        <v>0.85670562818273865</v>
      </c>
      <c r="D28" s="42">
        <f t="shared" ref="D28:M28" si="8">ATAN(D19/D20)</f>
        <v>0.85670562818273865</v>
      </c>
      <c r="E28" s="42">
        <f t="shared" si="8"/>
        <v>0.85670562818273865</v>
      </c>
      <c r="F28" s="42">
        <f t="shared" si="8"/>
        <v>0.65880603611747623</v>
      </c>
      <c r="G28" s="42">
        <f t="shared" si="8"/>
        <v>0.65880603611747623</v>
      </c>
      <c r="H28" s="42">
        <f t="shared" si="8"/>
        <v>0.61466295192216558</v>
      </c>
      <c r="I28" s="42">
        <f t="shared" si="8"/>
        <v>0.61466295192216558</v>
      </c>
      <c r="J28" s="42">
        <f t="shared" si="8"/>
        <v>0.44648191324629533</v>
      </c>
      <c r="K28" s="42">
        <f t="shared" si="8"/>
        <v>0.44648191324629533</v>
      </c>
      <c r="L28" s="42">
        <f t="shared" si="8"/>
        <v>0.11242713083019013</v>
      </c>
      <c r="M28" s="42">
        <f t="shared" si="8"/>
        <v>0.10257985241829468</v>
      </c>
    </row>
    <row r="29" spans="1:13" x14ac:dyDescent="0.4">
      <c r="B29" s="45" t="s">
        <v>223</v>
      </c>
      <c r="C29">
        <f>SQRT(C22^2+C23^2)</f>
        <v>72.221898476191001</v>
      </c>
      <c r="D29" s="42">
        <f t="shared" ref="D29:M29" si="9">SQRT(D22^2+D23^2)</f>
        <v>72.221898476191001</v>
      </c>
      <c r="E29" s="42">
        <f t="shared" si="9"/>
        <v>72.221898476191001</v>
      </c>
      <c r="F29" s="42">
        <f t="shared" si="9"/>
        <v>82.141721716341536</v>
      </c>
      <c r="G29" s="42">
        <f t="shared" si="9"/>
        <v>82.14872600549792</v>
      </c>
      <c r="H29" s="42">
        <f t="shared" si="9"/>
        <v>86.97407554254103</v>
      </c>
      <c r="I29" s="42">
        <f t="shared" si="9"/>
        <v>86.97407554254103</v>
      </c>
      <c r="J29" s="42">
        <f t="shared" si="9"/>
        <v>26.410251702753424</v>
      </c>
      <c r="K29" s="42">
        <f t="shared" si="9"/>
        <v>26.410251702753424</v>
      </c>
      <c r="L29" s="42">
        <f t="shared" si="9"/>
        <v>66.944257786365085</v>
      </c>
      <c r="M29" s="42">
        <f t="shared" si="9"/>
        <v>72.784684396654256</v>
      </c>
    </row>
    <row r="30" spans="1:13" x14ac:dyDescent="0.4">
      <c r="B30" s="44" t="s">
        <v>225</v>
      </c>
      <c r="C30">
        <f>ATAN(C22/C23)</f>
        <v>0.85773549393604331</v>
      </c>
      <c r="D30" s="42">
        <f t="shared" ref="D30:M30" si="10">ATAN(D22/D23)</f>
        <v>0.85773549393604331</v>
      </c>
      <c r="E30" s="42">
        <f t="shared" si="10"/>
        <v>0.85773549393604331</v>
      </c>
      <c r="F30" s="42">
        <f t="shared" si="10"/>
        <v>0.63475866501607514</v>
      </c>
      <c r="G30" s="42">
        <f t="shared" si="10"/>
        <v>0.63487443566563073</v>
      </c>
      <c r="H30" s="42">
        <f t="shared" si="10"/>
        <v>0.59459384519472824</v>
      </c>
      <c r="I30" s="42">
        <f t="shared" si="10"/>
        <v>0.59459384519472824</v>
      </c>
      <c r="J30" s="42">
        <f t="shared" si="10"/>
        <v>0.46364760900080609</v>
      </c>
      <c r="K30" s="42">
        <f t="shared" si="10"/>
        <v>0.46364760900080609</v>
      </c>
      <c r="L30" s="42">
        <f t="shared" si="10"/>
        <v>0.15499674192394094</v>
      </c>
      <c r="M30" s="42">
        <f t="shared" si="10"/>
        <v>0.14247077800650498</v>
      </c>
    </row>
    <row r="31" spans="1:13" x14ac:dyDescent="0.4">
      <c r="B31" s="44" t="s">
        <v>226</v>
      </c>
      <c r="C31">
        <f>(3.1415926 * C21^4)/64</f>
        <v>33.682819193995421</v>
      </c>
      <c r="D31" s="42">
        <f t="shared" ref="D31:M31" si="11">(3.1415926 * D21^4)/64</f>
        <v>33.682819193995421</v>
      </c>
      <c r="E31" s="42">
        <f t="shared" si="11"/>
        <v>33.682819193995421</v>
      </c>
      <c r="F31" s="42">
        <f t="shared" si="11"/>
        <v>33.682819193995421</v>
      </c>
      <c r="G31" s="42">
        <f t="shared" si="11"/>
        <v>33.682819193995421</v>
      </c>
      <c r="H31" s="42">
        <f t="shared" si="11"/>
        <v>33.682819193995421</v>
      </c>
      <c r="I31" s="42">
        <f t="shared" si="11"/>
        <v>33.682819193995421</v>
      </c>
      <c r="J31" s="42">
        <f t="shared" si="11"/>
        <v>33.682819193995421</v>
      </c>
      <c r="K31" s="42">
        <f t="shared" si="11"/>
        <v>33.682819193995421</v>
      </c>
      <c r="L31" s="42">
        <f t="shared" si="11"/>
        <v>33.682819193995421</v>
      </c>
      <c r="M31" s="42">
        <f t="shared" si="11"/>
        <v>33.682819193995421</v>
      </c>
    </row>
    <row r="32" spans="1:13" x14ac:dyDescent="0.4">
      <c r="B32" s="44" t="s">
        <v>121</v>
      </c>
      <c r="C32">
        <f>((C26*C18*SIN(2*C28)/(4*C24*C31*C19))^0.25)</f>
        <v>0.10698284146937127</v>
      </c>
      <c r="D32" s="42">
        <f t="shared" ref="D32:M32" si="12">((D26*D18*SIN(2*D28)/(4*D24*D31*D19))^0.25)</f>
        <v>9.1939845562338474E-2</v>
      </c>
      <c r="E32" s="42">
        <f t="shared" si="12"/>
        <v>9.1939845562338474E-2</v>
      </c>
      <c r="F32" s="42">
        <f t="shared" si="12"/>
        <v>0.10957019355639568</v>
      </c>
      <c r="G32" s="42">
        <f t="shared" si="12"/>
        <v>0.10957019355639568</v>
      </c>
      <c r="H32" s="42">
        <f t="shared" si="12"/>
        <v>0.10883115282636541</v>
      </c>
      <c r="I32" s="42">
        <f t="shared" si="12"/>
        <v>0.10883115282636541</v>
      </c>
      <c r="J32" s="42">
        <f t="shared" si="12"/>
        <v>0.15770119426112722</v>
      </c>
      <c r="K32" s="42">
        <f t="shared" si="12"/>
        <v>0.13552662507581073</v>
      </c>
      <c r="L32" s="42">
        <f t="shared" si="12"/>
        <v>0.12283009637685166</v>
      </c>
      <c r="M32" s="42">
        <f t="shared" si="12"/>
        <v>0.120089836650626</v>
      </c>
    </row>
    <row r="33" spans="2:13" x14ac:dyDescent="0.4">
      <c r="B33" s="44" t="s">
        <v>5</v>
      </c>
      <c r="C33">
        <f>0.175*(C32*C22)^(-0.4)*C27</f>
        <v>6.0744867754419616</v>
      </c>
      <c r="D33" s="42">
        <f t="shared" ref="D33:M33" si="13">0.175*(D32*D22)^(-0.4)*D27</f>
        <v>6.454070936151437</v>
      </c>
      <c r="E33" s="42">
        <f t="shared" si="13"/>
        <v>6.454070936151437</v>
      </c>
      <c r="F33" s="42">
        <f t="shared" si="13"/>
        <v>6.9118104694825488</v>
      </c>
      <c r="G33" s="42">
        <f t="shared" si="13"/>
        <v>6.9111401845650597</v>
      </c>
      <c r="H33" s="42">
        <f t="shared" si="13"/>
        <v>7.3563501374923321</v>
      </c>
      <c r="I33" s="42">
        <f t="shared" si="13"/>
        <v>7.3563501374923321</v>
      </c>
      <c r="J33" s="42">
        <f t="shared" si="13"/>
        <v>2.7993695554395175</v>
      </c>
      <c r="K33" s="42">
        <f t="shared" si="13"/>
        <v>2.9742973118901599</v>
      </c>
      <c r="L33" s="42">
        <f t="shared" si="13"/>
        <v>9.7689163116289635</v>
      </c>
      <c r="M33" s="42">
        <f t="shared" si="13"/>
        <v>10.799943740962409</v>
      </c>
    </row>
    <row r="34" spans="2:13" x14ac:dyDescent="0.4">
      <c r="B34" s="44" t="s">
        <v>227</v>
      </c>
      <c r="C34">
        <f>C33*C18*C26/C27</f>
        <v>137.84215375545915</v>
      </c>
      <c r="D34" s="42">
        <f t="shared" ref="D34:M34" si="14">D33*D18*D26/D27</f>
        <v>79.884911602854103</v>
      </c>
      <c r="E34" s="42">
        <f t="shared" si="14"/>
        <v>79.884911602854103</v>
      </c>
      <c r="F34" s="42">
        <f t="shared" si="14"/>
        <v>142.93808597485076</v>
      </c>
      <c r="G34" s="42">
        <f t="shared" si="14"/>
        <v>142.9242243037898</v>
      </c>
      <c r="H34" s="42">
        <f t="shared" si="14"/>
        <v>143.31165901131922</v>
      </c>
      <c r="I34" s="42">
        <f t="shared" si="14"/>
        <v>143.31165901131922</v>
      </c>
      <c r="J34" s="42">
        <f t="shared" si="14"/>
        <v>217.78020567867173</v>
      </c>
      <c r="K34" s="42">
        <f t="shared" si="14"/>
        <v>126.21213471719319</v>
      </c>
      <c r="L34" s="42">
        <f t="shared" si="14"/>
        <v>253.87928016520476</v>
      </c>
      <c r="M34" s="42">
        <f t="shared" si="14"/>
        <v>256.18085671663391</v>
      </c>
    </row>
    <row r="35" spans="2:13" x14ac:dyDescent="0.4">
      <c r="B35" s="44" t="s">
        <v>148</v>
      </c>
      <c r="C35">
        <f>C34*C29/C26</f>
        <v>27.013481277554508</v>
      </c>
      <c r="D35" s="42">
        <f t="shared" ref="D35:M35" si="15">D34*D29/D26</f>
        <v>15.655367426797273</v>
      </c>
      <c r="E35" s="42">
        <f t="shared" si="15"/>
        <v>15.655367426797273</v>
      </c>
      <c r="F35" s="42">
        <f t="shared" si="15"/>
        <v>31.859677062260339</v>
      </c>
      <c r="G35" s="42">
        <f t="shared" si="15"/>
        <v>31.859303850556884</v>
      </c>
      <c r="H35" s="42">
        <f t="shared" si="15"/>
        <v>33.822129672514322</v>
      </c>
      <c r="I35" s="42">
        <f t="shared" si="15"/>
        <v>33.822129672514322</v>
      </c>
      <c r="J35" s="42">
        <f t="shared" si="15"/>
        <v>15.607040212488608</v>
      </c>
      <c r="K35" s="42">
        <f t="shared" si="15"/>
        <v>9.044889344726041</v>
      </c>
      <c r="L35" s="42">
        <f t="shared" si="15"/>
        <v>46.117971290155175</v>
      </c>
      <c r="M35" s="42">
        <f t="shared" si="15"/>
        <v>50.596011466986042</v>
      </c>
    </row>
    <row r="36" spans="2:13" x14ac:dyDescent="0.4">
      <c r="B36" s="44" t="s">
        <v>125</v>
      </c>
      <c r="C36">
        <f>C17*C18*C20/COS(C30)</f>
        <v>4.3343531141133056</v>
      </c>
      <c r="D36" s="42">
        <f t="shared" ref="D36:M36" si="16">D17*D18*D20/COS(D30)</f>
        <v>2.364192607698167</v>
      </c>
      <c r="E36" s="42">
        <f t="shared" si="16"/>
        <v>2.364192607698167</v>
      </c>
      <c r="F36" s="42">
        <f t="shared" si="16"/>
        <v>4.6648425705251446</v>
      </c>
      <c r="G36" s="42">
        <f t="shared" si="16"/>
        <v>4.6652403453166906</v>
      </c>
      <c r="H36" s="42">
        <f t="shared" si="16"/>
        <v>4.9732286472198597</v>
      </c>
      <c r="I36" s="42">
        <f t="shared" si="16"/>
        <v>4.9732286472198597</v>
      </c>
      <c r="J36" s="42">
        <f t="shared" si="16"/>
        <v>1.2734148835187213</v>
      </c>
      <c r="K36" s="42">
        <f t="shared" si="16"/>
        <v>0.6945899364647572</v>
      </c>
      <c r="L36" s="42">
        <f t="shared" si="16"/>
        <v>3.8017759677895624</v>
      </c>
      <c r="M36" s="42">
        <f t="shared" si="16"/>
        <v>4.1618709398439888</v>
      </c>
    </row>
    <row r="37" spans="2:13" x14ac:dyDescent="0.4">
      <c r="B37" s="44" t="s">
        <v>228</v>
      </c>
      <c r="C37">
        <f>(C16*C18^2*C20)/8</f>
        <v>72.358207588632311</v>
      </c>
      <c r="D37" s="42">
        <f t="shared" ref="D37:M37" si="17">(D16*D18^2*D20)/8</f>
        <v>21.528061761907132</v>
      </c>
      <c r="E37" s="42">
        <f t="shared" si="17"/>
        <v>21.528061761907132</v>
      </c>
      <c r="F37" s="42">
        <f t="shared" si="17"/>
        <v>95.859163899470147</v>
      </c>
      <c r="G37" s="42">
        <f t="shared" si="17"/>
        <v>95.859163899470147</v>
      </c>
      <c r="H37" s="42">
        <f t="shared" si="17"/>
        <v>105.13585718006404</v>
      </c>
      <c r="I37" s="42">
        <f t="shared" si="17"/>
        <v>105.13585718006404</v>
      </c>
      <c r="J37" s="42">
        <f t="shared" si="17"/>
        <v>29.066972279194179</v>
      </c>
      <c r="K37" s="42">
        <f t="shared" si="17"/>
        <v>8.6480248103387645</v>
      </c>
      <c r="L37" s="42">
        <f t="shared" si="17"/>
        <v>95.859163899470147</v>
      </c>
      <c r="M37" s="42">
        <f t="shared" si="17"/>
        <v>105.13585718006404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榫卯</vt:lpstr>
      <vt:lpstr>M&amp;G模型参数推导</vt:lpstr>
      <vt:lpstr>K5_0</vt:lpstr>
      <vt:lpstr>K5_1</vt:lpstr>
      <vt:lpstr>ZFW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Chen</dc:creator>
  <cp:lastModifiedBy>Chen Phil</cp:lastModifiedBy>
  <dcterms:created xsi:type="dcterms:W3CDTF">2015-06-05T18:17:20Z</dcterms:created>
  <dcterms:modified xsi:type="dcterms:W3CDTF">2021-11-15T12:10:54Z</dcterms:modified>
</cp:coreProperties>
</file>