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736" windowHeight="11568" activeTab="1"/>
  </bookViews>
  <sheets>
    <sheet name="Browsing_line_tramp" sheetId="1" r:id="rId1"/>
    <sheet name="Browsing_indicators (2)" sheetId="4" r:id="rId2"/>
    <sheet name="Canopy" sheetId="2" r:id="rId3"/>
    <sheet name="Dung" sheetId="3" r:id="rId4"/>
  </sheets>
  <calcPr calcId="144525"/>
</workbook>
</file>

<file path=xl/calcChain.xml><?xml version="1.0" encoding="utf-8"?>
<calcChain xmlns="http://schemas.openxmlformats.org/spreadsheetml/2006/main">
  <c r="F14" i="3" l="1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F13" i="3"/>
  <c r="F4" i="3"/>
  <c r="F5" i="3"/>
  <c r="F6" i="3"/>
  <c r="F7" i="3"/>
  <c r="F8" i="3"/>
  <c r="F9" i="3"/>
  <c r="F10" i="3"/>
  <c r="F11" i="3"/>
  <c r="F12" i="3"/>
  <c r="F2" i="3"/>
  <c r="K3" i="3"/>
  <c r="K4" i="3"/>
  <c r="K5" i="3"/>
  <c r="K6" i="3"/>
  <c r="K7" i="3"/>
  <c r="K8" i="3"/>
  <c r="K9" i="3"/>
  <c r="K10" i="3"/>
  <c r="K11" i="3"/>
  <c r="K2" i="3"/>
  <c r="F3" i="3"/>
  <c r="G51" i="2" l="1"/>
  <c r="K51" i="2" s="1"/>
  <c r="F51" i="2"/>
  <c r="G50" i="2"/>
  <c r="K50" i="2" s="1"/>
  <c r="F50" i="2"/>
  <c r="K49" i="2"/>
  <c r="G49" i="2"/>
  <c r="F49" i="2"/>
  <c r="H48" i="2"/>
  <c r="G48" i="2"/>
  <c r="K48" i="2" s="1"/>
  <c r="F48" i="2"/>
  <c r="K47" i="2"/>
  <c r="F47" i="2"/>
  <c r="K46" i="2"/>
  <c r="F46" i="2"/>
  <c r="K45" i="2"/>
  <c r="F45" i="2"/>
  <c r="K44" i="2"/>
  <c r="F44" i="2"/>
  <c r="K43" i="2"/>
  <c r="F43" i="2"/>
  <c r="K42" i="2"/>
  <c r="E42" i="2"/>
  <c r="D42" i="2"/>
  <c r="C42" i="2"/>
  <c r="B42" i="2"/>
  <c r="K41" i="2"/>
  <c r="E41" i="2"/>
  <c r="D41" i="2"/>
  <c r="C41" i="2"/>
  <c r="B41" i="2"/>
  <c r="F41" i="2" s="1"/>
  <c r="J40" i="2"/>
  <c r="K40" i="2" s="1"/>
  <c r="E40" i="2"/>
  <c r="D40" i="2"/>
  <c r="C40" i="2"/>
  <c r="B40" i="2"/>
  <c r="K39" i="2"/>
  <c r="E39" i="2"/>
  <c r="D39" i="2"/>
  <c r="C39" i="2"/>
  <c r="B39" i="2"/>
  <c r="J38" i="2"/>
  <c r="I38" i="2"/>
  <c r="E38" i="2"/>
  <c r="D38" i="2"/>
  <c r="C38" i="2"/>
  <c r="B38" i="2"/>
  <c r="J37" i="2"/>
  <c r="H37" i="2"/>
  <c r="G37" i="2"/>
  <c r="K37" i="2" s="1"/>
  <c r="E37" i="2"/>
  <c r="D37" i="2"/>
  <c r="C37" i="2"/>
  <c r="B37" i="2"/>
  <c r="F37" i="2" s="1"/>
  <c r="I36" i="2"/>
  <c r="K36" i="2" s="1"/>
  <c r="E36" i="2"/>
  <c r="D36" i="2"/>
  <c r="C36" i="2"/>
  <c r="B36" i="2"/>
  <c r="I35" i="2"/>
  <c r="H35" i="2"/>
  <c r="K35" i="2" s="1"/>
  <c r="E35" i="2"/>
  <c r="D35" i="2"/>
  <c r="C35" i="2"/>
  <c r="B35" i="2"/>
  <c r="F35" i="2" s="1"/>
  <c r="K34" i="2"/>
  <c r="F34" i="2"/>
  <c r="K33" i="2"/>
  <c r="F33" i="2"/>
  <c r="I32" i="2"/>
  <c r="H32" i="2"/>
  <c r="K32" i="2" s="1"/>
  <c r="E32" i="2"/>
  <c r="D32" i="2"/>
  <c r="C32" i="2"/>
  <c r="B32" i="2"/>
  <c r="J31" i="2"/>
  <c r="E31" i="2"/>
  <c r="D31" i="2"/>
  <c r="C31" i="2"/>
  <c r="B31" i="2"/>
  <c r="H30" i="2"/>
  <c r="G30" i="2"/>
  <c r="E30" i="2"/>
  <c r="D30" i="2"/>
  <c r="C30" i="2"/>
  <c r="B30" i="2"/>
  <c r="I29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I23" i="2"/>
  <c r="H23" i="2"/>
  <c r="E23" i="2"/>
  <c r="D23" i="2"/>
  <c r="C23" i="2"/>
  <c r="B23" i="2"/>
  <c r="E22" i="2"/>
  <c r="D22" i="2"/>
  <c r="C22" i="2"/>
  <c r="B22" i="2"/>
  <c r="E21" i="2"/>
  <c r="D21" i="2"/>
  <c r="C21" i="2"/>
  <c r="B21" i="2"/>
  <c r="H20" i="2"/>
  <c r="E20" i="2"/>
  <c r="D20" i="2"/>
  <c r="C20" i="2"/>
  <c r="B20" i="2"/>
  <c r="I19" i="2"/>
  <c r="E19" i="2"/>
  <c r="D19" i="2"/>
  <c r="C19" i="2"/>
  <c r="B19" i="2"/>
  <c r="I18" i="2"/>
  <c r="E18" i="2"/>
  <c r="D18" i="2"/>
  <c r="C18" i="2"/>
  <c r="B18" i="2"/>
  <c r="E17" i="2"/>
  <c r="D17" i="2"/>
  <c r="C17" i="2"/>
  <c r="B17" i="2"/>
  <c r="J16" i="2"/>
  <c r="E16" i="2"/>
  <c r="D16" i="2"/>
  <c r="C16" i="2"/>
  <c r="B16" i="2"/>
  <c r="G15" i="2"/>
  <c r="E15" i="2"/>
  <c r="D15" i="2"/>
  <c r="C15" i="2"/>
  <c r="B15" i="2"/>
  <c r="E14" i="2"/>
  <c r="D14" i="2"/>
  <c r="C14" i="2"/>
  <c r="B14" i="2"/>
  <c r="E13" i="2"/>
  <c r="D13" i="2"/>
  <c r="C13" i="2"/>
  <c r="B13" i="2"/>
  <c r="J12" i="2"/>
  <c r="E12" i="2"/>
  <c r="D12" i="2"/>
  <c r="C12" i="2"/>
  <c r="B12" i="2"/>
  <c r="E11" i="2"/>
  <c r="D11" i="2"/>
  <c r="C11" i="2"/>
  <c r="B11" i="2"/>
  <c r="E10" i="2"/>
  <c r="D10" i="2"/>
  <c r="C10" i="2"/>
  <c r="B10" i="2"/>
  <c r="J9" i="2"/>
  <c r="G9" i="2"/>
  <c r="E9" i="2"/>
  <c r="D9" i="2"/>
  <c r="C9" i="2"/>
  <c r="B9" i="2"/>
  <c r="I8" i="2"/>
  <c r="E8" i="2"/>
  <c r="D8" i="2"/>
  <c r="C8" i="2"/>
  <c r="B8" i="2"/>
  <c r="E7" i="2"/>
  <c r="D7" i="2"/>
  <c r="C7" i="2"/>
  <c r="B7" i="2"/>
  <c r="E6" i="2"/>
  <c r="D6" i="2"/>
  <c r="C6" i="2"/>
  <c r="B6" i="2"/>
  <c r="H5" i="2"/>
  <c r="E5" i="2"/>
  <c r="D5" i="2"/>
  <c r="C5" i="2"/>
  <c r="B5" i="2"/>
  <c r="J4" i="2"/>
  <c r="I4" i="2"/>
  <c r="H4" i="2"/>
  <c r="E4" i="2"/>
  <c r="D4" i="2"/>
  <c r="C4" i="2"/>
  <c r="B4" i="2"/>
  <c r="E3" i="2"/>
  <c r="D3" i="2"/>
  <c r="C3" i="2"/>
  <c r="B3" i="2"/>
  <c r="E2" i="2"/>
  <c r="D2" i="2"/>
  <c r="C2" i="2"/>
  <c r="B2" i="2"/>
  <c r="F8" i="2" l="1"/>
  <c r="F38" i="2"/>
  <c r="K38" i="2"/>
  <c r="F39" i="2"/>
  <c r="F42" i="2"/>
  <c r="F32" i="2"/>
  <c r="F36" i="2"/>
  <c r="F40" i="2"/>
</calcChain>
</file>

<file path=xl/sharedStrings.xml><?xml version="1.0" encoding="utf-8"?>
<sst xmlns="http://schemas.openxmlformats.org/spreadsheetml/2006/main" count="375" uniqueCount="169">
  <si>
    <t>EC,RC</t>
  </si>
  <si>
    <t>39-40</t>
  </si>
  <si>
    <t>40-41</t>
  </si>
  <si>
    <t>41-42</t>
  </si>
  <si>
    <t>42-43</t>
  </si>
  <si>
    <t>45-46</t>
  </si>
  <si>
    <t>46-47</t>
  </si>
  <si>
    <t>47-48</t>
  </si>
  <si>
    <t>48-49</t>
  </si>
  <si>
    <t>49-50</t>
  </si>
  <si>
    <t>medium</t>
  </si>
  <si>
    <t>0-1</t>
  </si>
  <si>
    <t>low</t>
  </si>
  <si>
    <t>1-2</t>
  </si>
  <si>
    <t>2-3</t>
  </si>
  <si>
    <t>3-4</t>
  </si>
  <si>
    <t>4-5</t>
  </si>
  <si>
    <t xml:space="preserve">medium </t>
  </si>
  <si>
    <t>5-6</t>
  </si>
  <si>
    <t>not applicable</t>
  </si>
  <si>
    <t>6-7</t>
  </si>
  <si>
    <t>7-8</t>
  </si>
  <si>
    <t>ustulina</t>
  </si>
  <si>
    <t>8-9</t>
  </si>
  <si>
    <t>PE,EC</t>
  </si>
  <si>
    <t>high</t>
  </si>
  <si>
    <t>9-10</t>
  </si>
  <si>
    <t>10-11</t>
  </si>
  <si>
    <t>ganoderma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</si>
  <si>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</si>
  <si>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</si>
  <si>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</si>
  <si>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</si>
  <si>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</si>
  <si>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</si>
  <si>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</si>
  <si>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</si>
  <si>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</si>
  <si>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</si>
  <si>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</si>
  <si>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</si>
  <si>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Date</t>
  </si>
  <si>
    <t>Recorder</t>
  </si>
  <si>
    <t>Diseases</t>
  </si>
  <si>
    <t>Bwowse line (%)</t>
  </si>
  <si>
    <t>Bwowse line (5 points scale)</t>
  </si>
  <si>
    <t>Quadrat</t>
  </si>
  <si>
    <t>EC,RC,CM,LM</t>
  </si>
  <si>
    <t>38-39</t>
  </si>
  <si>
    <t>37-38</t>
  </si>
  <si>
    <t>36-37</t>
  </si>
  <si>
    <t>35-36</t>
  </si>
  <si>
    <t>34-35</t>
  </si>
  <si>
    <t>33-34</t>
  </si>
  <si>
    <t>32-33</t>
  </si>
  <si>
    <t>31-32</t>
  </si>
  <si>
    <t>30-31</t>
  </si>
  <si>
    <t>29-30</t>
  </si>
  <si>
    <t>28-29</t>
  </si>
  <si>
    <t>27-28</t>
  </si>
  <si>
    <t>26-27</t>
  </si>
  <si>
    <t>25-26</t>
  </si>
  <si>
    <t>24-25</t>
  </si>
  <si>
    <t>23-24</t>
  </si>
  <si>
    <t>Understory holly cover average</t>
  </si>
  <si>
    <t>Canopy openness mean</t>
  </si>
  <si>
    <t>% holly shrub</t>
  </si>
  <si>
    <t>QUADRAT</t>
  </si>
  <si>
    <t>ec,pe,lm,cm</t>
  </si>
  <si>
    <t>Canopy ne</t>
  </si>
  <si>
    <t>Canopy nw</t>
  </si>
  <si>
    <t>Canopy se</t>
  </si>
  <si>
    <t>Canopy sw</t>
  </si>
  <si>
    <t>Understory holly cover ne</t>
  </si>
  <si>
    <t>Understory holly cover nw</t>
  </si>
  <si>
    <t>Understory holly cover se</t>
  </si>
  <si>
    <t>Understory holly cover sw</t>
  </si>
  <si>
    <t>1/4 of the result on corner se has beech understory</t>
  </si>
  <si>
    <t>&lt;1</t>
  </si>
  <si>
    <t>&lt;1</t>
  </si>
  <si>
    <t>beech understory</t>
  </si>
  <si>
    <t>&lt;1</t>
  </si>
  <si>
    <t>&lt;1</t>
  </si>
  <si>
    <t>&lt;1</t>
  </si>
  <si>
    <t>31-32</t>
  </si>
  <si>
    <t>&lt;1</t>
  </si>
  <si>
    <t>&lt;1</t>
  </si>
  <si>
    <t>&lt;1</t>
  </si>
  <si>
    <t>&lt;1</t>
  </si>
  <si>
    <t>22-23</t>
  </si>
  <si>
    <t>ganoderma</t>
  </si>
  <si>
    <t>&lt;1</t>
  </si>
  <si>
    <t>understory is fallen beech</t>
  </si>
  <si>
    <t>21-22</t>
  </si>
  <si>
    <t>&lt;1</t>
  </si>
  <si>
    <t>&lt;1</t>
  </si>
  <si>
    <t>20-21</t>
  </si>
  <si>
    <t>19-20</t>
  </si>
  <si>
    <t>18-19</t>
  </si>
  <si>
    <t>ganoderma</t>
  </si>
  <si>
    <t>ganoderma</t>
  </si>
  <si>
    <t>17-18</t>
  </si>
  <si>
    <t>snapped off beech understory</t>
  </si>
  <si>
    <t>&lt;1</t>
  </si>
  <si>
    <t>understory fallen beech</t>
  </si>
  <si>
    <t>16-17</t>
  </si>
  <si>
    <t>&lt;1</t>
  </si>
  <si>
    <t>paul possible  stage 2</t>
  </si>
  <si>
    <t>15-16</t>
  </si>
  <si>
    <t>&lt;1</t>
  </si>
  <si>
    <t>&lt;1</t>
  </si>
  <si>
    <t>14-15</t>
  </si>
  <si>
    <t>13-14</t>
  </si>
  <si>
    <t>ganoderma</t>
  </si>
  <si>
    <t>12-13</t>
  </si>
  <si>
    <t>&lt;1</t>
  </si>
  <si>
    <t>&lt;1</t>
  </si>
  <si>
    <t>11-12</t>
  </si>
  <si>
    <t>ganoderma</t>
  </si>
  <si>
    <t>10 ponies present</t>
  </si>
  <si>
    <t>10 ponies present</t>
  </si>
  <si>
    <t>&lt;1</t>
  </si>
  <si>
    <t>10-11</t>
  </si>
  <si>
    <t>9-10</t>
  </si>
  <si>
    <t>&lt;1</t>
  </si>
  <si>
    <t>ustulina</t>
  </si>
  <si>
    <t>8-9</t>
  </si>
  <si>
    <t>oak understory</t>
  </si>
  <si>
    <t>7-8</t>
  </si>
  <si>
    <t>6-7</t>
  </si>
  <si>
    <t>&lt;1</t>
  </si>
  <si>
    <t>&lt;1</t>
  </si>
  <si>
    <t>5-6</t>
  </si>
  <si>
    <t>ganoderma</t>
  </si>
  <si>
    <t>&lt;1</t>
  </si>
  <si>
    <t>4-5</t>
  </si>
  <si>
    <t>&lt;1</t>
  </si>
  <si>
    <t>3-4</t>
  </si>
  <si>
    <t>dead oak on nw corner</t>
  </si>
  <si>
    <t>1 snag,go back and measure again one corner</t>
  </si>
  <si>
    <t>&lt;1</t>
  </si>
  <si>
    <t>understory leaning dead oak on nw, dead oak on se</t>
  </si>
  <si>
    <t>ganoderma</t>
  </si>
  <si>
    <t>2-3</t>
  </si>
  <si>
    <t>1-2</t>
  </si>
  <si>
    <t>0-1</t>
  </si>
  <si>
    <t>8 out</t>
  </si>
  <si>
    <t>douglas</t>
  </si>
  <si>
    <t>12.8 along from south</t>
  </si>
  <si>
    <t>&lt;1</t>
  </si>
  <si>
    <t>&lt;1</t>
  </si>
  <si>
    <t>&lt;1</t>
  </si>
  <si>
    <t>NA</t>
  </si>
  <si>
    <t>CervusDung1</t>
  </si>
  <si>
    <t>CervusDung2</t>
  </si>
  <si>
    <t>CervusDung3</t>
  </si>
  <si>
    <t>CervusDung4</t>
  </si>
  <si>
    <t>Cervus DungTot</t>
  </si>
  <si>
    <t>Eqqus Dung1</t>
  </si>
  <si>
    <t>Eqqus Dung2</t>
  </si>
  <si>
    <t>Eqqus Dung3</t>
  </si>
  <si>
    <t>Eqqus Dung4</t>
  </si>
  <si>
    <t>Eqqus DungTot</t>
  </si>
  <si>
    <t>Plot</t>
  </si>
  <si>
    <t>Bramble_browsed</t>
  </si>
  <si>
    <t>Holly_browsed</t>
  </si>
  <si>
    <t>Sward_h</t>
  </si>
  <si>
    <t>Deer_dung</t>
  </si>
  <si>
    <t>Horse_dung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</si>
</sst>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MS Sans Serif"/>
      <family val="2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8"/>
      <color rgb="FF000000"/>
      <name val="MS Sans Serif"/>
      <family val="2"/>
    </font>
    <font>
      <b/>
      <sz val="6"/>
      <name val="MS Sans Serif"/>
      <family val="2"/>
    </font>
    <font>
      <sz val="10"/>
      <name val="Cambria"/>
      <family val="1"/>
      <scheme val="maj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1" applyFill="1"/>
    <xf numFmtId="49" fontId="2" fillId="0" borderId="0" xfId="0" applyNumberFormat="1" applyFont="1"/>
    <xf numFmtId="0" fontId="2" fillId="0" borderId="0" xfId="1"/>
    <xf numFmtId="49" fontId="2" fillId="0" borderId="0" xfId="1" applyNumberFormat="1"/>
    <xf numFmtId="1" fontId="2" fillId="0" borderId="0" xfId="1" applyNumberFormat="1"/>
    <xf numFmtId="49" fontId="3" fillId="0" borderId="0" xfId="0" applyNumberFormat="1" applyFont="1"/>
    <xf numFmtId="0" fontId="4" fillId="0" borderId="0" xfId="1" applyFont="1" applyFill="1" applyAlignment="1">
      <alignment horizontal="center" vertical="top" textRotation="180"/>
    </xf>
    <xf numFmtId="0" fontId="4" fillId="0" borderId="0" xfId="1" applyFont="1" applyAlignment="1">
      <alignment horizontal="center" vertical="top" textRotation="180"/>
    </xf>
    <xf numFmtId="49" fontId="4" fillId="0" borderId="0" xfId="1" applyNumberFormat="1" applyFont="1" applyAlignment="1">
      <alignment horizontal="center" vertical="top" textRotation="180"/>
    </xf>
    <xf numFmtId="0" fontId="1" fillId="0" borderId="0" xfId="2"/>
    <xf numFmtId="49" fontId="4" fillId="0" borderId="0" xfId="0" applyNumberFormat="1" applyFont="1" applyAlignment="1">
      <alignment horizontal="center" vertical="top" textRotation="180"/>
    </xf>
    <xf numFmtId="0" fontId="0" fillId="2" borderId="0" xfId="0" applyFill="1"/>
    <xf numFmtId="0" fontId="4" fillId="2" borderId="0" xfId="0" applyFont="1" applyFill="1" applyAlignment="1">
      <alignment horizontal="center" vertical="top" textRotation="180"/>
    </xf>
    <xf numFmtId="0" fontId="1" fillId="2" borderId="0" xfId="0" applyFont="1" applyFill="1"/>
    <xf numFmtId="14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1" applyFont="1"/>
    <xf numFmtId="0" fontId="5" fillId="0" borderId="0" xfId="0" applyFont="1"/>
    <xf numFmtId="49" fontId="6" fillId="0" borderId="0" xfId="0" applyNumberFormat="1" applyFont="1" applyAlignment="1">
      <alignment horizontal="center" vertical="top" textRotation="180"/>
    </xf>
    <xf numFmtId="0" fontId="7" fillId="0" borderId="0" xfId="0" applyFont="1"/>
    <xf numFmtId="0" fontId="8" fillId="0" borderId="0" xfId="2" applyFont="1" applyFill="1"/>
    <xf numFmtId="17" fontId="7" fillId="0" borderId="0" xfId="0" quotePrefix="1" applyNumberFormat="1" applyFont="1"/>
    <xf numFmtId="0" fontId="7" fillId="0" borderId="0" xfId="0" quotePrefix="1" applyFont="1"/>
    <xf numFmtId="0" fontId="6" fillId="0" borderId="0" xfId="0" applyNumberFormat="1" applyFont="1" applyAlignment="1">
      <alignment horizontal="center" vertical="top" textRotation="180"/>
    </xf>
    <xf numFmtId="0" fontId="6" fillId="0" borderId="0" xfId="0" applyFont="1" applyAlignment="1">
      <alignment horizontal="center" vertical="top" textRotation="180"/>
    </xf>
    <xf numFmtId="0" fontId="8" fillId="0" borderId="0" xfId="2" applyFont="1"/>
    <xf numFmtId="49" fontId="6" fillId="0" borderId="0" xfId="0" applyNumberFormat="1" applyFont="1" applyAlignment="1">
      <alignment horizontal="center" vertical="top"/>
    </xf>
    <xf numFmtId="0" fontId="6" fillId="0" borderId="0" xfId="1" applyFont="1" applyFill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2" fontId="7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19" zoomScale="144" zoomScaleNormal="144" workbookViewId="0">
      <selection activeCell="C25" sqref="C25:C40"/>
    </sheetView>
  </sheetViews>
  <sheetFormatPr defaultRowHeight="10.199999999999999" x14ac:dyDescent="0.2"/>
  <cols>
    <col min="1" max="1" width="9.28515625" style="1"/>
    <col min="7" max="7" width="10.85546875" bestFit="1" customWidth="1"/>
  </cols>
  <sheetData>
    <row r="1" spans="1:7" ht="100.2" x14ac:dyDescent="0.2">
      <c r="A1" s="11" t="s">
        <v>46</v>
      </c>
      <c r="B1" s="10" t="s">
        <v>45</v>
      </c>
      <c r="C1" s="10" t="s">
        <v>44</v>
      </c>
      <c r="D1" s="9" t="s">
        <v>66</v>
      </c>
      <c r="E1" s="10" t="s">
        <v>43</v>
      </c>
      <c r="F1" s="9" t="s">
        <v>42</v>
      </c>
      <c r="G1" s="9" t="s">
        <v>41</v>
      </c>
    </row>
    <row r="2" spans="1:7" x14ac:dyDescent="0.2">
      <c r="A2" s="4" t="s">
        <v>40</v>
      </c>
      <c r="B2" s="5" t="s">
        <v>12</v>
      </c>
      <c r="C2" s="5">
        <v>45</v>
      </c>
      <c r="D2" s="5"/>
      <c r="E2" s="5" t="s">
        <v>28</v>
      </c>
      <c r="F2" s="3" t="s">
        <v>24</v>
      </c>
      <c r="G2" s="2">
        <v>41795</v>
      </c>
    </row>
    <row r="3" spans="1:7" x14ac:dyDescent="0.2">
      <c r="A3" s="1" t="s">
        <v>39</v>
      </c>
      <c r="B3" s="5" t="s">
        <v>17</v>
      </c>
      <c r="C3" s="5">
        <v>60</v>
      </c>
      <c r="D3" s="5"/>
      <c r="F3" s="3" t="s">
        <v>24</v>
      </c>
      <c r="G3" s="2">
        <v>41795</v>
      </c>
    </row>
    <row r="4" spans="1:7" x14ac:dyDescent="0.2">
      <c r="A4" s="1" t="s">
        <v>38</v>
      </c>
      <c r="B4" s="5" t="s">
        <v>25</v>
      </c>
      <c r="C4" s="5">
        <v>80</v>
      </c>
      <c r="F4" s="3" t="s">
        <v>24</v>
      </c>
      <c r="G4" s="2">
        <v>41795</v>
      </c>
    </row>
    <row r="5" spans="1:7" x14ac:dyDescent="0.2">
      <c r="A5" s="1" t="s">
        <v>37</v>
      </c>
      <c r="B5" s="5" t="s">
        <v>25</v>
      </c>
      <c r="C5" s="5">
        <v>85</v>
      </c>
      <c r="F5" s="3" t="s">
        <v>24</v>
      </c>
      <c r="G5" s="2">
        <v>41795</v>
      </c>
    </row>
    <row r="6" spans="1:7" x14ac:dyDescent="0.2">
      <c r="A6" s="1" t="s">
        <v>36</v>
      </c>
      <c r="B6" s="5" t="s">
        <v>10</v>
      </c>
      <c r="C6" s="5">
        <v>75</v>
      </c>
      <c r="F6" s="3" t="s">
        <v>24</v>
      </c>
      <c r="G6" s="2">
        <v>41795</v>
      </c>
    </row>
    <row r="7" spans="1:7" x14ac:dyDescent="0.2">
      <c r="A7" s="1" t="s">
        <v>35</v>
      </c>
      <c r="B7" s="5" t="s">
        <v>25</v>
      </c>
      <c r="C7" s="5">
        <v>90</v>
      </c>
      <c r="E7" s="5" t="s">
        <v>28</v>
      </c>
      <c r="F7" s="3" t="s">
        <v>24</v>
      </c>
      <c r="G7" s="2">
        <v>41795</v>
      </c>
    </row>
    <row r="8" spans="1:7" x14ac:dyDescent="0.2">
      <c r="A8" s="1" t="s">
        <v>34</v>
      </c>
      <c r="B8" s="5" t="s">
        <v>17</v>
      </c>
      <c r="C8" s="5">
        <v>70</v>
      </c>
      <c r="F8" s="3" t="s">
        <v>24</v>
      </c>
      <c r="G8" s="2">
        <v>41795</v>
      </c>
    </row>
    <row r="9" spans="1:7" x14ac:dyDescent="0.2">
      <c r="A9" s="1" t="s">
        <v>33</v>
      </c>
      <c r="B9" s="5" t="s">
        <v>10</v>
      </c>
      <c r="C9" s="5">
        <v>70</v>
      </c>
      <c r="F9" s="3" t="s">
        <v>24</v>
      </c>
      <c r="G9" s="2">
        <v>41795</v>
      </c>
    </row>
    <row r="10" spans="1:7" x14ac:dyDescent="0.2">
      <c r="A10" s="1" t="s">
        <v>32</v>
      </c>
      <c r="B10" s="5" t="s">
        <v>10</v>
      </c>
      <c r="C10" s="5">
        <v>55</v>
      </c>
      <c r="F10" s="3" t="s">
        <v>24</v>
      </c>
      <c r="G10" s="2">
        <v>41795</v>
      </c>
    </row>
    <row r="11" spans="1:7" x14ac:dyDescent="0.2">
      <c r="A11" s="1" t="s">
        <v>31</v>
      </c>
      <c r="B11" s="5" t="s">
        <v>25</v>
      </c>
      <c r="C11" s="5">
        <v>80</v>
      </c>
      <c r="E11" s="5" t="s">
        <v>28</v>
      </c>
      <c r="F11" s="3" t="s">
        <v>24</v>
      </c>
      <c r="G11" s="2">
        <v>41795</v>
      </c>
    </row>
    <row r="12" spans="1:7" x14ac:dyDescent="0.2">
      <c r="A12" s="8" t="s">
        <v>30</v>
      </c>
      <c r="B12" s="5" t="s">
        <v>10</v>
      </c>
      <c r="C12" s="5">
        <v>70</v>
      </c>
      <c r="E12" s="5"/>
      <c r="F12" s="3" t="s">
        <v>24</v>
      </c>
      <c r="G12" s="2">
        <v>41795</v>
      </c>
    </row>
    <row r="13" spans="1:7" x14ac:dyDescent="0.2">
      <c r="A13" s="4" t="s">
        <v>29</v>
      </c>
      <c r="B13" s="5" t="s">
        <v>17</v>
      </c>
      <c r="C13" s="5">
        <v>55</v>
      </c>
      <c r="E13" s="5" t="s">
        <v>28</v>
      </c>
      <c r="F13" s="3" t="s">
        <v>24</v>
      </c>
      <c r="G13" s="2">
        <v>41795</v>
      </c>
    </row>
    <row r="14" spans="1:7" x14ac:dyDescent="0.2">
      <c r="A14" s="4" t="s">
        <v>27</v>
      </c>
      <c r="B14" s="3" t="s">
        <v>12</v>
      </c>
      <c r="C14" s="3">
        <v>35</v>
      </c>
      <c r="F14" s="3" t="s">
        <v>24</v>
      </c>
      <c r="G14" s="2">
        <v>41795</v>
      </c>
    </row>
    <row r="15" spans="1:7" x14ac:dyDescent="0.2">
      <c r="A15" s="4" t="s">
        <v>26</v>
      </c>
      <c r="B15" s="3" t="s">
        <v>25</v>
      </c>
      <c r="C15" s="3">
        <v>85</v>
      </c>
      <c r="F15" s="3" t="s">
        <v>24</v>
      </c>
      <c r="G15" s="2">
        <v>41795</v>
      </c>
    </row>
    <row r="16" spans="1:7" x14ac:dyDescent="0.2">
      <c r="A16" s="6" t="s">
        <v>23</v>
      </c>
      <c r="B16" s="5" t="s">
        <v>17</v>
      </c>
      <c r="C16" s="5">
        <v>65</v>
      </c>
      <c r="E16" s="5" t="s">
        <v>22</v>
      </c>
      <c r="F16" s="3" t="s">
        <v>0</v>
      </c>
      <c r="G16" s="2">
        <v>41796</v>
      </c>
    </row>
    <row r="17" spans="1:7" x14ac:dyDescent="0.2">
      <c r="A17" s="6" t="s">
        <v>21</v>
      </c>
      <c r="B17" s="5" t="s">
        <v>10</v>
      </c>
      <c r="C17" s="5">
        <v>60</v>
      </c>
      <c r="E17" s="5"/>
      <c r="F17" s="3" t="s">
        <v>0</v>
      </c>
      <c r="G17" s="2">
        <v>41796</v>
      </c>
    </row>
    <row r="18" spans="1:7" x14ac:dyDescent="0.2">
      <c r="A18" s="6" t="s">
        <v>20</v>
      </c>
      <c r="B18" s="5" t="s">
        <v>19</v>
      </c>
      <c r="C18" s="28" t="s">
        <v>152</v>
      </c>
      <c r="E18" s="5"/>
      <c r="F18" s="3" t="s">
        <v>0</v>
      </c>
      <c r="G18" s="2">
        <v>41796</v>
      </c>
    </row>
    <row r="19" spans="1:7" x14ac:dyDescent="0.2">
      <c r="A19" s="6" t="s">
        <v>18</v>
      </c>
      <c r="B19" s="5" t="s">
        <v>17</v>
      </c>
      <c r="C19" s="5">
        <v>65</v>
      </c>
      <c r="E19" s="5"/>
      <c r="F19" s="3" t="s">
        <v>0</v>
      </c>
      <c r="G19" s="2">
        <v>41796</v>
      </c>
    </row>
    <row r="20" spans="1:7" x14ac:dyDescent="0.2">
      <c r="A20" s="6" t="s">
        <v>16</v>
      </c>
      <c r="B20" s="5" t="s">
        <v>10</v>
      </c>
      <c r="C20" s="5">
        <v>70</v>
      </c>
      <c r="E20" s="5"/>
      <c r="F20" s="3" t="s">
        <v>0</v>
      </c>
      <c r="G20" s="2">
        <v>41796</v>
      </c>
    </row>
    <row r="21" spans="1:7" x14ac:dyDescent="0.2">
      <c r="A21" s="6" t="s">
        <v>15</v>
      </c>
      <c r="B21" s="5" t="s">
        <v>10</v>
      </c>
      <c r="C21" s="7">
        <v>70</v>
      </c>
      <c r="E21" s="5"/>
      <c r="F21" s="3" t="s">
        <v>0</v>
      </c>
      <c r="G21" s="2">
        <v>41796</v>
      </c>
    </row>
    <row r="22" spans="1:7" x14ac:dyDescent="0.2">
      <c r="A22" s="6" t="s">
        <v>14</v>
      </c>
      <c r="B22" s="5" t="s">
        <v>12</v>
      </c>
      <c r="C22" s="5">
        <v>40</v>
      </c>
      <c r="E22" s="5"/>
      <c r="F22" s="3" t="s">
        <v>0</v>
      </c>
      <c r="G22" s="2">
        <v>41796</v>
      </c>
    </row>
    <row r="23" spans="1:7" x14ac:dyDescent="0.2">
      <c r="A23" s="6" t="s">
        <v>13</v>
      </c>
      <c r="B23" s="5" t="s">
        <v>12</v>
      </c>
      <c r="C23" s="5">
        <v>35</v>
      </c>
      <c r="E23" s="5"/>
      <c r="F23" s="3" t="s">
        <v>0</v>
      </c>
      <c r="G23" s="2">
        <v>41796</v>
      </c>
    </row>
    <row r="24" spans="1:7" x14ac:dyDescent="0.2">
      <c r="A24" s="6" t="s">
        <v>11</v>
      </c>
      <c r="B24" s="5" t="s">
        <v>10</v>
      </c>
      <c r="C24" s="5">
        <v>70</v>
      </c>
      <c r="E24" s="5"/>
      <c r="F24" s="3" t="s">
        <v>0</v>
      </c>
      <c r="G24" s="2">
        <v>41796</v>
      </c>
    </row>
    <row r="25" spans="1:7" x14ac:dyDescent="0.2">
      <c r="A25" s="1" t="s">
        <v>9</v>
      </c>
      <c r="C25" s="3">
        <v>10</v>
      </c>
      <c r="D25">
        <v>2</v>
      </c>
      <c r="F25" s="3" t="s">
        <v>0</v>
      </c>
      <c r="G25" s="2">
        <v>41803</v>
      </c>
    </row>
    <row r="26" spans="1:7" x14ac:dyDescent="0.2">
      <c r="A26" s="4" t="s">
        <v>8</v>
      </c>
      <c r="C26" s="3">
        <v>5</v>
      </c>
      <c r="D26">
        <v>1</v>
      </c>
      <c r="F26" s="3" t="s">
        <v>0</v>
      </c>
      <c r="G26" s="2">
        <v>41803</v>
      </c>
    </row>
    <row r="27" spans="1:7" x14ac:dyDescent="0.2">
      <c r="A27" s="4" t="s">
        <v>7</v>
      </c>
      <c r="C27" s="3">
        <v>7.5</v>
      </c>
      <c r="D27">
        <v>1</v>
      </c>
      <c r="F27" s="3" t="s">
        <v>0</v>
      </c>
      <c r="G27" s="2">
        <v>41803</v>
      </c>
    </row>
    <row r="28" spans="1:7" x14ac:dyDescent="0.2">
      <c r="A28" s="4" t="s">
        <v>6</v>
      </c>
      <c r="C28" s="3">
        <v>1</v>
      </c>
      <c r="D28">
        <v>1</v>
      </c>
      <c r="F28" s="3" t="s">
        <v>0</v>
      </c>
      <c r="G28" s="2">
        <v>41803</v>
      </c>
    </row>
    <row r="29" spans="1:7" x14ac:dyDescent="0.2">
      <c r="A29" t="s">
        <v>5</v>
      </c>
      <c r="C29" s="3">
        <v>35</v>
      </c>
      <c r="D29">
        <v>0</v>
      </c>
      <c r="F29" s="3" t="s">
        <v>0</v>
      </c>
      <c r="G29" s="2">
        <v>41803</v>
      </c>
    </row>
    <row r="30" spans="1:7" x14ac:dyDescent="0.2">
      <c r="A30" t="s">
        <v>4</v>
      </c>
      <c r="C30" s="3">
        <v>10</v>
      </c>
      <c r="D30">
        <v>1</v>
      </c>
      <c r="F30" s="3" t="s">
        <v>0</v>
      </c>
      <c r="G30" s="2">
        <v>41803</v>
      </c>
    </row>
    <row r="31" spans="1:7" x14ac:dyDescent="0.2">
      <c r="A31" t="s">
        <v>3</v>
      </c>
      <c r="C31" s="3">
        <v>25</v>
      </c>
      <c r="D31">
        <v>0</v>
      </c>
      <c r="F31" s="3" t="s">
        <v>0</v>
      </c>
      <c r="G31" s="2">
        <v>41803</v>
      </c>
    </row>
    <row r="32" spans="1:7" x14ac:dyDescent="0.2">
      <c r="A32" t="s">
        <v>2</v>
      </c>
      <c r="C32" s="3">
        <v>5</v>
      </c>
      <c r="D32">
        <v>2</v>
      </c>
      <c r="F32" s="3" t="s">
        <v>0</v>
      </c>
      <c r="G32" s="2">
        <v>41803</v>
      </c>
    </row>
    <row r="33" spans="1:7" x14ac:dyDescent="0.2">
      <c r="A33" s="4" t="s">
        <v>1</v>
      </c>
      <c r="C33" s="3">
        <v>10</v>
      </c>
      <c r="D33">
        <v>0</v>
      </c>
      <c r="F33" s="3" t="s">
        <v>0</v>
      </c>
      <c r="G33" s="2">
        <v>41803</v>
      </c>
    </row>
    <row r="34" spans="1:7" x14ac:dyDescent="0.2">
      <c r="A34" t="s">
        <v>48</v>
      </c>
      <c r="C34">
        <v>10</v>
      </c>
      <c r="D34">
        <v>0</v>
      </c>
    </row>
    <row r="35" spans="1:7" x14ac:dyDescent="0.2">
      <c r="A35" t="s">
        <v>49</v>
      </c>
      <c r="C35">
        <v>30</v>
      </c>
      <c r="D35">
        <v>0</v>
      </c>
    </row>
    <row r="36" spans="1:7" x14ac:dyDescent="0.2">
      <c r="A36" t="s">
        <v>50</v>
      </c>
      <c r="C36">
        <v>30</v>
      </c>
      <c r="D36" t="s">
        <v>78</v>
      </c>
    </row>
    <row r="37" spans="1:7" x14ac:dyDescent="0.2">
      <c r="A37" t="s">
        <v>51</v>
      </c>
      <c r="C37">
        <v>75</v>
      </c>
      <c r="D37">
        <v>0</v>
      </c>
    </row>
    <row r="38" spans="1:7" x14ac:dyDescent="0.2">
      <c r="A38" t="s">
        <v>52</v>
      </c>
      <c r="C38">
        <v>25</v>
      </c>
      <c r="D38" t="s">
        <v>79</v>
      </c>
    </row>
    <row r="39" spans="1:7" x14ac:dyDescent="0.2">
      <c r="A39" t="s">
        <v>53</v>
      </c>
      <c r="C39">
        <v>30</v>
      </c>
      <c r="D39" t="s">
        <v>81</v>
      </c>
    </row>
    <row r="40" spans="1:7" x14ac:dyDescent="0.2">
      <c r="A40" t="s">
        <v>54</v>
      </c>
      <c r="C40">
        <v>60</v>
      </c>
      <c r="D40" t="s">
        <v>82</v>
      </c>
    </row>
    <row r="43" spans="1:7" x14ac:dyDescent="0.2">
      <c r="A43" t="s">
        <v>55</v>
      </c>
      <c r="C43">
        <v>55</v>
      </c>
      <c r="D43" t="s">
        <v>83</v>
      </c>
    </row>
    <row r="44" spans="1:7" x14ac:dyDescent="0.2">
      <c r="A44" t="s">
        <v>56</v>
      </c>
      <c r="C44">
        <v>65</v>
      </c>
      <c r="D44" t="s">
        <v>85</v>
      </c>
    </row>
    <row r="45" spans="1:7" x14ac:dyDescent="0.2">
      <c r="A45" t="s">
        <v>57</v>
      </c>
      <c r="C45">
        <v>90</v>
      </c>
      <c r="D45">
        <v>0</v>
      </c>
    </row>
    <row r="46" spans="1:7" x14ac:dyDescent="0.2">
      <c r="A46" t="s">
        <v>58</v>
      </c>
      <c r="C46">
        <v>73</v>
      </c>
      <c r="D46" t="s">
        <v>86</v>
      </c>
    </row>
    <row r="47" spans="1:7" x14ac:dyDescent="0.2">
      <c r="A47" t="s">
        <v>59</v>
      </c>
      <c r="C47">
        <v>34</v>
      </c>
      <c r="D47" t="s">
        <v>87</v>
      </c>
    </row>
    <row r="48" spans="1:7" x14ac:dyDescent="0.2">
      <c r="A48" t="s">
        <v>60</v>
      </c>
      <c r="C48">
        <v>56</v>
      </c>
      <c r="D48" t="s">
        <v>88</v>
      </c>
    </row>
    <row r="49" spans="1:6" x14ac:dyDescent="0.2">
      <c r="A49" t="s">
        <v>61</v>
      </c>
      <c r="C49">
        <v>39</v>
      </c>
      <c r="D49">
        <v>0</v>
      </c>
    </row>
    <row r="50" spans="1:6" x14ac:dyDescent="0.2">
      <c r="A50" t="s">
        <v>62</v>
      </c>
      <c r="C50">
        <v>93</v>
      </c>
      <c r="D50">
        <v>0</v>
      </c>
    </row>
    <row r="51" spans="1:6" x14ac:dyDescent="0.2">
      <c r="A51" t="s">
        <v>63</v>
      </c>
      <c r="C51">
        <v>76</v>
      </c>
      <c r="D51" t="s">
        <v>91</v>
      </c>
    </row>
    <row r="52" spans="1:6" x14ac:dyDescent="0.2">
      <c r="A52" s="1" t="s">
        <v>89</v>
      </c>
      <c r="C52">
        <v>64</v>
      </c>
      <c r="D52">
        <v>0</v>
      </c>
      <c r="E52" t="s">
        <v>90</v>
      </c>
    </row>
    <row r="53" spans="1:6" x14ac:dyDescent="0.2">
      <c r="A53" s="1" t="s">
        <v>93</v>
      </c>
      <c r="C53">
        <v>30</v>
      </c>
      <c r="D53" t="s">
        <v>94</v>
      </c>
    </row>
    <row r="54" spans="1:6" x14ac:dyDescent="0.2">
      <c r="A54" s="1" t="s">
        <v>96</v>
      </c>
      <c r="C54">
        <v>62</v>
      </c>
      <c r="D54" t="s">
        <v>95</v>
      </c>
    </row>
    <row r="55" spans="1:6" x14ac:dyDescent="0.2">
      <c r="A55" s="1" t="s">
        <v>97</v>
      </c>
      <c r="C55">
        <v>53</v>
      </c>
    </row>
    <row r="56" spans="1:6" x14ac:dyDescent="0.2">
      <c r="A56" s="1" t="s">
        <v>98</v>
      </c>
      <c r="C56">
        <v>58</v>
      </c>
      <c r="E56" t="s">
        <v>99</v>
      </c>
    </row>
    <row r="57" spans="1:6" x14ac:dyDescent="0.2">
      <c r="A57" s="1" t="s">
        <v>101</v>
      </c>
      <c r="C57">
        <v>62</v>
      </c>
      <c r="D57" t="s">
        <v>103</v>
      </c>
      <c r="E57" t="s">
        <v>100</v>
      </c>
    </row>
    <row r="58" spans="1:6" x14ac:dyDescent="0.2">
      <c r="A58" s="1" t="s">
        <v>105</v>
      </c>
      <c r="C58">
        <v>65</v>
      </c>
      <c r="D58" t="s">
        <v>106</v>
      </c>
    </row>
    <row r="59" spans="1:6" x14ac:dyDescent="0.2">
      <c r="A59" s="1" t="s">
        <v>108</v>
      </c>
      <c r="C59">
        <v>73</v>
      </c>
      <c r="D59" t="s">
        <v>109</v>
      </c>
    </row>
    <row r="60" spans="1:6" x14ac:dyDescent="0.2">
      <c r="A60" s="1" t="s">
        <v>111</v>
      </c>
      <c r="C60">
        <v>48</v>
      </c>
      <c r="D60" t="s">
        <v>110</v>
      </c>
    </row>
    <row r="61" spans="1:6" x14ac:dyDescent="0.2">
      <c r="A61" s="1" t="s">
        <v>112</v>
      </c>
      <c r="C61">
        <v>82</v>
      </c>
      <c r="D61" t="s">
        <v>115</v>
      </c>
      <c r="E61" t="s">
        <v>113</v>
      </c>
    </row>
    <row r="62" spans="1:6" x14ac:dyDescent="0.2">
      <c r="A62" s="1" t="s">
        <v>114</v>
      </c>
      <c r="C62">
        <v>57</v>
      </c>
      <c r="D62" t="s">
        <v>116</v>
      </c>
      <c r="F62" t="s">
        <v>119</v>
      </c>
    </row>
    <row r="63" spans="1:6" x14ac:dyDescent="0.2">
      <c r="A63" s="1" t="s">
        <v>117</v>
      </c>
      <c r="C63">
        <v>70</v>
      </c>
      <c r="D63" t="s">
        <v>121</v>
      </c>
      <c r="E63" t="s">
        <v>118</v>
      </c>
      <c r="F63" t="s">
        <v>120</v>
      </c>
    </row>
    <row r="64" spans="1:6" x14ac:dyDescent="0.2">
      <c r="A64" s="1" t="s">
        <v>122</v>
      </c>
      <c r="C64">
        <v>31</v>
      </c>
      <c r="D64">
        <v>1</v>
      </c>
    </row>
    <row r="65" spans="1:10" x14ac:dyDescent="0.2">
      <c r="A65" s="1" t="s">
        <v>123</v>
      </c>
      <c r="C65">
        <v>43</v>
      </c>
      <c r="D65" t="s">
        <v>124</v>
      </c>
      <c r="E65" t="s">
        <v>125</v>
      </c>
    </row>
    <row r="66" spans="1:10" x14ac:dyDescent="0.2">
      <c r="A66" s="1" t="s">
        <v>126</v>
      </c>
      <c r="C66" s="23">
        <v>75</v>
      </c>
      <c r="D66">
        <v>1</v>
      </c>
    </row>
    <row r="67" spans="1:10" x14ac:dyDescent="0.2">
      <c r="A67" s="1" t="s">
        <v>128</v>
      </c>
      <c r="C67">
        <v>39</v>
      </c>
      <c r="D67" t="s">
        <v>130</v>
      </c>
    </row>
    <row r="68" spans="1:10" x14ac:dyDescent="0.2">
      <c r="A68" s="1" t="s">
        <v>129</v>
      </c>
      <c r="C68">
        <v>36</v>
      </c>
      <c r="D68" t="s">
        <v>131</v>
      </c>
    </row>
    <row r="69" spans="1:10" x14ac:dyDescent="0.2">
      <c r="A69" s="1" t="s">
        <v>132</v>
      </c>
      <c r="C69">
        <v>55</v>
      </c>
      <c r="D69" t="s">
        <v>134</v>
      </c>
      <c r="E69" t="s">
        <v>133</v>
      </c>
    </row>
    <row r="70" spans="1:10" ht="13.5" customHeight="1" x14ac:dyDescent="0.2">
      <c r="A70" s="1" t="s">
        <v>135</v>
      </c>
      <c r="C70">
        <v>53</v>
      </c>
      <c r="D70" t="s">
        <v>136</v>
      </c>
    </row>
    <row r="71" spans="1:10" ht="10.5" customHeight="1" x14ac:dyDescent="0.2"/>
    <row r="72" spans="1:10" x14ac:dyDescent="0.2">
      <c r="A72" s="1" t="s">
        <v>137</v>
      </c>
      <c r="C72">
        <v>65</v>
      </c>
      <c r="D72" t="s">
        <v>140</v>
      </c>
    </row>
    <row r="73" spans="1:10" x14ac:dyDescent="0.2">
      <c r="A73" s="1" t="s">
        <v>143</v>
      </c>
      <c r="B73" s="26"/>
      <c r="C73" s="26">
        <v>22</v>
      </c>
      <c r="D73" t="s">
        <v>149</v>
      </c>
      <c r="E73" t="s">
        <v>142</v>
      </c>
      <c r="G73" t="s">
        <v>148</v>
      </c>
      <c r="H73" t="s">
        <v>146</v>
      </c>
      <c r="I73" t="s">
        <v>147</v>
      </c>
    </row>
    <row r="74" spans="1:10" x14ac:dyDescent="0.2">
      <c r="A74" s="1" t="s">
        <v>144</v>
      </c>
      <c r="C74">
        <v>31</v>
      </c>
      <c r="D74" t="s">
        <v>150</v>
      </c>
    </row>
    <row r="75" spans="1:10" x14ac:dyDescent="0.2">
      <c r="A75" s="1" t="s">
        <v>145</v>
      </c>
      <c r="C75">
        <v>20</v>
      </c>
      <c r="D75" t="s">
        <v>151</v>
      </c>
      <c r="G75" s="26"/>
      <c r="H75" s="26"/>
      <c r="I75" s="26"/>
      <c r="J75" s="25"/>
    </row>
  </sheetData>
  <pageMargins left="0.7" right="0.7" top="0.75" bottom="0.75" header="0.3" footer="0.3"/>
  <ignoredErrors>
    <ignoredError sqref="A1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145" zoomScaleNormal="145" workbookViewId="0">
      <pane xSplit="1" topLeftCell="B1" activePane="topRight" state="frozen"/>
      <selection activeCell="K34" sqref="K34"/>
      <selection pane="topRight"/>
    </sheetView>
  </sheetViews>
  <sheetFormatPr defaultRowHeight="10.199999999999999" x14ac:dyDescent="0.2"/>
  <cols>
    <col min="1" max="1" width="5.5703125" bestFit="1" customWidth="1"/>
    <col min="2" max="2" width="15.42578125" bestFit="1" customWidth="1"/>
    <col min="3" max="3" width="12.7109375" style="27" bestFit="1" customWidth="1"/>
    <col min="4" max="4" width="7.7109375" style="27" bestFit="1" customWidth="1"/>
    <col min="5" max="5" width="11.28515625" style="27" bestFit="1" customWidth="1"/>
    <col min="6" max="6" width="10.5703125" style="27" bestFit="1" customWidth="1"/>
    <col min="7" max="7" width="19.7109375" bestFit="1" customWidth="1"/>
  </cols>
  <sheetData>
    <row r="1" spans="1:7" ht="66" customHeight="1" x14ac:dyDescent="0.2">
      <c r="A1" s="38" t="s">
        <v>163</v>
      </c>
      <c r="B1" s="39" t="s">
        <v>164</v>
      </c>
      <c r="C1" s="39" t="s">
        <v>165</v>
      </c>
      <c r="D1" s="39" t="s">
        <v>166</v>
      </c>
      <c r="E1" s="40" t="s">
        <v>167</v>
      </c>
      <c r="F1" s="40" t="s">
        <v>168</v>
      </c>
      <c r="G1" s="39" t="s">
        <v>65</v>
      </c>
    </row>
    <row r="2" spans="1:7" ht="10.5" customHeight="1" x14ac:dyDescent="0.2">
      <c r="A2" s="31" t="s">
        <v>11</v>
      </c>
      <c r="B2" s="41">
        <v>0</v>
      </c>
      <c r="C2" s="31">
        <v>0</v>
      </c>
      <c r="D2" s="31">
        <v>78</v>
      </c>
      <c r="E2" s="31">
        <v>0</v>
      </c>
      <c r="F2" s="31">
        <v>1.5</v>
      </c>
      <c r="G2" s="31">
        <v>11.83</v>
      </c>
    </row>
    <row r="3" spans="1:7" ht="10.5" customHeight="1" x14ac:dyDescent="0.2">
      <c r="A3" s="31" t="s">
        <v>13</v>
      </c>
      <c r="B3" s="41">
        <v>0.19047619047619047</v>
      </c>
      <c r="C3" s="31">
        <v>89.189189189189193</v>
      </c>
      <c r="D3" s="31">
        <v>56</v>
      </c>
      <c r="E3" s="31">
        <v>1.5</v>
      </c>
      <c r="F3" s="31">
        <v>0</v>
      </c>
      <c r="G3" s="31">
        <v>8.84</v>
      </c>
    </row>
    <row r="4" spans="1:7" ht="10.5" customHeight="1" x14ac:dyDescent="0.2">
      <c r="A4" s="31" t="s">
        <v>14</v>
      </c>
      <c r="B4" s="41">
        <v>0.37037037037037035</v>
      </c>
      <c r="C4" s="31">
        <v>68.085106382978722</v>
      </c>
      <c r="D4" s="31">
        <v>56</v>
      </c>
      <c r="E4" s="31">
        <v>32.25</v>
      </c>
      <c r="F4" s="31">
        <v>4</v>
      </c>
      <c r="G4" s="31">
        <v>27.17</v>
      </c>
    </row>
    <row r="5" spans="1:7" ht="10.5" customHeight="1" x14ac:dyDescent="0.2">
      <c r="A5" s="31" t="s">
        <v>15</v>
      </c>
      <c r="B5" s="41">
        <v>0.17857142857142858</v>
      </c>
      <c r="C5" s="31">
        <v>14.285714285714285</v>
      </c>
      <c r="D5" s="31">
        <v>76</v>
      </c>
      <c r="E5" s="31">
        <v>75.25</v>
      </c>
      <c r="F5" s="31">
        <v>0</v>
      </c>
      <c r="G5" s="31">
        <v>19.630000000000003</v>
      </c>
    </row>
    <row r="6" spans="1:7" ht="10.5" customHeight="1" x14ac:dyDescent="0.2">
      <c r="A6" s="31" t="s">
        <v>16</v>
      </c>
      <c r="B6" s="41">
        <v>0.25</v>
      </c>
      <c r="C6" s="31">
        <v>64.189189189189193</v>
      </c>
      <c r="D6" s="31">
        <v>19</v>
      </c>
      <c r="E6" s="31">
        <v>0</v>
      </c>
      <c r="F6" s="31">
        <v>7.75</v>
      </c>
      <c r="G6" s="31">
        <v>34.32</v>
      </c>
    </row>
    <row r="7" spans="1:7" ht="10.5" customHeight="1" x14ac:dyDescent="0.2">
      <c r="A7" s="31" t="s">
        <v>18</v>
      </c>
      <c r="B7" s="41">
        <v>0.42857142857142855</v>
      </c>
      <c r="C7" s="31">
        <v>58.333333333333336</v>
      </c>
      <c r="D7" s="31">
        <v>12</v>
      </c>
      <c r="E7" s="31">
        <v>26.75</v>
      </c>
      <c r="F7" s="31">
        <v>0</v>
      </c>
      <c r="G7" s="31">
        <v>34.580000000000005</v>
      </c>
    </row>
    <row r="8" spans="1:7" ht="10.5" customHeight="1" x14ac:dyDescent="0.2">
      <c r="A8" s="31" t="s">
        <v>20</v>
      </c>
      <c r="B8" s="41">
        <v>0.36153846153846153</v>
      </c>
      <c r="C8" s="31">
        <v>0</v>
      </c>
      <c r="D8" s="31">
        <v>50</v>
      </c>
      <c r="E8" s="31">
        <v>21.75</v>
      </c>
      <c r="F8" s="31">
        <v>9</v>
      </c>
      <c r="G8" s="31">
        <v>71.11</v>
      </c>
    </row>
    <row r="9" spans="1:7" ht="10.5" customHeight="1" x14ac:dyDescent="0.2">
      <c r="A9" s="31" t="s">
        <v>21</v>
      </c>
      <c r="B9" s="41">
        <v>0</v>
      </c>
      <c r="C9" s="31">
        <v>73.267326732673268</v>
      </c>
      <c r="D9" s="31">
        <v>26</v>
      </c>
      <c r="E9" s="31">
        <v>18</v>
      </c>
      <c r="F9" s="31">
        <v>6.5</v>
      </c>
      <c r="G9" s="31">
        <v>25.87</v>
      </c>
    </row>
    <row r="10" spans="1:7" ht="10.5" customHeight="1" x14ac:dyDescent="0.2">
      <c r="A10" s="31" t="s">
        <v>23</v>
      </c>
      <c r="B10" s="41">
        <v>0</v>
      </c>
      <c r="C10" s="31">
        <v>41.463414634146339</v>
      </c>
      <c r="D10" s="31">
        <v>4</v>
      </c>
      <c r="E10" s="31">
        <v>47</v>
      </c>
      <c r="F10" s="31">
        <v>6</v>
      </c>
      <c r="G10" s="31">
        <v>13.129999999999999</v>
      </c>
    </row>
    <row r="11" spans="1:7" ht="10.5" customHeight="1" x14ac:dyDescent="0.2">
      <c r="A11" s="31" t="s">
        <v>26</v>
      </c>
      <c r="B11" s="41">
        <v>0.47468354430379744</v>
      </c>
      <c r="C11" s="31">
        <v>46</v>
      </c>
      <c r="D11" s="31">
        <v>27</v>
      </c>
      <c r="E11" s="31">
        <v>10.5</v>
      </c>
      <c r="F11" s="31">
        <v>0</v>
      </c>
      <c r="G11" s="31">
        <v>50.440000000000005</v>
      </c>
    </row>
    <row r="12" spans="1:7" ht="10.5" customHeight="1" x14ac:dyDescent="0.2">
      <c r="A12" s="31" t="s">
        <v>27</v>
      </c>
      <c r="B12" s="41">
        <v>0</v>
      </c>
      <c r="C12" s="31">
        <v>71.069182389937097</v>
      </c>
      <c r="D12" s="31">
        <v>14</v>
      </c>
      <c r="E12" s="31">
        <v>58.25</v>
      </c>
      <c r="F12" s="31">
        <v>0</v>
      </c>
      <c r="G12" s="31">
        <v>21.905000000000001</v>
      </c>
    </row>
    <row r="13" spans="1:7" ht="10.5" customHeight="1" x14ac:dyDescent="0.2">
      <c r="A13" s="31" t="s">
        <v>29</v>
      </c>
      <c r="B13" s="41">
        <v>0</v>
      </c>
      <c r="C13" s="31">
        <v>42.857142857142854</v>
      </c>
      <c r="D13" s="31">
        <v>4</v>
      </c>
      <c r="E13" s="31">
        <v>10.5</v>
      </c>
      <c r="F13" s="31">
        <v>0</v>
      </c>
      <c r="G13" s="31">
        <v>2.4699999999999998</v>
      </c>
    </row>
    <row r="14" spans="1:7" ht="10.5" customHeight="1" x14ac:dyDescent="0.2">
      <c r="A14" s="31" t="s">
        <v>30</v>
      </c>
      <c r="B14" s="41">
        <v>0</v>
      </c>
      <c r="C14" s="31">
        <v>63.513513513513509</v>
      </c>
      <c r="D14" s="31">
        <v>4</v>
      </c>
      <c r="E14" s="31">
        <v>82.75</v>
      </c>
      <c r="F14" s="31">
        <v>66</v>
      </c>
      <c r="G14" s="31">
        <v>17.095000000000002</v>
      </c>
    </row>
    <row r="15" spans="1:7" ht="10.5" customHeight="1" x14ac:dyDescent="0.2">
      <c r="A15" s="31" t="s">
        <v>31</v>
      </c>
      <c r="B15" s="41">
        <v>0</v>
      </c>
      <c r="C15" s="31">
        <v>0</v>
      </c>
      <c r="D15" s="31">
        <v>0</v>
      </c>
      <c r="E15" s="31">
        <v>67.75</v>
      </c>
      <c r="F15" s="31">
        <v>0.5</v>
      </c>
      <c r="G15" s="31">
        <v>0.58499999999999996</v>
      </c>
    </row>
    <row r="16" spans="1:7" ht="10.5" customHeight="1" x14ac:dyDescent="0.2">
      <c r="A16" s="31" t="s">
        <v>32</v>
      </c>
      <c r="B16" s="41">
        <v>0.45454545454545453</v>
      </c>
      <c r="C16" s="31">
        <v>63.333333333333329</v>
      </c>
      <c r="D16" s="31">
        <v>29</v>
      </c>
      <c r="E16" s="31">
        <v>151.75</v>
      </c>
      <c r="F16" s="31">
        <v>48.5</v>
      </c>
      <c r="G16" s="31">
        <v>20.215000000000003</v>
      </c>
    </row>
    <row r="17" spans="1:7" ht="10.5" customHeight="1" x14ac:dyDescent="0.2">
      <c r="A17" s="31" t="s">
        <v>33</v>
      </c>
      <c r="B17" s="41">
        <v>0.5</v>
      </c>
      <c r="C17" s="31">
        <v>67.741935483870961</v>
      </c>
      <c r="D17" s="31">
        <v>6</v>
      </c>
      <c r="E17" s="31">
        <v>105</v>
      </c>
      <c r="F17" s="31">
        <v>0.5</v>
      </c>
      <c r="G17" s="31">
        <v>5.46</v>
      </c>
    </row>
    <row r="18" spans="1:7" ht="10.5" customHeight="1" x14ac:dyDescent="0.2">
      <c r="A18" s="31" t="s">
        <v>34</v>
      </c>
      <c r="B18" s="41">
        <v>0</v>
      </c>
      <c r="C18" s="31">
        <v>66.153846153846146</v>
      </c>
      <c r="D18" s="31">
        <v>21</v>
      </c>
      <c r="E18" s="31">
        <v>47.25</v>
      </c>
      <c r="F18" s="31">
        <v>0</v>
      </c>
      <c r="G18" s="31">
        <v>6.4350000000000005</v>
      </c>
    </row>
    <row r="19" spans="1:7" ht="10.5" customHeight="1" x14ac:dyDescent="0.2">
      <c r="A19" s="31" t="s">
        <v>35</v>
      </c>
      <c r="B19" s="41">
        <v>0</v>
      </c>
      <c r="C19" s="31">
        <v>0</v>
      </c>
      <c r="D19" s="31">
        <v>3</v>
      </c>
      <c r="E19" s="31">
        <v>25</v>
      </c>
      <c r="F19" s="31">
        <v>0.5</v>
      </c>
      <c r="G19" s="31">
        <v>5.1349999999999998</v>
      </c>
    </row>
    <row r="20" spans="1:7" ht="10.5" customHeight="1" x14ac:dyDescent="0.2">
      <c r="A20" s="31" t="s">
        <v>36</v>
      </c>
      <c r="B20" s="41">
        <v>0</v>
      </c>
      <c r="C20" s="31">
        <v>50</v>
      </c>
      <c r="D20" s="31">
        <v>2</v>
      </c>
      <c r="E20" s="31">
        <v>71.25</v>
      </c>
      <c r="F20" s="31">
        <v>5</v>
      </c>
      <c r="G20" s="31">
        <v>6.6950000000000012</v>
      </c>
    </row>
    <row r="21" spans="1:7" x14ac:dyDescent="0.2">
      <c r="A21" s="31" t="s">
        <v>37</v>
      </c>
      <c r="B21" s="41">
        <v>0</v>
      </c>
      <c r="C21" s="31">
        <v>0</v>
      </c>
      <c r="D21" s="31">
        <v>1</v>
      </c>
      <c r="E21" s="31">
        <v>49.5</v>
      </c>
      <c r="F21" s="31">
        <v>12</v>
      </c>
      <c r="G21" s="31">
        <v>2.8600000000000003</v>
      </c>
    </row>
    <row r="22" spans="1:7" x14ac:dyDescent="0.2">
      <c r="A22" s="31" t="s">
        <v>38</v>
      </c>
      <c r="B22" s="41">
        <v>0</v>
      </c>
      <c r="C22" s="31">
        <v>0</v>
      </c>
      <c r="D22" s="31">
        <v>0</v>
      </c>
      <c r="E22" s="31">
        <v>55.5</v>
      </c>
      <c r="F22" s="31">
        <v>2</v>
      </c>
      <c r="G22" s="31">
        <v>2.5350000000000001</v>
      </c>
    </row>
    <row r="23" spans="1:7" x14ac:dyDescent="0.2">
      <c r="A23" s="31" t="s">
        <v>39</v>
      </c>
      <c r="B23" s="41">
        <v>0</v>
      </c>
      <c r="C23" s="31">
        <v>0</v>
      </c>
      <c r="D23" s="31">
        <v>5</v>
      </c>
      <c r="E23" s="31">
        <v>77.25</v>
      </c>
      <c r="F23" s="31">
        <v>4</v>
      </c>
      <c r="G23" s="31">
        <v>8.9700000000000006</v>
      </c>
    </row>
    <row r="24" spans="1:7" x14ac:dyDescent="0.2">
      <c r="A24" s="31" t="s">
        <v>40</v>
      </c>
      <c r="B24" s="41">
        <v>0</v>
      </c>
      <c r="C24" s="31">
        <v>0</v>
      </c>
      <c r="D24" s="31">
        <v>2</v>
      </c>
      <c r="E24" s="31">
        <v>0.5</v>
      </c>
      <c r="F24" s="31">
        <v>2.5</v>
      </c>
      <c r="G24" s="31">
        <v>16.315000000000001</v>
      </c>
    </row>
    <row r="25" spans="1:7" x14ac:dyDescent="0.2">
      <c r="A25" s="31" t="s">
        <v>63</v>
      </c>
      <c r="B25" s="41">
        <v>0</v>
      </c>
      <c r="C25" s="31">
        <v>36.363636363636367</v>
      </c>
      <c r="D25" s="31">
        <v>0</v>
      </c>
      <c r="E25" s="31">
        <v>0</v>
      </c>
      <c r="F25" s="31">
        <v>10.5</v>
      </c>
      <c r="G25" s="31">
        <v>4.6800000000000006</v>
      </c>
    </row>
    <row r="26" spans="1:7" x14ac:dyDescent="0.2">
      <c r="A26" s="31" t="s">
        <v>62</v>
      </c>
      <c r="B26" s="41">
        <v>0</v>
      </c>
      <c r="C26" s="31">
        <v>0</v>
      </c>
      <c r="D26" s="31">
        <v>0</v>
      </c>
      <c r="E26" s="31">
        <v>0</v>
      </c>
      <c r="F26" s="31">
        <v>0.5</v>
      </c>
      <c r="G26" s="31">
        <v>4.68</v>
      </c>
    </row>
    <row r="27" spans="1:7" x14ac:dyDescent="0.2">
      <c r="A27" s="31" t="s">
        <v>61</v>
      </c>
      <c r="B27" s="41">
        <v>0</v>
      </c>
      <c r="C27" s="31">
        <v>0</v>
      </c>
      <c r="D27" s="31">
        <v>10.199999999999999</v>
      </c>
      <c r="E27" s="31">
        <v>14.5</v>
      </c>
      <c r="F27" s="31">
        <v>2.75</v>
      </c>
      <c r="G27" s="31">
        <v>7.8649999999999984</v>
      </c>
    </row>
    <row r="28" spans="1:7" x14ac:dyDescent="0.2">
      <c r="A28" s="31" t="s">
        <v>60</v>
      </c>
      <c r="B28" s="41">
        <v>0</v>
      </c>
      <c r="C28" s="31">
        <v>89.403973509933778</v>
      </c>
      <c r="D28" s="31">
        <v>0</v>
      </c>
      <c r="E28" s="31">
        <v>132.25</v>
      </c>
      <c r="F28" s="31">
        <v>0</v>
      </c>
      <c r="G28" s="31">
        <v>6.370000000000001</v>
      </c>
    </row>
    <row r="29" spans="1:7" x14ac:dyDescent="0.2">
      <c r="A29" s="31" t="s">
        <v>59</v>
      </c>
      <c r="B29" s="41">
        <v>0.76470588235294112</v>
      </c>
      <c r="C29" s="31">
        <v>62.857142857142854</v>
      </c>
      <c r="D29" s="31">
        <v>26</v>
      </c>
      <c r="E29" s="31">
        <v>4</v>
      </c>
      <c r="F29" s="31">
        <v>0</v>
      </c>
      <c r="G29" s="31">
        <v>18.915000000000003</v>
      </c>
    </row>
    <row r="30" spans="1:7" x14ac:dyDescent="0.2">
      <c r="A30" s="31" t="s">
        <v>58</v>
      </c>
      <c r="B30" s="41">
        <v>0.47058823529411764</v>
      </c>
      <c r="C30" s="31">
        <v>69.767441860465112</v>
      </c>
      <c r="D30" s="31">
        <v>11</v>
      </c>
      <c r="E30" s="31">
        <v>12.75</v>
      </c>
      <c r="F30" s="31">
        <v>0</v>
      </c>
      <c r="G30" s="31">
        <v>24.440000000000005</v>
      </c>
    </row>
    <row r="31" spans="1:7" x14ac:dyDescent="0.2">
      <c r="A31" s="31" t="s">
        <v>57</v>
      </c>
      <c r="B31" s="41">
        <v>0.33653846153846156</v>
      </c>
      <c r="C31" s="31">
        <v>0</v>
      </c>
      <c r="D31" s="31">
        <v>41</v>
      </c>
      <c r="E31" s="31">
        <v>26.25</v>
      </c>
      <c r="F31" s="31">
        <v>0</v>
      </c>
      <c r="G31" s="31">
        <v>58.36999999999999</v>
      </c>
    </row>
    <row r="32" spans="1:7" x14ac:dyDescent="0.2">
      <c r="A32" s="31" t="s">
        <v>56</v>
      </c>
      <c r="B32" s="41">
        <v>7.6923076923076927E-2</v>
      </c>
      <c r="C32" s="31">
        <v>60</v>
      </c>
      <c r="D32" s="31">
        <v>23</v>
      </c>
      <c r="E32" s="31">
        <v>138.25</v>
      </c>
      <c r="F32" s="31">
        <v>0</v>
      </c>
      <c r="G32" s="37">
        <v>15.860000000000001</v>
      </c>
    </row>
    <row r="33" spans="1:7" x14ac:dyDescent="0.2">
      <c r="A33" s="31" t="s">
        <v>55</v>
      </c>
      <c r="B33" s="41">
        <v>0</v>
      </c>
      <c r="C33" s="31">
        <v>0</v>
      </c>
      <c r="D33" s="31">
        <v>17</v>
      </c>
      <c r="E33" s="31">
        <v>129.5</v>
      </c>
      <c r="F33" s="31">
        <v>0</v>
      </c>
      <c r="G33" s="37">
        <v>19.11</v>
      </c>
    </row>
    <row r="34" spans="1:7" x14ac:dyDescent="0.2">
      <c r="A34" s="31" t="s">
        <v>54</v>
      </c>
      <c r="B34" s="41">
        <v>0</v>
      </c>
      <c r="C34" s="31">
        <v>76.811594202898547</v>
      </c>
      <c r="D34" s="31">
        <v>10</v>
      </c>
      <c r="E34" s="31">
        <v>51</v>
      </c>
      <c r="F34" s="31">
        <v>0</v>
      </c>
      <c r="G34" s="37">
        <v>20.67</v>
      </c>
    </row>
    <row r="35" spans="1:7" x14ac:dyDescent="0.2">
      <c r="A35" s="31" t="s">
        <v>53</v>
      </c>
      <c r="B35" s="41">
        <v>51</v>
      </c>
      <c r="C35" s="31">
        <v>81.034482758620683</v>
      </c>
      <c r="D35" s="31">
        <v>30</v>
      </c>
      <c r="E35" s="31">
        <v>0</v>
      </c>
      <c r="F35" s="31">
        <v>0</v>
      </c>
      <c r="G35" s="37">
        <v>25.090000000000003</v>
      </c>
    </row>
    <row r="36" spans="1:7" x14ac:dyDescent="0.2">
      <c r="A36" s="31" t="s">
        <v>52</v>
      </c>
      <c r="B36" s="41">
        <v>0</v>
      </c>
      <c r="C36" s="31">
        <v>0</v>
      </c>
      <c r="D36" s="31">
        <v>16</v>
      </c>
      <c r="E36" s="31">
        <v>28.25</v>
      </c>
      <c r="F36" s="31">
        <v>0</v>
      </c>
      <c r="G36" s="37">
        <v>18.590000000000003</v>
      </c>
    </row>
    <row r="37" spans="1:7" x14ac:dyDescent="0.2">
      <c r="A37" s="31" t="s">
        <v>51</v>
      </c>
      <c r="B37" s="41">
        <v>0.1111111111111111</v>
      </c>
      <c r="C37" s="31">
        <v>0</v>
      </c>
      <c r="D37" s="31">
        <v>44</v>
      </c>
      <c r="E37" s="31">
        <v>16.5</v>
      </c>
      <c r="F37" s="31">
        <v>1.5</v>
      </c>
      <c r="G37" s="37">
        <v>9.75</v>
      </c>
    </row>
    <row r="38" spans="1:7" x14ac:dyDescent="0.2">
      <c r="A38" s="31" t="s">
        <v>50</v>
      </c>
      <c r="B38" s="41">
        <v>0</v>
      </c>
      <c r="C38" s="31">
        <v>0</v>
      </c>
      <c r="D38" s="31">
        <v>8</v>
      </c>
      <c r="E38" s="31">
        <v>11.25</v>
      </c>
      <c r="F38" s="31">
        <v>1</v>
      </c>
      <c r="G38" s="37">
        <v>5.72</v>
      </c>
    </row>
    <row r="39" spans="1:7" x14ac:dyDescent="0.2">
      <c r="A39" s="31" t="s">
        <v>49</v>
      </c>
      <c r="B39" s="41">
        <v>0</v>
      </c>
      <c r="C39" s="31">
        <v>0</v>
      </c>
      <c r="D39" s="31">
        <v>6</v>
      </c>
      <c r="E39" s="31">
        <v>101</v>
      </c>
      <c r="F39" s="31">
        <v>8.75</v>
      </c>
      <c r="G39" s="37">
        <v>4.8099999999999996</v>
      </c>
    </row>
    <row r="40" spans="1:7" x14ac:dyDescent="0.2">
      <c r="A40" s="31" t="s">
        <v>48</v>
      </c>
      <c r="B40" s="41">
        <v>0</v>
      </c>
      <c r="C40" s="31">
        <v>0</v>
      </c>
      <c r="D40" s="31">
        <v>9</v>
      </c>
      <c r="E40" s="31">
        <v>0</v>
      </c>
      <c r="F40" s="31">
        <v>4</v>
      </c>
      <c r="G40" s="37">
        <v>13.39</v>
      </c>
    </row>
    <row r="41" spans="1:7" x14ac:dyDescent="0.2">
      <c r="A41" s="31" t="s">
        <v>1</v>
      </c>
      <c r="B41" s="41">
        <v>0</v>
      </c>
      <c r="C41" s="31">
        <v>0</v>
      </c>
      <c r="D41" s="31">
        <v>4</v>
      </c>
      <c r="E41" s="31">
        <v>32.25</v>
      </c>
      <c r="F41" s="31">
        <v>50.25</v>
      </c>
      <c r="G41" s="37">
        <v>4.875</v>
      </c>
    </row>
    <row r="42" spans="1:7" x14ac:dyDescent="0.2">
      <c r="A42" s="31" t="s">
        <v>2</v>
      </c>
      <c r="B42" s="41">
        <v>0</v>
      </c>
      <c r="C42" s="31">
        <v>50</v>
      </c>
      <c r="D42" s="31">
        <v>46</v>
      </c>
      <c r="E42" s="31">
        <v>217.25</v>
      </c>
      <c r="F42" s="31">
        <v>7.5</v>
      </c>
      <c r="G42" s="37">
        <v>15.47</v>
      </c>
    </row>
    <row r="43" spans="1:7" x14ac:dyDescent="0.2">
      <c r="A43" s="31" t="s">
        <v>3</v>
      </c>
      <c r="B43" s="41">
        <v>0</v>
      </c>
      <c r="C43" s="31">
        <v>0</v>
      </c>
      <c r="D43" s="31">
        <v>4</v>
      </c>
      <c r="E43" s="31">
        <v>40.5</v>
      </c>
      <c r="F43" s="31">
        <v>0</v>
      </c>
      <c r="G43" s="37">
        <v>5.7850000000000001</v>
      </c>
    </row>
    <row r="44" spans="1:7" x14ac:dyDescent="0.2">
      <c r="A44" s="31" t="s">
        <v>4</v>
      </c>
      <c r="B44" s="41">
        <v>0</v>
      </c>
      <c r="C44" s="31">
        <v>95.161290322580655</v>
      </c>
      <c r="D44" s="31">
        <v>29</v>
      </c>
      <c r="E44" s="31">
        <v>1.5</v>
      </c>
      <c r="F44" s="31">
        <v>1.5</v>
      </c>
      <c r="G44" s="37">
        <v>2.665</v>
      </c>
    </row>
    <row r="45" spans="1:7" x14ac:dyDescent="0.2">
      <c r="A45" s="31" t="s">
        <v>5</v>
      </c>
      <c r="B45" s="41">
        <v>0</v>
      </c>
      <c r="C45" s="31">
        <v>89.473684210526315</v>
      </c>
      <c r="D45" s="31">
        <v>0</v>
      </c>
      <c r="E45" s="31">
        <v>27</v>
      </c>
      <c r="F45" s="31">
        <v>0</v>
      </c>
      <c r="G45" s="37">
        <v>12.220000000000002</v>
      </c>
    </row>
    <row r="46" spans="1:7" x14ac:dyDescent="0.2">
      <c r="A46" s="31" t="s">
        <v>6</v>
      </c>
      <c r="B46" s="41">
        <v>0</v>
      </c>
      <c r="C46" s="31">
        <v>90.410958904109577</v>
      </c>
      <c r="D46" s="31">
        <v>0</v>
      </c>
      <c r="E46" s="31">
        <v>1.5</v>
      </c>
      <c r="F46" s="31">
        <v>49</v>
      </c>
      <c r="G46" s="37">
        <v>14.364999999999998</v>
      </c>
    </row>
    <row r="47" spans="1:7" x14ac:dyDescent="0.2">
      <c r="A47" s="31" t="s">
        <v>7</v>
      </c>
      <c r="B47" s="41">
        <v>0</v>
      </c>
      <c r="C47" s="31">
        <v>46.875</v>
      </c>
      <c r="D47" s="31">
        <v>0</v>
      </c>
      <c r="E47" s="31">
        <v>6.75</v>
      </c>
      <c r="F47" s="31">
        <v>0</v>
      </c>
      <c r="G47" s="37">
        <v>13.26</v>
      </c>
    </row>
    <row r="48" spans="1:7" x14ac:dyDescent="0.2">
      <c r="A48" s="31" t="s">
        <v>8</v>
      </c>
      <c r="B48" s="41">
        <v>0</v>
      </c>
      <c r="C48" s="31">
        <v>0</v>
      </c>
      <c r="D48" s="31">
        <v>0</v>
      </c>
      <c r="E48" s="31">
        <v>5.25</v>
      </c>
      <c r="F48" s="31">
        <v>5.5</v>
      </c>
      <c r="G48" s="37">
        <v>7.0850000000000009</v>
      </c>
    </row>
    <row r="49" spans="1:7" x14ac:dyDescent="0.2">
      <c r="A49" s="31" t="s">
        <v>9</v>
      </c>
      <c r="B49" s="41">
        <v>0</v>
      </c>
      <c r="C49" s="31">
        <v>91.304347826086953</v>
      </c>
      <c r="D49" s="31">
        <v>0</v>
      </c>
      <c r="E49" s="31">
        <v>2.25</v>
      </c>
      <c r="F49" s="31">
        <v>0</v>
      </c>
      <c r="G49" s="37">
        <v>3.7050000000000001</v>
      </c>
    </row>
    <row r="50" spans="1:7" ht="13.2" x14ac:dyDescent="0.25">
      <c r="A50" s="29"/>
      <c r="B50" s="29"/>
      <c r="C50" s="29"/>
      <c r="D50" s="29"/>
      <c r="F50" s="29"/>
    </row>
    <row r="51" spans="1:7" ht="13.2" x14ac:dyDescent="0.25">
      <c r="A51" s="29"/>
      <c r="B51" s="29"/>
      <c r="C51" s="29"/>
      <c r="D51" s="29"/>
      <c r="F51" s="29"/>
    </row>
    <row r="52" spans="1:7" ht="13.2" x14ac:dyDescent="0.25">
      <c r="A52" s="29"/>
      <c r="B52" s="29"/>
      <c r="C52" s="29"/>
      <c r="D52" s="29"/>
      <c r="F52" s="29"/>
    </row>
    <row r="53" spans="1:7" ht="13.2" x14ac:dyDescent="0.25">
      <c r="A53" s="29"/>
      <c r="B53" s="29"/>
      <c r="C53" s="29"/>
      <c r="D53" s="29"/>
      <c r="F53" s="29"/>
    </row>
    <row r="54" spans="1:7" ht="13.2" x14ac:dyDescent="0.25">
      <c r="A54" s="29"/>
      <c r="B54" s="29"/>
      <c r="C54" s="29"/>
      <c r="D54" s="29"/>
      <c r="F54" s="29"/>
    </row>
    <row r="55" spans="1:7" ht="13.2" x14ac:dyDescent="0.25">
      <c r="A55" s="29"/>
      <c r="B55" s="29"/>
      <c r="C55" s="29"/>
      <c r="D55" s="29"/>
      <c r="F5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6" zoomScale="107" zoomScaleNormal="107" workbookViewId="0">
      <pane xSplit="1" topLeftCell="B1" activePane="topRight" state="frozen"/>
      <selection activeCell="K34" sqref="K34"/>
      <selection pane="topRight" activeCell="A33" sqref="A33"/>
    </sheetView>
  </sheetViews>
  <sheetFormatPr defaultRowHeight="10.199999999999999" x14ac:dyDescent="0.2"/>
  <cols>
    <col min="2" max="3" width="7" customWidth="1"/>
    <col min="4" max="4" width="6.7109375" customWidth="1"/>
    <col min="5" max="5" width="6.140625" customWidth="1"/>
    <col min="6" max="6" width="16.140625" customWidth="1"/>
    <col min="7" max="7" width="16.140625" style="14" customWidth="1"/>
    <col min="8" max="11" width="16.140625" customWidth="1"/>
    <col min="12" max="12" width="12.85546875" bestFit="1" customWidth="1"/>
    <col min="13" max="13" width="10.85546875" bestFit="1" customWidth="1"/>
  </cols>
  <sheetData>
    <row r="1" spans="1:13" ht="95.25" customHeight="1" x14ac:dyDescent="0.2">
      <c r="A1" s="13" t="s">
        <v>67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65</v>
      </c>
      <c r="G1" s="15" t="s">
        <v>73</v>
      </c>
      <c r="H1" s="9" t="s">
        <v>74</v>
      </c>
      <c r="I1" s="9" t="s">
        <v>75</v>
      </c>
      <c r="J1" s="9" t="s">
        <v>76</v>
      </c>
      <c r="K1" s="9" t="s">
        <v>64</v>
      </c>
      <c r="L1" s="9" t="s">
        <v>42</v>
      </c>
      <c r="M1" s="9" t="s">
        <v>41</v>
      </c>
    </row>
    <row r="2" spans="1:13" ht="10.5" customHeight="1" x14ac:dyDescent="0.2">
      <c r="A2" t="s">
        <v>11</v>
      </c>
      <c r="B2">
        <f>(2+3.5+14+3.5)*1.04</f>
        <v>23.92</v>
      </c>
      <c r="C2">
        <f>(2+1.5+1+1)*1.04</f>
        <v>5.7200000000000006</v>
      </c>
      <c r="D2">
        <f>(3.75+0+0.5+7.25)*1.04</f>
        <v>11.96</v>
      </c>
      <c r="E2">
        <f>(0.5+1.5+3+0.5)*1.04</f>
        <v>5.7200000000000006</v>
      </c>
    </row>
    <row r="3" spans="1:13" ht="10.5" customHeight="1" x14ac:dyDescent="0.2">
      <c r="A3" t="s">
        <v>13</v>
      </c>
      <c r="B3">
        <f>0.5*1.04</f>
        <v>0.52</v>
      </c>
      <c r="C3">
        <f>(0+0.5+0.5+0.5)*1.04</f>
        <v>1.56</v>
      </c>
      <c r="D3">
        <f>(6+0+2.75+0.5)*1.04</f>
        <v>9.620000000000001</v>
      </c>
      <c r="E3">
        <f>(8.5+10+2.25+2)*1.04</f>
        <v>23.66</v>
      </c>
    </row>
    <row r="4" spans="1:13" ht="10.5" customHeight="1" x14ac:dyDescent="0.2">
      <c r="A4" t="s">
        <v>14</v>
      </c>
      <c r="B4">
        <f>(3+13.5+6+15)*1.04</f>
        <v>39</v>
      </c>
      <c r="C4">
        <f>(7+8.5+12+19)*1.04</f>
        <v>48.36</v>
      </c>
      <c r="D4">
        <f>(0.5+6+6.5+0.5)*1.04</f>
        <v>14.040000000000001</v>
      </c>
      <c r="E4">
        <f>(0.5+0.5+4+2)*1.04</f>
        <v>7.28</v>
      </c>
      <c r="H4">
        <f>(2+2+3.5+3)*1.04</f>
        <v>10.92</v>
      </c>
      <c r="I4">
        <f>1.5*1.04</f>
        <v>1.56</v>
      </c>
      <c r="J4">
        <f>(8+5+2+10)*1.04</f>
        <v>26</v>
      </c>
      <c r="L4" t="s">
        <v>141</v>
      </c>
    </row>
    <row r="5" spans="1:13" ht="10.5" customHeight="1" x14ac:dyDescent="0.2">
      <c r="A5" t="s">
        <v>15</v>
      </c>
      <c r="B5">
        <f>(4+2.5+2+2.5)*1.04</f>
        <v>11.440000000000001</v>
      </c>
      <c r="C5">
        <f>(4+4.5+2.5+0.5)*1.04</f>
        <v>11.96</v>
      </c>
      <c r="D5">
        <f>(0.75+6.5+4.25+4)*1.04</f>
        <v>16.12</v>
      </c>
      <c r="E5">
        <f>(15.5+13.5+3.5+5)*1.04</f>
        <v>39</v>
      </c>
      <c r="H5">
        <f>(1+5.5+5+2)*1.04</f>
        <v>14.040000000000001</v>
      </c>
      <c r="L5" t="s">
        <v>138</v>
      </c>
    </row>
    <row r="6" spans="1:13" ht="10.5" customHeight="1" x14ac:dyDescent="0.2">
      <c r="A6" t="s">
        <v>16</v>
      </c>
      <c r="B6">
        <f>(6+10+13+1.5)*1.04</f>
        <v>31.720000000000002</v>
      </c>
      <c r="C6">
        <f>(12.5+10+8.25+6)*1.04</f>
        <v>38.22</v>
      </c>
      <c r="D6">
        <f>(8.5+1.5+4.5+12.75)*1.04</f>
        <v>28.34</v>
      </c>
      <c r="E6">
        <f>(14+8.5+3+12)*1.04</f>
        <v>39</v>
      </c>
    </row>
    <row r="7" spans="1:13" ht="10.5" customHeight="1" x14ac:dyDescent="0.2">
      <c r="A7" t="s">
        <v>18</v>
      </c>
      <c r="B7">
        <f>(10+3+13.5+21.5+10.5)*1.04</f>
        <v>60.84</v>
      </c>
      <c r="C7">
        <f>(1+0+0.5+1)*1.04</f>
        <v>2.6</v>
      </c>
      <c r="D7">
        <f>(20+15.5+14.5+3.5)*1.04</f>
        <v>55.64</v>
      </c>
      <c r="E7">
        <f>(12+4+1+1.5)*1.04</f>
        <v>19.240000000000002</v>
      </c>
    </row>
    <row r="8" spans="1:13" ht="10.5" customHeight="1" x14ac:dyDescent="0.2">
      <c r="A8" t="s">
        <v>20</v>
      </c>
      <c r="B8">
        <f>(14+14+21+14)*1.04</f>
        <v>65.52</v>
      </c>
      <c r="C8">
        <f>(11+22+19.5+6.5)*1.04</f>
        <v>61.36</v>
      </c>
      <c r="D8">
        <f>(16+21.5+23.5+19.5)*1.04</f>
        <v>83.72</v>
      </c>
      <c r="E8">
        <f>(15.5+24+14.5+17)*1.04</f>
        <v>73.84</v>
      </c>
      <c r="F8">
        <f>AVERAGE(B8:E8)</f>
        <v>71.11</v>
      </c>
      <c r="I8">
        <f>0.5*1.04</f>
        <v>0.52</v>
      </c>
    </row>
    <row r="9" spans="1:13" ht="10.5" customHeight="1" x14ac:dyDescent="0.2">
      <c r="A9" t="s">
        <v>21</v>
      </c>
      <c r="B9">
        <f>(2+0.5+0+0.5)*1.04</f>
        <v>3.12</v>
      </c>
      <c r="C9">
        <f>(9+0.5+11+22.5)*1.04</f>
        <v>44.72</v>
      </c>
      <c r="D9">
        <f>(20+17.5+4+11.5)*1.04</f>
        <v>55.120000000000005</v>
      </c>
      <c r="E9">
        <f>(0.5+0+0)*1.04</f>
        <v>0.52</v>
      </c>
      <c r="G9" s="14">
        <f>(21.5+10+15+23.25)*1.04</f>
        <v>72.540000000000006</v>
      </c>
      <c r="J9">
        <f>(4+0.5+2.5)*1.04</f>
        <v>7.28</v>
      </c>
      <c r="L9" t="s">
        <v>127</v>
      </c>
    </row>
    <row r="10" spans="1:13" ht="10.5" customHeight="1" x14ac:dyDescent="0.2">
      <c r="A10" t="s">
        <v>23</v>
      </c>
      <c r="B10">
        <f>(6.25+7+7.25+1)*1.04</f>
        <v>22.36</v>
      </c>
      <c r="C10">
        <f>(0+0.5+0+0)*1.04</f>
        <v>0.52</v>
      </c>
      <c r="D10">
        <f>(10+0+2+13.5)*1.04</f>
        <v>26.52</v>
      </c>
      <c r="E10">
        <f>(0.5+0+1+1.5)*1.04</f>
        <v>3.12</v>
      </c>
    </row>
    <row r="11" spans="1:13" ht="10.5" customHeight="1" x14ac:dyDescent="0.2">
      <c r="A11" t="s">
        <v>26</v>
      </c>
      <c r="B11">
        <f>(23.5+23+8.5+12.5)*1.04</f>
        <v>70.2</v>
      </c>
      <c r="C11">
        <f>(0.5+6.5+2.5+0.5)*1.04</f>
        <v>10.4</v>
      </c>
      <c r="D11" s="22">
        <f>(17.5+15+20+23.5)*1.04</f>
        <v>79.040000000000006</v>
      </c>
      <c r="E11">
        <f>(2+9.5+20+9)*1.04</f>
        <v>42.120000000000005</v>
      </c>
    </row>
    <row r="12" spans="1:13" ht="10.5" customHeight="1" x14ac:dyDescent="0.2">
      <c r="A12" t="s">
        <v>27</v>
      </c>
      <c r="B12">
        <f>(22+18+4+15.5)*1.04</f>
        <v>61.88</v>
      </c>
      <c r="C12">
        <f>(8+3.5+4+8.5)*1.04</f>
        <v>24.96</v>
      </c>
      <c r="D12">
        <f>(0+0+0+0.25)*1.04</f>
        <v>0.26</v>
      </c>
      <c r="E12">
        <f>(0.5+0+0+0)*1.04</f>
        <v>0.52</v>
      </c>
      <c r="J12">
        <f>(1+1.5+1.5)*1.04</f>
        <v>4.16</v>
      </c>
    </row>
    <row r="13" spans="1:13" ht="10.5" customHeight="1" x14ac:dyDescent="0.2">
      <c r="A13" t="s">
        <v>29</v>
      </c>
      <c r="B13">
        <f>(0.5+0+0.5+2)*1.04</f>
        <v>3.12</v>
      </c>
      <c r="C13">
        <f>(1+0.75+0.5+0.75)*1.04</f>
        <v>3.12</v>
      </c>
      <c r="D13">
        <f>(1.5+0.5+0+0.5)*1.04</f>
        <v>2.6</v>
      </c>
      <c r="E13">
        <f>(0.5+0+0+0.5)*1.04</f>
        <v>1.04</v>
      </c>
    </row>
    <row r="14" spans="1:13" ht="10.5" customHeight="1" x14ac:dyDescent="0.2">
      <c r="A14" t="s">
        <v>30</v>
      </c>
      <c r="B14">
        <f>(9.25+10.5+4.25+3)*1.04</f>
        <v>28.080000000000002</v>
      </c>
      <c r="C14">
        <f>(6+7+8+11.5)*1.04</f>
        <v>33.800000000000004</v>
      </c>
      <c r="D14">
        <f>(0.5+2+1.5+1)*1.04</f>
        <v>5.2</v>
      </c>
      <c r="E14">
        <f>(0.25+0.5+0+0.5)*1.04</f>
        <v>1.3</v>
      </c>
    </row>
    <row r="15" spans="1:13" ht="10.5" customHeight="1" x14ac:dyDescent="0.2">
      <c r="A15" t="s">
        <v>31</v>
      </c>
      <c r="B15">
        <f>(0+0+0+0)*1.04</f>
        <v>0</v>
      </c>
      <c r="C15">
        <f>(0.5+0.5+0+0)*1.04</f>
        <v>1.04</v>
      </c>
      <c r="D15">
        <f>(0+0+0+0.25)*1.04</f>
        <v>0.26</v>
      </c>
      <c r="E15">
        <f>(0+0+0.5+0.5)*1.04</f>
        <v>1.04</v>
      </c>
      <c r="G15" s="14">
        <f>(1+0.5+0.5)*1.04</f>
        <v>2.08</v>
      </c>
    </row>
    <row r="16" spans="1:13" ht="10.5" customHeight="1" x14ac:dyDescent="0.2">
      <c r="A16" t="s">
        <v>32</v>
      </c>
      <c r="B16">
        <f>(3.25+12+6.5+4.5)*1.04</f>
        <v>27.3</v>
      </c>
      <c r="C16">
        <f>(5.5+8.5+15.5+3.5)*1.04</f>
        <v>34.32</v>
      </c>
      <c r="D16">
        <f>(0+1.75+1.75+0.25)*1.04</f>
        <v>3.9000000000000004</v>
      </c>
      <c r="E16">
        <f>(5+4.25+3+2.5)*1.04</f>
        <v>15.34</v>
      </c>
      <c r="I16" s="21"/>
      <c r="J16">
        <f>(1.5+2+1)*1.04</f>
        <v>4.68</v>
      </c>
    </row>
    <row r="17" spans="1:12" ht="10.5" customHeight="1" x14ac:dyDescent="0.2">
      <c r="A17" t="s">
        <v>33</v>
      </c>
      <c r="B17">
        <f>(1.5+0.5+1.75+0.75)*1.04</f>
        <v>4.68</v>
      </c>
      <c r="C17">
        <f>(0+0.5+1+0)*1.04</f>
        <v>1.56</v>
      </c>
      <c r="D17">
        <f>(1+0+0.75+0.5)*1.04</f>
        <v>2.34</v>
      </c>
      <c r="E17">
        <f>(4+4+3+1.75)*1.04</f>
        <v>13.26</v>
      </c>
      <c r="L17" t="s">
        <v>107</v>
      </c>
    </row>
    <row r="18" spans="1:12" ht="10.5" customHeight="1" x14ac:dyDescent="0.2">
      <c r="A18" t="s">
        <v>34</v>
      </c>
      <c r="B18">
        <f>(0.5+0+0+1.5)*1.04</f>
        <v>2.08</v>
      </c>
      <c r="C18">
        <f>(1+0+1.25+1.5)*1.04</f>
        <v>3.9000000000000004</v>
      </c>
      <c r="D18">
        <f>(1.5+4+2)*1.04</f>
        <v>7.8000000000000007</v>
      </c>
      <c r="E18">
        <f>(0.5+0.5+7+3.5)*1.04</f>
        <v>11.96</v>
      </c>
      <c r="I18">
        <f>(12+7.25+6.5+6.5)*1.04</f>
        <v>33.54</v>
      </c>
      <c r="L18" t="s">
        <v>104</v>
      </c>
    </row>
    <row r="19" spans="1:12" ht="10.5" customHeight="1" x14ac:dyDescent="0.2">
      <c r="A19" t="s">
        <v>35</v>
      </c>
      <c r="B19">
        <f>(1.5+0+0.5+1.5)*1.04</f>
        <v>3.64</v>
      </c>
      <c r="C19">
        <f>(1+0+0+1)*1.04</f>
        <v>2.08</v>
      </c>
      <c r="D19">
        <f>(0+0.5+0+0)*1.04</f>
        <v>0.52</v>
      </c>
      <c r="E19">
        <f>(3+5.25+3.5+2)*1.04</f>
        <v>14.3</v>
      </c>
      <c r="I19">
        <f>(8+4+5)*1.04</f>
        <v>17.68</v>
      </c>
      <c r="L19" t="s">
        <v>102</v>
      </c>
    </row>
    <row r="20" spans="1:12" ht="10.5" customHeight="1" x14ac:dyDescent="0.2">
      <c r="A20" t="s">
        <v>36</v>
      </c>
      <c r="B20">
        <f>(2+2.5+1.25+2.25)*1.04</f>
        <v>8.32</v>
      </c>
      <c r="C20">
        <f>(2.25+1+0.75+1.5)*1.04</f>
        <v>5.7200000000000006</v>
      </c>
      <c r="D20">
        <f>(5.5+2.5+1.75+2.25)*1.04</f>
        <v>12.48</v>
      </c>
      <c r="E20">
        <f>(0+0+0.25+0)*1.04</f>
        <v>0.26</v>
      </c>
      <c r="H20">
        <f>(4.25+0.5+0.75+4)*1.04</f>
        <v>9.8800000000000008</v>
      </c>
    </row>
    <row r="21" spans="1:12" x14ac:dyDescent="0.2">
      <c r="A21" t="s">
        <v>37</v>
      </c>
      <c r="B21">
        <f>(2+0.5+2+2)*1.04</f>
        <v>6.76</v>
      </c>
      <c r="C21">
        <f>(0+0.5+0+1.25)*1.04</f>
        <v>1.82</v>
      </c>
      <c r="D21">
        <f>(0.5+0+0.5+0)*1.04</f>
        <v>1.04</v>
      </c>
      <c r="E21">
        <f>(0+0.75+0.5+0.5)*1.04</f>
        <v>1.82</v>
      </c>
    </row>
    <row r="22" spans="1:12" x14ac:dyDescent="0.2">
      <c r="A22" t="s">
        <v>38</v>
      </c>
      <c r="B22">
        <f>(3+1+0.5+2.5+0)*1.04</f>
        <v>7.28</v>
      </c>
      <c r="C22">
        <f>(0+0+0.5+0)*1.04</f>
        <v>0.52</v>
      </c>
      <c r="D22">
        <f>(0+0+0.5+0.25)*1.04</f>
        <v>0.78</v>
      </c>
      <c r="E22">
        <f>(0.25+0.5+0.75+0)*1.04</f>
        <v>1.56</v>
      </c>
    </row>
    <row r="23" spans="1:12" x14ac:dyDescent="0.2">
      <c r="A23" t="s">
        <v>39</v>
      </c>
      <c r="B23">
        <f>(2.5+1+3.5+2.5)*1.04</f>
        <v>9.8800000000000008</v>
      </c>
      <c r="C23">
        <f>(0.5+0+0.5+1.75)*1.04</f>
        <v>2.8600000000000003</v>
      </c>
      <c r="D23">
        <f>(7+2.5+2+7.25)*1.04</f>
        <v>19.5</v>
      </c>
      <c r="E23" s="20">
        <f>(2+1.5)*1.04</f>
        <v>3.64</v>
      </c>
      <c r="G23" s="14">
        <v>0</v>
      </c>
      <c r="H23">
        <f>(4+10+1+3)*1.04</f>
        <v>18.72</v>
      </c>
      <c r="I23">
        <f>(1+3.5+5+8)*1.04</f>
        <v>18.2</v>
      </c>
      <c r="L23" t="s">
        <v>92</v>
      </c>
    </row>
    <row r="24" spans="1:12" x14ac:dyDescent="0.2">
      <c r="A24" t="s">
        <v>40</v>
      </c>
      <c r="B24">
        <f>(3.5+9.5+0+0)*1.04</f>
        <v>13.52</v>
      </c>
      <c r="C24">
        <f>(8+12.5+17+6)*1.04</f>
        <v>45.24</v>
      </c>
      <c r="D24">
        <f>(0.5+0.5+1+0)*1.04</f>
        <v>2.08</v>
      </c>
      <c r="E24">
        <f>(1.25+2+1+0)*1.04</f>
        <v>4.42</v>
      </c>
    </row>
    <row r="25" spans="1:12" x14ac:dyDescent="0.2">
      <c r="A25" t="s">
        <v>63</v>
      </c>
      <c r="B25">
        <f>(1+2+0.5+1.5)*1.04</f>
        <v>5.2</v>
      </c>
      <c r="C25">
        <f>(2+1.25+2+1.5)*1.04</f>
        <v>7.0200000000000005</v>
      </c>
      <c r="D25">
        <f>(0+1+0.75+1)*1.04</f>
        <v>2.8600000000000003</v>
      </c>
      <c r="E25">
        <f>(0.5+0.75+1.25+1)*1.04</f>
        <v>3.64</v>
      </c>
    </row>
    <row r="26" spans="1:12" x14ac:dyDescent="0.2">
      <c r="A26" t="s">
        <v>62</v>
      </c>
      <c r="B26">
        <f>(2.25+0.5+1+2)*1.04</f>
        <v>5.98</v>
      </c>
      <c r="C26">
        <f>(3+1+2+0.5)*1.04</f>
        <v>6.76</v>
      </c>
      <c r="D26">
        <f>(2+0+0+1.5)*1.04</f>
        <v>3.64</v>
      </c>
      <c r="E26">
        <f>(0.5+0.75+0.25+0.75)*1.04</f>
        <v>2.34</v>
      </c>
    </row>
    <row r="27" spans="1:12" ht="10.35" customHeight="1" x14ac:dyDescent="0.2">
      <c r="A27" t="s">
        <v>61</v>
      </c>
      <c r="B27">
        <f>(3.75+1.25+2.5+1.5)*1.04</f>
        <v>9.36</v>
      </c>
      <c r="C27">
        <f>(1+1+2.5+2)*1.04</f>
        <v>6.76</v>
      </c>
      <c r="D27">
        <f>(0.5+0.5+1+0)*1.04</f>
        <v>2.08</v>
      </c>
      <c r="E27">
        <f>(1.5+2+5+4.25)*1.04</f>
        <v>13.26</v>
      </c>
    </row>
    <row r="28" spans="1:12" x14ac:dyDescent="0.2">
      <c r="A28" t="s">
        <v>60</v>
      </c>
      <c r="B28">
        <f>(1+1.5+0.5+2.5)*1.04</f>
        <v>5.7200000000000006</v>
      </c>
      <c r="C28">
        <f>(3+1.5+0+1)*1.04</f>
        <v>5.7200000000000006</v>
      </c>
      <c r="D28">
        <f>(0.5+8+3+0)*1.04</f>
        <v>11.96</v>
      </c>
      <c r="E28">
        <f>(0.5+0.5+0.5+0.5)*1.04</f>
        <v>2.08</v>
      </c>
    </row>
    <row r="29" spans="1:12" x14ac:dyDescent="0.2">
      <c r="A29" t="s">
        <v>59</v>
      </c>
      <c r="B29">
        <f>(8.5+10+0.25+0.5)*1.04</f>
        <v>20.02</v>
      </c>
      <c r="C29">
        <f>(1+0.5+0.5+0.5)*1.04</f>
        <v>2.6</v>
      </c>
      <c r="D29">
        <f>(12+17+9+3)*1.04</f>
        <v>42.64</v>
      </c>
      <c r="E29">
        <f>(4+1+2+3)*1.04</f>
        <v>10.4</v>
      </c>
      <c r="I29">
        <f>(1+1)*1.04</f>
        <v>2.08</v>
      </c>
    </row>
    <row r="30" spans="1:12" x14ac:dyDescent="0.2">
      <c r="A30" t="s">
        <v>58</v>
      </c>
      <c r="B30">
        <f>(9+9+3+10)*1.04</f>
        <v>32.24</v>
      </c>
      <c r="C30">
        <f>(2.5+4+0.5+2.5)*1.04</f>
        <v>9.8800000000000008</v>
      </c>
      <c r="D30">
        <f>(20+4+4+10)*1.04</f>
        <v>39.520000000000003</v>
      </c>
      <c r="E30">
        <f>(2.5+0.5+3.5+9)*1.04</f>
        <v>16.12</v>
      </c>
      <c r="G30" s="14">
        <f>(5+1)*1.04</f>
        <v>6.24</v>
      </c>
      <c r="H30">
        <f>(6+6)*1.04</f>
        <v>12.48</v>
      </c>
    </row>
    <row r="31" spans="1:12" x14ac:dyDescent="0.2">
      <c r="A31" t="s">
        <v>57</v>
      </c>
      <c r="B31">
        <f>(23.5+21.5+14+20)*1.04</f>
        <v>82.16</v>
      </c>
      <c r="C31">
        <f>(0.5+0.5+6.5+0.5)*1.04</f>
        <v>8.32</v>
      </c>
      <c r="D31">
        <f>(20.5+18+21+23)*1.04</f>
        <v>85.8</v>
      </c>
      <c r="E31">
        <f>(5+9+19+22)*1.04</f>
        <v>57.2</v>
      </c>
      <c r="J31">
        <f>(10+5+0)*1.04</f>
        <v>15.600000000000001</v>
      </c>
    </row>
    <row r="32" spans="1:12" ht="14.4" x14ac:dyDescent="0.3">
      <c r="A32" t="s">
        <v>56</v>
      </c>
      <c r="B32">
        <f>(5+0.5+0.5+5)*1.04</f>
        <v>11.440000000000001</v>
      </c>
      <c r="C32">
        <f>(6+0+0.5+8)*1.04</f>
        <v>15.08</v>
      </c>
      <c r="D32">
        <f>(9+9+8+7)*1.04</f>
        <v>34.32</v>
      </c>
      <c r="E32">
        <f>(1+0.25+0.25+1)*1.04</f>
        <v>2.6</v>
      </c>
      <c r="F32" s="12">
        <f t="shared" ref="F32:F51" si="0">AVERAGE(B32:E32)</f>
        <v>15.860000000000001</v>
      </c>
      <c r="H32">
        <f>(6)*1.04</f>
        <v>6.24</v>
      </c>
      <c r="I32">
        <f>(11+8)*1.04</f>
        <v>19.760000000000002</v>
      </c>
      <c r="K32" s="12">
        <f t="shared" ref="K32:K43" si="1">AVERAGE(G32:J32)</f>
        <v>13</v>
      </c>
    </row>
    <row r="33" spans="1:14" ht="14.4" x14ac:dyDescent="0.3">
      <c r="A33" s="18"/>
      <c r="F33" s="12" t="e">
        <f t="shared" si="0"/>
        <v>#DIV/0!</v>
      </c>
      <c r="K33" s="12" t="e">
        <f t="shared" si="1"/>
        <v>#DIV/0!</v>
      </c>
    </row>
    <row r="34" spans="1:14" ht="14.4" x14ac:dyDescent="0.3">
      <c r="A34" s="18"/>
      <c r="F34" s="12" t="e">
        <f t="shared" si="0"/>
        <v>#DIV/0!</v>
      </c>
      <c r="K34" s="12" t="e">
        <f t="shared" si="1"/>
        <v>#DIV/0!</v>
      </c>
    </row>
    <row r="35" spans="1:14" ht="14.4" x14ac:dyDescent="0.3">
      <c r="A35" t="s">
        <v>84</v>
      </c>
      <c r="B35">
        <f>(0+1+1.5+0.25)*1.04</f>
        <v>2.8600000000000003</v>
      </c>
      <c r="C35">
        <f>(18.5+2.5+3+9.5)*1.04</f>
        <v>34.840000000000003</v>
      </c>
      <c r="D35">
        <f>(0+0.5+0.5+0.25)*1.04</f>
        <v>1.3</v>
      </c>
      <c r="E35">
        <f>(7+12+11+6)*1.04</f>
        <v>37.44</v>
      </c>
      <c r="F35" s="12">
        <f t="shared" si="0"/>
        <v>19.11</v>
      </c>
      <c r="H35">
        <f>(7+8+5)*1.04</f>
        <v>20.8</v>
      </c>
      <c r="I35">
        <f>(5.5+1+8)*1.04</f>
        <v>15.08</v>
      </c>
      <c r="K35" s="12">
        <f t="shared" si="1"/>
        <v>17.940000000000001</v>
      </c>
    </row>
    <row r="36" spans="1:14" ht="14.4" x14ac:dyDescent="0.3">
      <c r="A36" t="s">
        <v>54</v>
      </c>
      <c r="B36">
        <f>(0.5+6+0+0.5)*1.04</f>
        <v>7.28</v>
      </c>
      <c r="C36">
        <f>(6.5+1+9+14)*1.04</f>
        <v>31.720000000000002</v>
      </c>
      <c r="D36">
        <f>(3+3+1+1)*1.04</f>
        <v>8.32</v>
      </c>
      <c r="E36">
        <f>(1+5+18+10)*1.04</f>
        <v>35.36</v>
      </c>
      <c r="F36" s="12">
        <f t="shared" si="0"/>
        <v>20.67</v>
      </c>
      <c r="I36">
        <f>(8)*1.04</f>
        <v>8.32</v>
      </c>
      <c r="K36" s="12">
        <f t="shared" si="1"/>
        <v>8.32</v>
      </c>
    </row>
    <row r="37" spans="1:14" ht="14.4" x14ac:dyDescent="0.3">
      <c r="A37" t="s">
        <v>53</v>
      </c>
      <c r="B37">
        <f>(5.5+12.5+10+5.5)*1.04</f>
        <v>34.840000000000003</v>
      </c>
      <c r="C37">
        <f>(0.5+0.5+0.5+0.5)*1.04</f>
        <v>2.08</v>
      </c>
      <c r="D37">
        <f>(20.5+17+10+10.5)*1.04</f>
        <v>60.32</v>
      </c>
      <c r="E37">
        <f>(0+0+1.5+1.5)*1.04</f>
        <v>3.12</v>
      </c>
      <c r="F37" s="12">
        <f t="shared" si="0"/>
        <v>25.090000000000003</v>
      </c>
      <c r="G37" s="14">
        <f>(2+1+3.5+8.5)*1.04</f>
        <v>15.600000000000001</v>
      </c>
      <c r="H37">
        <f>(12+11+5+2)*1.04</f>
        <v>31.200000000000003</v>
      </c>
      <c r="I37" s="18"/>
      <c r="J37">
        <f>(24+24+22.5+22.5)*1.04</f>
        <v>96.72</v>
      </c>
      <c r="K37" s="12">
        <f t="shared" si="1"/>
        <v>47.84</v>
      </c>
    </row>
    <row r="38" spans="1:14" ht="14.4" x14ac:dyDescent="0.3">
      <c r="A38" t="s">
        <v>52</v>
      </c>
      <c r="B38">
        <f>(0+0+0.5+5)*1.04</f>
        <v>5.7200000000000006</v>
      </c>
      <c r="C38">
        <f>(7+0.5+1.5+4)*1.04</f>
        <v>13.52</v>
      </c>
      <c r="D38">
        <f>(8+17+8+12)*1.04</f>
        <v>46.800000000000004</v>
      </c>
      <c r="E38">
        <f>(0.5+2.5+5+0)*1.04</f>
        <v>8.32</v>
      </c>
      <c r="F38" s="12">
        <f t="shared" si="0"/>
        <v>18.590000000000003</v>
      </c>
      <c r="G38" s="14">
        <v>0</v>
      </c>
      <c r="H38">
        <v>0</v>
      </c>
      <c r="I38">
        <f>(2+4.5+6)*1.04</f>
        <v>13</v>
      </c>
      <c r="J38">
        <f>(23+13+13+24)*1.04</f>
        <v>75.92</v>
      </c>
      <c r="K38" s="12">
        <f t="shared" si="1"/>
        <v>22.23</v>
      </c>
      <c r="N38" t="s">
        <v>80</v>
      </c>
    </row>
    <row r="39" spans="1:14" ht="14.4" x14ac:dyDescent="0.3">
      <c r="A39" t="s">
        <v>51</v>
      </c>
      <c r="B39">
        <f>(0.5+1.75+0+0)*1.04</f>
        <v>2.34</v>
      </c>
      <c r="C39">
        <f>(3.25+11+11.5+0.5)*1.04</f>
        <v>27.3</v>
      </c>
      <c r="D39">
        <f>(0.5+1.5+1.75+1)*1.04</f>
        <v>4.9400000000000004</v>
      </c>
      <c r="E39">
        <f>(0.25+0.5+1.5+2)*1.04</f>
        <v>4.42</v>
      </c>
      <c r="F39" s="12">
        <f t="shared" si="0"/>
        <v>9.75</v>
      </c>
      <c r="I39" s="18"/>
      <c r="K39" s="12" t="e">
        <f t="shared" si="1"/>
        <v>#DIV/0!</v>
      </c>
      <c r="N39" t="s">
        <v>77</v>
      </c>
    </row>
    <row r="40" spans="1:14" ht="14.4" x14ac:dyDescent="0.3">
      <c r="A40" t="s">
        <v>50</v>
      </c>
      <c r="B40">
        <f>(0.5+1.5+0+0.5)*1.04</f>
        <v>2.6</v>
      </c>
      <c r="C40">
        <f>(0+0+0.5+0)*1.04</f>
        <v>0.52</v>
      </c>
      <c r="D40">
        <f>(1.5+1+3+1)*1.04</f>
        <v>6.76</v>
      </c>
      <c r="E40">
        <f>(3+4+2+3.5)*1.04</f>
        <v>13</v>
      </c>
      <c r="F40" s="12">
        <f t="shared" si="0"/>
        <v>5.72</v>
      </c>
      <c r="G40" s="14">
        <v>0</v>
      </c>
      <c r="H40">
        <v>0</v>
      </c>
      <c r="I40">
        <v>0</v>
      </c>
      <c r="J40">
        <f>(10+2+2.5+7.5)*1.04</f>
        <v>22.880000000000003</v>
      </c>
      <c r="K40" s="12">
        <f t="shared" si="1"/>
        <v>5.7200000000000006</v>
      </c>
      <c r="N40" s="19"/>
    </row>
    <row r="41" spans="1:14" ht="14.4" x14ac:dyDescent="0.3">
      <c r="A41" t="s">
        <v>49</v>
      </c>
      <c r="B41">
        <f>(1.5+0+0.5+2.5)*1.04</f>
        <v>4.68</v>
      </c>
      <c r="C41">
        <f>(1+0+0.5+3)*1.04</f>
        <v>4.68</v>
      </c>
      <c r="D41">
        <f>(1+3+0.5+0)*1.04</f>
        <v>4.68</v>
      </c>
      <c r="E41">
        <f>(0.5+0+0+4.5)*1.04</f>
        <v>5.2</v>
      </c>
      <c r="F41" s="12">
        <f t="shared" si="0"/>
        <v>4.8099999999999996</v>
      </c>
      <c r="K41" s="12" t="e">
        <f t="shared" si="1"/>
        <v>#DIV/0!</v>
      </c>
    </row>
    <row r="42" spans="1:14" ht="14.4" x14ac:dyDescent="0.3">
      <c r="A42" t="s">
        <v>48</v>
      </c>
      <c r="B42">
        <f>(3+1.5+5.5+1.5)*1.04</f>
        <v>11.96</v>
      </c>
      <c r="C42">
        <f>(2.5+3+2.5+0)*1.04</f>
        <v>8.32</v>
      </c>
      <c r="D42">
        <f>(5+1+2+4)*1.04</f>
        <v>12.48</v>
      </c>
      <c r="E42" s="24">
        <f>(5+5.5+4.5+5)*1.04</f>
        <v>20.8</v>
      </c>
      <c r="F42" s="12">
        <f t="shared" si="0"/>
        <v>13.39</v>
      </c>
      <c r="K42" s="12" t="e">
        <f t="shared" si="1"/>
        <v>#DIV/0!</v>
      </c>
      <c r="L42" t="s">
        <v>68</v>
      </c>
      <c r="M42" s="17">
        <v>41807</v>
      </c>
      <c r="N42" t="s">
        <v>139</v>
      </c>
    </row>
    <row r="43" spans="1:14" ht="14.4" x14ac:dyDescent="0.3">
      <c r="A43" t="s">
        <v>1</v>
      </c>
      <c r="B43" s="12">
        <v>3.12</v>
      </c>
      <c r="C43" s="12">
        <v>3.38</v>
      </c>
      <c r="D43" s="12">
        <v>8.84</v>
      </c>
      <c r="E43" s="12">
        <v>4.16</v>
      </c>
      <c r="F43" s="12">
        <f t="shared" si="0"/>
        <v>4.875</v>
      </c>
      <c r="G43" s="16">
        <v>0</v>
      </c>
      <c r="H43" s="12">
        <v>0</v>
      </c>
      <c r="I43" s="12">
        <v>0</v>
      </c>
      <c r="J43" s="12">
        <v>0</v>
      </c>
      <c r="K43" s="12">
        <f t="shared" si="1"/>
        <v>0</v>
      </c>
      <c r="L43" s="3" t="s">
        <v>47</v>
      </c>
      <c r="M43" s="2">
        <v>41803</v>
      </c>
    </row>
    <row r="44" spans="1:14" ht="14.4" x14ac:dyDescent="0.3">
      <c r="A44" t="s">
        <v>2</v>
      </c>
      <c r="B44" s="12">
        <v>7.0200000000000005</v>
      </c>
      <c r="C44" s="12">
        <v>1.82</v>
      </c>
      <c r="D44" s="12">
        <v>30.16</v>
      </c>
      <c r="E44" s="12">
        <v>22.880000000000003</v>
      </c>
      <c r="F44" s="12">
        <f t="shared" si="0"/>
        <v>15.47</v>
      </c>
      <c r="G44" s="16">
        <v>0</v>
      </c>
      <c r="H44" s="12">
        <v>0</v>
      </c>
      <c r="I44" s="12">
        <v>16.64</v>
      </c>
      <c r="J44" s="12">
        <v>0</v>
      </c>
      <c r="K44" s="12">
        <f>AVERAGE(B44:E44)</f>
        <v>15.47</v>
      </c>
      <c r="L44" s="3" t="s">
        <v>47</v>
      </c>
      <c r="M44" s="2">
        <v>41803</v>
      </c>
    </row>
    <row r="45" spans="1:14" ht="14.4" x14ac:dyDescent="0.3">
      <c r="A45" t="s">
        <v>3</v>
      </c>
      <c r="B45" s="12">
        <v>2.6</v>
      </c>
      <c r="C45" s="12">
        <v>6.24</v>
      </c>
      <c r="D45" s="12">
        <v>4.68</v>
      </c>
      <c r="E45" s="12">
        <v>9.620000000000001</v>
      </c>
      <c r="F45" s="12">
        <f t="shared" si="0"/>
        <v>5.7850000000000001</v>
      </c>
      <c r="G45" s="16">
        <v>6.24</v>
      </c>
      <c r="H45" s="12">
        <v>0</v>
      </c>
      <c r="I45" s="12">
        <v>4.16</v>
      </c>
      <c r="J45" s="12">
        <v>0</v>
      </c>
      <c r="K45" s="12">
        <f t="shared" ref="K45:K51" si="2">AVERAGE(G45:J45)</f>
        <v>2.6</v>
      </c>
      <c r="L45" s="3" t="s">
        <v>47</v>
      </c>
      <c r="M45" s="2">
        <v>41803</v>
      </c>
    </row>
    <row r="46" spans="1:14" ht="14.4" x14ac:dyDescent="0.3">
      <c r="A46" t="s">
        <v>4</v>
      </c>
      <c r="B46" s="12">
        <v>3.12</v>
      </c>
      <c r="C46" s="12">
        <v>2.6</v>
      </c>
      <c r="D46" s="12">
        <v>2.08</v>
      </c>
      <c r="E46" s="12">
        <v>2.8600000000000003</v>
      </c>
      <c r="F46" s="12">
        <f t="shared" si="0"/>
        <v>2.665</v>
      </c>
      <c r="G46" s="16">
        <v>15.600000000000001</v>
      </c>
      <c r="H46" s="12">
        <v>1.04</v>
      </c>
      <c r="I46" s="12">
        <v>0</v>
      </c>
      <c r="J46" s="12">
        <v>0</v>
      </c>
      <c r="K46" s="12">
        <f t="shared" si="2"/>
        <v>4.16</v>
      </c>
      <c r="L46" s="3" t="s">
        <v>47</v>
      </c>
      <c r="M46" s="2">
        <v>41803</v>
      </c>
    </row>
    <row r="47" spans="1:14" ht="14.4" x14ac:dyDescent="0.3">
      <c r="A47" t="s">
        <v>5</v>
      </c>
      <c r="B47" s="12">
        <v>14.56</v>
      </c>
      <c r="C47" s="12">
        <v>11.96</v>
      </c>
      <c r="D47" s="12">
        <v>7.8000000000000007</v>
      </c>
      <c r="E47" s="12">
        <v>14.56</v>
      </c>
      <c r="F47" s="12">
        <f t="shared" si="0"/>
        <v>12.220000000000002</v>
      </c>
      <c r="G47" s="16">
        <v>8.32</v>
      </c>
      <c r="H47" s="12">
        <v>1.56</v>
      </c>
      <c r="I47" s="12">
        <v>0</v>
      </c>
      <c r="J47" s="12">
        <v>1.04</v>
      </c>
      <c r="K47" s="12">
        <f t="shared" si="2"/>
        <v>2.7300000000000004</v>
      </c>
      <c r="L47" s="3" t="s">
        <v>47</v>
      </c>
      <c r="M47" s="2">
        <v>41803</v>
      </c>
    </row>
    <row r="48" spans="1:14" ht="14.4" x14ac:dyDescent="0.3">
      <c r="A48" t="s">
        <v>6</v>
      </c>
      <c r="B48" s="12">
        <v>14.56</v>
      </c>
      <c r="C48" s="12">
        <v>16.12</v>
      </c>
      <c r="D48" s="12">
        <v>21.84</v>
      </c>
      <c r="E48" s="12">
        <v>4.9400000000000004</v>
      </c>
      <c r="F48" s="12">
        <f t="shared" si="0"/>
        <v>14.364999999999998</v>
      </c>
      <c r="G48" s="16">
        <f>(1+1+2+3)*1.04</f>
        <v>7.28</v>
      </c>
      <c r="H48" s="12">
        <f>(2)*1.04</f>
        <v>2.08</v>
      </c>
      <c r="I48" s="12">
        <v>0</v>
      </c>
      <c r="J48" s="12">
        <v>0</v>
      </c>
      <c r="K48" s="12">
        <f t="shared" si="2"/>
        <v>2.34</v>
      </c>
      <c r="L48" s="3" t="s">
        <v>47</v>
      </c>
      <c r="M48" s="2">
        <v>41803</v>
      </c>
    </row>
    <row r="49" spans="1:13" ht="14.4" x14ac:dyDescent="0.3">
      <c r="A49" t="s">
        <v>7</v>
      </c>
      <c r="B49" s="12">
        <v>9.36</v>
      </c>
      <c r="C49" s="12">
        <v>32.24</v>
      </c>
      <c r="D49" s="12">
        <v>2.08</v>
      </c>
      <c r="E49" s="12">
        <v>9.36</v>
      </c>
      <c r="F49" s="12">
        <f t="shared" si="0"/>
        <v>13.26</v>
      </c>
      <c r="G49" s="16">
        <f>(1)*1.04</f>
        <v>1.04</v>
      </c>
      <c r="H49" s="12">
        <v>0</v>
      </c>
      <c r="I49" s="12">
        <v>0</v>
      </c>
      <c r="J49" s="12">
        <v>0</v>
      </c>
      <c r="K49" s="12">
        <f t="shared" si="2"/>
        <v>0.26</v>
      </c>
      <c r="L49" s="3" t="s">
        <v>47</v>
      </c>
      <c r="M49" s="2">
        <v>41803</v>
      </c>
    </row>
    <row r="50" spans="1:13" ht="14.4" x14ac:dyDescent="0.3">
      <c r="A50" t="s">
        <v>8</v>
      </c>
      <c r="B50" s="12">
        <v>2.8600000000000003</v>
      </c>
      <c r="C50" s="12">
        <v>0</v>
      </c>
      <c r="D50" s="12">
        <v>10.4</v>
      </c>
      <c r="E50" s="12">
        <v>15.08</v>
      </c>
      <c r="F50" s="12">
        <f t="shared" si="0"/>
        <v>7.0850000000000009</v>
      </c>
      <c r="G50" s="16">
        <f>(1)*1.04</f>
        <v>1.04</v>
      </c>
      <c r="H50" s="12">
        <v>0</v>
      </c>
      <c r="I50" s="12">
        <v>0</v>
      </c>
      <c r="J50" s="12">
        <v>0</v>
      </c>
      <c r="K50" s="12">
        <f t="shared" si="2"/>
        <v>0.26</v>
      </c>
      <c r="L50" s="3" t="s">
        <v>47</v>
      </c>
      <c r="M50" s="2">
        <v>41803</v>
      </c>
    </row>
    <row r="51" spans="1:13" ht="14.4" x14ac:dyDescent="0.3">
      <c r="A51" t="s">
        <v>9</v>
      </c>
      <c r="B51" s="12">
        <v>0.26</v>
      </c>
      <c r="C51" s="12">
        <v>11.440000000000001</v>
      </c>
      <c r="D51" s="12">
        <v>3.12</v>
      </c>
      <c r="E51" s="12">
        <v>0</v>
      </c>
      <c r="F51" s="12">
        <f t="shared" si="0"/>
        <v>3.7050000000000001</v>
      </c>
      <c r="G51" s="16">
        <f>(4+15+6+0)*1.04</f>
        <v>26</v>
      </c>
      <c r="H51" s="12">
        <v>0</v>
      </c>
      <c r="I51" s="12">
        <v>0</v>
      </c>
      <c r="J51" s="12">
        <v>0</v>
      </c>
      <c r="K51" s="12">
        <f t="shared" si="2"/>
        <v>6.5</v>
      </c>
      <c r="L51" s="3" t="s">
        <v>47</v>
      </c>
      <c r="M51" s="2">
        <v>41803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144" zoomScaleNormal="144" workbookViewId="0">
      <pane ySplit="1" topLeftCell="A2" activePane="bottomLeft" state="frozen"/>
      <selection pane="bottomLeft" activeCell="B1" sqref="B1:K1048576"/>
    </sheetView>
  </sheetViews>
  <sheetFormatPr defaultRowHeight="10.199999999999999" x14ac:dyDescent="0.2"/>
  <cols>
    <col min="2" max="2" width="6.28515625" bestFit="1" customWidth="1"/>
    <col min="5" max="5" width="9.28515625" style="27"/>
    <col min="9" max="9" width="3.42578125" bestFit="1" customWidth="1"/>
  </cols>
  <sheetData>
    <row r="1" spans="1:11" ht="51.75" customHeight="1" x14ac:dyDescent="0.2">
      <c r="A1" s="30" t="s">
        <v>46</v>
      </c>
      <c r="B1" s="35" t="s">
        <v>153</v>
      </c>
      <c r="C1" s="35" t="s">
        <v>154</v>
      </c>
      <c r="D1" s="35" t="s">
        <v>155</v>
      </c>
      <c r="E1" s="35" t="s">
        <v>156</v>
      </c>
      <c r="F1" s="35" t="s">
        <v>157</v>
      </c>
      <c r="G1" s="35" t="s">
        <v>158</v>
      </c>
      <c r="H1" s="35" t="s">
        <v>159</v>
      </c>
      <c r="I1" s="35" t="s">
        <v>160</v>
      </c>
      <c r="J1" s="35" t="s">
        <v>161</v>
      </c>
      <c r="K1" s="36" t="s">
        <v>162</v>
      </c>
    </row>
    <row r="2" spans="1:11" x14ac:dyDescent="0.2">
      <c r="A2" s="37" t="s">
        <v>9</v>
      </c>
      <c r="B2" s="31">
        <v>0</v>
      </c>
      <c r="C2" s="31">
        <v>0</v>
      </c>
      <c r="D2" s="31">
        <v>0</v>
      </c>
      <c r="E2" s="31">
        <v>0</v>
      </c>
      <c r="F2" s="31">
        <f>SUM(B2:E2)</f>
        <v>0</v>
      </c>
      <c r="G2" s="31">
        <v>0</v>
      </c>
      <c r="H2" s="31">
        <v>0</v>
      </c>
      <c r="I2" s="31">
        <v>3</v>
      </c>
      <c r="J2" s="31">
        <v>0</v>
      </c>
      <c r="K2" s="31">
        <f>SUM(G2:J2)</f>
        <v>3</v>
      </c>
    </row>
    <row r="3" spans="1:11" x14ac:dyDescent="0.2">
      <c r="A3" s="37" t="s">
        <v>8</v>
      </c>
      <c r="B3" s="31">
        <v>0</v>
      </c>
      <c r="C3" s="31">
        <v>2</v>
      </c>
      <c r="D3" s="31">
        <v>0</v>
      </c>
      <c r="E3" s="31">
        <v>0</v>
      </c>
      <c r="F3" s="31">
        <f>SUM(B3:E3)</f>
        <v>2</v>
      </c>
      <c r="G3" s="31">
        <v>0</v>
      </c>
      <c r="H3" s="31">
        <v>0</v>
      </c>
      <c r="I3" s="31">
        <v>0</v>
      </c>
      <c r="J3" s="31">
        <v>0</v>
      </c>
      <c r="K3" s="31">
        <f t="shared" ref="K3:K49" si="0">SUM(G3:J3)</f>
        <v>0</v>
      </c>
    </row>
    <row r="4" spans="1:11" x14ac:dyDescent="0.2">
      <c r="A4" s="37" t="s">
        <v>7</v>
      </c>
      <c r="B4" s="31">
        <v>0</v>
      </c>
      <c r="C4" s="31">
        <v>43</v>
      </c>
      <c r="D4" s="31">
        <v>0</v>
      </c>
      <c r="E4" s="31">
        <v>0</v>
      </c>
      <c r="F4" s="31">
        <f t="shared" ref="F4:F49" si="1">SUM(B4:E4)</f>
        <v>43</v>
      </c>
      <c r="G4" s="31">
        <v>0</v>
      </c>
      <c r="H4" s="31">
        <v>0</v>
      </c>
      <c r="I4" s="31">
        <v>8</v>
      </c>
      <c r="J4" s="31">
        <v>0</v>
      </c>
      <c r="K4" s="31">
        <f t="shared" si="0"/>
        <v>8</v>
      </c>
    </row>
    <row r="5" spans="1:11" x14ac:dyDescent="0.2">
      <c r="A5" s="37" t="s">
        <v>6</v>
      </c>
      <c r="B5" s="31">
        <v>0</v>
      </c>
      <c r="C5" s="31">
        <v>87</v>
      </c>
      <c r="D5" s="32">
        <v>20</v>
      </c>
      <c r="E5" s="31">
        <v>0</v>
      </c>
      <c r="F5" s="31">
        <f t="shared" si="1"/>
        <v>107</v>
      </c>
      <c r="G5" s="31">
        <v>0</v>
      </c>
      <c r="H5" s="31">
        <v>0</v>
      </c>
      <c r="I5" s="31">
        <v>0</v>
      </c>
      <c r="J5" s="31">
        <v>0</v>
      </c>
      <c r="K5" s="31">
        <f t="shared" si="0"/>
        <v>0</v>
      </c>
    </row>
    <row r="6" spans="1:11" x14ac:dyDescent="0.2">
      <c r="A6" s="37" t="s">
        <v>5</v>
      </c>
      <c r="B6" s="31">
        <v>0</v>
      </c>
      <c r="C6" s="31">
        <v>0</v>
      </c>
      <c r="D6" s="31">
        <v>0</v>
      </c>
      <c r="E6" s="31">
        <v>0</v>
      </c>
      <c r="F6" s="31">
        <f t="shared" si="1"/>
        <v>0</v>
      </c>
      <c r="G6" s="31">
        <v>0</v>
      </c>
      <c r="H6" s="31">
        <v>0</v>
      </c>
      <c r="I6" s="31">
        <v>8</v>
      </c>
      <c r="J6" s="31">
        <v>15</v>
      </c>
      <c r="K6" s="31">
        <f t="shared" si="0"/>
        <v>23</v>
      </c>
    </row>
    <row r="7" spans="1:11" x14ac:dyDescent="0.2">
      <c r="A7" s="37" t="s">
        <v>4</v>
      </c>
      <c r="B7" s="31">
        <v>0</v>
      </c>
      <c r="C7" s="31">
        <v>29</v>
      </c>
      <c r="D7" s="32">
        <v>10</v>
      </c>
      <c r="E7" s="31">
        <v>0</v>
      </c>
      <c r="F7" s="31">
        <f t="shared" si="1"/>
        <v>39</v>
      </c>
      <c r="G7" s="31">
        <v>0</v>
      </c>
      <c r="H7" s="31">
        <v>0</v>
      </c>
      <c r="I7" s="31">
        <v>0</v>
      </c>
      <c r="J7" s="31">
        <v>0</v>
      </c>
      <c r="K7" s="31">
        <f t="shared" si="0"/>
        <v>0</v>
      </c>
    </row>
    <row r="8" spans="1:11" x14ac:dyDescent="0.2">
      <c r="A8" s="37" t="s">
        <v>3</v>
      </c>
      <c r="B8" s="31">
        <v>0</v>
      </c>
      <c r="C8" s="31">
        <v>29</v>
      </c>
      <c r="D8" s="31">
        <v>0</v>
      </c>
      <c r="E8" s="31">
        <v>0</v>
      </c>
      <c r="F8" s="31">
        <f t="shared" si="1"/>
        <v>29</v>
      </c>
      <c r="G8" s="31">
        <v>0</v>
      </c>
      <c r="H8" s="31">
        <v>0</v>
      </c>
      <c r="I8" s="31">
        <v>16</v>
      </c>
      <c r="J8" s="31">
        <v>4</v>
      </c>
      <c r="K8" s="31">
        <f t="shared" si="0"/>
        <v>20</v>
      </c>
    </row>
    <row r="9" spans="1:11" x14ac:dyDescent="0.2">
      <c r="A9" s="37" t="s">
        <v>2</v>
      </c>
      <c r="B9" s="31">
        <v>0</v>
      </c>
      <c r="C9" s="31">
        <v>24</v>
      </c>
      <c r="D9" s="31">
        <v>0</v>
      </c>
      <c r="E9" s="31">
        <v>0</v>
      </c>
      <c r="F9" s="31">
        <f t="shared" si="1"/>
        <v>24</v>
      </c>
      <c r="G9" s="31">
        <v>0</v>
      </c>
      <c r="H9" s="31">
        <v>0</v>
      </c>
      <c r="I9" s="31">
        <v>13</v>
      </c>
      <c r="J9" s="31">
        <v>0</v>
      </c>
      <c r="K9" s="31">
        <f t="shared" si="0"/>
        <v>13</v>
      </c>
    </row>
    <row r="10" spans="1:11" x14ac:dyDescent="0.2">
      <c r="A10" s="37" t="s">
        <v>1</v>
      </c>
      <c r="B10" s="31">
        <v>0</v>
      </c>
      <c r="C10" s="31">
        <v>58</v>
      </c>
      <c r="D10" s="31">
        <v>7</v>
      </c>
      <c r="E10" s="31">
        <v>0</v>
      </c>
      <c r="F10" s="31">
        <f t="shared" si="1"/>
        <v>65</v>
      </c>
      <c r="G10" s="31">
        <v>0</v>
      </c>
      <c r="H10" s="31">
        <v>0</v>
      </c>
      <c r="I10" s="31">
        <v>12</v>
      </c>
      <c r="J10" s="31">
        <v>0</v>
      </c>
      <c r="K10" s="31">
        <f t="shared" si="0"/>
        <v>12</v>
      </c>
    </row>
    <row r="11" spans="1:11" x14ac:dyDescent="0.2">
      <c r="A11" s="31" t="s">
        <v>48</v>
      </c>
      <c r="B11" s="31">
        <v>0</v>
      </c>
      <c r="C11" s="31">
        <v>12</v>
      </c>
      <c r="D11" s="31">
        <v>3</v>
      </c>
      <c r="E11" s="31">
        <v>0</v>
      </c>
      <c r="F11" s="31">
        <f t="shared" si="1"/>
        <v>15</v>
      </c>
      <c r="G11" s="31">
        <v>0</v>
      </c>
      <c r="H11" s="31">
        <v>0</v>
      </c>
      <c r="I11" s="31">
        <v>0</v>
      </c>
      <c r="J11" s="31">
        <v>0</v>
      </c>
      <c r="K11" s="31">
        <f t="shared" si="0"/>
        <v>0</v>
      </c>
    </row>
    <row r="12" spans="1:11" x14ac:dyDescent="0.2">
      <c r="A12" s="31" t="s">
        <v>49</v>
      </c>
      <c r="B12" s="31">
        <v>0</v>
      </c>
      <c r="C12" s="31">
        <v>57</v>
      </c>
      <c r="D12" s="31">
        <v>31</v>
      </c>
      <c r="E12" s="31">
        <v>0</v>
      </c>
      <c r="F12" s="31">
        <f t="shared" si="1"/>
        <v>88</v>
      </c>
      <c r="G12" s="31">
        <v>0</v>
      </c>
      <c r="H12" s="31">
        <v>0</v>
      </c>
      <c r="I12" s="31">
        <v>0</v>
      </c>
      <c r="J12" s="31">
        <v>0</v>
      </c>
      <c r="K12" s="31">
        <f t="shared" si="0"/>
        <v>0</v>
      </c>
    </row>
    <row r="13" spans="1:11" x14ac:dyDescent="0.2">
      <c r="A13" s="31" t="s">
        <v>50</v>
      </c>
      <c r="B13" s="31">
        <v>0</v>
      </c>
      <c r="C13" s="31">
        <v>10</v>
      </c>
      <c r="D13" s="31">
        <v>6</v>
      </c>
      <c r="E13" s="31">
        <v>0</v>
      </c>
      <c r="F13" s="31">
        <f t="shared" si="1"/>
        <v>16</v>
      </c>
      <c r="G13" s="31">
        <v>0</v>
      </c>
      <c r="H13" s="31">
        <v>0</v>
      </c>
      <c r="I13" s="31">
        <v>0</v>
      </c>
      <c r="J13" s="31">
        <v>0</v>
      </c>
      <c r="K13" s="31">
        <f t="shared" si="0"/>
        <v>0</v>
      </c>
    </row>
    <row r="14" spans="1:11" x14ac:dyDescent="0.2">
      <c r="A14" s="31" t="s">
        <v>51</v>
      </c>
      <c r="B14" s="31">
        <v>34</v>
      </c>
      <c r="C14" s="31">
        <v>57</v>
      </c>
      <c r="D14" s="31">
        <v>12</v>
      </c>
      <c r="E14" s="31">
        <v>0</v>
      </c>
      <c r="F14" s="31">
        <f t="shared" si="1"/>
        <v>103</v>
      </c>
      <c r="G14" s="31">
        <v>65</v>
      </c>
      <c r="H14" s="31">
        <v>0</v>
      </c>
      <c r="I14" s="31">
        <v>2</v>
      </c>
      <c r="J14" s="31">
        <v>0</v>
      </c>
      <c r="K14" s="31">
        <f t="shared" si="0"/>
        <v>67</v>
      </c>
    </row>
    <row r="15" spans="1:11" x14ac:dyDescent="0.2">
      <c r="A15" s="31" t="s">
        <v>52</v>
      </c>
      <c r="B15" s="31">
        <v>0</v>
      </c>
      <c r="C15" s="31">
        <v>87</v>
      </c>
      <c r="D15" s="31">
        <v>5</v>
      </c>
      <c r="E15" s="31">
        <v>0</v>
      </c>
      <c r="F15" s="31">
        <f t="shared" si="1"/>
        <v>92</v>
      </c>
      <c r="G15" s="31">
        <v>0</v>
      </c>
      <c r="H15" s="31">
        <v>0</v>
      </c>
      <c r="I15" s="31">
        <v>1</v>
      </c>
      <c r="J15" s="31">
        <v>0</v>
      </c>
      <c r="K15" s="31">
        <f t="shared" si="0"/>
        <v>1</v>
      </c>
    </row>
    <row r="16" spans="1:11" x14ac:dyDescent="0.2">
      <c r="A16" s="31" t="s">
        <v>53</v>
      </c>
      <c r="B16" s="31">
        <v>0</v>
      </c>
      <c r="C16" s="31">
        <v>179</v>
      </c>
      <c r="D16" s="31">
        <v>35</v>
      </c>
      <c r="E16" s="31">
        <v>0</v>
      </c>
      <c r="F16" s="31">
        <f t="shared" si="1"/>
        <v>214</v>
      </c>
      <c r="G16" s="31">
        <v>47</v>
      </c>
      <c r="H16" s="31">
        <v>0</v>
      </c>
      <c r="I16" s="31">
        <v>3</v>
      </c>
      <c r="J16" s="31">
        <v>0</v>
      </c>
      <c r="K16" s="31">
        <f t="shared" si="0"/>
        <v>50</v>
      </c>
    </row>
    <row r="17" spans="1:11" x14ac:dyDescent="0.2">
      <c r="A17" s="31" t="s">
        <v>54</v>
      </c>
      <c r="B17" s="31">
        <v>0</v>
      </c>
      <c r="C17" s="31">
        <v>110</v>
      </c>
      <c r="D17" s="31">
        <v>45</v>
      </c>
      <c r="E17" s="31">
        <v>0</v>
      </c>
      <c r="F17" s="31">
        <f t="shared" si="1"/>
        <v>155</v>
      </c>
      <c r="G17" s="31">
        <v>0</v>
      </c>
      <c r="H17" s="31">
        <v>0</v>
      </c>
      <c r="I17" s="31">
        <v>1</v>
      </c>
      <c r="J17" s="31">
        <v>0</v>
      </c>
      <c r="K17" s="31">
        <f t="shared" si="0"/>
        <v>1</v>
      </c>
    </row>
    <row r="18" spans="1:11" x14ac:dyDescent="0.2">
      <c r="A18" s="31" t="s">
        <v>55</v>
      </c>
      <c r="B18" s="31">
        <v>0</v>
      </c>
      <c r="C18" s="31">
        <v>63</v>
      </c>
      <c r="D18" s="31">
        <v>0</v>
      </c>
      <c r="E18" s="31">
        <v>0</v>
      </c>
      <c r="F18" s="31">
        <f t="shared" si="1"/>
        <v>63</v>
      </c>
      <c r="G18" s="31">
        <v>0</v>
      </c>
      <c r="H18" s="31">
        <v>0</v>
      </c>
      <c r="I18" s="31">
        <v>0</v>
      </c>
      <c r="J18" s="31">
        <v>0</v>
      </c>
      <c r="K18" s="31">
        <f t="shared" si="0"/>
        <v>0</v>
      </c>
    </row>
    <row r="19" spans="1:11" x14ac:dyDescent="0.2">
      <c r="A19" s="31" t="s">
        <v>56</v>
      </c>
      <c r="B19" s="31">
        <v>0</v>
      </c>
      <c r="C19" s="31">
        <v>28</v>
      </c>
      <c r="D19" s="31">
        <v>8</v>
      </c>
      <c r="E19" s="31">
        <v>0</v>
      </c>
      <c r="F19" s="31">
        <f t="shared" si="1"/>
        <v>36</v>
      </c>
      <c r="G19" s="31">
        <v>0</v>
      </c>
      <c r="H19" s="31">
        <v>0</v>
      </c>
      <c r="I19" s="31">
        <v>1</v>
      </c>
      <c r="J19" s="31">
        <v>0</v>
      </c>
      <c r="K19" s="31">
        <f t="shared" si="0"/>
        <v>1</v>
      </c>
    </row>
    <row r="20" spans="1:11" x14ac:dyDescent="0.2">
      <c r="A20" s="31" t="s">
        <v>57</v>
      </c>
      <c r="B20" s="31">
        <v>0</v>
      </c>
      <c r="C20" s="31">
        <v>95</v>
      </c>
      <c r="D20" s="31">
        <v>0</v>
      </c>
      <c r="E20" s="31">
        <v>0</v>
      </c>
      <c r="F20" s="31">
        <f t="shared" si="1"/>
        <v>95</v>
      </c>
      <c r="G20" s="31">
        <v>1</v>
      </c>
      <c r="H20" s="31">
        <v>0</v>
      </c>
      <c r="I20" s="31">
        <v>6</v>
      </c>
      <c r="J20" s="31">
        <v>4</v>
      </c>
      <c r="K20" s="31">
        <f t="shared" si="0"/>
        <v>11</v>
      </c>
    </row>
    <row r="21" spans="1:11" x14ac:dyDescent="0.2">
      <c r="A21" s="31" t="s">
        <v>58</v>
      </c>
      <c r="B21" s="31">
        <v>0</v>
      </c>
      <c r="C21" s="31">
        <v>60</v>
      </c>
      <c r="D21" s="31">
        <v>9</v>
      </c>
      <c r="E21" s="31">
        <v>0</v>
      </c>
      <c r="F21" s="31">
        <f t="shared" si="1"/>
        <v>69</v>
      </c>
      <c r="G21" s="31">
        <v>0</v>
      </c>
      <c r="H21" s="31">
        <v>0</v>
      </c>
      <c r="I21" s="31">
        <v>9</v>
      </c>
      <c r="J21" s="31">
        <v>30</v>
      </c>
      <c r="K21" s="31">
        <f t="shared" si="0"/>
        <v>39</v>
      </c>
    </row>
    <row r="22" spans="1:11" x14ac:dyDescent="0.2">
      <c r="A22" s="31" t="s">
        <v>59</v>
      </c>
      <c r="B22" s="31">
        <v>0</v>
      </c>
      <c r="C22" s="31">
        <v>74</v>
      </c>
      <c r="D22" s="31">
        <v>0</v>
      </c>
      <c r="E22" s="31">
        <v>0</v>
      </c>
      <c r="F22" s="31">
        <f t="shared" si="1"/>
        <v>74</v>
      </c>
      <c r="G22" s="31">
        <v>0</v>
      </c>
      <c r="H22" s="31">
        <v>0</v>
      </c>
      <c r="I22" s="31">
        <v>2</v>
      </c>
      <c r="J22" s="31">
        <v>4</v>
      </c>
      <c r="K22" s="31">
        <f t="shared" si="0"/>
        <v>6</v>
      </c>
    </row>
    <row r="23" spans="1:11" x14ac:dyDescent="0.2">
      <c r="A23" s="31" t="s">
        <v>60</v>
      </c>
      <c r="B23" s="31">
        <v>0</v>
      </c>
      <c r="C23" s="31">
        <v>103</v>
      </c>
      <c r="D23" s="31">
        <v>0</v>
      </c>
      <c r="E23" s="31">
        <v>0</v>
      </c>
      <c r="F23" s="31">
        <f t="shared" si="1"/>
        <v>103</v>
      </c>
      <c r="G23" s="31">
        <v>0</v>
      </c>
      <c r="H23" s="31">
        <v>0</v>
      </c>
      <c r="I23" s="31">
        <v>8</v>
      </c>
      <c r="J23" s="31">
        <v>0</v>
      </c>
      <c r="K23" s="31">
        <f t="shared" si="0"/>
        <v>8</v>
      </c>
    </row>
    <row r="24" spans="1:11" x14ac:dyDescent="0.2">
      <c r="A24" s="31" t="s">
        <v>61</v>
      </c>
      <c r="B24" s="31">
        <v>0</v>
      </c>
      <c r="C24" s="31"/>
      <c r="D24" s="31">
        <v>1</v>
      </c>
      <c r="E24" s="31">
        <v>0</v>
      </c>
      <c r="F24" s="31">
        <f t="shared" si="1"/>
        <v>1</v>
      </c>
      <c r="G24" s="31">
        <v>0</v>
      </c>
      <c r="H24" s="31">
        <v>0</v>
      </c>
      <c r="I24" s="31">
        <v>5</v>
      </c>
      <c r="J24" s="31">
        <v>0</v>
      </c>
      <c r="K24" s="31">
        <f t="shared" si="0"/>
        <v>5</v>
      </c>
    </row>
    <row r="25" spans="1:11" x14ac:dyDescent="0.2">
      <c r="A25" s="31" t="s">
        <v>62</v>
      </c>
      <c r="B25" s="31">
        <v>0</v>
      </c>
      <c r="C25" s="31">
        <v>0</v>
      </c>
      <c r="D25" s="31">
        <v>0</v>
      </c>
      <c r="E25" s="31">
        <v>0</v>
      </c>
      <c r="F25" s="31">
        <f t="shared" si="1"/>
        <v>0</v>
      </c>
      <c r="G25" s="31">
        <v>0</v>
      </c>
      <c r="H25" s="31">
        <v>0</v>
      </c>
      <c r="I25" s="31">
        <v>16</v>
      </c>
      <c r="J25" s="31">
        <v>10</v>
      </c>
      <c r="K25" s="31">
        <f t="shared" si="0"/>
        <v>26</v>
      </c>
    </row>
    <row r="26" spans="1:11" x14ac:dyDescent="0.2">
      <c r="A26" s="31" t="s">
        <v>63</v>
      </c>
      <c r="B26" s="31">
        <v>0</v>
      </c>
      <c r="C26" s="31">
        <v>0</v>
      </c>
      <c r="D26" s="31">
        <v>0</v>
      </c>
      <c r="E26" s="31">
        <v>0</v>
      </c>
      <c r="F26" s="31">
        <f t="shared" si="1"/>
        <v>0</v>
      </c>
      <c r="G26" s="31">
        <v>0</v>
      </c>
      <c r="H26" s="31">
        <v>0</v>
      </c>
      <c r="I26" s="31">
        <v>1</v>
      </c>
      <c r="J26" s="31">
        <v>0</v>
      </c>
      <c r="K26" s="31">
        <f t="shared" si="0"/>
        <v>1</v>
      </c>
    </row>
    <row r="27" spans="1:11" x14ac:dyDescent="0.2">
      <c r="A27" s="31" t="s">
        <v>40</v>
      </c>
      <c r="B27" s="31">
        <v>0</v>
      </c>
      <c r="C27" s="31">
        <v>0</v>
      </c>
      <c r="D27" s="31">
        <v>29</v>
      </c>
      <c r="E27" s="31">
        <v>0</v>
      </c>
      <c r="F27" s="31">
        <f t="shared" si="1"/>
        <v>29</v>
      </c>
      <c r="G27" s="31">
        <v>0</v>
      </c>
      <c r="H27" s="31">
        <v>0</v>
      </c>
      <c r="I27" s="31">
        <v>4</v>
      </c>
      <c r="J27" s="31">
        <v>3</v>
      </c>
      <c r="K27" s="31">
        <f t="shared" si="0"/>
        <v>7</v>
      </c>
    </row>
    <row r="28" spans="1:11" x14ac:dyDescent="0.2">
      <c r="A28" s="31" t="s">
        <v>39</v>
      </c>
      <c r="B28" s="31">
        <v>0</v>
      </c>
      <c r="C28" s="31">
        <v>117</v>
      </c>
      <c r="D28" s="31">
        <v>89</v>
      </c>
      <c r="E28" s="31">
        <v>0</v>
      </c>
      <c r="F28" s="31">
        <f t="shared" si="1"/>
        <v>206</v>
      </c>
      <c r="G28" s="31">
        <v>0</v>
      </c>
      <c r="H28" s="31">
        <v>0</v>
      </c>
      <c r="I28" s="31">
        <v>0</v>
      </c>
      <c r="J28" s="31">
        <v>0</v>
      </c>
      <c r="K28" s="31">
        <f t="shared" si="0"/>
        <v>0</v>
      </c>
    </row>
    <row r="29" spans="1:11" x14ac:dyDescent="0.2">
      <c r="A29" s="31" t="s">
        <v>38</v>
      </c>
      <c r="B29" s="31">
        <v>0</v>
      </c>
      <c r="C29" s="31">
        <v>0</v>
      </c>
      <c r="D29" s="31">
        <v>8</v>
      </c>
      <c r="E29" s="31">
        <v>0</v>
      </c>
      <c r="F29" s="31">
        <f t="shared" si="1"/>
        <v>8</v>
      </c>
      <c r="G29" s="31">
        <v>0</v>
      </c>
      <c r="H29" s="31">
        <v>0</v>
      </c>
      <c r="I29" s="31">
        <v>0</v>
      </c>
      <c r="J29" s="31">
        <v>0</v>
      </c>
      <c r="K29" s="31">
        <f t="shared" si="0"/>
        <v>0</v>
      </c>
    </row>
    <row r="30" spans="1:11" x14ac:dyDescent="0.2">
      <c r="A30" s="31" t="s">
        <v>37</v>
      </c>
      <c r="B30" s="31">
        <v>0</v>
      </c>
      <c r="C30" s="31">
        <v>7</v>
      </c>
      <c r="D30" s="31">
        <v>15</v>
      </c>
      <c r="E30" s="31">
        <v>0</v>
      </c>
      <c r="F30" s="31">
        <f t="shared" si="1"/>
        <v>22</v>
      </c>
      <c r="G30" s="31">
        <v>0</v>
      </c>
      <c r="H30" s="31">
        <v>0</v>
      </c>
      <c r="I30" s="31">
        <v>0</v>
      </c>
      <c r="J30" s="31">
        <v>0</v>
      </c>
      <c r="K30" s="31">
        <f t="shared" si="0"/>
        <v>0</v>
      </c>
    </row>
    <row r="31" spans="1:11" x14ac:dyDescent="0.2">
      <c r="A31" s="31" t="s">
        <v>36</v>
      </c>
      <c r="B31" s="31">
        <v>0</v>
      </c>
      <c r="C31" s="31">
        <v>35</v>
      </c>
      <c r="D31" s="31">
        <v>0</v>
      </c>
      <c r="E31" s="31">
        <v>0</v>
      </c>
      <c r="F31" s="31">
        <f t="shared" si="1"/>
        <v>35</v>
      </c>
      <c r="G31" s="31">
        <v>0</v>
      </c>
      <c r="H31" s="31">
        <v>0</v>
      </c>
      <c r="I31" s="31">
        <v>0</v>
      </c>
      <c r="J31" s="31">
        <v>0</v>
      </c>
      <c r="K31" s="31">
        <f t="shared" si="0"/>
        <v>0</v>
      </c>
    </row>
    <row r="32" spans="1:11" x14ac:dyDescent="0.2">
      <c r="A32" s="31" t="s">
        <v>35</v>
      </c>
      <c r="B32" s="31">
        <v>3</v>
      </c>
      <c r="C32" s="31">
        <v>131</v>
      </c>
      <c r="D32" s="31">
        <v>74</v>
      </c>
      <c r="E32" s="31">
        <v>0</v>
      </c>
      <c r="F32" s="31">
        <f t="shared" si="1"/>
        <v>208</v>
      </c>
      <c r="G32" s="31">
        <v>0</v>
      </c>
      <c r="H32" s="31">
        <v>0</v>
      </c>
      <c r="I32" s="31">
        <v>0</v>
      </c>
      <c r="J32" s="31">
        <v>0</v>
      </c>
      <c r="K32" s="31">
        <f t="shared" si="0"/>
        <v>0</v>
      </c>
    </row>
    <row r="33" spans="1:11" x14ac:dyDescent="0.2">
      <c r="A33" s="31" t="s">
        <v>34</v>
      </c>
      <c r="B33" s="31">
        <v>0</v>
      </c>
      <c r="C33" s="31">
        <v>22</v>
      </c>
      <c r="D33" s="31">
        <v>226</v>
      </c>
      <c r="E33" s="31">
        <v>0</v>
      </c>
      <c r="F33" s="31">
        <f t="shared" si="1"/>
        <v>248</v>
      </c>
      <c r="G33" s="31">
        <v>0</v>
      </c>
      <c r="H33" s="31">
        <v>0</v>
      </c>
      <c r="I33" s="31">
        <v>0</v>
      </c>
      <c r="J33" s="31">
        <v>0</v>
      </c>
      <c r="K33" s="31">
        <f t="shared" si="0"/>
        <v>0</v>
      </c>
    </row>
    <row r="34" spans="1:11" x14ac:dyDescent="0.2">
      <c r="A34" s="31" t="s">
        <v>33</v>
      </c>
      <c r="B34" s="31">
        <v>0</v>
      </c>
      <c r="C34" s="31">
        <v>68</v>
      </c>
      <c r="D34" s="31">
        <v>0</v>
      </c>
      <c r="E34" s="31">
        <v>0</v>
      </c>
      <c r="F34" s="31">
        <f t="shared" si="1"/>
        <v>68</v>
      </c>
      <c r="G34" s="31">
        <v>0</v>
      </c>
      <c r="H34" s="31">
        <v>0</v>
      </c>
      <c r="I34" s="31">
        <v>0</v>
      </c>
      <c r="J34" s="31">
        <v>0</v>
      </c>
      <c r="K34" s="31">
        <f t="shared" si="0"/>
        <v>0</v>
      </c>
    </row>
    <row r="35" spans="1:11" x14ac:dyDescent="0.2">
      <c r="A35" s="31" t="s">
        <v>32</v>
      </c>
      <c r="B35" s="31">
        <v>0</v>
      </c>
      <c r="C35" s="31">
        <v>0</v>
      </c>
      <c r="D35" s="31">
        <v>0</v>
      </c>
      <c r="E35" s="31">
        <v>0</v>
      </c>
      <c r="F35" s="31">
        <f t="shared" si="1"/>
        <v>0</v>
      </c>
      <c r="G35" s="31">
        <v>0</v>
      </c>
      <c r="H35" s="31">
        <v>0</v>
      </c>
      <c r="I35" s="31">
        <v>0</v>
      </c>
      <c r="J35" s="31">
        <v>0</v>
      </c>
      <c r="K35" s="31">
        <f t="shared" si="0"/>
        <v>0</v>
      </c>
    </row>
    <row r="36" spans="1:11" x14ac:dyDescent="0.2">
      <c r="A36" s="31" t="s">
        <v>31</v>
      </c>
      <c r="B36" s="31">
        <v>0</v>
      </c>
      <c r="C36" s="31">
        <v>17</v>
      </c>
      <c r="D36" s="31">
        <v>31</v>
      </c>
      <c r="E36" s="31">
        <v>0</v>
      </c>
      <c r="F36" s="31">
        <f t="shared" si="1"/>
        <v>48</v>
      </c>
      <c r="G36" s="31">
        <v>0</v>
      </c>
      <c r="H36" s="31">
        <v>0</v>
      </c>
      <c r="I36" s="31">
        <v>0</v>
      </c>
      <c r="J36" s="31">
        <v>0</v>
      </c>
      <c r="K36" s="31">
        <f t="shared" si="0"/>
        <v>0</v>
      </c>
    </row>
    <row r="37" spans="1:11" x14ac:dyDescent="0.2">
      <c r="A37" s="33" t="s">
        <v>30</v>
      </c>
      <c r="B37" s="31">
        <v>0</v>
      </c>
      <c r="C37" s="31">
        <v>18</v>
      </c>
      <c r="D37" s="31">
        <v>6</v>
      </c>
      <c r="E37" s="31">
        <v>0</v>
      </c>
      <c r="F37" s="31">
        <f t="shared" si="1"/>
        <v>24</v>
      </c>
      <c r="G37" s="31">
        <v>0</v>
      </c>
      <c r="H37" s="31">
        <v>0</v>
      </c>
      <c r="I37" s="31">
        <v>3</v>
      </c>
      <c r="J37" s="31">
        <v>0</v>
      </c>
      <c r="K37" s="31">
        <f t="shared" si="0"/>
        <v>3</v>
      </c>
    </row>
    <row r="38" spans="1:11" x14ac:dyDescent="0.2">
      <c r="A38" s="34" t="s">
        <v>29</v>
      </c>
      <c r="B38" s="31">
        <v>0</v>
      </c>
      <c r="C38" s="31">
        <v>15</v>
      </c>
      <c r="D38" s="31">
        <v>0</v>
      </c>
      <c r="E38" s="31">
        <v>0</v>
      </c>
      <c r="F38" s="31">
        <f t="shared" si="1"/>
        <v>15</v>
      </c>
      <c r="G38" s="31">
        <v>0</v>
      </c>
      <c r="H38" s="31">
        <v>0</v>
      </c>
      <c r="I38" s="31">
        <v>2</v>
      </c>
      <c r="J38" s="31">
        <v>0</v>
      </c>
      <c r="K38" s="31">
        <f t="shared" si="0"/>
        <v>2</v>
      </c>
    </row>
    <row r="39" spans="1:11" x14ac:dyDescent="0.2">
      <c r="A39" s="34" t="s">
        <v>27</v>
      </c>
      <c r="B39" s="31">
        <v>101</v>
      </c>
      <c r="C39" s="31">
        <v>0</v>
      </c>
      <c r="D39" s="31">
        <v>0</v>
      </c>
      <c r="E39" s="31">
        <v>0</v>
      </c>
      <c r="F39" s="31">
        <f t="shared" si="1"/>
        <v>101</v>
      </c>
      <c r="G39" s="31">
        <v>0</v>
      </c>
      <c r="H39" s="31">
        <v>9</v>
      </c>
      <c r="I39" s="31">
        <v>4</v>
      </c>
      <c r="J39" s="31">
        <v>0</v>
      </c>
      <c r="K39" s="31">
        <f t="shared" si="0"/>
        <v>13</v>
      </c>
    </row>
    <row r="40" spans="1:11" x14ac:dyDescent="0.2">
      <c r="A40" s="34" t="s">
        <v>26</v>
      </c>
      <c r="B40" s="31">
        <v>0</v>
      </c>
      <c r="C40" s="31">
        <v>0</v>
      </c>
      <c r="D40" s="31">
        <v>0</v>
      </c>
      <c r="E40" s="31">
        <v>0</v>
      </c>
      <c r="F40" s="31">
        <f t="shared" si="1"/>
        <v>0</v>
      </c>
      <c r="G40" s="31">
        <v>0</v>
      </c>
      <c r="H40" s="31">
        <v>0</v>
      </c>
      <c r="I40" s="31">
        <v>8</v>
      </c>
      <c r="J40" s="31">
        <v>0</v>
      </c>
      <c r="K40" s="31">
        <f t="shared" si="0"/>
        <v>8</v>
      </c>
    </row>
    <row r="41" spans="1:11" x14ac:dyDescent="0.2">
      <c r="A41" s="34" t="s">
        <v>23</v>
      </c>
      <c r="B41" s="31">
        <v>0</v>
      </c>
      <c r="C41" s="31">
        <v>43</v>
      </c>
      <c r="D41" s="31">
        <v>0</v>
      </c>
      <c r="E41" s="31">
        <v>0</v>
      </c>
      <c r="F41" s="31">
        <f t="shared" si="1"/>
        <v>43</v>
      </c>
      <c r="G41" s="31">
        <v>23</v>
      </c>
      <c r="H41" s="31">
        <v>0</v>
      </c>
      <c r="I41" s="31">
        <v>52</v>
      </c>
      <c r="J41" s="31">
        <v>5</v>
      </c>
      <c r="K41" s="31">
        <f t="shared" si="0"/>
        <v>80</v>
      </c>
    </row>
    <row r="42" spans="1:11" x14ac:dyDescent="0.2">
      <c r="A42" s="34" t="s">
        <v>21</v>
      </c>
      <c r="B42" s="31">
        <v>210</v>
      </c>
      <c r="C42" s="31">
        <v>5</v>
      </c>
      <c r="D42" s="31">
        <v>7</v>
      </c>
      <c r="E42" s="31">
        <v>0</v>
      </c>
      <c r="F42" s="31">
        <f t="shared" si="1"/>
        <v>222</v>
      </c>
      <c r="G42" s="31">
        <v>0</v>
      </c>
      <c r="H42" s="31">
        <v>10</v>
      </c>
      <c r="I42" s="31">
        <v>0</v>
      </c>
      <c r="J42" s="31">
        <v>0</v>
      </c>
      <c r="K42" s="31">
        <f t="shared" si="0"/>
        <v>10</v>
      </c>
    </row>
    <row r="43" spans="1:11" x14ac:dyDescent="0.2">
      <c r="A43" s="34" t="s">
        <v>20</v>
      </c>
      <c r="B43" s="31">
        <v>0</v>
      </c>
      <c r="C43" s="31">
        <v>54</v>
      </c>
      <c r="D43" s="31">
        <v>0</v>
      </c>
      <c r="E43" s="31">
        <v>0</v>
      </c>
      <c r="F43" s="31">
        <f t="shared" si="1"/>
        <v>54</v>
      </c>
      <c r="G43" s="31">
        <v>0</v>
      </c>
      <c r="H43" s="31">
        <v>0</v>
      </c>
      <c r="I43" s="31">
        <v>0</v>
      </c>
      <c r="J43" s="31">
        <v>0</v>
      </c>
      <c r="K43" s="31">
        <f t="shared" si="0"/>
        <v>0</v>
      </c>
    </row>
    <row r="44" spans="1:11" x14ac:dyDescent="0.2">
      <c r="A44" s="34" t="s">
        <v>18</v>
      </c>
      <c r="B44" s="31">
        <v>0</v>
      </c>
      <c r="C44" s="31">
        <v>2</v>
      </c>
      <c r="D44" s="31">
        <v>0</v>
      </c>
      <c r="E44" s="31">
        <v>0</v>
      </c>
      <c r="F44" s="31">
        <f t="shared" si="1"/>
        <v>2</v>
      </c>
      <c r="G44" s="31">
        <v>0</v>
      </c>
      <c r="H44" s="31">
        <v>0</v>
      </c>
      <c r="I44" s="31">
        <v>3</v>
      </c>
      <c r="J44" s="31">
        <v>0</v>
      </c>
      <c r="K44" s="31">
        <f t="shared" si="0"/>
        <v>3</v>
      </c>
    </row>
    <row r="45" spans="1:11" x14ac:dyDescent="0.2">
      <c r="A45" s="34" t="s">
        <v>16</v>
      </c>
      <c r="B45" s="31">
        <v>0</v>
      </c>
      <c r="C45" s="31">
        <v>36</v>
      </c>
      <c r="D45" s="31">
        <v>0</v>
      </c>
      <c r="E45" s="31">
        <v>0</v>
      </c>
      <c r="F45" s="31">
        <f t="shared" si="1"/>
        <v>36</v>
      </c>
      <c r="G45" s="31">
        <v>0</v>
      </c>
      <c r="H45" s="31">
        <v>0</v>
      </c>
      <c r="I45" s="31">
        <v>0</v>
      </c>
      <c r="J45" s="31">
        <v>0</v>
      </c>
      <c r="K45" s="31">
        <f t="shared" si="0"/>
        <v>0</v>
      </c>
    </row>
    <row r="46" spans="1:11" x14ac:dyDescent="0.2">
      <c r="A46" s="34" t="s">
        <v>15</v>
      </c>
      <c r="B46" s="31">
        <v>0</v>
      </c>
      <c r="C46" s="31">
        <v>2</v>
      </c>
      <c r="D46" s="31">
        <v>0</v>
      </c>
      <c r="E46" s="31">
        <v>0</v>
      </c>
      <c r="F46" s="31">
        <f t="shared" si="1"/>
        <v>2</v>
      </c>
      <c r="G46" s="31">
        <v>49</v>
      </c>
      <c r="H46" s="31">
        <v>0</v>
      </c>
      <c r="I46" s="31">
        <v>0</v>
      </c>
      <c r="J46" s="31">
        <v>0</v>
      </c>
      <c r="K46" s="31">
        <f t="shared" si="0"/>
        <v>49</v>
      </c>
    </row>
    <row r="47" spans="1:11" x14ac:dyDescent="0.2">
      <c r="A47" s="34" t="s">
        <v>14</v>
      </c>
      <c r="B47" s="31">
        <v>0</v>
      </c>
      <c r="C47" s="31">
        <v>9</v>
      </c>
      <c r="D47" s="31">
        <v>0</v>
      </c>
      <c r="E47" s="31">
        <v>0</v>
      </c>
      <c r="F47" s="31">
        <f t="shared" si="1"/>
        <v>9</v>
      </c>
      <c r="G47" s="31">
        <v>0</v>
      </c>
      <c r="H47" s="31">
        <v>0</v>
      </c>
      <c r="I47" s="31">
        <v>0</v>
      </c>
      <c r="J47" s="31">
        <v>0</v>
      </c>
      <c r="K47" s="31">
        <f t="shared" si="0"/>
        <v>0</v>
      </c>
    </row>
    <row r="48" spans="1:11" x14ac:dyDescent="0.2">
      <c r="A48" s="34" t="s">
        <v>13</v>
      </c>
      <c r="B48" s="31">
        <v>0</v>
      </c>
      <c r="C48" s="31">
        <v>7</v>
      </c>
      <c r="D48" s="31">
        <v>0</v>
      </c>
      <c r="E48" s="31">
        <v>0</v>
      </c>
      <c r="F48" s="31">
        <f t="shared" si="1"/>
        <v>7</v>
      </c>
      <c r="G48" s="31">
        <v>0</v>
      </c>
      <c r="H48" s="31">
        <v>0</v>
      </c>
      <c r="I48" s="31">
        <v>11</v>
      </c>
      <c r="J48" s="31">
        <v>0</v>
      </c>
      <c r="K48" s="31">
        <f t="shared" si="0"/>
        <v>11</v>
      </c>
    </row>
    <row r="49" spans="1:11" x14ac:dyDescent="0.2">
      <c r="A49" s="34" t="s">
        <v>11</v>
      </c>
      <c r="B49" s="31">
        <v>0</v>
      </c>
      <c r="C49" s="31">
        <v>3</v>
      </c>
      <c r="D49" s="31">
        <v>0</v>
      </c>
      <c r="E49" s="31">
        <v>0</v>
      </c>
      <c r="F49" s="31">
        <f t="shared" si="1"/>
        <v>3</v>
      </c>
      <c r="G49" s="31">
        <v>0</v>
      </c>
      <c r="H49" s="31">
        <v>0</v>
      </c>
      <c r="I49" s="31">
        <v>0</v>
      </c>
      <c r="J49" s="31">
        <v>0</v>
      </c>
      <c r="K49" s="31">
        <f t="shared" si="0"/>
        <v>0</v>
      </c>
    </row>
    <row r="50" spans="1:11" x14ac:dyDescent="0.2">
      <c r="B50" s="27"/>
    </row>
    <row r="51" spans="1:11" x14ac:dyDescent="0.2">
      <c r="B51" s="27"/>
    </row>
    <row r="56" spans="1:11" ht="22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Browsing_line_tramp</vt:lpstr>
      <vt:lpstr>Browsing_indicators (2)</vt:lpstr>
      <vt:lpstr>Canopy</vt:lpstr>
      <vt:lpstr>Dung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Elena,Cantarello</dc:creator>
  <cp:lastModifiedBy>Phil Martin</cp:lastModifiedBy>
  <dcterms:created xsi:type="dcterms:W3CDTF">2014-06-16T15:45:51Z</dcterms:created>
  <dcterms:modified xsi:type="dcterms:W3CDTF">2015-04-10T07:25:36Z</dcterms:modified>
</cp:coreProperties>
</file>