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C49" i="1"/>
  <c r="AG49" s="1"/>
  <c r="AB49"/>
  <c r="W49"/>
  <c r="V49"/>
  <c r="Q49"/>
  <c r="P49"/>
  <c r="E49"/>
  <c r="AG48"/>
  <c r="AC48"/>
  <c r="AB48"/>
  <c r="W48"/>
  <c r="V48"/>
  <c r="Q48"/>
  <c r="P48"/>
  <c r="E48"/>
  <c r="AC47"/>
  <c r="AG47" s="1"/>
  <c r="AB47"/>
  <c r="W47"/>
  <c r="V47"/>
  <c r="Q47"/>
  <c r="P47"/>
  <c r="E47"/>
  <c r="AD46"/>
  <c r="AC46"/>
  <c r="AG46" s="1"/>
  <c r="AB46"/>
  <c r="W46"/>
  <c r="V46"/>
  <c r="Q46"/>
  <c r="P46"/>
  <c r="E46"/>
  <c r="AG45"/>
  <c r="AB45"/>
  <c r="W45"/>
  <c r="V45"/>
  <c r="Q45"/>
  <c r="P45"/>
  <c r="E45"/>
  <c r="AG44"/>
  <c r="AB44"/>
  <c r="W44"/>
  <c r="V44"/>
  <c r="Q44"/>
  <c r="P44"/>
  <c r="E44"/>
  <c r="AG43"/>
  <c r="AB43"/>
  <c r="W43"/>
  <c r="V43"/>
  <c r="Q43"/>
  <c r="P43"/>
  <c r="AG42"/>
  <c r="AB42"/>
  <c r="W42"/>
  <c r="V42"/>
  <c r="Q42"/>
  <c r="P42"/>
  <c r="E42"/>
  <c r="AG41"/>
  <c r="AB41"/>
  <c r="W41"/>
  <c r="V41"/>
  <c r="Q41"/>
  <c r="P41"/>
  <c r="AA40"/>
  <c r="Z40"/>
  <c r="Y40"/>
  <c r="X40"/>
  <c r="AB40" s="1"/>
  <c r="W40"/>
  <c r="V40"/>
  <c r="Q40"/>
  <c r="P40"/>
  <c r="AA39"/>
  <c r="Z39"/>
  <c r="Y39"/>
  <c r="X39"/>
  <c r="AB39" s="1"/>
  <c r="W39"/>
  <c r="V39"/>
  <c r="Q39"/>
  <c r="P39"/>
  <c r="AF38"/>
  <c r="AG38" s="1"/>
  <c r="AA38"/>
  <c r="Z38"/>
  <c r="Y38"/>
  <c r="X38"/>
  <c r="AB38" s="1"/>
  <c r="W38"/>
  <c r="V38"/>
  <c r="Q38"/>
  <c r="P38"/>
  <c r="AA37"/>
  <c r="Z37"/>
  <c r="Y37"/>
  <c r="X37"/>
  <c r="AB37" s="1"/>
  <c r="W37"/>
  <c r="V37"/>
  <c r="Q37"/>
  <c r="P37"/>
  <c r="B37"/>
  <c r="AF36"/>
  <c r="AE36"/>
  <c r="AG36" s="1"/>
  <c r="AA36"/>
  <c r="Z36"/>
  <c r="Y36"/>
  <c r="X36"/>
  <c r="AB36" s="1"/>
  <c r="W36"/>
  <c r="V36"/>
  <c r="Q36"/>
  <c r="P36"/>
  <c r="AF35"/>
  <c r="AD35"/>
  <c r="AG35" s="1"/>
  <c r="AC35"/>
  <c r="AA35"/>
  <c r="Z35"/>
  <c r="Y35"/>
  <c r="X35"/>
  <c r="AB35" s="1"/>
  <c r="W35"/>
  <c r="V35"/>
  <c r="Q35"/>
  <c r="P35"/>
  <c r="D35"/>
  <c r="E35" s="1"/>
  <c r="C35"/>
  <c r="B35"/>
  <c r="AE34"/>
  <c r="AG34" s="1"/>
  <c r="AA34"/>
  <c r="Z34"/>
  <c r="Y34"/>
  <c r="X34"/>
  <c r="AB34" s="1"/>
  <c r="W34"/>
  <c r="V34"/>
  <c r="Q34"/>
  <c r="P34"/>
  <c r="D34"/>
  <c r="E34" s="1"/>
  <c r="C34"/>
  <c r="AE33"/>
  <c r="AD33"/>
  <c r="AG33" s="1"/>
  <c r="AA33"/>
  <c r="Z33"/>
  <c r="Y33"/>
  <c r="X33"/>
  <c r="AB33" s="1"/>
  <c r="W33"/>
  <c r="V33"/>
  <c r="Q33"/>
  <c r="P33"/>
  <c r="AE32"/>
  <c r="AD32"/>
  <c r="AG32" s="1"/>
  <c r="AA32"/>
  <c r="Z32"/>
  <c r="Y32"/>
  <c r="X32"/>
  <c r="AB32" s="1"/>
  <c r="W32"/>
  <c r="V32"/>
  <c r="Q32"/>
  <c r="P32"/>
  <c r="E32"/>
  <c r="C32"/>
  <c r="B32"/>
  <c r="AF31"/>
  <c r="AG31" s="1"/>
  <c r="AA31"/>
  <c r="Z31"/>
  <c r="Y31"/>
  <c r="X31"/>
  <c r="AB31" s="1"/>
  <c r="W31"/>
  <c r="V31"/>
  <c r="Q31"/>
  <c r="P31"/>
  <c r="B31"/>
  <c r="AD30"/>
  <c r="AC30"/>
  <c r="AG30" s="1"/>
  <c r="AA30"/>
  <c r="Z30"/>
  <c r="Y30"/>
  <c r="X30"/>
  <c r="AB30" s="1"/>
  <c r="W30"/>
  <c r="V30"/>
  <c r="Q30"/>
  <c r="P30"/>
  <c r="E30"/>
  <c r="B30"/>
  <c r="AG29"/>
  <c r="AE29"/>
  <c r="AA29"/>
  <c r="Z29"/>
  <c r="Y29"/>
  <c r="X29"/>
  <c r="AB29" s="1"/>
  <c r="W29"/>
  <c r="V29"/>
  <c r="Q29"/>
  <c r="P29"/>
  <c r="E29"/>
  <c r="B29"/>
  <c r="AA28"/>
  <c r="Z28"/>
  <c r="Y28"/>
  <c r="X28"/>
  <c r="AB28" s="1"/>
  <c r="W28"/>
  <c r="V28"/>
  <c r="Q28"/>
  <c r="P28"/>
  <c r="E28"/>
  <c r="AA27"/>
  <c r="Z27"/>
  <c r="Y27"/>
  <c r="X27"/>
  <c r="AB27" s="1"/>
  <c r="W27"/>
  <c r="V27"/>
  <c r="Q27"/>
  <c r="P27"/>
  <c r="AA26"/>
  <c r="Z26"/>
  <c r="Y26"/>
  <c r="X26"/>
  <c r="AB26" s="1"/>
  <c r="W26"/>
  <c r="V26"/>
  <c r="Q26"/>
  <c r="P26"/>
  <c r="AA25"/>
  <c r="Z25"/>
  <c r="Y25"/>
  <c r="X25"/>
  <c r="AB25" s="1"/>
  <c r="W25"/>
  <c r="V25"/>
  <c r="Q25"/>
  <c r="P25"/>
  <c r="E25"/>
  <c r="AA24"/>
  <c r="Z24"/>
  <c r="Y24"/>
  <c r="X24"/>
  <c r="AB24" s="1"/>
  <c r="W24"/>
  <c r="V24"/>
  <c r="Q24"/>
  <c r="P24"/>
  <c r="AE23"/>
  <c r="AD23"/>
  <c r="AG23" s="1"/>
  <c r="AA23"/>
  <c r="Z23"/>
  <c r="Y23"/>
  <c r="X23"/>
  <c r="AB23" s="1"/>
  <c r="W23"/>
  <c r="V23"/>
  <c r="Q23"/>
  <c r="P23"/>
  <c r="AA22"/>
  <c r="Z22"/>
  <c r="Y22"/>
  <c r="X22"/>
  <c r="AB22" s="1"/>
  <c r="W22"/>
  <c r="V22"/>
  <c r="Q22"/>
  <c r="P22"/>
  <c r="AA21"/>
  <c r="Z21"/>
  <c r="Y21"/>
  <c r="X21"/>
  <c r="AB21" s="1"/>
  <c r="W21"/>
  <c r="V21"/>
  <c r="Q21"/>
  <c r="P21"/>
  <c r="AG20"/>
  <c r="AD20"/>
  <c r="AA20"/>
  <c r="Z20"/>
  <c r="Y20"/>
  <c r="X20"/>
  <c r="AB20" s="1"/>
  <c r="W20"/>
  <c r="V20"/>
  <c r="Q20"/>
  <c r="P20"/>
  <c r="E20"/>
  <c r="AG19"/>
  <c r="AE19"/>
  <c r="AA19"/>
  <c r="Z19"/>
  <c r="Y19"/>
  <c r="X19"/>
  <c r="AB19" s="1"/>
  <c r="W19"/>
  <c r="V19"/>
  <c r="Q19"/>
  <c r="P19"/>
  <c r="AE18"/>
  <c r="AG18" s="1"/>
  <c r="AA18"/>
  <c r="Z18"/>
  <c r="Y18"/>
  <c r="X18"/>
  <c r="AB18" s="1"/>
  <c r="W18"/>
  <c r="V18"/>
  <c r="Q18"/>
  <c r="P18"/>
  <c r="E18"/>
  <c r="AA17"/>
  <c r="Z17"/>
  <c r="Y17"/>
  <c r="X17"/>
  <c r="AB17" s="1"/>
  <c r="W17"/>
  <c r="V17"/>
  <c r="Q17"/>
  <c r="P17"/>
  <c r="E17"/>
  <c r="B17"/>
  <c r="AG16"/>
  <c r="AF16"/>
  <c r="AA16"/>
  <c r="Z16"/>
  <c r="Y16"/>
  <c r="X16"/>
  <c r="AB16" s="1"/>
  <c r="W16"/>
  <c r="V16"/>
  <c r="Q16"/>
  <c r="P16"/>
  <c r="E16"/>
  <c r="B16"/>
  <c r="AG15"/>
  <c r="AC15"/>
  <c r="AA15"/>
  <c r="Z15"/>
  <c r="Y15"/>
  <c r="X15"/>
  <c r="AB15" s="1"/>
  <c r="W15"/>
  <c r="V15"/>
  <c r="Q15"/>
  <c r="P15"/>
  <c r="AA14"/>
  <c r="Z14"/>
  <c r="Y14"/>
  <c r="X14"/>
  <c r="AB14" s="1"/>
  <c r="W14"/>
  <c r="V14"/>
  <c r="Q14"/>
  <c r="P14"/>
  <c r="E14"/>
  <c r="C14"/>
  <c r="AA13"/>
  <c r="Z13"/>
  <c r="Y13"/>
  <c r="X13"/>
  <c r="AB13" s="1"/>
  <c r="W13"/>
  <c r="V13"/>
  <c r="Q13"/>
  <c r="P13"/>
  <c r="E13"/>
  <c r="AF12"/>
  <c r="AG12" s="1"/>
  <c r="AA12"/>
  <c r="Z12"/>
  <c r="Y12"/>
  <c r="X12"/>
  <c r="AB12" s="1"/>
  <c r="W12"/>
  <c r="V12"/>
  <c r="Q12"/>
  <c r="P12"/>
  <c r="E12"/>
  <c r="AA11"/>
  <c r="Z11"/>
  <c r="Y11"/>
  <c r="X11"/>
  <c r="AB11" s="1"/>
  <c r="W11"/>
  <c r="V11"/>
  <c r="Q11"/>
  <c r="P11"/>
  <c r="E11"/>
  <c r="B11"/>
  <c r="AA10"/>
  <c r="Z10"/>
  <c r="Y10"/>
  <c r="X10"/>
  <c r="AB10" s="1"/>
  <c r="W10"/>
  <c r="V10"/>
  <c r="Q10"/>
  <c r="P10"/>
  <c r="E10"/>
  <c r="AF9"/>
  <c r="AC9"/>
  <c r="AG9" s="1"/>
  <c r="AA9"/>
  <c r="Z9"/>
  <c r="Y9"/>
  <c r="X9"/>
  <c r="AB9" s="1"/>
  <c r="W9"/>
  <c r="V9"/>
  <c r="Q9"/>
  <c r="P9"/>
  <c r="E9"/>
  <c r="AG8"/>
  <c r="AE8"/>
  <c r="AA8"/>
  <c r="Z8"/>
  <c r="Y8"/>
  <c r="X8"/>
  <c r="AB8" s="1"/>
  <c r="W8"/>
  <c r="V8"/>
  <c r="Q8"/>
  <c r="P8"/>
  <c r="B8"/>
  <c r="AA7"/>
  <c r="Z7"/>
  <c r="Y7"/>
  <c r="X7"/>
  <c r="AB7" s="1"/>
  <c r="W7"/>
  <c r="V7"/>
  <c r="Q7"/>
  <c r="P7"/>
  <c r="E7"/>
  <c r="B7"/>
  <c r="AA6"/>
  <c r="Z6"/>
  <c r="Y6"/>
  <c r="X6"/>
  <c r="AB6" s="1"/>
  <c r="W6"/>
  <c r="V6"/>
  <c r="Q6"/>
  <c r="P6"/>
  <c r="E6"/>
  <c r="B6"/>
  <c r="AG5"/>
  <c r="AD5"/>
  <c r="AA5"/>
  <c r="Z5"/>
  <c r="Y5"/>
  <c r="X5"/>
  <c r="AB5" s="1"/>
  <c r="W5"/>
  <c r="V5"/>
  <c r="Q5"/>
  <c r="P5"/>
  <c r="E5"/>
  <c r="B5"/>
  <c r="AF4"/>
  <c r="AE4"/>
  <c r="AD4"/>
  <c r="AG4" s="1"/>
  <c r="AA4"/>
  <c r="Z4"/>
  <c r="Y4"/>
  <c r="X4"/>
  <c r="AB4" s="1"/>
  <c r="W4"/>
  <c r="V4"/>
  <c r="Q4"/>
  <c r="P4"/>
  <c r="E4"/>
  <c r="B4"/>
  <c r="AA3"/>
  <c r="Z3"/>
  <c r="Y3"/>
  <c r="X3"/>
  <c r="AB3" s="1"/>
  <c r="W3"/>
  <c r="V3"/>
  <c r="Q3"/>
  <c r="P3"/>
  <c r="E3"/>
  <c r="B3"/>
  <c r="AA2"/>
  <c r="Z2"/>
  <c r="Y2"/>
  <c r="X2"/>
  <c r="AB2" s="1"/>
  <c r="W2"/>
  <c r="V2"/>
  <c r="Q2"/>
  <c r="P2"/>
  <c r="E2"/>
</calcChain>
</file>

<file path=xl/sharedStrings.xml><?xml version="1.0" encoding="utf-8"?>
<sst xmlns="http://schemas.openxmlformats.org/spreadsheetml/2006/main" count="81" uniqueCount="81">
  <si>
    <t>QUADRAT</t>
  </si>
  <si>
    <t>Bramble (% leaves removed)</t>
  </si>
  <si>
    <t>Holly stems counted (seedlings and basal shoots)</t>
  </si>
  <si>
    <t>Holly (eaten)</t>
  </si>
  <si>
    <t>Holly browsed (%)</t>
  </si>
  <si>
    <t>Sward height SW (cm)</t>
  </si>
  <si>
    <t>Sward height SE (cm)</t>
  </si>
  <si>
    <t>Sward height NW (cm)</t>
  </si>
  <si>
    <t>Sward height NE (cm)</t>
  </si>
  <si>
    <t>Sward height middle (cm)</t>
  </si>
  <si>
    <t>Browseline</t>
  </si>
  <si>
    <t>CervusDung1</t>
  </si>
  <si>
    <t>CervusDung2</t>
  </si>
  <si>
    <t>CervusDung3</t>
  </si>
  <si>
    <t>CervusDung4</t>
  </si>
  <si>
    <t>Cervus DungTot</t>
  </si>
  <si>
    <t>CervDungPro</t>
  </si>
  <si>
    <t>Eqqus Dung1</t>
  </si>
  <si>
    <t>Eqqus Dung2</t>
  </si>
  <si>
    <t>Eqqus Dung3</t>
  </si>
  <si>
    <t>Eqqus Dung4</t>
  </si>
  <si>
    <t>Eqqus DungTot</t>
  </si>
  <si>
    <t>EqqDungPro</t>
  </si>
  <si>
    <t>Canopy ne</t>
  </si>
  <si>
    <t>Canopy nw</t>
  </si>
  <si>
    <t>Canopy se</t>
  </si>
  <si>
    <t>Canopy sw</t>
  </si>
  <si>
    <t>Canopy openness mean</t>
  </si>
  <si>
    <t>Understory holly cover ne</t>
  </si>
  <si>
    <t>Understory holly cover nw</t>
  </si>
  <si>
    <t>Understory holly cover se</t>
  </si>
  <si>
    <t>Understory holly cover sw</t>
  </si>
  <si>
    <t>Understory holly cover average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</si>
  <si>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</si>
  <si>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</si>
  <si>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</si>
  <si>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</si>
  <si>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</si>
  <si>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</si>
  <si>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</si>
  <si>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</si>
  <si>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</si>
  <si>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</si>
  <si>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</si>
  <si>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</si>
  <si>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</si>
  <si>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</si>
  <si>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</si>
  <si>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</si>
  <si>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</si>
  <si>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</si>
  <si>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</si>
  <si>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</si>
  <si>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</si>
  <si>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</si>
  <si>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</si>
  <si>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</si>
  <si>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</si>
  <si>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</si>
  <si>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</si>
  <si>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</si>
  <si>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</si>
  <si>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</si>
  <si>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</si>
  <si>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</si>
  <si>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</si>
  <si>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</si>
  <si>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</si>
  <si>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</si>
  <si>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</si>
  <si>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</si>
  <si>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</si>
  <si>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</si>
  <si>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</si>
  <si>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</si>
  <si>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</si>
  <si>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45-46</t>
  </si>
  <si>
    <t>46-47</t>
  </si>
  <si>
    <t>47-48</t>
  </si>
  <si>
    <t>48-49</t>
  </si>
  <si>
    <t>49-50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</si>
</sst>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MS Sans Serif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49" fontId="2" fillId="0" borderId="0" xfId="0" applyNumberFormat="1" applyFont="1" applyAlignment="1">
      <alignment horizontal="center" vertical="top" textRotation="180"/>
    </xf>
    <xf numFmtId="0" fontId="2" fillId="0" borderId="0" xfId="1" applyFont="1" applyFill="1" applyAlignment="1">
      <alignment horizontal="center" vertical="top" textRotation="180"/>
    </xf>
    <xf numFmtId="0" fontId="2" fillId="0" borderId="0" xfId="0" applyFont="1" applyFill="1" applyAlignment="1">
      <alignment horizontal="center" vertical="top" textRotation="180"/>
    </xf>
    <xf numFmtId="0" fontId="2" fillId="0" borderId="0" xfId="0" applyNumberFormat="1" applyFont="1" applyAlignment="1">
      <alignment horizontal="center" vertical="top" textRotation="180"/>
    </xf>
    <xf numFmtId="0" fontId="2" fillId="0" borderId="0" xfId="0" applyFont="1" applyAlignment="1">
      <alignment horizontal="center" vertical="top" textRotation="180"/>
    </xf>
    <xf numFmtId="0" fontId="4" fillId="0" borderId="0" xfId="0" applyFont="1"/>
    <xf numFmtId="0" fontId="4" fillId="0" borderId="0" xfId="0" applyFont="1" applyFill="1"/>
    <xf numFmtId="10" fontId="4" fillId="0" borderId="0" xfId="0" applyNumberFormat="1" applyFont="1"/>
    <xf numFmtId="0" fontId="5" fillId="0" borderId="0" xfId="2" applyFont="1" applyFill="1"/>
    <xf numFmtId="0" fontId="5" fillId="0" borderId="0" xfId="2" applyFont="1"/>
    <xf numFmtId="0" fontId="5" fillId="0" borderId="0" xfId="0" applyFont="1" applyFill="1"/>
    <xf numFmtId="0" fontId="4" fillId="0" borderId="0" xfId="2" applyFont="1"/>
    <xf numFmtId="0" fontId="6" fillId="0" borderId="0" xfId="0" applyFont="1"/>
    <xf numFmtId="0" fontId="6" fillId="0" borderId="0" xfId="0" applyFont="1" applyFill="1"/>
    <xf numFmtId="0" fontId="0" fillId="0" borderId="0" xfId="0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55"/>
  <sheetViews>
    <sheetView tabSelected="1" workbookViewId="0">
      <selection sqref="A1:XFD1048576"/>
    </sheetView>
  </sheetViews>
  <sheetFormatPr defaultRowHeight="15"/>
  <cols>
    <col min="2" max="2" width="7.140625" bestFit="1" customWidth="1"/>
    <col min="3" max="3" width="5.42578125" customWidth="1"/>
    <col min="4" max="4" width="4.5703125" customWidth="1"/>
    <col min="5" max="5" width="12.7109375" bestFit="1" customWidth="1"/>
    <col min="6" max="6" width="5.7109375" style="15" customWidth="1"/>
    <col min="7" max="7" width="5.7109375" customWidth="1"/>
    <col min="8" max="8" width="6" customWidth="1"/>
    <col min="9" max="9" width="5.5703125" customWidth="1"/>
    <col min="10" max="11" width="6" customWidth="1"/>
    <col min="12" max="12" width="5.42578125" bestFit="1" customWidth="1"/>
    <col min="20" max="20" width="3" bestFit="1" customWidth="1"/>
    <col min="23" max="23" width="6" customWidth="1"/>
    <col min="29" max="29" width="9.140625" style="15"/>
    <col min="32" max="32" width="8.140625" customWidth="1"/>
  </cols>
  <sheetData>
    <row r="1" spans="1:3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>
      <c r="A2" s="6" t="s">
        <v>33</v>
      </c>
      <c r="B2" s="6">
        <v>0</v>
      </c>
      <c r="C2" s="6">
        <v>2</v>
      </c>
      <c r="D2" s="6">
        <v>0</v>
      </c>
      <c r="E2" s="6">
        <f>(D2/C2)*100</f>
        <v>0</v>
      </c>
      <c r="F2" s="7">
        <v>120</v>
      </c>
      <c r="G2" s="6">
        <v>70</v>
      </c>
      <c r="H2" s="6">
        <v>40</v>
      </c>
      <c r="I2" s="6">
        <v>80</v>
      </c>
      <c r="J2" s="6">
        <v>80</v>
      </c>
      <c r="K2" s="6">
        <v>20</v>
      </c>
      <c r="L2" s="6">
        <v>0</v>
      </c>
      <c r="M2" s="6">
        <v>0</v>
      </c>
      <c r="N2" s="6">
        <v>0</v>
      </c>
      <c r="O2" s="6">
        <v>0</v>
      </c>
      <c r="P2" s="6">
        <f>SUM(L2:O2)</f>
        <v>0</v>
      </c>
      <c r="Q2" s="6">
        <f>L2+(0.75*M2)+(0.5*N2)+(0.25*O2)</f>
        <v>0</v>
      </c>
      <c r="R2" s="6">
        <v>0</v>
      </c>
      <c r="S2" s="6">
        <v>0</v>
      </c>
      <c r="T2" s="6">
        <v>3</v>
      </c>
      <c r="U2" s="6">
        <v>0</v>
      </c>
      <c r="V2" s="6">
        <f>SUM(R2:U2)</f>
        <v>3</v>
      </c>
      <c r="W2" s="6">
        <f>R2+(0.75*S2)+(0.5*T2)+(0.25*U2)</f>
        <v>1.5</v>
      </c>
      <c r="X2" s="6">
        <f>(2+3.5+14+3.5)*1.04</f>
        <v>23.92</v>
      </c>
      <c r="Y2" s="6">
        <f>(2+1.5+1+1)*1.04</f>
        <v>5.7200000000000006</v>
      </c>
      <c r="Z2" s="6">
        <f>(3.75+0+0.5+7.25)*1.04</f>
        <v>11.96</v>
      </c>
      <c r="AA2" s="6">
        <f>(0.5+1.5+3+0.5)*1.04</f>
        <v>5.7200000000000006</v>
      </c>
      <c r="AB2" s="6">
        <f t="shared" ref="AB2:AB49" si="0">AVERAGE(X2:AA2)</f>
        <v>11.83</v>
      </c>
      <c r="AC2" s="7">
        <v>0</v>
      </c>
      <c r="AD2" s="6">
        <v>0</v>
      </c>
      <c r="AE2" s="6">
        <v>0</v>
      </c>
      <c r="AF2" s="6">
        <v>0</v>
      </c>
      <c r="AG2" s="6">
        <v>0</v>
      </c>
    </row>
    <row r="3" spans="1:33">
      <c r="A3" s="6" t="s">
        <v>34</v>
      </c>
      <c r="B3" s="8">
        <f>4/21</f>
        <v>0.19047619047619047</v>
      </c>
      <c r="C3" s="6">
        <v>111</v>
      </c>
      <c r="D3" s="6">
        <v>99</v>
      </c>
      <c r="E3" s="6">
        <f>(D3/C3)*100</f>
        <v>89.189189189189193</v>
      </c>
      <c r="F3" s="7">
        <v>0</v>
      </c>
      <c r="G3" s="6">
        <v>40</v>
      </c>
      <c r="H3" s="6">
        <v>80</v>
      </c>
      <c r="I3" s="6">
        <v>100</v>
      </c>
      <c r="J3" s="6">
        <v>60</v>
      </c>
      <c r="K3" s="6">
        <v>31</v>
      </c>
      <c r="L3" s="6">
        <v>0</v>
      </c>
      <c r="M3" s="6">
        <v>2</v>
      </c>
      <c r="N3" s="6">
        <v>0</v>
      </c>
      <c r="O3" s="6">
        <v>0</v>
      </c>
      <c r="P3" s="6">
        <f>SUM(L3:O3)</f>
        <v>2</v>
      </c>
      <c r="Q3" s="6">
        <f t="shared" ref="Q3:Q49" si="1">L3+(0.75*M3)+(0.5*N3)+(0.25*O3)</f>
        <v>1.5</v>
      </c>
      <c r="R3" s="6">
        <v>0</v>
      </c>
      <c r="S3" s="6">
        <v>0</v>
      </c>
      <c r="T3" s="6">
        <v>0</v>
      </c>
      <c r="U3" s="6">
        <v>0</v>
      </c>
      <c r="V3" s="6">
        <f t="shared" ref="V3:V34" si="2">SUM(R3:U3)</f>
        <v>0</v>
      </c>
      <c r="W3" s="6">
        <f t="shared" ref="W3:W34" si="3">R3+(0.75*S3)+(0.5*T3)+(0.25*U3)</f>
        <v>0</v>
      </c>
      <c r="X3" s="6">
        <f>0.5*1.04</f>
        <v>0.52</v>
      </c>
      <c r="Y3" s="6">
        <f>(0+0.5+0.5+0.5)*1.04</f>
        <v>1.56</v>
      </c>
      <c r="Z3" s="6">
        <f>(6+0+2.75+0.5)*1.04</f>
        <v>9.620000000000001</v>
      </c>
      <c r="AA3" s="6">
        <f>(8.5+10+2.25+2)*1.04</f>
        <v>23.66</v>
      </c>
      <c r="AB3" s="6">
        <f t="shared" si="0"/>
        <v>8.84</v>
      </c>
      <c r="AC3" s="7">
        <v>0</v>
      </c>
      <c r="AD3" s="6">
        <v>0</v>
      </c>
      <c r="AE3" s="6">
        <v>0</v>
      </c>
      <c r="AF3" s="6">
        <v>0</v>
      </c>
      <c r="AG3" s="6">
        <v>0</v>
      </c>
    </row>
    <row r="4" spans="1:33">
      <c r="A4" s="6" t="s">
        <v>35</v>
      </c>
      <c r="B4" s="8">
        <f>70/189</f>
        <v>0.37037037037037035</v>
      </c>
      <c r="C4" s="6">
        <v>47</v>
      </c>
      <c r="D4" s="6">
        <v>32</v>
      </c>
      <c r="E4" s="6">
        <f t="shared" ref="E4:E49" si="4">(D4/C4)*100</f>
        <v>68.085106382978722</v>
      </c>
      <c r="F4" s="7">
        <v>80</v>
      </c>
      <c r="G4" s="6">
        <v>100</v>
      </c>
      <c r="H4" s="6">
        <v>0</v>
      </c>
      <c r="I4" s="6">
        <v>20</v>
      </c>
      <c r="J4" s="6">
        <v>80</v>
      </c>
      <c r="K4" s="6">
        <v>22</v>
      </c>
      <c r="L4" s="6">
        <v>0</v>
      </c>
      <c r="M4" s="6">
        <v>43</v>
      </c>
      <c r="N4" s="6">
        <v>0</v>
      </c>
      <c r="O4" s="6">
        <v>0</v>
      </c>
      <c r="P4" s="6">
        <f t="shared" ref="P4:P49" si="5">SUM(L4:O4)</f>
        <v>43</v>
      </c>
      <c r="Q4" s="6">
        <f t="shared" si="1"/>
        <v>32.25</v>
      </c>
      <c r="R4" s="6">
        <v>0</v>
      </c>
      <c r="S4" s="6">
        <v>0</v>
      </c>
      <c r="T4" s="6">
        <v>8</v>
      </c>
      <c r="U4" s="6">
        <v>0</v>
      </c>
      <c r="V4" s="6">
        <f t="shared" si="2"/>
        <v>8</v>
      </c>
      <c r="W4" s="6">
        <f t="shared" si="3"/>
        <v>4</v>
      </c>
      <c r="X4" s="6">
        <f>(3+13.5+6+15)*1.04</f>
        <v>39</v>
      </c>
      <c r="Y4" s="6">
        <f>(7+8.5+12+19)*1.04</f>
        <v>48.36</v>
      </c>
      <c r="Z4" s="6">
        <f>(0.5+6+6.5+0.5)*1.04</f>
        <v>14.040000000000001</v>
      </c>
      <c r="AA4" s="6">
        <f>(0.5+0.5+4+2)*1.04</f>
        <v>7.28</v>
      </c>
      <c r="AB4" s="6">
        <f t="shared" si="0"/>
        <v>27.17</v>
      </c>
      <c r="AC4" s="7">
        <v>0</v>
      </c>
      <c r="AD4" s="6">
        <f>(2+2+3.5+3)*1.04</f>
        <v>10.92</v>
      </c>
      <c r="AE4" s="6">
        <f>1.5*1.04</f>
        <v>1.56</v>
      </c>
      <c r="AF4" s="6">
        <f>(8+5+2+10)*1.04</f>
        <v>26</v>
      </c>
      <c r="AG4" s="6">
        <f t="shared" ref="AG4:AG49" si="6">AVERAGE(AC4:AF4)</f>
        <v>9.620000000000001</v>
      </c>
    </row>
    <row r="5" spans="1:33">
      <c r="A5" s="6" t="s">
        <v>36</v>
      </c>
      <c r="B5" s="8">
        <f>25/140</f>
        <v>0.17857142857142858</v>
      </c>
      <c r="C5" s="6">
        <v>7</v>
      </c>
      <c r="D5" s="6">
        <v>1</v>
      </c>
      <c r="E5" s="6">
        <f t="shared" si="4"/>
        <v>14.285714285714285</v>
      </c>
      <c r="F5" s="7">
        <v>100</v>
      </c>
      <c r="G5" s="6">
        <v>120</v>
      </c>
      <c r="H5" s="6">
        <v>30</v>
      </c>
      <c r="I5" s="6">
        <v>80</v>
      </c>
      <c r="J5" s="6">
        <v>50</v>
      </c>
      <c r="K5" s="6">
        <v>65</v>
      </c>
      <c r="L5" s="6">
        <v>0</v>
      </c>
      <c r="M5" s="6">
        <v>87</v>
      </c>
      <c r="N5" s="9">
        <v>20</v>
      </c>
      <c r="O5" s="6">
        <v>0</v>
      </c>
      <c r="P5" s="6">
        <f t="shared" si="5"/>
        <v>107</v>
      </c>
      <c r="Q5" s="6">
        <f t="shared" si="1"/>
        <v>75.25</v>
      </c>
      <c r="R5" s="6">
        <v>0</v>
      </c>
      <c r="S5" s="6">
        <v>0</v>
      </c>
      <c r="T5" s="6">
        <v>0</v>
      </c>
      <c r="U5" s="6">
        <v>0</v>
      </c>
      <c r="V5" s="6">
        <f t="shared" si="2"/>
        <v>0</v>
      </c>
      <c r="W5" s="6">
        <f t="shared" si="3"/>
        <v>0</v>
      </c>
      <c r="X5" s="6">
        <f>(4+2.5+2+2.5)*1.04</f>
        <v>11.440000000000001</v>
      </c>
      <c r="Y5" s="6">
        <f>(4+4.5+2.5+0.5)*1.04</f>
        <v>11.96</v>
      </c>
      <c r="Z5" s="6">
        <f>(0.75+6.5+4.25+4)*1.04</f>
        <v>16.12</v>
      </c>
      <c r="AA5" s="6">
        <f>(15.5+13.5+3.5+5)*1.04</f>
        <v>39</v>
      </c>
      <c r="AB5" s="6">
        <f t="shared" si="0"/>
        <v>19.630000000000003</v>
      </c>
      <c r="AC5" s="7">
        <v>0</v>
      </c>
      <c r="AD5" s="6">
        <f>(1+5.5+5+2)*1.04</f>
        <v>14.040000000000001</v>
      </c>
      <c r="AE5" s="6">
        <v>0</v>
      </c>
      <c r="AF5" s="6">
        <v>0</v>
      </c>
      <c r="AG5" s="6">
        <f t="shared" si="6"/>
        <v>3.5100000000000002</v>
      </c>
    </row>
    <row r="6" spans="1:33">
      <c r="A6" s="6" t="s">
        <v>37</v>
      </c>
      <c r="B6" s="8">
        <f>17/68</f>
        <v>0.25</v>
      </c>
      <c r="C6" s="6">
        <v>148</v>
      </c>
      <c r="D6" s="6">
        <v>95</v>
      </c>
      <c r="E6" s="6">
        <f t="shared" si="4"/>
        <v>64.189189189189193</v>
      </c>
      <c r="F6" s="7">
        <v>10</v>
      </c>
      <c r="G6" s="6">
        <v>50</v>
      </c>
      <c r="H6" s="6">
        <v>15</v>
      </c>
      <c r="I6" s="6">
        <v>0</v>
      </c>
      <c r="J6" s="6">
        <v>20</v>
      </c>
      <c r="K6" s="6">
        <v>53</v>
      </c>
      <c r="L6" s="6">
        <v>0</v>
      </c>
      <c r="M6" s="6">
        <v>0</v>
      </c>
      <c r="N6" s="6">
        <v>0</v>
      </c>
      <c r="O6" s="6">
        <v>0</v>
      </c>
      <c r="P6" s="6">
        <f t="shared" si="5"/>
        <v>0</v>
      </c>
      <c r="Q6" s="6">
        <f t="shared" si="1"/>
        <v>0</v>
      </c>
      <c r="R6" s="6">
        <v>0</v>
      </c>
      <c r="S6" s="6">
        <v>0</v>
      </c>
      <c r="T6" s="6">
        <v>8</v>
      </c>
      <c r="U6" s="6">
        <v>15</v>
      </c>
      <c r="V6" s="6">
        <f t="shared" si="2"/>
        <v>23</v>
      </c>
      <c r="W6" s="6">
        <f t="shared" si="3"/>
        <v>7.75</v>
      </c>
      <c r="X6" s="6">
        <f>(6+10+13+1.5)*1.04</f>
        <v>31.720000000000002</v>
      </c>
      <c r="Y6" s="6">
        <f>(12.5+10+8.25+6)*1.04</f>
        <v>38.22</v>
      </c>
      <c r="Z6" s="6">
        <f>(8.5+1.5+4.5+12.75)*1.04</f>
        <v>28.34</v>
      </c>
      <c r="AA6" s="6">
        <f>(14+8.5+3+12)*1.04</f>
        <v>39</v>
      </c>
      <c r="AB6" s="6">
        <f t="shared" si="0"/>
        <v>34.32</v>
      </c>
      <c r="AC6" s="7">
        <v>0</v>
      </c>
      <c r="AD6" s="6">
        <v>0</v>
      </c>
      <c r="AE6" s="6">
        <v>0</v>
      </c>
      <c r="AF6" s="6">
        <v>0</v>
      </c>
      <c r="AG6" s="6">
        <v>0</v>
      </c>
    </row>
    <row r="7" spans="1:33">
      <c r="A7" s="6" t="s">
        <v>38</v>
      </c>
      <c r="B7" s="8">
        <f>9/21</f>
        <v>0.42857142857142855</v>
      </c>
      <c r="C7" s="6">
        <v>48</v>
      </c>
      <c r="D7" s="6">
        <v>28</v>
      </c>
      <c r="E7" s="6">
        <f t="shared" si="4"/>
        <v>58.333333333333336</v>
      </c>
      <c r="F7" s="7">
        <v>40</v>
      </c>
      <c r="G7" s="6">
        <v>0</v>
      </c>
      <c r="H7" s="6">
        <v>10</v>
      </c>
      <c r="I7" s="6">
        <v>0</v>
      </c>
      <c r="J7" s="6">
        <v>10</v>
      </c>
      <c r="K7" s="6">
        <v>55</v>
      </c>
      <c r="L7" s="6">
        <v>0</v>
      </c>
      <c r="M7" s="6">
        <v>29</v>
      </c>
      <c r="N7" s="9">
        <v>10</v>
      </c>
      <c r="O7" s="6">
        <v>0</v>
      </c>
      <c r="P7" s="6">
        <f t="shared" si="5"/>
        <v>39</v>
      </c>
      <c r="Q7" s="6">
        <f t="shared" si="1"/>
        <v>26.75</v>
      </c>
      <c r="R7" s="6">
        <v>0</v>
      </c>
      <c r="S7" s="6">
        <v>0</v>
      </c>
      <c r="T7" s="6">
        <v>0</v>
      </c>
      <c r="U7" s="6">
        <v>0</v>
      </c>
      <c r="V7" s="6">
        <f t="shared" si="2"/>
        <v>0</v>
      </c>
      <c r="W7" s="6">
        <f t="shared" si="3"/>
        <v>0</v>
      </c>
      <c r="X7" s="6">
        <f>(10+3+13.5+21.5+10.5)*1.04</f>
        <v>60.84</v>
      </c>
      <c r="Y7" s="6">
        <f>(1+0+0.5+1)*1.04</f>
        <v>2.6</v>
      </c>
      <c r="Z7" s="6">
        <f>(20+15.5+14.5+3.5)*1.04</f>
        <v>55.64</v>
      </c>
      <c r="AA7" s="6">
        <f>(12+4+1+1.5)*1.04</f>
        <v>19.240000000000002</v>
      </c>
      <c r="AB7" s="6">
        <f t="shared" si="0"/>
        <v>34.580000000000005</v>
      </c>
      <c r="AC7" s="7">
        <v>0</v>
      </c>
      <c r="AD7" s="6">
        <v>0</v>
      </c>
      <c r="AE7" s="6">
        <v>0</v>
      </c>
      <c r="AF7" s="6">
        <v>0</v>
      </c>
      <c r="AG7" s="6">
        <v>0</v>
      </c>
    </row>
    <row r="8" spans="1:33">
      <c r="A8" s="6" t="s">
        <v>39</v>
      </c>
      <c r="B8" s="8">
        <f>47/130</f>
        <v>0.36153846153846153</v>
      </c>
      <c r="C8" s="6">
        <v>0</v>
      </c>
      <c r="D8" s="6">
        <v>0</v>
      </c>
      <c r="E8" s="6">
        <v>0</v>
      </c>
      <c r="F8" s="7">
        <v>50</v>
      </c>
      <c r="G8" s="6">
        <v>60</v>
      </c>
      <c r="H8" s="6">
        <v>20</v>
      </c>
      <c r="I8" s="6">
        <v>70</v>
      </c>
      <c r="J8" s="6">
        <v>50</v>
      </c>
      <c r="K8" s="6">
        <v>36</v>
      </c>
      <c r="L8" s="6">
        <v>0</v>
      </c>
      <c r="M8" s="6">
        <v>29</v>
      </c>
      <c r="N8" s="6">
        <v>0</v>
      </c>
      <c r="O8" s="6">
        <v>0</v>
      </c>
      <c r="P8" s="6">
        <f t="shared" si="5"/>
        <v>29</v>
      </c>
      <c r="Q8" s="6">
        <f t="shared" si="1"/>
        <v>21.75</v>
      </c>
      <c r="R8" s="6">
        <v>0</v>
      </c>
      <c r="S8" s="6">
        <v>0</v>
      </c>
      <c r="T8" s="6">
        <v>16</v>
      </c>
      <c r="U8" s="6">
        <v>4</v>
      </c>
      <c r="V8" s="6">
        <f t="shared" si="2"/>
        <v>20</v>
      </c>
      <c r="W8" s="6">
        <f t="shared" si="3"/>
        <v>9</v>
      </c>
      <c r="X8" s="6">
        <f>(14+14+21+14)*1.04</f>
        <v>65.52</v>
      </c>
      <c r="Y8" s="6">
        <f>(11+22+19.5+6.5)*1.04</f>
        <v>61.36</v>
      </c>
      <c r="Z8" s="6">
        <f>(16+21.5+23.5+19.5)*1.04</f>
        <v>83.72</v>
      </c>
      <c r="AA8" s="6">
        <f>(15.5+24+14.5+17)*1.04</f>
        <v>73.84</v>
      </c>
      <c r="AB8" s="6">
        <f>AVERAGE(X8:AA8)</f>
        <v>71.11</v>
      </c>
      <c r="AC8" s="7">
        <v>0</v>
      </c>
      <c r="AD8" s="6">
        <v>0</v>
      </c>
      <c r="AE8" s="6">
        <f>0.5*1.04</f>
        <v>0.52</v>
      </c>
      <c r="AF8" s="6">
        <v>0</v>
      </c>
      <c r="AG8" s="6">
        <f t="shared" si="6"/>
        <v>0.13</v>
      </c>
    </row>
    <row r="9" spans="1:33">
      <c r="A9" s="6" t="s">
        <v>40</v>
      </c>
      <c r="B9" s="6">
        <v>0</v>
      </c>
      <c r="C9" s="6">
        <v>101</v>
      </c>
      <c r="D9" s="6">
        <v>74</v>
      </c>
      <c r="E9" s="6">
        <f t="shared" si="4"/>
        <v>73.267326732673268</v>
      </c>
      <c r="F9" s="7">
        <v>40</v>
      </c>
      <c r="G9" s="6">
        <v>15</v>
      </c>
      <c r="H9" s="6">
        <v>40</v>
      </c>
      <c r="I9" s="6">
        <v>15</v>
      </c>
      <c r="J9" s="6">
        <v>20</v>
      </c>
      <c r="K9" s="6">
        <v>39</v>
      </c>
      <c r="L9" s="6">
        <v>0</v>
      </c>
      <c r="M9" s="6">
        <v>24</v>
      </c>
      <c r="N9" s="6">
        <v>0</v>
      </c>
      <c r="O9" s="6">
        <v>0</v>
      </c>
      <c r="P9" s="6">
        <f t="shared" si="5"/>
        <v>24</v>
      </c>
      <c r="Q9" s="6">
        <f t="shared" si="1"/>
        <v>18</v>
      </c>
      <c r="R9" s="6">
        <v>0</v>
      </c>
      <c r="S9" s="6">
        <v>0</v>
      </c>
      <c r="T9" s="6">
        <v>13</v>
      </c>
      <c r="U9" s="6">
        <v>0</v>
      </c>
      <c r="V9" s="6">
        <f t="shared" si="2"/>
        <v>13</v>
      </c>
      <c r="W9" s="6">
        <f t="shared" si="3"/>
        <v>6.5</v>
      </c>
      <c r="X9" s="6">
        <f>(2+0.5+0+0.5)*1.04</f>
        <v>3.12</v>
      </c>
      <c r="Y9" s="6">
        <f>(9+0.5+11+22.5)*1.04</f>
        <v>44.72</v>
      </c>
      <c r="Z9" s="6">
        <f>(20+17.5+4+11.5)*1.04</f>
        <v>55.120000000000005</v>
      </c>
      <c r="AA9" s="6">
        <f>(0.5+0+0)*1.04</f>
        <v>0.52</v>
      </c>
      <c r="AB9" s="6">
        <f t="shared" si="0"/>
        <v>25.87</v>
      </c>
      <c r="AC9" s="7">
        <f>(21.5+10+15+23.25)*1.04</f>
        <v>72.540000000000006</v>
      </c>
      <c r="AD9" s="6">
        <v>0</v>
      </c>
      <c r="AE9" s="6">
        <v>0</v>
      </c>
      <c r="AF9" s="6">
        <f>(4+0.5+2.5)*1.04</f>
        <v>7.28</v>
      </c>
      <c r="AG9" s="6">
        <f t="shared" si="6"/>
        <v>19.955000000000002</v>
      </c>
    </row>
    <row r="10" spans="1:33">
      <c r="A10" s="6" t="s">
        <v>41</v>
      </c>
      <c r="B10" s="6">
        <v>0</v>
      </c>
      <c r="C10" s="6">
        <v>41</v>
      </c>
      <c r="D10" s="6">
        <v>17</v>
      </c>
      <c r="E10" s="6">
        <f t="shared" si="4"/>
        <v>41.463414634146339</v>
      </c>
      <c r="F10" s="7">
        <v>20</v>
      </c>
      <c r="G10" s="6">
        <v>0</v>
      </c>
      <c r="H10" s="6">
        <v>0</v>
      </c>
      <c r="I10" s="6">
        <v>0</v>
      </c>
      <c r="J10" s="6">
        <v>0</v>
      </c>
      <c r="K10" s="6">
        <v>75</v>
      </c>
      <c r="L10" s="6">
        <v>0</v>
      </c>
      <c r="M10" s="6">
        <v>58</v>
      </c>
      <c r="N10" s="6">
        <v>7</v>
      </c>
      <c r="O10" s="6">
        <v>0</v>
      </c>
      <c r="P10" s="6">
        <f t="shared" si="5"/>
        <v>65</v>
      </c>
      <c r="Q10" s="6">
        <f t="shared" si="1"/>
        <v>47</v>
      </c>
      <c r="R10" s="6">
        <v>0</v>
      </c>
      <c r="S10" s="6">
        <v>0</v>
      </c>
      <c r="T10" s="6">
        <v>12</v>
      </c>
      <c r="U10" s="6">
        <v>0</v>
      </c>
      <c r="V10" s="6">
        <f t="shared" si="2"/>
        <v>12</v>
      </c>
      <c r="W10" s="6">
        <f t="shared" si="3"/>
        <v>6</v>
      </c>
      <c r="X10" s="6">
        <f>(6.25+7+7.25+1)*1.04</f>
        <v>22.36</v>
      </c>
      <c r="Y10" s="6">
        <f>(0+0.5+0+0)*1.04</f>
        <v>0.52</v>
      </c>
      <c r="Z10" s="6">
        <f>(10+0+2+13.5)*1.04</f>
        <v>26.52</v>
      </c>
      <c r="AA10" s="6">
        <f>(0.5+0+1+1.5)*1.04</f>
        <v>3.12</v>
      </c>
      <c r="AB10" s="6">
        <f t="shared" si="0"/>
        <v>13.129999999999999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</row>
    <row r="11" spans="1:33">
      <c r="A11" s="6" t="s">
        <v>42</v>
      </c>
      <c r="B11" s="8">
        <f>75/158</f>
        <v>0.47468354430379744</v>
      </c>
      <c r="C11" s="6">
        <v>50</v>
      </c>
      <c r="D11" s="6">
        <v>23</v>
      </c>
      <c r="E11" s="6">
        <f t="shared" si="4"/>
        <v>46</v>
      </c>
      <c r="F11" s="7">
        <v>50</v>
      </c>
      <c r="G11" s="6">
        <v>20</v>
      </c>
      <c r="H11" s="6">
        <v>10</v>
      </c>
      <c r="I11" s="6">
        <v>40</v>
      </c>
      <c r="J11" s="6">
        <v>15</v>
      </c>
      <c r="K11" s="6">
        <v>43</v>
      </c>
      <c r="L11" s="6">
        <v>0</v>
      </c>
      <c r="M11" s="6">
        <v>12</v>
      </c>
      <c r="N11" s="6">
        <v>3</v>
      </c>
      <c r="O11" s="6">
        <v>0</v>
      </c>
      <c r="P11" s="6">
        <f t="shared" si="5"/>
        <v>15</v>
      </c>
      <c r="Q11" s="6">
        <f t="shared" si="1"/>
        <v>10.5</v>
      </c>
      <c r="R11" s="6">
        <v>0</v>
      </c>
      <c r="S11" s="6">
        <v>0</v>
      </c>
      <c r="T11" s="6">
        <v>0</v>
      </c>
      <c r="U11" s="6">
        <v>0</v>
      </c>
      <c r="V11" s="6">
        <f t="shared" si="2"/>
        <v>0</v>
      </c>
      <c r="W11" s="6">
        <f t="shared" si="3"/>
        <v>0</v>
      </c>
      <c r="X11" s="6">
        <f>(23.5+23+8.5+12.5)*1.04</f>
        <v>70.2</v>
      </c>
      <c r="Y11" s="6">
        <f>(0.5+6.5+2.5+0.5)*1.04</f>
        <v>10.4</v>
      </c>
      <c r="Z11" s="6">
        <f>(17.5+15+20+23.5)*1.04</f>
        <v>79.040000000000006</v>
      </c>
      <c r="AA11" s="6">
        <f>(2+9.5+20+9)*1.04</f>
        <v>42.120000000000005</v>
      </c>
      <c r="AB11" s="6">
        <f t="shared" si="0"/>
        <v>50.440000000000005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</row>
    <row r="12" spans="1:33">
      <c r="A12" s="6" t="s">
        <v>43</v>
      </c>
      <c r="B12" s="6">
        <v>0</v>
      </c>
      <c r="C12" s="6">
        <v>159</v>
      </c>
      <c r="D12" s="6">
        <v>113</v>
      </c>
      <c r="E12" s="6">
        <f t="shared" si="4"/>
        <v>71.069182389937097</v>
      </c>
      <c r="F12" s="7">
        <v>40</v>
      </c>
      <c r="G12" s="6">
        <v>30</v>
      </c>
      <c r="H12" s="6">
        <v>0</v>
      </c>
      <c r="I12" s="6">
        <v>0</v>
      </c>
      <c r="J12" s="6">
        <v>0</v>
      </c>
      <c r="K12" s="6">
        <v>31</v>
      </c>
      <c r="L12" s="6">
        <v>0</v>
      </c>
      <c r="M12" s="6">
        <v>57</v>
      </c>
      <c r="N12" s="6">
        <v>31</v>
      </c>
      <c r="O12" s="6">
        <v>0</v>
      </c>
      <c r="P12" s="6">
        <f t="shared" si="5"/>
        <v>88</v>
      </c>
      <c r="Q12" s="6">
        <f t="shared" si="1"/>
        <v>58.25</v>
      </c>
      <c r="R12" s="6">
        <v>0</v>
      </c>
      <c r="S12" s="6">
        <v>0</v>
      </c>
      <c r="T12" s="6">
        <v>0</v>
      </c>
      <c r="U12" s="6">
        <v>0</v>
      </c>
      <c r="V12" s="6">
        <f t="shared" si="2"/>
        <v>0</v>
      </c>
      <c r="W12" s="6">
        <f t="shared" si="3"/>
        <v>0</v>
      </c>
      <c r="X12" s="6">
        <f>(22+18+4+15.5)*1.04</f>
        <v>61.88</v>
      </c>
      <c r="Y12" s="6">
        <f>(8+3.5+4+8.5)*1.04</f>
        <v>24.96</v>
      </c>
      <c r="Z12" s="6">
        <f>(0+0+0+0.25)*1.04</f>
        <v>0.26</v>
      </c>
      <c r="AA12" s="6">
        <f>(0.5+0+0+0)*1.04</f>
        <v>0.52</v>
      </c>
      <c r="AB12" s="6">
        <f t="shared" si="0"/>
        <v>21.905000000000001</v>
      </c>
      <c r="AC12" s="6">
        <v>0</v>
      </c>
      <c r="AD12" s="6">
        <v>0</v>
      </c>
      <c r="AE12" s="6">
        <v>0</v>
      </c>
      <c r="AF12" s="6">
        <f>(1+1.5+1.5)*1.04</f>
        <v>4.16</v>
      </c>
      <c r="AG12" s="6">
        <f t="shared" si="6"/>
        <v>1.04</v>
      </c>
    </row>
    <row r="13" spans="1:33">
      <c r="A13" s="6" t="s">
        <v>44</v>
      </c>
      <c r="B13" s="6">
        <v>0</v>
      </c>
      <c r="C13" s="6">
        <v>7</v>
      </c>
      <c r="D13" s="6">
        <v>3</v>
      </c>
      <c r="E13" s="6">
        <f t="shared" si="4"/>
        <v>42.857142857142854</v>
      </c>
      <c r="F13" s="7">
        <v>20</v>
      </c>
      <c r="G13" s="6">
        <v>0</v>
      </c>
      <c r="H13" s="6">
        <v>0</v>
      </c>
      <c r="I13" s="6">
        <v>0</v>
      </c>
      <c r="J13" s="6">
        <v>0</v>
      </c>
      <c r="K13" s="6">
        <v>70</v>
      </c>
      <c r="L13" s="6">
        <v>0</v>
      </c>
      <c r="M13" s="6">
        <v>10</v>
      </c>
      <c r="N13" s="6">
        <v>6</v>
      </c>
      <c r="O13" s="6">
        <v>0</v>
      </c>
      <c r="P13" s="6">
        <f t="shared" si="5"/>
        <v>16</v>
      </c>
      <c r="Q13" s="6">
        <f t="shared" si="1"/>
        <v>10.5</v>
      </c>
      <c r="R13" s="6">
        <v>0</v>
      </c>
      <c r="S13" s="6">
        <v>0</v>
      </c>
      <c r="T13" s="6">
        <v>0</v>
      </c>
      <c r="U13" s="6">
        <v>0</v>
      </c>
      <c r="V13" s="6">
        <f t="shared" si="2"/>
        <v>0</v>
      </c>
      <c r="W13" s="6">
        <f t="shared" si="3"/>
        <v>0</v>
      </c>
      <c r="X13" s="6">
        <f>(0.5+0+0.5+2)*1.04</f>
        <v>3.12</v>
      </c>
      <c r="Y13" s="6">
        <f>(1+0.75+0.5+0.75)*1.04</f>
        <v>3.12</v>
      </c>
      <c r="Z13" s="6">
        <f>(1.5+0.5+0+0.5)*1.04</f>
        <v>2.6</v>
      </c>
      <c r="AA13" s="6">
        <f>(0.5+0+0+0.5)*1.04</f>
        <v>1.04</v>
      </c>
      <c r="AB13" s="6">
        <f t="shared" si="0"/>
        <v>2.4699999999999998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3">
      <c r="A14" s="6" t="s">
        <v>45</v>
      </c>
      <c r="B14" s="6">
        <v>0</v>
      </c>
      <c r="C14" s="6">
        <f>74</f>
        <v>74</v>
      </c>
      <c r="D14" s="6">
        <v>47</v>
      </c>
      <c r="E14" s="6">
        <f t="shared" si="4"/>
        <v>63.513513513513509</v>
      </c>
      <c r="F14" s="7">
        <v>20</v>
      </c>
      <c r="G14" s="6">
        <v>0</v>
      </c>
      <c r="H14" s="6">
        <v>0</v>
      </c>
      <c r="I14" s="6">
        <v>0</v>
      </c>
      <c r="J14" s="6">
        <v>0</v>
      </c>
      <c r="K14" s="6">
        <v>57</v>
      </c>
      <c r="L14" s="6">
        <v>34</v>
      </c>
      <c r="M14" s="6">
        <v>57</v>
      </c>
      <c r="N14" s="6">
        <v>12</v>
      </c>
      <c r="O14" s="6">
        <v>0</v>
      </c>
      <c r="P14" s="6">
        <f t="shared" si="5"/>
        <v>103</v>
      </c>
      <c r="Q14" s="6">
        <f t="shared" si="1"/>
        <v>82.75</v>
      </c>
      <c r="R14" s="6">
        <v>65</v>
      </c>
      <c r="S14" s="6">
        <v>0</v>
      </c>
      <c r="T14" s="6">
        <v>2</v>
      </c>
      <c r="U14" s="6">
        <v>0</v>
      </c>
      <c r="V14" s="6">
        <f t="shared" si="2"/>
        <v>67</v>
      </c>
      <c r="W14" s="6">
        <f t="shared" si="3"/>
        <v>66</v>
      </c>
      <c r="X14" s="6">
        <f>(9.25+10.5+4.25+3)*1.04</f>
        <v>28.080000000000002</v>
      </c>
      <c r="Y14" s="6">
        <f>(6+7+8+11.5)*1.04</f>
        <v>33.800000000000004</v>
      </c>
      <c r="Z14" s="6">
        <f>(0.5+2+1.5+1)*1.04</f>
        <v>5.2</v>
      </c>
      <c r="AA14" s="6">
        <f>(0.25+0.5+0+0.5)*1.04</f>
        <v>1.3</v>
      </c>
      <c r="AB14" s="6">
        <f t="shared" si="0"/>
        <v>17.095000000000002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</row>
    <row r="15" spans="1:33">
      <c r="A15" s="6" t="s">
        <v>46</v>
      </c>
      <c r="B15" s="6">
        <v>0</v>
      </c>
      <c r="C15" s="6">
        <v>0</v>
      </c>
      <c r="D15" s="6">
        <v>0</v>
      </c>
      <c r="E15" s="6">
        <v>0</v>
      </c>
      <c r="F15" s="7">
        <v>0</v>
      </c>
      <c r="G15" s="6">
        <v>0</v>
      </c>
      <c r="H15" s="6">
        <v>0</v>
      </c>
      <c r="I15" s="6">
        <v>0</v>
      </c>
      <c r="J15" s="6">
        <v>0</v>
      </c>
      <c r="K15" s="6">
        <v>82</v>
      </c>
      <c r="L15" s="6">
        <v>0</v>
      </c>
      <c r="M15" s="6">
        <v>87</v>
      </c>
      <c r="N15" s="6">
        <v>5</v>
      </c>
      <c r="O15" s="6">
        <v>0</v>
      </c>
      <c r="P15" s="6">
        <f t="shared" si="5"/>
        <v>92</v>
      </c>
      <c r="Q15" s="6">
        <f t="shared" si="1"/>
        <v>67.75</v>
      </c>
      <c r="R15" s="6">
        <v>0</v>
      </c>
      <c r="S15" s="6">
        <v>0</v>
      </c>
      <c r="T15" s="6">
        <v>1</v>
      </c>
      <c r="U15" s="6">
        <v>0</v>
      </c>
      <c r="V15" s="6">
        <f t="shared" si="2"/>
        <v>1</v>
      </c>
      <c r="W15" s="6">
        <f t="shared" si="3"/>
        <v>0.5</v>
      </c>
      <c r="X15" s="6">
        <f>(0+0+0+0)*1.04</f>
        <v>0</v>
      </c>
      <c r="Y15" s="6">
        <f>(0.5+0.5+0+0)*1.04</f>
        <v>1.04</v>
      </c>
      <c r="Z15" s="6">
        <f>(0+0+0+0.25)*1.04</f>
        <v>0.26</v>
      </c>
      <c r="AA15" s="6">
        <f>(0+0+0.5+0.5)*1.04</f>
        <v>1.04</v>
      </c>
      <c r="AB15" s="6">
        <f t="shared" si="0"/>
        <v>0.58499999999999996</v>
      </c>
      <c r="AC15" s="7">
        <f>(1+0.5+0.5)*1.04</f>
        <v>2.08</v>
      </c>
      <c r="AD15" s="6">
        <v>0</v>
      </c>
      <c r="AE15" s="6">
        <v>0</v>
      </c>
      <c r="AF15" s="6">
        <v>0</v>
      </c>
      <c r="AG15" s="6">
        <f t="shared" si="6"/>
        <v>0.52</v>
      </c>
    </row>
    <row r="16" spans="1:33">
      <c r="A16" s="6" t="s">
        <v>47</v>
      </c>
      <c r="B16" s="8">
        <f>10/22</f>
        <v>0.45454545454545453</v>
      </c>
      <c r="C16" s="6">
        <v>90</v>
      </c>
      <c r="D16" s="6">
        <v>57</v>
      </c>
      <c r="E16" s="6">
        <f t="shared" si="4"/>
        <v>63.333333333333329</v>
      </c>
      <c r="F16" s="7">
        <v>30</v>
      </c>
      <c r="G16" s="6">
        <v>50</v>
      </c>
      <c r="H16" s="6">
        <v>0</v>
      </c>
      <c r="I16" s="6">
        <v>35</v>
      </c>
      <c r="J16" s="6">
        <v>30</v>
      </c>
      <c r="K16" s="6">
        <v>48</v>
      </c>
      <c r="L16" s="6">
        <v>0</v>
      </c>
      <c r="M16" s="6">
        <v>179</v>
      </c>
      <c r="N16" s="6">
        <v>35</v>
      </c>
      <c r="O16" s="6">
        <v>0</v>
      </c>
      <c r="P16" s="6">
        <f t="shared" si="5"/>
        <v>214</v>
      </c>
      <c r="Q16" s="6">
        <f t="shared" si="1"/>
        <v>151.75</v>
      </c>
      <c r="R16" s="6">
        <v>47</v>
      </c>
      <c r="S16" s="6">
        <v>0</v>
      </c>
      <c r="T16" s="6">
        <v>3</v>
      </c>
      <c r="U16" s="6">
        <v>0</v>
      </c>
      <c r="V16" s="6">
        <f t="shared" si="2"/>
        <v>50</v>
      </c>
      <c r="W16" s="6">
        <f t="shared" si="3"/>
        <v>48.5</v>
      </c>
      <c r="X16" s="6">
        <f>(3.25+12+6.5+4.5)*1.04</f>
        <v>27.3</v>
      </c>
      <c r="Y16" s="6">
        <f>(5.5+8.5+15.5+3.5)*1.04</f>
        <v>34.32</v>
      </c>
      <c r="Z16" s="6">
        <f>(0+1.75+1.75+0.25)*1.04</f>
        <v>3.9000000000000004</v>
      </c>
      <c r="AA16" s="6">
        <f>(5+4.25+3+2.5)*1.04</f>
        <v>15.34</v>
      </c>
      <c r="AB16" s="6">
        <f t="shared" si="0"/>
        <v>20.215000000000003</v>
      </c>
      <c r="AC16" s="7">
        <v>0</v>
      </c>
      <c r="AD16" s="6">
        <v>0</v>
      </c>
      <c r="AE16" s="6">
        <v>0</v>
      </c>
      <c r="AF16" s="6">
        <f>(1.5+2+1)*1.04</f>
        <v>4.68</v>
      </c>
      <c r="AG16" s="6">
        <f t="shared" si="6"/>
        <v>1.17</v>
      </c>
    </row>
    <row r="17" spans="1:33">
      <c r="A17" s="6" t="s">
        <v>48</v>
      </c>
      <c r="B17" s="6">
        <f>4/8</f>
        <v>0.5</v>
      </c>
      <c r="C17" s="6">
        <v>31</v>
      </c>
      <c r="D17" s="6">
        <v>21</v>
      </c>
      <c r="E17" s="6">
        <f t="shared" si="4"/>
        <v>67.741935483870961</v>
      </c>
      <c r="F17" s="7">
        <v>0</v>
      </c>
      <c r="G17" s="6">
        <v>0</v>
      </c>
      <c r="H17" s="6">
        <v>0</v>
      </c>
      <c r="I17" s="6">
        <v>0</v>
      </c>
      <c r="J17" s="6">
        <v>30</v>
      </c>
      <c r="K17" s="6">
        <v>73</v>
      </c>
      <c r="L17" s="6">
        <v>0</v>
      </c>
      <c r="M17" s="6">
        <v>110</v>
      </c>
      <c r="N17" s="6">
        <v>45</v>
      </c>
      <c r="O17" s="6">
        <v>0</v>
      </c>
      <c r="P17" s="6">
        <f t="shared" si="5"/>
        <v>155</v>
      </c>
      <c r="Q17" s="6">
        <f t="shared" si="1"/>
        <v>105</v>
      </c>
      <c r="R17" s="6">
        <v>0</v>
      </c>
      <c r="S17" s="6">
        <v>0</v>
      </c>
      <c r="T17" s="6">
        <v>1</v>
      </c>
      <c r="U17" s="6">
        <v>0</v>
      </c>
      <c r="V17" s="6">
        <f t="shared" si="2"/>
        <v>1</v>
      </c>
      <c r="W17" s="6">
        <f t="shared" si="3"/>
        <v>0.5</v>
      </c>
      <c r="X17" s="6">
        <f>(1.5+0.5+1.75+0.75)*1.04</f>
        <v>4.68</v>
      </c>
      <c r="Y17" s="6">
        <f>(0+0.5+1+0)*1.04</f>
        <v>1.56</v>
      </c>
      <c r="Z17" s="6">
        <f>(1+0+0.75+0.5)*1.04</f>
        <v>2.34</v>
      </c>
      <c r="AA17" s="6">
        <f>(4+4+3+1.75)*1.04</f>
        <v>13.26</v>
      </c>
      <c r="AB17" s="6">
        <f t="shared" si="0"/>
        <v>5.46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</row>
    <row r="18" spans="1:33">
      <c r="A18" s="6" t="s">
        <v>49</v>
      </c>
      <c r="B18" s="6">
        <v>0</v>
      </c>
      <c r="C18" s="6">
        <v>65</v>
      </c>
      <c r="D18" s="6">
        <v>43</v>
      </c>
      <c r="E18" s="6">
        <f t="shared" si="4"/>
        <v>66.153846153846146</v>
      </c>
      <c r="F18" s="7">
        <v>20</v>
      </c>
      <c r="G18" s="6">
        <v>0</v>
      </c>
      <c r="H18" s="6">
        <v>40</v>
      </c>
      <c r="I18" s="6">
        <v>30</v>
      </c>
      <c r="J18" s="6">
        <v>15</v>
      </c>
      <c r="K18" s="6">
        <v>65</v>
      </c>
      <c r="L18" s="6">
        <v>0</v>
      </c>
      <c r="M18" s="6">
        <v>63</v>
      </c>
      <c r="N18" s="6">
        <v>0</v>
      </c>
      <c r="O18" s="6">
        <v>0</v>
      </c>
      <c r="P18" s="6">
        <f t="shared" si="5"/>
        <v>63</v>
      </c>
      <c r="Q18" s="6">
        <f t="shared" si="1"/>
        <v>47.25</v>
      </c>
      <c r="R18" s="6">
        <v>0</v>
      </c>
      <c r="S18" s="6">
        <v>0</v>
      </c>
      <c r="T18" s="6">
        <v>0</v>
      </c>
      <c r="U18" s="6">
        <v>0</v>
      </c>
      <c r="V18" s="6">
        <f t="shared" si="2"/>
        <v>0</v>
      </c>
      <c r="W18" s="6">
        <f t="shared" si="3"/>
        <v>0</v>
      </c>
      <c r="X18" s="6">
        <f>(0.5+0+0+1.5)*1.04</f>
        <v>2.08</v>
      </c>
      <c r="Y18" s="6">
        <f>(1+0+1.25+1.5)*1.04</f>
        <v>3.9000000000000004</v>
      </c>
      <c r="Z18" s="6">
        <f>(1.5+4+2)*1.04</f>
        <v>7.8000000000000007</v>
      </c>
      <c r="AA18" s="6">
        <f>(0.5+0.5+7+3.5)*1.04</f>
        <v>11.96</v>
      </c>
      <c r="AB18" s="6">
        <f t="shared" si="0"/>
        <v>6.4350000000000005</v>
      </c>
      <c r="AC18" s="6">
        <v>0</v>
      </c>
      <c r="AD18" s="6">
        <v>0</v>
      </c>
      <c r="AE18" s="6">
        <f>(12+7.25+6.5+6.5)*1.04</f>
        <v>33.54</v>
      </c>
      <c r="AF18" s="6">
        <v>0</v>
      </c>
      <c r="AG18" s="6">
        <f t="shared" si="6"/>
        <v>8.3849999999999998</v>
      </c>
    </row>
    <row r="19" spans="1:33">
      <c r="A19" s="6" t="s">
        <v>50</v>
      </c>
      <c r="B19" s="6">
        <v>0</v>
      </c>
      <c r="C19" s="6">
        <v>0</v>
      </c>
      <c r="D19" s="6">
        <v>0</v>
      </c>
      <c r="E19" s="6">
        <v>0</v>
      </c>
      <c r="F19" s="7">
        <v>0</v>
      </c>
      <c r="G19" s="6">
        <v>0</v>
      </c>
      <c r="H19" s="6">
        <v>0</v>
      </c>
      <c r="I19" s="6">
        <v>0</v>
      </c>
      <c r="J19" s="6">
        <v>15</v>
      </c>
      <c r="K19" s="6">
        <v>62</v>
      </c>
      <c r="L19" s="6">
        <v>0</v>
      </c>
      <c r="M19" s="6">
        <v>28</v>
      </c>
      <c r="N19" s="6">
        <v>8</v>
      </c>
      <c r="O19" s="6">
        <v>0</v>
      </c>
      <c r="P19" s="6">
        <f t="shared" si="5"/>
        <v>36</v>
      </c>
      <c r="Q19" s="6">
        <f t="shared" si="1"/>
        <v>25</v>
      </c>
      <c r="R19" s="6">
        <v>0</v>
      </c>
      <c r="S19" s="6">
        <v>0</v>
      </c>
      <c r="T19" s="6">
        <v>1</v>
      </c>
      <c r="U19" s="6">
        <v>0</v>
      </c>
      <c r="V19" s="6">
        <f t="shared" si="2"/>
        <v>1</v>
      </c>
      <c r="W19" s="6">
        <f t="shared" si="3"/>
        <v>0.5</v>
      </c>
      <c r="X19" s="6">
        <f>(1.5+0+0.5+1.5)*1.04</f>
        <v>3.64</v>
      </c>
      <c r="Y19" s="6">
        <f>(1+0+0+1)*1.04</f>
        <v>2.08</v>
      </c>
      <c r="Z19" s="6">
        <f>(0+0.5+0+0)*1.04</f>
        <v>0.52</v>
      </c>
      <c r="AA19" s="6">
        <f>(3+5.25+3.5+2)*1.04</f>
        <v>14.3</v>
      </c>
      <c r="AB19" s="6">
        <f t="shared" si="0"/>
        <v>5.1349999999999998</v>
      </c>
      <c r="AC19" s="6">
        <v>0</v>
      </c>
      <c r="AD19" s="6">
        <v>0</v>
      </c>
      <c r="AE19" s="6">
        <f>(8+4+5)*1.04</f>
        <v>17.68</v>
      </c>
      <c r="AF19" s="6">
        <v>0</v>
      </c>
      <c r="AG19" s="6">
        <f t="shared" si="6"/>
        <v>4.42</v>
      </c>
    </row>
    <row r="20" spans="1:33">
      <c r="A20" s="6" t="s">
        <v>51</v>
      </c>
      <c r="B20" s="6">
        <v>0</v>
      </c>
      <c r="C20" s="6">
        <v>2</v>
      </c>
      <c r="D20" s="6">
        <v>1</v>
      </c>
      <c r="E20" s="6">
        <f t="shared" si="4"/>
        <v>50</v>
      </c>
      <c r="F20" s="7">
        <v>0</v>
      </c>
      <c r="G20" s="6">
        <v>0</v>
      </c>
      <c r="H20" s="6">
        <v>10</v>
      </c>
      <c r="I20" s="6">
        <v>0</v>
      </c>
      <c r="J20" s="6">
        <v>0</v>
      </c>
      <c r="K20" s="6">
        <v>58</v>
      </c>
      <c r="L20" s="6">
        <v>0</v>
      </c>
      <c r="M20" s="6">
        <v>95</v>
      </c>
      <c r="N20" s="6">
        <v>0</v>
      </c>
      <c r="O20" s="6">
        <v>0</v>
      </c>
      <c r="P20" s="6">
        <f t="shared" si="5"/>
        <v>95</v>
      </c>
      <c r="Q20" s="6">
        <f t="shared" si="1"/>
        <v>71.25</v>
      </c>
      <c r="R20" s="6">
        <v>1</v>
      </c>
      <c r="S20" s="6">
        <v>0</v>
      </c>
      <c r="T20" s="6">
        <v>6</v>
      </c>
      <c r="U20" s="6">
        <v>4</v>
      </c>
      <c r="V20" s="6">
        <f t="shared" si="2"/>
        <v>11</v>
      </c>
      <c r="W20" s="6">
        <f t="shared" si="3"/>
        <v>5</v>
      </c>
      <c r="X20" s="6">
        <f>(2+2.5+1.25+2.25)*1.04</f>
        <v>8.32</v>
      </c>
      <c r="Y20" s="6">
        <f>(2.25+1+0.75+1.5)*1.04</f>
        <v>5.7200000000000006</v>
      </c>
      <c r="Z20" s="6">
        <f>(5.5+2.5+1.75+2.25)*1.04</f>
        <v>12.48</v>
      </c>
      <c r="AA20" s="6">
        <f>(0+0+0.25+0)*1.04</f>
        <v>0.26</v>
      </c>
      <c r="AB20" s="6">
        <f t="shared" si="0"/>
        <v>6.6950000000000012</v>
      </c>
      <c r="AC20" s="7">
        <v>0</v>
      </c>
      <c r="AD20" s="6">
        <f>(4.25+0.5+0.75+4)*1.04</f>
        <v>9.8800000000000008</v>
      </c>
      <c r="AE20" s="6">
        <v>0</v>
      </c>
      <c r="AF20" s="6">
        <v>0</v>
      </c>
      <c r="AG20" s="6">
        <f t="shared" si="6"/>
        <v>2.4700000000000002</v>
      </c>
    </row>
    <row r="21" spans="1:33">
      <c r="A21" s="6" t="s">
        <v>52</v>
      </c>
      <c r="B21" s="6">
        <v>0</v>
      </c>
      <c r="C21" s="6">
        <v>0</v>
      </c>
      <c r="D21" s="6">
        <v>0</v>
      </c>
      <c r="E21" s="6">
        <v>0</v>
      </c>
      <c r="F21" s="7">
        <v>0</v>
      </c>
      <c r="G21" s="6">
        <v>5</v>
      </c>
      <c r="H21" s="6">
        <v>0</v>
      </c>
      <c r="I21" s="6">
        <v>0</v>
      </c>
      <c r="J21" s="6">
        <v>0</v>
      </c>
      <c r="K21" s="6">
        <v>53</v>
      </c>
      <c r="L21" s="6">
        <v>0</v>
      </c>
      <c r="M21" s="6">
        <v>60</v>
      </c>
      <c r="N21" s="6">
        <v>9</v>
      </c>
      <c r="O21" s="6">
        <v>0</v>
      </c>
      <c r="P21" s="6">
        <f t="shared" si="5"/>
        <v>69</v>
      </c>
      <c r="Q21" s="6">
        <f t="shared" si="1"/>
        <v>49.5</v>
      </c>
      <c r="R21" s="6">
        <v>0</v>
      </c>
      <c r="S21" s="6">
        <v>0</v>
      </c>
      <c r="T21" s="6">
        <v>9</v>
      </c>
      <c r="U21" s="6">
        <v>30</v>
      </c>
      <c r="V21" s="6">
        <f t="shared" si="2"/>
        <v>39</v>
      </c>
      <c r="W21" s="6">
        <f t="shared" si="3"/>
        <v>12</v>
      </c>
      <c r="X21" s="6">
        <f>(2+0.5+2+2)*1.04</f>
        <v>6.76</v>
      </c>
      <c r="Y21" s="6">
        <f>(0+0.5+0+1.25)*1.04</f>
        <v>1.82</v>
      </c>
      <c r="Z21" s="6">
        <f>(0.5+0+0.5+0)*1.04</f>
        <v>1.04</v>
      </c>
      <c r="AA21" s="6">
        <f>(0+0.75+0.5+0.5)*1.04</f>
        <v>1.82</v>
      </c>
      <c r="AB21" s="6">
        <f t="shared" si="0"/>
        <v>2.8600000000000003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3">
      <c r="A22" s="6" t="s">
        <v>53</v>
      </c>
      <c r="B22" s="6">
        <v>0</v>
      </c>
      <c r="C22" s="6">
        <v>0</v>
      </c>
      <c r="D22" s="6">
        <v>0</v>
      </c>
      <c r="E22" s="6">
        <v>0</v>
      </c>
      <c r="F22" s="7">
        <v>0</v>
      </c>
      <c r="G22" s="6">
        <v>0</v>
      </c>
      <c r="H22" s="6">
        <v>0</v>
      </c>
      <c r="I22" s="6">
        <v>0</v>
      </c>
      <c r="J22" s="6">
        <v>0</v>
      </c>
      <c r="K22" s="6">
        <v>62</v>
      </c>
      <c r="L22" s="6">
        <v>0</v>
      </c>
      <c r="M22" s="6">
        <v>74</v>
      </c>
      <c r="N22" s="6">
        <v>0</v>
      </c>
      <c r="O22" s="6">
        <v>0</v>
      </c>
      <c r="P22" s="6">
        <f t="shared" si="5"/>
        <v>74</v>
      </c>
      <c r="Q22" s="6">
        <f t="shared" si="1"/>
        <v>55.5</v>
      </c>
      <c r="R22" s="6">
        <v>0</v>
      </c>
      <c r="S22" s="6">
        <v>0</v>
      </c>
      <c r="T22" s="6">
        <v>2</v>
      </c>
      <c r="U22" s="6">
        <v>4</v>
      </c>
      <c r="V22" s="6">
        <f t="shared" si="2"/>
        <v>6</v>
      </c>
      <c r="W22" s="6">
        <f t="shared" si="3"/>
        <v>2</v>
      </c>
      <c r="X22" s="6">
        <f>(3+1+0.5+2.5+0)*1.04</f>
        <v>7.28</v>
      </c>
      <c r="Y22" s="6">
        <f>(0+0+0.5+0)*1.04</f>
        <v>0.52</v>
      </c>
      <c r="Z22" s="6">
        <f>(0+0+0.5+0.25)*1.04</f>
        <v>0.78</v>
      </c>
      <c r="AA22" s="6">
        <f>(0.25+0.5+0.75+0)*1.04</f>
        <v>1.56</v>
      </c>
      <c r="AB22" s="6">
        <f t="shared" si="0"/>
        <v>2.5350000000000001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  <row r="23" spans="1:33">
      <c r="A23" s="6" t="s">
        <v>54</v>
      </c>
      <c r="B23" s="6">
        <v>0</v>
      </c>
      <c r="C23" s="6">
        <v>0</v>
      </c>
      <c r="D23" s="6">
        <v>0</v>
      </c>
      <c r="E23" s="6">
        <v>0</v>
      </c>
      <c r="F23" s="7">
        <v>15</v>
      </c>
      <c r="G23" s="6">
        <v>0</v>
      </c>
      <c r="H23" s="6">
        <v>0</v>
      </c>
      <c r="I23" s="6">
        <v>0</v>
      </c>
      <c r="J23" s="6">
        <v>10</v>
      </c>
      <c r="K23" s="6">
        <v>30</v>
      </c>
      <c r="L23" s="6">
        <v>0</v>
      </c>
      <c r="M23" s="6">
        <v>103</v>
      </c>
      <c r="N23" s="6">
        <v>0</v>
      </c>
      <c r="O23" s="6">
        <v>0</v>
      </c>
      <c r="P23" s="6">
        <f t="shared" si="5"/>
        <v>103</v>
      </c>
      <c r="Q23" s="6">
        <f t="shared" si="1"/>
        <v>77.25</v>
      </c>
      <c r="R23" s="6">
        <v>0</v>
      </c>
      <c r="S23" s="6">
        <v>0</v>
      </c>
      <c r="T23" s="6">
        <v>8</v>
      </c>
      <c r="U23" s="6">
        <v>0</v>
      </c>
      <c r="V23" s="6">
        <f t="shared" si="2"/>
        <v>8</v>
      </c>
      <c r="W23" s="6">
        <f t="shared" si="3"/>
        <v>4</v>
      </c>
      <c r="X23" s="6">
        <f>(2.5+1+3.5+2.5)*1.04</f>
        <v>9.8800000000000008</v>
      </c>
      <c r="Y23" s="6">
        <f>(0.5+0+0.5+1.75)*1.04</f>
        <v>2.8600000000000003</v>
      </c>
      <c r="Z23" s="6">
        <f>(7+2.5+2+7.25)*1.04</f>
        <v>19.5</v>
      </c>
      <c r="AA23" s="6">
        <f>(2+1.5)*1.04</f>
        <v>3.64</v>
      </c>
      <c r="AB23" s="6">
        <f t="shared" si="0"/>
        <v>8.9700000000000006</v>
      </c>
      <c r="AC23" s="7">
        <v>0</v>
      </c>
      <c r="AD23" s="6">
        <f>(4+10+1+3)*1.04</f>
        <v>18.72</v>
      </c>
      <c r="AE23" s="6">
        <f>(1+3.5+5+8)*1.04</f>
        <v>18.2</v>
      </c>
      <c r="AF23" s="6">
        <v>0</v>
      </c>
      <c r="AG23" s="6">
        <f t="shared" si="6"/>
        <v>9.23</v>
      </c>
    </row>
    <row r="24" spans="1:33">
      <c r="A24" s="6" t="s">
        <v>55</v>
      </c>
      <c r="B24" s="6">
        <v>0</v>
      </c>
      <c r="C24" s="6">
        <v>0</v>
      </c>
      <c r="D24" s="6">
        <v>0</v>
      </c>
      <c r="E24" s="6">
        <v>0</v>
      </c>
      <c r="F24" s="7">
        <v>5</v>
      </c>
      <c r="G24" s="6">
        <v>5</v>
      </c>
      <c r="H24" s="6">
        <v>0</v>
      </c>
      <c r="I24" s="6">
        <v>0</v>
      </c>
      <c r="J24" s="6">
        <v>0</v>
      </c>
      <c r="K24" s="6">
        <v>64</v>
      </c>
      <c r="L24" s="6">
        <v>0</v>
      </c>
      <c r="M24" s="6"/>
      <c r="N24" s="6">
        <v>1</v>
      </c>
      <c r="O24" s="6">
        <v>0</v>
      </c>
      <c r="P24" s="6">
        <f t="shared" si="5"/>
        <v>1</v>
      </c>
      <c r="Q24" s="6">
        <f t="shared" si="1"/>
        <v>0.5</v>
      </c>
      <c r="R24" s="6">
        <v>0</v>
      </c>
      <c r="S24" s="6">
        <v>0</v>
      </c>
      <c r="T24" s="6">
        <v>5</v>
      </c>
      <c r="U24" s="6">
        <v>0</v>
      </c>
      <c r="V24" s="6">
        <f t="shared" si="2"/>
        <v>5</v>
      </c>
      <c r="W24" s="6">
        <f t="shared" si="3"/>
        <v>2.5</v>
      </c>
      <c r="X24" s="6">
        <f>(3.5+9.5+0+0)*1.04</f>
        <v>13.52</v>
      </c>
      <c r="Y24" s="6">
        <f>(8+12.5+17+6)*1.04</f>
        <v>45.24</v>
      </c>
      <c r="Z24" s="6">
        <f>(0.5+0.5+1+0)*1.04</f>
        <v>2.08</v>
      </c>
      <c r="AA24" s="6">
        <f>(1.25+2+1+0)*1.04</f>
        <v>4.42</v>
      </c>
      <c r="AB24" s="6">
        <f t="shared" si="0"/>
        <v>16.315000000000001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</row>
    <row r="25" spans="1:33">
      <c r="A25" s="6" t="s">
        <v>56</v>
      </c>
      <c r="B25" s="6">
        <v>0</v>
      </c>
      <c r="C25" s="6">
        <v>22</v>
      </c>
      <c r="D25" s="6">
        <v>8</v>
      </c>
      <c r="E25" s="6">
        <f t="shared" si="4"/>
        <v>36.363636363636367</v>
      </c>
      <c r="F25" s="7">
        <v>0</v>
      </c>
      <c r="G25" s="6">
        <v>0</v>
      </c>
      <c r="H25" s="6">
        <v>0</v>
      </c>
      <c r="I25" s="6">
        <v>0</v>
      </c>
      <c r="J25" s="6">
        <v>0</v>
      </c>
      <c r="K25" s="6">
        <v>76</v>
      </c>
      <c r="L25" s="6">
        <v>0</v>
      </c>
      <c r="M25" s="6">
        <v>0</v>
      </c>
      <c r="N25" s="6">
        <v>0</v>
      </c>
      <c r="O25" s="6">
        <v>0</v>
      </c>
      <c r="P25" s="6">
        <f t="shared" si="5"/>
        <v>0</v>
      </c>
      <c r="Q25" s="6">
        <f t="shared" si="1"/>
        <v>0</v>
      </c>
      <c r="R25" s="6">
        <v>0</v>
      </c>
      <c r="S25" s="6">
        <v>0</v>
      </c>
      <c r="T25" s="6">
        <v>16</v>
      </c>
      <c r="U25" s="6">
        <v>10</v>
      </c>
      <c r="V25" s="6">
        <f t="shared" si="2"/>
        <v>26</v>
      </c>
      <c r="W25" s="6">
        <f t="shared" si="3"/>
        <v>10.5</v>
      </c>
      <c r="X25" s="6">
        <f>(1+2+0.5+1.5)*1.04</f>
        <v>5.2</v>
      </c>
      <c r="Y25" s="6">
        <f>(2+1.25+2+1.5)*1.04</f>
        <v>7.0200000000000005</v>
      </c>
      <c r="Z25" s="6">
        <f>(0+1+0.75+1)*1.04</f>
        <v>2.8600000000000003</v>
      </c>
      <c r="AA25" s="6">
        <f>(0.5+0.75+1.25+1)*1.04</f>
        <v>3.64</v>
      </c>
      <c r="AB25" s="6">
        <f t="shared" si="0"/>
        <v>4.6800000000000006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</row>
    <row r="26" spans="1:33">
      <c r="A26" s="6" t="s">
        <v>57</v>
      </c>
      <c r="B26" s="6">
        <v>0</v>
      </c>
      <c r="C26" s="6">
        <v>0</v>
      </c>
      <c r="D26" s="6">
        <v>0</v>
      </c>
      <c r="E26" s="6">
        <v>0</v>
      </c>
      <c r="F26" s="7">
        <v>0</v>
      </c>
      <c r="G26" s="6">
        <v>0</v>
      </c>
      <c r="H26" s="6">
        <v>0</v>
      </c>
      <c r="I26" s="6">
        <v>0</v>
      </c>
      <c r="J26" s="6">
        <v>0</v>
      </c>
      <c r="K26" s="6">
        <v>93</v>
      </c>
      <c r="L26" s="6">
        <v>0</v>
      </c>
      <c r="M26" s="6">
        <v>0</v>
      </c>
      <c r="N26" s="6">
        <v>0</v>
      </c>
      <c r="O26" s="6">
        <v>0</v>
      </c>
      <c r="P26" s="6">
        <f t="shared" si="5"/>
        <v>0</v>
      </c>
      <c r="Q26" s="6">
        <f t="shared" si="1"/>
        <v>0</v>
      </c>
      <c r="R26" s="6">
        <v>0</v>
      </c>
      <c r="S26" s="6">
        <v>0</v>
      </c>
      <c r="T26" s="6">
        <v>1</v>
      </c>
      <c r="U26" s="6">
        <v>0</v>
      </c>
      <c r="V26" s="6">
        <f t="shared" si="2"/>
        <v>1</v>
      </c>
      <c r="W26" s="6">
        <f t="shared" si="3"/>
        <v>0.5</v>
      </c>
      <c r="X26" s="6">
        <f>(2.25+0.5+1+2)*1.04</f>
        <v>5.98</v>
      </c>
      <c r="Y26" s="6">
        <f>(3+1+2+0.5)*1.04</f>
        <v>6.76</v>
      </c>
      <c r="Z26" s="6">
        <f>(2+0+0+1.5)*1.04</f>
        <v>3.64</v>
      </c>
      <c r="AA26" s="6">
        <f>(0.5+0.75+0.25+0.75)*1.04</f>
        <v>2.34</v>
      </c>
      <c r="AB26" s="6">
        <f t="shared" si="0"/>
        <v>4.68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</row>
    <row r="27" spans="1:33">
      <c r="A27" s="6" t="s">
        <v>58</v>
      </c>
      <c r="B27" s="6">
        <v>0</v>
      </c>
      <c r="C27" s="6">
        <v>0</v>
      </c>
      <c r="D27" s="6">
        <v>0</v>
      </c>
      <c r="E27" s="6">
        <v>0</v>
      </c>
      <c r="F27" s="7">
        <v>20</v>
      </c>
      <c r="G27" s="6">
        <v>0</v>
      </c>
      <c r="H27" s="6">
        <v>0</v>
      </c>
      <c r="I27" s="6">
        <v>30</v>
      </c>
      <c r="J27" s="6">
        <v>1</v>
      </c>
      <c r="K27" s="6">
        <v>39</v>
      </c>
      <c r="L27" s="6">
        <v>0</v>
      </c>
      <c r="M27" s="6">
        <v>0</v>
      </c>
      <c r="N27" s="6">
        <v>29</v>
      </c>
      <c r="O27" s="6">
        <v>0</v>
      </c>
      <c r="P27" s="6">
        <f t="shared" si="5"/>
        <v>29</v>
      </c>
      <c r="Q27" s="6">
        <f t="shared" si="1"/>
        <v>14.5</v>
      </c>
      <c r="R27" s="6">
        <v>0</v>
      </c>
      <c r="S27" s="6">
        <v>0</v>
      </c>
      <c r="T27" s="6">
        <v>4</v>
      </c>
      <c r="U27" s="6">
        <v>3</v>
      </c>
      <c r="V27" s="6">
        <f t="shared" si="2"/>
        <v>7</v>
      </c>
      <c r="W27" s="6">
        <f t="shared" si="3"/>
        <v>2.75</v>
      </c>
      <c r="X27" s="6">
        <f>(3.75+1.25+2.5+1.5)*1.04</f>
        <v>9.36</v>
      </c>
      <c r="Y27" s="6">
        <f>(1+1+2.5+2)*1.04</f>
        <v>6.76</v>
      </c>
      <c r="Z27" s="6">
        <f>(0.5+0.5+1+0)*1.04</f>
        <v>2.08</v>
      </c>
      <c r="AA27" s="6">
        <f>(1.5+2+5+4.25)*1.04</f>
        <v>13.26</v>
      </c>
      <c r="AB27" s="6">
        <f t="shared" si="0"/>
        <v>7.8649999999999984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</row>
    <row r="28" spans="1:33">
      <c r="A28" s="6" t="s">
        <v>59</v>
      </c>
      <c r="B28" s="6">
        <v>0</v>
      </c>
      <c r="C28" s="6">
        <v>151</v>
      </c>
      <c r="D28" s="6">
        <v>135</v>
      </c>
      <c r="E28" s="6">
        <f t="shared" si="4"/>
        <v>89.403973509933778</v>
      </c>
      <c r="F28" s="7">
        <v>0</v>
      </c>
      <c r="G28" s="6">
        <v>0</v>
      </c>
      <c r="H28" s="6">
        <v>0</v>
      </c>
      <c r="I28" s="6">
        <v>0</v>
      </c>
      <c r="J28" s="6">
        <v>0</v>
      </c>
      <c r="K28" s="6">
        <v>56</v>
      </c>
      <c r="L28" s="6">
        <v>0</v>
      </c>
      <c r="M28" s="6">
        <v>117</v>
      </c>
      <c r="N28" s="6">
        <v>89</v>
      </c>
      <c r="O28" s="6">
        <v>0</v>
      </c>
      <c r="P28" s="6">
        <f t="shared" si="5"/>
        <v>206</v>
      </c>
      <c r="Q28" s="6">
        <f t="shared" si="1"/>
        <v>132.25</v>
      </c>
      <c r="R28" s="6">
        <v>0</v>
      </c>
      <c r="S28" s="6">
        <v>0</v>
      </c>
      <c r="T28" s="6">
        <v>0</v>
      </c>
      <c r="U28" s="6">
        <v>0</v>
      </c>
      <c r="V28" s="6">
        <f t="shared" si="2"/>
        <v>0</v>
      </c>
      <c r="W28" s="6">
        <f t="shared" si="3"/>
        <v>0</v>
      </c>
      <c r="X28" s="6">
        <f>(1+1.5+0.5+2.5)*1.04</f>
        <v>5.7200000000000006</v>
      </c>
      <c r="Y28" s="6">
        <f>(3+1.5+0+1)*1.04</f>
        <v>5.7200000000000006</v>
      </c>
      <c r="Z28" s="6">
        <f>(0.5+8+3+0)*1.04</f>
        <v>11.96</v>
      </c>
      <c r="AA28" s="6">
        <f>(0.5+0.5+0.5+0.5)*1.04</f>
        <v>2.08</v>
      </c>
      <c r="AB28" s="6">
        <f t="shared" si="0"/>
        <v>6.370000000000001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</row>
    <row r="29" spans="1:33">
      <c r="A29" s="6" t="s">
        <v>60</v>
      </c>
      <c r="B29" s="8">
        <f>13/17</f>
        <v>0.76470588235294112</v>
      </c>
      <c r="C29" s="6">
        <v>35</v>
      </c>
      <c r="D29" s="6">
        <v>22</v>
      </c>
      <c r="E29" s="6">
        <f t="shared" si="4"/>
        <v>62.857142857142854</v>
      </c>
      <c r="F29" s="7">
        <v>20</v>
      </c>
      <c r="G29" s="6">
        <v>0</v>
      </c>
      <c r="H29" s="6">
        <v>70</v>
      </c>
      <c r="I29" s="6">
        <v>0</v>
      </c>
      <c r="J29" s="6">
        <v>40</v>
      </c>
      <c r="K29" s="6">
        <v>35</v>
      </c>
      <c r="L29" s="6">
        <v>0</v>
      </c>
      <c r="M29" s="6">
        <v>0</v>
      </c>
      <c r="N29" s="6">
        <v>8</v>
      </c>
      <c r="O29" s="6">
        <v>0</v>
      </c>
      <c r="P29" s="6">
        <f t="shared" si="5"/>
        <v>8</v>
      </c>
      <c r="Q29" s="6">
        <f t="shared" si="1"/>
        <v>4</v>
      </c>
      <c r="R29" s="6">
        <v>0</v>
      </c>
      <c r="S29" s="6">
        <v>0</v>
      </c>
      <c r="T29" s="6">
        <v>0</v>
      </c>
      <c r="U29" s="6">
        <v>0</v>
      </c>
      <c r="V29" s="6">
        <f t="shared" si="2"/>
        <v>0</v>
      </c>
      <c r="W29" s="6">
        <f t="shared" si="3"/>
        <v>0</v>
      </c>
      <c r="X29" s="6">
        <f>(8.5+10+0.25+0.5)*1.04</f>
        <v>20.02</v>
      </c>
      <c r="Y29" s="6">
        <f>(1+0.5+0.5+0.5)*1.04</f>
        <v>2.6</v>
      </c>
      <c r="Z29" s="6">
        <f>(12+17+9+3)*1.04</f>
        <v>42.64</v>
      </c>
      <c r="AA29" s="6">
        <f>(4+1+2+3)*1.04</f>
        <v>10.4</v>
      </c>
      <c r="AB29" s="6">
        <f t="shared" si="0"/>
        <v>18.915000000000003</v>
      </c>
      <c r="AC29" s="6">
        <v>0</v>
      </c>
      <c r="AD29" s="6">
        <v>0</v>
      </c>
      <c r="AE29" s="6">
        <f>(1+1)*1.04</f>
        <v>2.08</v>
      </c>
      <c r="AF29" s="6">
        <v>0</v>
      </c>
      <c r="AG29" s="6">
        <f t="shared" si="6"/>
        <v>0.52</v>
      </c>
    </row>
    <row r="30" spans="1:33">
      <c r="A30" s="6" t="s">
        <v>61</v>
      </c>
      <c r="B30" s="8">
        <f>8/17</f>
        <v>0.47058823529411764</v>
      </c>
      <c r="C30" s="6">
        <v>43</v>
      </c>
      <c r="D30" s="6">
        <v>30</v>
      </c>
      <c r="E30" s="6">
        <f t="shared" si="4"/>
        <v>69.767441860465112</v>
      </c>
      <c r="F30" s="7">
        <v>15</v>
      </c>
      <c r="G30" s="6">
        <v>20</v>
      </c>
      <c r="H30" s="6">
        <v>20</v>
      </c>
      <c r="I30" s="6">
        <v>0</v>
      </c>
      <c r="J30" s="6">
        <v>0</v>
      </c>
      <c r="K30" s="6">
        <v>75</v>
      </c>
      <c r="L30" s="6">
        <v>0</v>
      </c>
      <c r="M30" s="6">
        <v>7</v>
      </c>
      <c r="N30" s="6">
        <v>15</v>
      </c>
      <c r="O30" s="6">
        <v>0</v>
      </c>
      <c r="P30" s="6">
        <f t="shared" si="5"/>
        <v>22</v>
      </c>
      <c r="Q30" s="6">
        <f t="shared" si="1"/>
        <v>12.75</v>
      </c>
      <c r="R30" s="6">
        <v>0</v>
      </c>
      <c r="S30" s="6">
        <v>0</v>
      </c>
      <c r="T30" s="6">
        <v>0</v>
      </c>
      <c r="U30" s="6">
        <v>0</v>
      </c>
      <c r="V30" s="6">
        <f t="shared" si="2"/>
        <v>0</v>
      </c>
      <c r="W30" s="6">
        <f t="shared" si="3"/>
        <v>0</v>
      </c>
      <c r="X30" s="6">
        <f>(9+9+3+10)*1.04</f>
        <v>32.24</v>
      </c>
      <c r="Y30" s="6">
        <f>(2.5+4+0.5+2.5)*1.04</f>
        <v>9.8800000000000008</v>
      </c>
      <c r="Z30" s="6">
        <f>(20+4+4+10)*1.04</f>
        <v>39.520000000000003</v>
      </c>
      <c r="AA30" s="6">
        <f>(2.5+0.5+3.5+9)*1.04</f>
        <v>16.12</v>
      </c>
      <c r="AB30" s="6">
        <f t="shared" si="0"/>
        <v>24.440000000000005</v>
      </c>
      <c r="AC30" s="7">
        <f>(5+1)*1.04</f>
        <v>6.24</v>
      </c>
      <c r="AD30" s="6">
        <f>(6+6)*1.04</f>
        <v>12.48</v>
      </c>
      <c r="AE30" s="6">
        <v>0</v>
      </c>
      <c r="AF30" s="6">
        <v>0</v>
      </c>
      <c r="AG30" s="6">
        <f t="shared" si="6"/>
        <v>4.68</v>
      </c>
    </row>
    <row r="31" spans="1:33">
      <c r="A31" s="6" t="s">
        <v>62</v>
      </c>
      <c r="B31" s="8">
        <f>35/104</f>
        <v>0.33653846153846156</v>
      </c>
      <c r="C31" s="6">
        <v>0</v>
      </c>
      <c r="D31" s="6">
        <v>0</v>
      </c>
      <c r="E31" s="6">
        <v>0</v>
      </c>
      <c r="F31" s="7">
        <v>50</v>
      </c>
      <c r="G31" s="6">
        <v>50</v>
      </c>
      <c r="H31" s="6">
        <v>30</v>
      </c>
      <c r="I31" s="6">
        <v>5</v>
      </c>
      <c r="J31" s="6">
        <v>70</v>
      </c>
      <c r="K31" s="6">
        <v>90</v>
      </c>
      <c r="L31" s="6">
        <v>0</v>
      </c>
      <c r="M31" s="6">
        <v>35</v>
      </c>
      <c r="N31" s="6">
        <v>0</v>
      </c>
      <c r="O31" s="6">
        <v>0</v>
      </c>
      <c r="P31" s="6">
        <f t="shared" si="5"/>
        <v>35</v>
      </c>
      <c r="Q31" s="6">
        <f t="shared" si="1"/>
        <v>26.25</v>
      </c>
      <c r="R31" s="6">
        <v>0</v>
      </c>
      <c r="S31" s="6">
        <v>0</v>
      </c>
      <c r="T31" s="6">
        <v>0</v>
      </c>
      <c r="U31" s="6">
        <v>0</v>
      </c>
      <c r="V31" s="6">
        <f t="shared" si="2"/>
        <v>0</v>
      </c>
      <c r="W31" s="6">
        <f t="shared" si="3"/>
        <v>0</v>
      </c>
      <c r="X31" s="6">
        <f>(23.5+21.5+14+20)*1.04</f>
        <v>82.16</v>
      </c>
      <c r="Y31" s="6">
        <f>(0.5+0.5+6.5+0.5)*1.04</f>
        <v>8.32</v>
      </c>
      <c r="Z31" s="6">
        <f>(20.5+18+21+23)*1.04</f>
        <v>85.8</v>
      </c>
      <c r="AA31" s="6">
        <f>(5+9+19+22)*1.04</f>
        <v>57.2</v>
      </c>
      <c r="AB31" s="6">
        <f t="shared" si="0"/>
        <v>58.36999999999999</v>
      </c>
      <c r="AC31" s="6">
        <v>0</v>
      </c>
      <c r="AD31" s="6">
        <v>0</v>
      </c>
      <c r="AE31" s="6">
        <v>0</v>
      </c>
      <c r="AF31" s="6">
        <f>(10+5+0)*1.04</f>
        <v>15.600000000000001</v>
      </c>
      <c r="AG31" s="6">
        <f t="shared" si="6"/>
        <v>3.9000000000000004</v>
      </c>
    </row>
    <row r="32" spans="1:33">
      <c r="A32" s="6" t="s">
        <v>63</v>
      </c>
      <c r="B32" s="8">
        <f>1/13</f>
        <v>7.6923076923076927E-2</v>
      </c>
      <c r="C32" s="6">
        <f>5</f>
        <v>5</v>
      </c>
      <c r="D32" s="6">
        <v>3</v>
      </c>
      <c r="E32" s="6">
        <f t="shared" si="4"/>
        <v>60</v>
      </c>
      <c r="F32" s="7">
        <v>20</v>
      </c>
      <c r="G32" s="6">
        <v>30</v>
      </c>
      <c r="H32" s="6">
        <v>10</v>
      </c>
      <c r="I32" s="6">
        <v>10</v>
      </c>
      <c r="J32" s="6">
        <v>45</v>
      </c>
      <c r="K32" s="6">
        <v>65</v>
      </c>
      <c r="L32" s="6">
        <v>3</v>
      </c>
      <c r="M32" s="6">
        <v>131</v>
      </c>
      <c r="N32" s="6">
        <v>74</v>
      </c>
      <c r="O32" s="6">
        <v>0</v>
      </c>
      <c r="P32" s="6">
        <f t="shared" si="5"/>
        <v>208</v>
      </c>
      <c r="Q32" s="6">
        <f t="shared" si="1"/>
        <v>138.25</v>
      </c>
      <c r="R32" s="6">
        <v>0</v>
      </c>
      <c r="S32" s="6">
        <v>0</v>
      </c>
      <c r="T32" s="6">
        <v>0</v>
      </c>
      <c r="U32" s="6">
        <v>0</v>
      </c>
      <c r="V32" s="6">
        <f t="shared" si="2"/>
        <v>0</v>
      </c>
      <c r="W32" s="6">
        <f t="shared" si="3"/>
        <v>0</v>
      </c>
      <c r="X32" s="6">
        <f>(5+0.5+0.5+5)*1.04</f>
        <v>11.440000000000001</v>
      </c>
      <c r="Y32" s="6">
        <f>(6+0+0.5+8)*1.04</f>
        <v>15.08</v>
      </c>
      <c r="Z32" s="6">
        <f>(9+9+8+7)*1.04</f>
        <v>34.32</v>
      </c>
      <c r="AA32" s="6">
        <f>(1+0.25+0.25+1)*1.04</f>
        <v>2.6</v>
      </c>
      <c r="AB32" s="10">
        <f t="shared" si="0"/>
        <v>15.860000000000001</v>
      </c>
      <c r="AC32" s="7">
        <v>0</v>
      </c>
      <c r="AD32" s="6">
        <f>(6)*1.04</f>
        <v>6.24</v>
      </c>
      <c r="AE32" s="6">
        <f>(11+8)*1.04</f>
        <v>19.760000000000002</v>
      </c>
      <c r="AF32" s="6">
        <v>0</v>
      </c>
      <c r="AG32" s="6">
        <f t="shared" si="6"/>
        <v>6.5</v>
      </c>
    </row>
    <row r="33" spans="1:33">
      <c r="A33" s="6" t="s">
        <v>64</v>
      </c>
      <c r="B33" s="6">
        <v>0</v>
      </c>
      <c r="C33" s="6">
        <v>0</v>
      </c>
      <c r="D33" s="6">
        <v>0</v>
      </c>
      <c r="E33" s="6">
        <v>0</v>
      </c>
      <c r="F33" s="7">
        <v>20</v>
      </c>
      <c r="G33" s="6">
        <v>10</v>
      </c>
      <c r="H33" s="6">
        <v>15</v>
      </c>
      <c r="I33" s="6">
        <v>20</v>
      </c>
      <c r="J33" s="6">
        <v>20</v>
      </c>
      <c r="K33" s="6">
        <v>55</v>
      </c>
      <c r="L33" s="6">
        <v>0</v>
      </c>
      <c r="M33" s="6">
        <v>22</v>
      </c>
      <c r="N33" s="6">
        <v>226</v>
      </c>
      <c r="O33" s="6">
        <v>0</v>
      </c>
      <c r="P33" s="6">
        <f t="shared" si="5"/>
        <v>248</v>
      </c>
      <c r="Q33" s="6">
        <f t="shared" si="1"/>
        <v>129.5</v>
      </c>
      <c r="R33" s="6">
        <v>0</v>
      </c>
      <c r="S33" s="6">
        <v>0</v>
      </c>
      <c r="T33" s="6">
        <v>0</v>
      </c>
      <c r="U33" s="6">
        <v>0</v>
      </c>
      <c r="V33" s="6">
        <f t="shared" si="2"/>
        <v>0</v>
      </c>
      <c r="W33" s="6">
        <f t="shared" si="3"/>
        <v>0</v>
      </c>
      <c r="X33" s="6">
        <f>(0+1+1.5+0.25)*1.04</f>
        <v>2.8600000000000003</v>
      </c>
      <c r="Y33" s="6">
        <f>(18.5+2.5+3+9.5)*1.04</f>
        <v>34.840000000000003</v>
      </c>
      <c r="Z33" s="6">
        <f>(0+0.5+0.5+0.25)*1.04</f>
        <v>1.3</v>
      </c>
      <c r="AA33" s="6">
        <f>(7+12+11+6)*1.04</f>
        <v>37.44</v>
      </c>
      <c r="AB33" s="10">
        <f t="shared" si="0"/>
        <v>19.11</v>
      </c>
      <c r="AC33" s="7">
        <v>0</v>
      </c>
      <c r="AD33" s="6">
        <f>(7+8+5)*1.04</f>
        <v>20.8</v>
      </c>
      <c r="AE33" s="6">
        <f>(5.5+1+8)*1.04</f>
        <v>15.08</v>
      </c>
      <c r="AF33" s="6">
        <v>0</v>
      </c>
      <c r="AG33" s="6">
        <f t="shared" si="6"/>
        <v>8.9700000000000006</v>
      </c>
    </row>
    <row r="34" spans="1:33">
      <c r="A34" s="6" t="s">
        <v>65</v>
      </c>
      <c r="B34" s="6">
        <v>0</v>
      </c>
      <c r="C34" s="6">
        <f>2+4+3+1+3+1+9+6+6+7+3+1+7+1+7+3+5</f>
        <v>69</v>
      </c>
      <c r="D34" s="6">
        <f>1+4+3+1+2+1+7+5+5+5+2+5+6+3+3</f>
        <v>53</v>
      </c>
      <c r="E34" s="6">
        <f t="shared" si="4"/>
        <v>76.811594202898547</v>
      </c>
      <c r="F34" s="7">
        <v>0</v>
      </c>
      <c r="G34" s="6">
        <v>10</v>
      </c>
      <c r="H34" s="6">
        <v>15</v>
      </c>
      <c r="I34" s="6">
        <v>10</v>
      </c>
      <c r="J34" s="6">
        <v>15</v>
      </c>
      <c r="K34" s="6">
        <v>59</v>
      </c>
      <c r="L34" s="6">
        <v>0</v>
      </c>
      <c r="M34" s="6">
        <v>68</v>
      </c>
      <c r="N34" s="6">
        <v>0</v>
      </c>
      <c r="O34" s="6">
        <v>0</v>
      </c>
      <c r="P34" s="6">
        <f t="shared" si="5"/>
        <v>68</v>
      </c>
      <c r="Q34" s="6">
        <f t="shared" si="1"/>
        <v>51</v>
      </c>
      <c r="R34" s="6">
        <v>0</v>
      </c>
      <c r="S34" s="6">
        <v>0</v>
      </c>
      <c r="T34" s="6">
        <v>0</v>
      </c>
      <c r="U34" s="6">
        <v>0</v>
      </c>
      <c r="V34" s="6">
        <f t="shared" si="2"/>
        <v>0</v>
      </c>
      <c r="W34" s="6">
        <f t="shared" si="3"/>
        <v>0</v>
      </c>
      <c r="X34" s="6">
        <f>(0.5+6+0+0.5)*1.04</f>
        <v>7.28</v>
      </c>
      <c r="Y34" s="6">
        <f>(6.5+1+9+14)*1.04</f>
        <v>31.720000000000002</v>
      </c>
      <c r="Z34" s="6">
        <f>(3+3+1+1)*1.04</f>
        <v>8.32</v>
      </c>
      <c r="AA34" s="6">
        <f>(1+5+18+10)*1.04</f>
        <v>35.36</v>
      </c>
      <c r="AB34" s="10">
        <f t="shared" si="0"/>
        <v>20.67</v>
      </c>
      <c r="AC34" s="7">
        <v>0</v>
      </c>
      <c r="AD34" s="6">
        <v>0</v>
      </c>
      <c r="AE34" s="6">
        <f>(8)*1.04</f>
        <v>8.32</v>
      </c>
      <c r="AF34" s="6">
        <v>0</v>
      </c>
      <c r="AG34" s="6">
        <f t="shared" si="6"/>
        <v>2.08</v>
      </c>
    </row>
    <row r="35" spans="1:33">
      <c r="A35" s="6" t="s">
        <v>66</v>
      </c>
      <c r="B35" s="6">
        <f>3+4+1+3+5+7+10+5+7+6</f>
        <v>51</v>
      </c>
      <c r="C35" s="6">
        <f>12+8+15+7+7+8+7+11+3+6+4+7+1+12+1+1+6</f>
        <v>116</v>
      </c>
      <c r="D35" s="6">
        <f>12+8+15+3+6+7+11+3+4+4+3+0+12+6</f>
        <v>94</v>
      </c>
      <c r="E35" s="6">
        <f t="shared" si="4"/>
        <v>81.034482758620683</v>
      </c>
      <c r="F35" s="7">
        <v>5</v>
      </c>
      <c r="G35" s="6">
        <v>25</v>
      </c>
      <c r="H35" s="6">
        <v>60</v>
      </c>
      <c r="I35" s="6">
        <v>20</v>
      </c>
      <c r="J35" s="6">
        <v>40</v>
      </c>
      <c r="K35" s="6">
        <v>31</v>
      </c>
      <c r="L35" s="6">
        <v>0</v>
      </c>
      <c r="M35" s="6">
        <v>0</v>
      </c>
      <c r="N35" s="6">
        <v>0</v>
      </c>
      <c r="O35" s="6">
        <v>0</v>
      </c>
      <c r="P35" s="6">
        <f t="shared" si="5"/>
        <v>0</v>
      </c>
      <c r="Q35" s="6">
        <f t="shared" si="1"/>
        <v>0</v>
      </c>
      <c r="R35" s="6">
        <v>0</v>
      </c>
      <c r="S35" s="6">
        <v>0</v>
      </c>
      <c r="T35" s="6">
        <v>0</v>
      </c>
      <c r="U35" s="6">
        <v>0</v>
      </c>
      <c r="V35" s="6">
        <f>SUM(R35:U35)</f>
        <v>0</v>
      </c>
      <c r="W35" s="6">
        <f>R35+(0.75*S35)+(0.5*T35)+(0.25*U35)</f>
        <v>0</v>
      </c>
      <c r="X35" s="6">
        <f>(5.5+12.5+10+5.5)*1.04</f>
        <v>34.840000000000003</v>
      </c>
      <c r="Y35" s="6">
        <f>(0.5+0.5+0.5+0.5)*1.04</f>
        <v>2.08</v>
      </c>
      <c r="Z35" s="6">
        <f>(20.5+17+10+10.5)*1.04</f>
        <v>60.32</v>
      </c>
      <c r="AA35" s="6">
        <f>(0+0+1.5+1.5)*1.04</f>
        <v>3.12</v>
      </c>
      <c r="AB35" s="10">
        <f t="shared" si="0"/>
        <v>25.090000000000003</v>
      </c>
      <c r="AC35" s="7">
        <f>(2+1+3.5+8.5)*1.04</f>
        <v>15.600000000000001</v>
      </c>
      <c r="AD35" s="6">
        <f>(12+11+5+2)*1.04</f>
        <v>31.200000000000003</v>
      </c>
      <c r="AE35" s="6">
        <v>0</v>
      </c>
      <c r="AF35" s="6">
        <f>(24+24+22.5+22.5)*1.04</f>
        <v>96.72</v>
      </c>
      <c r="AG35" s="6">
        <f t="shared" si="6"/>
        <v>35.880000000000003</v>
      </c>
    </row>
    <row r="36" spans="1:33">
      <c r="A36" s="6" t="s">
        <v>67</v>
      </c>
      <c r="B36" s="6">
        <v>0</v>
      </c>
      <c r="C36" s="6">
        <v>0</v>
      </c>
      <c r="D36" s="6">
        <v>0</v>
      </c>
      <c r="E36" s="6">
        <v>0</v>
      </c>
      <c r="F36" s="7">
        <v>20</v>
      </c>
      <c r="G36" s="6">
        <v>10</v>
      </c>
      <c r="H36" s="6">
        <v>30</v>
      </c>
      <c r="I36" s="6">
        <v>10</v>
      </c>
      <c r="J36" s="6">
        <v>10</v>
      </c>
      <c r="K36" s="6">
        <v>27</v>
      </c>
      <c r="L36" s="6">
        <v>0</v>
      </c>
      <c r="M36" s="6">
        <v>17</v>
      </c>
      <c r="N36" s="6">
        <v>31</v>
      </c>
      <c r="O36" s="6">
        <v>0</v>
      </c>
      <c r="P36" s="6">
        <f t="shared" si="5"/>
        <v>48</v>
      </c>
      <c r="Q36" s="6">
        <f t="shared" si="1"/>
        <v>28.25</v>
      </c>
      <c r="R36" s="6">
        <v>0</v>
      </c>
      <c r="S36" s="6">
        <v>0</v>
      </c>
      <c r="T36" s="6">
        <v>0</v>
      </c>
      <c r="U36" s="6">
        <v>0</v>
      </c>
      <c r="V36" s="6">
        <f>SUM(R36:U36)</f>
        <v>0</v>
      </c>
      <c r="W36" s="6">
        <f>R36+(0.75*S36)+(0.5*T36)+(0.25*U36)</f>
        <v>0</v>
      </c>
      <c r="X36" s="6">
        <f>(0+0+0.5+5)*1.04</f>
        <v>5.7200000000000006</v>
      </c>
      <c r="Y36" s="6">
        <f>(7+0.5+1.5+4)*1.04</f>
        <v>13.52</v>
      </c>
      <c r="Z36" s="6">
        <f>(8+17+8+12)*1.04</f>
        <v>46.800000000000004</v>
      </c>
      <c r="AA36" s="6">
        <f>(0.5+2.5+5+0)*1.04</f>
        <v>8.32</v>
      </c>
      <c r="AB36" s="10">
        <f t="shared" si="0"/>
        <v>18.590000000000003</v>
      </c>
      <c r="AC36" s="7">
        <v>0</v>
      </c>
      <c r="AD36" s="6">
        <v>0</v>
      </c>
      <c r="AE36" s="6">
        <f>(2+4.5+6)*1.04</f>
        <v>13</v>
      </c>
      <c r="AF36" s="6">
        <f>(23+13+13+24)*1.04</f>
        <v>75.92</v>
      </c>
      <c r="AG36" s="6">
        <f t="shared" si="6"/>
        <v>22.23</v>
      </c>
    </row>
    <row r="37" spans="1:33">
      <c r="A37" s="6" t="s">
        <v>68</v>
      </c>
      <c r="B37" s="8">
        <f>1/9</f>
        <v>0.1111111111111111</v>
      </c>
      <c r="C37" s="6">
        <v>0</v>
      </c>
      <c r="D37" s="6">
        <v>0</v>
      </c>
      <c r="E37" s="6">
        <v>0</v>
      </c>
      <c r="F37" s="7">
        <v>20</v>
      </c>
      <c r="G37" s="6">
        <v>100</v>
      </c>
      <c r="H37" s="6">
        <v>0</v>
      </c>
      <c r="I37" s="6">
        <v>30</v>
      </c>
      <c r="J37" s="6">
        <v>70</v>
      </c>
      <c r="K37" s="6">
        <v>78</v>
      </c>
      <c r="L37" s="6">
        <v>0</v>
      </c>
      <c r="M37" s="6">
        <v>18</v>
      </c>
      <c r="N37" s="6">
        <v>6</v>
      </c>
      <c r="O37" s="6">
        <v>0</v>
      </c>
      <c r="P37" s="6">
        <f t="shared" si="5"/>
        <v>24</v>
      </c>
      <c r="Q37" s="6">
        <f t="shared" si="1"/>
        <v>16.5</v>
      </c>
      <c r="R37" s="6">
        <v>0</v>
      </c>
      <c r="S37" s="6">
        <v>0</v>
      </c>
      <c r="T37" s="6">
        <v>3</v>
      </c>
      <c r="U37" s="6">
        <v>0</v>
      </c>
      <c r="V37" s="6">
        <f>SUM(R37:U37)</f>
        <v>3</v>
      </c>
      <c r="W37" s="6">
        <f>R37+(0.75*S37)+(0.5*T37)+(0.25*U37)</f>
        <v>1.5</v>
      </c>
      <c r="X37" s="6">
        <f>(0.5+1.75+0+0)*1.04</f>
        <v>2.34</v>
      </c>
      <c r="Y37" s="6">
        <f>(3.25+11+11.5+0.5)*1.04</f>
        <v>27.3</v>
      </c>
      <c r="Z37" s="6">
        <f>(0.5+1.5+1.75+1)*1.04</f>
        <v>4.9400000000000004</v>
      </c>
      <c r="AA37" s="6">
        <f>(0.25+0.5+1.5+2)*1.04</f>
        <v>4.42</v>
      </c>
      <c r="AB37" s="10">
        <f t="shared" si="0"/>
        <v>9.75</v>
      </c>
      <c r="AC37" s="7">
        <v>0</v>
      </c>
      <c r="AD37" s="6">
        <v>0</v>
      </c>
      <c r="AE37" s="6">
        <v>0</v>
      </c>
      <c r="AF37" s="6">
        <v>0</v>
      </c>
      <c r="AG37" s="6">
        <v>0</v>
      </c>
    </row>
    <row r="38" spans="1:33">
      <c r="A38" s="6" t="s">
        <v>69</v>
      </c>
      <c r="B38" s="8">
        <v>0</v>
      </c>
      <c r="C38" s="6">
        <v>0</v>
      </c>
      <c r="D38" s="6">
        <v>0</v>
      </c>
      <c r="E38" s="6">
        <v>0</v>
      </c>
      <c r="F38" s="7">
        <v>10</v>
      </c>
      <c r="G38" s="6">
        <v>0</v>
      </c>
      <c r="H38" s="6">
        <v>30</v>
      </c>
      <c r="I38" s="6">
        <v>0</v>
      </c>
      <c r="J38" s="6">
        <v>0</v>
      </c>
      <c r="K38" s="6">
        <v>34</v>
      </c>
      <c r="L38" s="6">
        <v>0</v>
      </c>
      <c r="M38" s="6">
        <v>15</v>
      </c>
      <c r="N38" s="6">
        <v>0</v>
      </c>
      <c r="O38" s="6">
        <v>0</v>
      </c>
      <c r="P38" s="6">
        <f t="shared" si="5"/>
        <v>15</v>
      </c>
      <c r="Q38" s="6">
        <f t="shared" si="1"/>
        <v>11.25</v>
      </c>
      <c r="R38" s="6">
        <v>0</v>
      </c>
      <c r="S38" s="6">
        <v>0</v>
      </c>
      <c r="T38" s="6">
        <v>2</v>
      </c>
      <c r="U38" s="6">
        <v>0</v>
      </c>
      <c r="V38" s="6">
        <f>SUM(R38:U38)</f>
        <v>2</v>
      </c>
      <c r="W38" s="6">
        <f>R38+(0.75*S38)+(0.5*T38)+(0.25*U38)</f>
        <v>1</v>
      </c>
      <c r="X38" s="6">
        <f>(0.5+1.5+0+0.5)*1.04</f>
        <v>2.6</v>
      </c>
      <c r="Y38" s="6">
        <f>(0+0+0.5+0)*1.04</f>
        <v>0.52</v>
      </c>
      <c r="Z38" s="6">
        <f>(1.5+1+3+1)*1.04</f>
        <v>6.76</v>
      </c>
      <c r="AA38" s="6">
        <f>(3+4+2+3.5)*1.04</f>
        <v>13</v>
      </c>
      <c r="AB38" s="10">
        <f t="shared" si="0"/>
        <v>5.72</v>
      </c>
      <c r="AC38" s="7">
        <v>0</v>
      </c>
      <c r="AD38" s="6">
        <v>0</v>
      </c>
      <c r="AE38" s="6">
        <v>0</v>
      </c>
      <c r="AF38" s="6">
        <f>(10+2+2.5+7.5)*1.04</f>
        <v>22.880000000000003</v>
      </c>
      <c r="AG38" s="6">
        <f t="shared" si="6"/>
        <v>5.7200000000000006</v>
      </c>
    </row>
    <row r="39" spans="1:33">
      <c r="A39" s="6" t="s">
        <v>70</v>
      </c>
      <c r="B39" s="6">
        <v>0</v>
      </c>
      <c r="C39" s="6">
        <v>0</v>
      </c>
      <c r="D39" s="6">
        <v>0</v>
      </c>
      <c r="E39" s="6">
        <v>0</v>
      </c>
      <c r="F39" s="7">
        <v>0</v>
      </c>
      <c r="G39" s="6">
        <v>0</v>
      </c>
      <c r="H39" s="6">
        <v>0</v>
      </c>
      <c r="I39" s="6">
        <v>30</v>
      </c>
      <c r="J39" s="6">
        <v>0</v>
      </c>
      <c r="K39" s="6">
        <v>33</v>
      </c>
      <c r="L39" s="6">
        <v>101</v>
      </c>
      <c r="M39" s="6">
        <v>0</v>
      </c>
      <c r="N39" s="6">
        <v>0</v>
      </c>
      <c r="O39" s="6">
        <v>0</v>
      </c>
      <c r="P39" s="6">
        <f t="shared" si="5"/>
        <v>101</v>
      </c>
      <c r="Q39" s="6">
        <f t="shared" si="1"/>
        <v>101</v>
      </c>
      <c r="R39" s="6">
        <v>0</v>
      </c>
      <c r="S39" s="6">
        <v>9</v>
      </c>
      <c r="T39" s="6">
        <v>4</v>
      </c>
      <c r="U39" s="6">
        <v>0</v>
      </c>
      <c r="V39" s="6">
        <f>SUM(R39:U39)</f>
        <v>13</v>
      </c>
      <c r="W39" s="6">
        <f>R39+(0.75*S39)+(0.5*T39)+(0.25*U39)</f>
        <v>8.75</v>
      </c>
      <c r="X39" s="6">
        <f>(1.5+0+0.5+2.5)*1.04</f>
        <v>4.68</v>
      </c>
      <c r="Y39" s="6">
        <f>(1+0+0.5+3)*1.04</f>
        <v>4.68</v>
      </c>
      <c r="Z39" s="6">
        <f>(1+3+0.5+0)*1.04</f>
        <v>4.68</v>
      </c>
      <c r="AA39" s="6">
        <f>(0.5+0+0+4.5)*1.04</f>
        <v>5.2</v>
      </c>
      <c r="AB39" s="10">
        <f t="shared" si="0"/>
        <v>4.8099999999999996</v>
      </c>
      <c r="AC39" s="7">
        <v>0</v>
      </c>
      <c r="AD39" s="6">
        <v>0</v>
      </c>
      <c r="AE39" s="6">
        <v>0</v>
      </c>
      <c r="AF39" s="6">
        <v>0</v>
      </c>
      <c r="AG39" s="6">
        <v>0</v>
      </c>
    </row>
    <row r="40" spans="1:33">
      <c r="A40" s="6" t="s">
        <v>71</v>
      </c>
      <c r="B40" s="6">
        <v>0</v>
      </c>
      <c r="C40" s="6">
        <v>0</v>
      </c>
      <c r="D40" s="6">
        <v>0</v>
      </c>
      <c r="E40" s="6">
        <v>0</v>
      </c>
      <c r="F40" s="7">
        <v>20</v>
      </c>
      <c r="G40" s="6">
        <v>0</v>
      </c>
      <c r="H40" s="6">
        <v>0</v>
      </c>
      <c r="I40" s="6">
        <v>0</v>
      </c>
      <c r="J40" s="6">
        <v>25</v>
      </c>
      <c r="K40" s="6">
        <v>15</v>
      </c>
      <c r="L40" s="6">
        <v>0</v>
      </c>
      <c r="M40" s="6">
        <v>0</v>
      </c>
      <c r="N40" s="6">
        <v>0</v>
      </c>
      <c r="O40" s="6">
        <v>0</v>
      </c>
      <c r="P40" s="6">
        <f t="shared" si="5"/>
        <v>0</v>
      </c>
      <c r="Q40" s="6">
        <f t="shared" si="1"/>
        <v>0</v>
      </c>
      <c r="R40" s="6">
        <v>0</v>
      </c>
      <c r="S40" s="6">
        <v>0</v>
      </c>
      <c r="T40" s="6">
        <v>8</v>
      </c>
      <c r="U40" s="6">
        <v>0</v>
      </c>
      <c r="V40" s="6">
        <f>SUM(R40:U40)</f>
        <v>8</v>
      </c>
      <c r="W40" s="6">
        <f>R40+(0.75*S40)+(0.5*T40)+(0.25*U40)</f>
        <v>4</v>
      </c>
      <c r="X40" s="6">
        <f>(3+1.5+5.5+1.5)*1.04</f>
        <v>11.96</v>
      </c>
      <c r="Y40" s="6">
        <f>(2.5+3+2.5+0)*1.04</f>
        <v>8.32</v>
      </c>
      <c r="Z40" s="6">
        <f>(5+1+2+4)*1.04</f>
        <v>12.48</v>
      </c>
      <c r="AA40" s="7">
        <f>(5+5.5+4.5+5)*1.04</f>
        <v>20.8</v>
      </c>
      <c r="AB40" s="10">
        <f t="shared" si="0"/>
        <v>13.39</v>
      </c>
      <c r="AC40" s="7">
        <v>0</v>
      </c>
      <c r="AD40" s="6">
        <v>0</v>
      </c>
      <c r="AE40" s="6">
        <v>0</v>
      </c>
      <c r="AF40" s="6">
        <v>0</v>
      </c>
      <c r="AG40" s="6">
        <v>0</v>
      </c>
    </row>
    <row r="41" spans="1:33">
      <c r="A41" s="6" t="s">
        <v>72</v>
      </c>
      <c r="B41" s="6">
        <v>0</v>
      </c>
      <c r="C41" s="6">
        <v>0</v>
      </c>
      <c r="D41" s="6">
        <v>0</v>
      </c>
      <c r="E41" s="6">
        <v>0</v>
      </c>
      <c r="F41" s="11">
        <v>20</v>
      </c>
      <c r="G41" s="10">
        <v>0</v>
      </c>
      <c r="H41" s="10">
        <v>0</v>
      </c>
      <c r="I41" s="10">
        <v>0</v>
      </c>
      <c r="J41" s="10">
        <v>0</v>
      </c>
      <c r="K41" s="10">
        <v>10</v>
      </c>
      <c r="L41" s="6">
        <v>0</v>
      </c>
      <c r="M41" s="6">
        <v>43</v>
      </c>
      <c r="N41" s="6">
        <v>0</v>
      </c>
      <c r="O41" s="6">
        <v>0</v>
      </c>
      <c r="P41" s="6">
        <f t="shared" si="5"/>
        <v>43</v>
      </c>
      <c r="Q41" s="6">
        <f t="shared" si="1"/>
        <v>32.25</v>
      </c>
      <c r="R41" s="6">
        <v>23</v>
      </c>
      <c r="S41" s="6">
        <v>0</v>
      </c>
      <c r="T41" s="6">
        <v>52</v>
      </c>
      <c r="U41" s="6">
        <v>5</v>
      </c>
      <c r="V41" s="6">
        <f>SUM(R41:U41)</f>
        <v>80</v>
      </c>
      <c r="W41" s="6">
        <f>R41+(0.75*S41)+(0.5*T41)+(0.25*U41)</f>
        <v>50.25</v>
      </c>
      <c r="X41" s="10">
        <v>3.12</v>
      </c>
      <c r="Y41" s="10">
        <v>3.38</v>
      </c>
      <c r="Z41" s="10">
        <v>8.84</v>
      </c>
      <c r="AA41" s="10">
        <v>4.16</v>
      </c>
      <c r="AB41" s="10">
        <f t="shared" si="0"/>
        <v>4.875</v>
      </c>
      <c r="AC41" s="11">
        <v>0</v>
      </c>
      <c r="AD41" s="10">
        <v>0</v>
      </c>
      <c r="AE41" s="10">
        <v>0</v>
      </c>
      <c r="AF41" s="10">
        <v>0</v>
      </c>
      <c r="AG41" s="6">
        <f t="shared" si="6"/>
        <v>0</v>
      </c>
    </row>
    <row r="42" spans="1:33">
      <c r="A42" s="6" t="s">
        <v>73</v>
      </c>
      <c r="B42" s="6">
        <v>0</v>
      </c>
      <c r="C42" s="6">
        <v>4</v>
      </c>
      <c r="D42" s="6">
        <v>2</v>
      </c>
      <c r="E42" s="6">
        <f t="shared" si="4"/>
        <v>50</v>
      </c>
      <c r="F42" s="11">
        <v>20</v>
      </c>
      <c r="G42" s="10">
        <v>30</v>
      </c>
      <c r="H42" s="10">
        <v>0</v>
      </c>
      <c r="I42" s="12">
        <v>120</v>
      </c>
      <c r="J42" s="10">
        <v>60</v>
      </c>
      <c r="K42" s="10">
        <v>13</v>
      </c>
      <c r="L42" s="6">
        <v>210</v>
      </c>
      <c r="M42" s="6">
        <v>5</v>
      </c>
      <c r="N42" s="6">
        <v>7</v>
      </c>
      <c r="O42" s="6">
        <v>0</v>
      </c>
      <c r="P42" s="6">
        <f t="shared" si="5"/>
        <v>222</v>
      </c>
      <c r="Q42" s="6">
        <f t="shared" si="1"/>
        <v>217.25</v>
      </c>
      <c r="R42" s="6">
        <v>0</v>
      </c>
      <c r="S42" s="6">
        <v>10</v>
      </c>
      <c r="T42" s="6">
        <v>0</v>
      </c>
      <c r="U42" s="6">
        <v>0</v>
      </c>
      <c r="V42" s="6">
        <f>SUM(R42:U42)</f>
        <v>10</v>
      </c>
      <c r="W42" s="6">
        <f>R42+(0.75*S42)+(0.5*T42)+(0.25*U42)</f>
        <v>7.5</v>
      </c>
      <c r="X42" s="10">
        <v>7.0200000000000005</v>
      </c>
      <c r="Y42" s="10">
        <v>1.82</v>
      </c>
      <c r="Z42" s="10">
        <v>30.16</v>
      </c>
      <c r="AA42" s="10">
        <v>22.880000000000003</v>
      </c>
      <c r="AB42" s="10">
        <f t="shared" si="0"/>
        <v>15.47</v>
      </c>
      <c r="AC42" s="11">
        <v>0</v>
      </c>
      <c r="AD42" s="10">
        <v>0</v>
      </c>
      <c r="AE42" s="10">
        <v>16.64</v>
      </c>
      <c r="AF42" s="10">
        <v>0</v>
      </c>
      <c r="AG42" s="6">
        <f t="shared" si="6"/>
        <v>4.16</v>
      </c>
    </row>
    <row r="43" spans="1:33">
      <c r="A43" s="6" t="s">
        <v>74</v>
      </c>
      <c r="B43" s="6">
        <v>0</v>
      </c>
      <c r="C43" s="6">
        <v>0</v>
      </c>
      <c r="D43" s="6">
        <v>0</v>
      </c>
      <c r="E43" s="6">
        <v>0</v>
      </c>
      <c r="F43" s="11">
        <v>20</v>
      </c>
      <c r="G43" s="10">
        <v>0</v>
      </c>
      <c r="H43" s="10">
        <v>0</v>
      </c>
      <c r="I43" s="10">
        <v>0</v>
      </c>
      <c r="J43" s="10">
        <v>0</v>
      </c>
      <c r="K43" s="10">
        <v>26</v>
      </c>
      <c r="L43" s="6">
        <v>0</v>
      </c>
      <c r="M43" s="6">
        <v>54</v>
      </c>
      <c r="N43" s="6">
        <v>0</v>
      </c>
      <c r="O43" s="6">
        <v>0</v>
      </c>
      <c r="P43" s="6">
        <f t="shared" si="5"/>
        <v>54</v>
      </c>
      <c r="Q43" s="6">
        <f t="shared" si="1"/>
        <v>40.5</v>
      </c>
      <c r="R43" s="6">
        <v>0</v>
      </c>
      <c r="S43" s="6">
        <v>0</v>
      </c>
      <c r="T43" s="6">
        <v>0</v>
      </c>
      <c r="U43" s="6">
        <v>0</v>
      </c>
      <c r="V43" s="6">
        <f>SUM(R43:U43)</f>
        <v>0</v>
      </c>
      <c r="W43" s="6">
        <f>R43+(0.75*S43)+(0.5*T43)+(0.25*U43)</f>
        <v>0</v>
      </c>
      <c r="X43" s="10">
        <v>2.6</v>
      </c>
      <c r="Y43" s="10">
        <v>6.24</v>
      </c>
      <c r="Z43" s="10">
        <v>4.68</v>
      </c>
      <c r="AA43" s="10">
        <v>9.620000000000001</v>
      </c>
      <c r="AB43" s="10">
        <f t="shared" si="0"/>
        <v>5.7850000000000001</v>
      </c>
      <c r="AC43" s="11">
        <v>6.24</v>
      </c>
      <c r="AD43" s="10">
        <v>0</v>
      </c>
      <c r="AE43" s="10">
        <v>4.16</v>
      </c>
      <c r="AF43" s="10">
        <v>0</v>
      </c>
      <c r="AG43" s="6">
        <f t="shared" si="6"/>
        <v>2.6</v>
      </c>
    </row>
    <row r="44" spans="1:33">
      <c r="A44" s="6" t="s">
        <v>75</v>
      </c>
      <c r="B44" s="6">
        <v>0</v>
      </c>
      <c r="C44" s="6">
        <v>62</v>
      </c>
      <c r="D44" s="6">
        <v>59</v>
      </c>
      <c r="E44" s="6">
        <f t="shared" si="4"/>
        <v>95.161290322580655</v>
      </c>
      <c r="F44" s="11">
        <v>80</v>
      </c>
      <c r="G44" s="10">
        <v>15</v>
      </c>
      <c r="H44" s="10">
        <v>0</v>
      </c>
      <c r="I44" s="10">
        <v>0</v>
      </c>
      <c r="J44" s="10">
        <v>50</v>
      </c>
      <c r="K44" s="10">
        <v>10</v>
      </c>
      <c r="L44" s="6">
        <v>0</v>
      </c>
      <c r="M44" s="6">
        <v>2</v>
      </c>
      <c r="N44" s="6">
        <v>0</v>
      </c>
      <c r="O44" s="6">
        <v>0</v>
      </c>
      <c r="P44" s="6">
        <f t="shared" si="5"/>
        <v>2</v>
      </c>
      <c r="Q44" s="6">
        <f t="shared" si="1"/>
        <v>1.5</v>
      </c>
      <c r="R44" s="6">
        <v>0</v>
      </c>
      <c r="S44" s="6">
        <v>0</v>
      </c>
      <c r="T44" s="6">
        <v>3</v>
      </c>
      <c r="U44" s="6">
        <v>0</v>
      </c>
      <c r="V44" s="6">
        <f>SUM(R44:U44)</f>
        <v>3</v>
      </c>
      <c r="W44" s="6">
        <f>R44+(0.75*S44)+(0.5*T44)+(0.25*U44)</f>
        <v>1.5</v>
      </c>
      <c r="X44" s="10">
        <v>3.12</v>
      </c>
      <c r="Y44" s="10">
        <v>2.6</v>
      </c>
      <c r="Z44" s="10">
        <v>2.08</v>
      </c>
      <c r="AA44" s="10">
        <v>2.8600000000000003</v>
      </c>
      <c r="AB44" s="10">
        <f t="shared" si="0"/>
        <v>2.665</v>
      </c>
      <c r="AC44" s="11">
        <v>15.600000000000001</v>
      </c>
      <c r="AD44" s="10">
        <v>1.04</v>
      </c>
      <c r="AE44" s="10">
        <v>0</v>
      </c>
      <c r="AF44" s="10">
        <v>0</v>
      </c>
      <c r="AG44" s="6">
        <f t="shared" si="6"/>
        <v>4.16</v>
      </c>
    </row>
    <row r="45" spans="1:33">
      <c r="A45" s="6" t="s">
        <v>76</v>
      </c>
      <c r="B45" s="6">
        <v>0</v>
      </c>
      <c r="C45" s="6">
        <v>19</v>
      </c>
      <c r="D45" s="6">
        <v>17</v>
      </c>
      <c r="E45" s="6">
        <f t="shared" si="4"/>
        <v>89.473684210526315</v>
      </c>
      <c r="F45" s="11">
        <v>0</v>
      </c>
      <c r="G45" s="10">
        <v>0</v>
      </c>
      <c r="H45" s="10">
        <v>0</v>
      </c>
      <c r="I45" s="10">
        <v>0</v>
      </c>
      <c r="J45" s="10">
        <v>0</v>
      </c>
      <c r="K45" s="10">
        <v>37</v>
      </c>
      <c r="L45" s="6">
        <v>0</v>
      </c>
      <c r="M45" s="6">
        <v>36</v>
      </c>
      <c r="N45" s="6">
        <v>0</v>
      </c>
      <c r="O45" s="6">
        <v>0</v>
      </c>
      <c r="P45" s="6">
        <f t="shared" si="5"/>
        <v>36</v>
      </c>
      <c r="Q45" s="6">
        <f t="shared" si="1"/>
        <v>27</v>
      </c>
      <c r="R45" s="6">
        <v>0</v>
      </c>
      <c r="S45" s="6">
        <v>0</v>
      </c>
      <c r="T45" s="6">
        <v>0</v>
      </c>
      <c r="U45" s="6">
        <v>0</v>
      </c>
      <c r="V45" s="6">
        <f>SUM(R45:U45)</f>
        <v>0</v>
      </c>
      <c r="W45" s="6">
        <f>R45+(0.75*S45)+(0.5*T45)+(0.25*U45)</f>
        <v>0</v>
      </c>
      <c r="X45" s="10">
        <v>14.56</v>
      </c>
      <c r="Y45" s="10">
        <v>11.96</v>
      </c>
      <c r="Z45" s="10">
        <v>7.8000000000000007</v>
      </c>
      <c r="AA45" s="10">
        <v>14.56</v>
      </c>
      <c r="AB45" s="10">
        <f t="shared" si="0"/>
        <v>12.220000000000002</v>
      </c>
      <c r="AC45" s="11">
        <v>8.32</v>
      </c>
      <c r="AD45" s="10">
        <v>1.56</v>
      </c>
      <c r="AE45" s="10">
        <v>0</v>
      </c>
      <c r="AF45" s="10">
        <v>1.04</v>
      </c>
      <c r="AG45" s="6">
        <f t="shared" si="6"/>
        <v>2.7300000000000004</v>
      </c>
    </row>
    <row r="46" spans="1:33">
      <c r="A46" s="6" t="s">
        <v>77</v>
      </c>
      <c r="B46" s="6">
        <v>0</v>
      </c>
      <c r="C46" s="6">
        <v>73</v>
      </c>
      <c r="D46" s="6">
        <v>66</v>
      </c>
      <c r="E46" s="6">
        <f t="shared" si="4"/>
        <v>90.410958904109577</v>
      </c>
      <c r="F46" s="11">
        <v>0</v>
      </c>
      <c r="G46" s="10">
        <v>0</v>
      </c>
      <c r="H46" s="10">
        <v>0</v>
      </c>
      <c r="I46" s="10">
        <v>0</v>
      </c>
      <c r="J46" s="10">
        <v>0</v>
      </c>
      <c r="K46" s="10">
        <v>1</v>
      </c>
      <c r="L46" s="6">
        <v>0</v>
      </c>
      <c r="M46" s="6">
        <v>2</v>
      </c>
      <c r="N46" s="6">
        <v>0</v>
      </c>
      <c r="O46" s="6">
        <v>0</v>
      </c>
      <c r="P46" s="6">
        <f t="shared" si="5"/>
        <v>2</v>
      </c>
      <c r="Q46" s="6">
        <f t="shared" si="1"/>
        <v>1.5</v>
      </c>
      <c r="R46" s="6">
        <v>49</v>
      </c>
      <c r="S46" s="6">
        <v>0</v>
      </c>
      <c r="T46" s="6">
        <v>0</v>
      </c>
      <c r="U46" s="6">
        <v>0</v>
      </c>
      <c r="V46" s="6">
        <f>SUM(R46:U46)</f>
        <v>49</v>
      </c>
      <c r="W46" s="6">
        <f>R46+(0.75*S46)+(0.5*T46)+(0.25*U46)</f>
        <v>49</v>
      </c>
      <c r="X46" s="10">
        <v>14.56</v>
      </c>
      <c r="Y46" s="10">
        <v>16.12</v>
      </c>
      <c r="Z46" s="10">
        <v>21.84</v>
      </c>
      <c r="AA46" s="10">
        <v>4.9400000000000004</v>
      </c>
      <c r="AB46" s="10">
        <f t="shared" si="0"/>
        <v>14.364999999999998</v>
      </c>
      <c r="AC46" s="11">
        <f>(1+1+2+3)*1.04</f>
        <v>7.28</v>
      </c>
      <c r="AD46" s="10">
        <f>(2)*1.04</f>
        <v>2.08</v>
      </c>
      <c r="AE46" s="10">
        <v>0</v>
      </c>
      <c r="AF46" s="10">
        <v>0</v>
      </c>
      <c r="AG46" s="6">
        <f t="shared" si="6"/>
        <v>2.34</v>
      </c>
    </row>
    <row r="47" spans="1:33">
      <c r="A47" s="6" t="s">
        <v>78</v>
      </c>
      <c r="B47" s="6">
        <v>0</v>
      </c>
      <c r="C47" s="6">
        <v>96</v>
      </c>
      <c r="D47" s="6">
        <v>45</v>
      </c>
      <c r="E47" s="6">
        <f t="shared" si="4"/>
        <v>46.875</v>
      </c>
      <c r="F47" s="11">
        <v>0</v>
      </c>
      <c r="G47" s="10">
        <v>0</v>
      </c>
      <c r="H47" s="10">
        <v>0</v>
      </c>
      <c r="I47" s="10">
        <v>0</v>
      </c>
      <c r="J47" s="10">
        <v>0</v>
      </c>
      <c r="K47" s="10">
        <v>7.5</v>
      </c>
      <c r="L47" s="6">
        <v>0</v>
      </c>
      <c r="M47" s="6">
        <v>9</v>
      </c>
      <c r="N47" s="6">
        <v>0</v>
      </c>
      <c r="O47" s="6">
        <v>0</v>
      </c>
      <c r="P47" s="6">
        <f t="shared" si="5"/>
        <v>9</v>
      </c>
      <c r="Q47" s="6">
        <f t="shared" si="1"/>
        <v>6.75</v>
      </c>
      <c r="R47" s="6">
        <v>0</v>
      </c>
      <c r="S47" s="6">
        <v>0</v>
      </c>
      <c r="T47" s="6">
        <v>0</v>
      </c>
      <c r="U47" s="6">
        <v>0</v>
      </c>
      <c r="V47" s="6">
        <f>SUM(R47:U47)</f>
        <v>0</v>
      </c>
      <c r="W47" s="6">
        <f>R47+(0.75*S47)+(0.5*T47)+(0.25*U47)</f>
        <v>0</v>
      </c>
      <c r="X47" s="10">
        <v>9.36</v>
      </c>
      <c r="Y47" s="10">
        <v>32.24</v>
      </c>
      <c r="Z47" s="10">
        <v>2.08</v>
      </c>
      <c r="AA47" s="10">
        <v>9.36</v>
      </c>
      <c r="AB47" s="10">
        <f t="shared" si="0"/>
        <v>13.26</v>
      </c>
      <c r="AC47" s="11">
        <f>(1)*1.04</f>
        <v>1.04</v>
      </c>
      <c r="AD47" s="10">
        <v>0</v>
      </c>
      <c r="AE47" s="10">
        <v>0</v>
      </c>
      <c r="AF47" s="10">
        <v>0</v>
      </c>
      <c r="AG47" s="6">
        <f t="shared" si="6"/>
        <v>0.26</v>
      </c>
    </row>
    <row r="48" spans="1:33">
      <c r="A48" s="6" t="s">
        <v>79</v>
      </c>
      <c r="B48" s="6">
        <v>0</v>
      </c>
      <c r="C48" s="6">
        <v>0</v>
      </c>
      <c r="D48" s="6">
        <v>0</v>
      </c>
      <c r="E48" s="6" t="e">
        <f t="shared" si="4"/>
        <v>#DIV/0!</v>
      </c>
      <c r="F48" s="11">
        <v>0</v>
      </c>
      <c r="G48" s="10">
        <v>0</v>
      </c>
      <c r="H48" s="10">
        <v>0</v>
      </c>
      <c r="I48" s="10">
        <v>0</v>
      </c>
      <c r="J48" s="10">
        <v>0</v>
      </c>
      <c r="K48" s="10">
        <v>5</v>
      </c>
      <c r="L48" s="6">
        <v>0</v>
      </c>
      <c r="M48" s="6">
        <v>7</v>
      </c>
      <c r="N48" s="6">
        <v>0</v>
      </c>
      <c r="O48" s="6">
        <v>0</v>
      </c>
      <c r="P48" s="6">
        <f t="shared" si="5"/>
        <v>7</v>
      </c>
      <c r="Q48" s="6">
        <f t="shared" si="1"/>
        <v>5.25</v>
      </c>
      <c r="R48" s="6">
        <v>0</v>
      </c>
      <c r="S48" s="6">
        <v>0</v>
      </c>
      <c r="T48" s="6">
        <v>11</v>
      </c>
      <c r="U48" s="6">
        <v>0</v>
      </c>
      <c r="V48" s="6">
        <f>SUM(R48:U48)</f>
        <v>11</v>
      </c>
      <c r="W48" s="6">
        <f>R48+(0.75*S48)+(0.5*T48)+(0.25*U48)</f>
        <v>5.5</v>
      </c>
      <c r="X48" s="10">
        <v>2.8600000000000003</v>
      </c>
      <c r="Y48" s="10">
        <v>0</v>
      </c>
      <c r="Z48" s="10">
        <v>10.4</v>
      </c>
      <c r="AA48" s="10">
        <v>15.08</v>
      </c>
      <c r="AB48" s="10">
        <f t="shared" si="0"/>
        <v>7.0850000000000009</v>
      </c>
      <c r="AC48" s="11">
        <f>(1)*1.04</f>
        <v>1.04</v>
      </c>
      <c r="AD48" s="10">
        <v>0</v>
      </c>
      <c r="AE48" s="10">
        <v>0</v>
      </c>
      <c r="AF48" s="10">
        <v>0</v>
      </c>
      <c r="AG48" s="6">
        <f t="shared" si="6"/>
        <v>0.26</v>
      </c>
    </row>
    <row r="49" spans="1:33">
      <c r="A49" s="6" t="s">
        <v>80</v>
      </c>
      <c r="B49" s="6">
        <v>0</v>
      </c>
      <c r="C49" s="6">
        <v>23</v>
      </c>
      <c r="D49" s="6">
        <v>21</v>
      </c>
      <c r="E49" s="6">
        <f t="shared" si="4"/>
        <v>91.304347826086953</v>
      </c>
      <c r="F49" s="11">
        <v>0</v>
      </c>
      <c r="G49" s="10">
        <v>0</v>
      </c>
      <c r="H49" s="10">
        <v>0</v>
      </c>
      <c r="I49" s="10">
        <v>0</v>
      </c>
      <c r="J49" s="10">
        <v>0</v>
      </c>
      <c r="K49" s="10">
        <v>10</v>
      </c>
      <c r="L49" s="6">
        <v>0</v>
      </c>
      <c r="M49" s="6">
        <v>3</v>
      </c>
      <c r="N49" s="6">
        <v>0</v>
      </c>
      <c r="O49" s="6">
        <v>0</v>
      </c>
      <c r="P49" s="6">
        <f t="shared" si="5"/>
        <v>3</v>
      </c>
      <c r="Q49" s="6">
        <f t="shared" si="1"/>
        <v>2.25</v>
      </c>
      <c r="R49" s="6">
        <v>0</v>
      </c>
      <c r="S49" s="6">
        <v>0</v>
      </c>
      <c r="T49" s="6">
        <v>0</v>
      </c>
      <c r="U49" s="6">
        <v>0</v>
      </c>
      <c r="V49" s="6">
        <f>SUM(R49:U49)</f>
        <v>0</v>
      </c>
      <c r="W49" s="6">
        <f>R49+(0.75*S49)+(0.5*T49)+(0.25*U49)</f>
        <v>0</v>
      </c>
      <c r="X49" s="10">
        <v>0.26</v>
      </c>
      <c r="Y49" s="10">
        <v>11.440000000000001</v>
      </c>
      <c r="Z49" s="10">
        <v>3.12</v>
      </c>
      <c r="AA49" s="10">
        <v>0</v>
      </c>
      <c r="AB49" s="10">
        <f t="shared" si="0"/>
        <v>3.7050000000000001</v>
      </c>
      <c r="AC49" s="11">
        <f>(4+15+6+0)*1.04</f>
        <v>26</v>
      </c>
      <c r="AD49" s="10">
        <v>0</v>
      </c>
      <c r="AE49" s="10">
        <v>0</v>
      </c>
      <c r="AF49" s="10">
        <v>0</v>
      </c>
      <c r="AG49" s="6">
        <f t="shared" si="6"/>
        <v>6.5</v>
      </c>
    </row>
    <row r="50" spans="1:33">
      <c r="A50" s="13"/>
      <c r="B50" s="13"/>
      <c r="C50" s="13"/>
      <c r="D50" s="13"/>
      <c r="E50" s="13"/>
      <c r="F50" s="14"/>
      <c r="G50" s="13"/>
      <c r="H50" s="13"/>
      <c r="I50" s="13"/>
      <c r="J50" s="13"/>
      <c r="K50" s="13"/>
      <c r="W50" s="13"/>
    </row>
    <row r="51" spans="1:33">
      <c r="A51" s="13"/>
      <c r="B51" s="13"/>
      <c r="C51" s="13"/>
      <c r="D51" s="13"/>
      <c r="E51" s="13"/>
      <c r="F51" s="14"/>
      <c r="G51" s="13"/>
      <c r="H51" s="13"/>
      <c r="I51" s="13"/>
      <c r="J51" s="13"/>
      <c r="K51" s="13"/>
      <c r="W51" s="13"/>
    </row>
    <row r="52" spans="1:33">
      <c r="A52" s="13"/>
      <c r="B52" s="13"/>
      <c r="C52" s="13"/>
      <c r="D52" s="13"/>
      <c r="E52" s="13"/>
      <c r="F52" s="14"/>
      <c r="G52" s="13"/>
      <c r="H52" s="13"/>
      <c r="I52" s="13"/>
      <c r="J52" s="13"/>
      <c r="K52" s="13"/>
      <c r="W52" s="13"/>
    </row>
    <row r="53" spans="1:33">
      <c r="A53" s="13"/>
      <c r="B53" s="13"/>
      <c r="C53" s="13"/>
      <c r="D53" s="13"/>
      <c r="E53" s="13"/>
      <c r="F53" s="14"/>
      <c r="G53" s="13"/>
      <c r="H53" s="13"/>
      <c r="I53" s="13"/>
      <c r="J53" s="13"/>
      <c r="K53" s="13"/>
      <c r="W53" s="13"/>
    </row>
    <row r="54" spans="1:33">
      <c r="A54" s="13"/>
      <c r="B54" s="13"/>
      <c r="C54" s="13"/>
      <c r="D54" s="13"/>
      <c r="E54" s="13"/>
      <c r="F54" s="14"/>
      <c r="G54" s="13"/>
      <c r="H54" s="13"/>
      <c r="I54" s="13"/>
      <c r="J54" s="13"/>
      <c r="K54" s="13"/>
      <c r="W54" s="13"/>
    </row>
    <row r="55" spans="1:33">
      <c r="A55" s="13"/>
      <c r="B55" s="13"/>
      <c r="C55" s="13"/>
      <c r="D55" s="13"/>
      <c r="E55" s="13"/>
      <c r="F55" s="14"/>
      <c r="G55" s="13"/>
      <c r="H55" s="13"/>
      <c r="I55" s="13"/>
      <c r="J55" s="13"/>
      <c r="K55" s="13"/>
      <c r="W5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2015-03-09T09:15:33Z</dcterms:created>
  <dcterms:modified xsi:type="dcterms:W3CDTF">2015-03-09T09:16:35Z</dcterms:modified>
</cp:coreProperties>
</file>