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FiveYearPlan/FYP_21_25/Models/Obligations/Adopted/"/>
    </mc:Choice>
  </mc:AlternateContent>
  <xr:revisionPtr revIDLastSave="0" documentId="13_ncr:1_{82FDA161-CC6C-494D-8067-2D7325F35E6D}" xr6:coauthVersionLast="45" xr6:coauthVersionMax="45" xr10:uidLastSave="{00000000-0000-0000-0000-000000000000}"/>
  <bookViews>
    <workbookView xWindow="3440" yWindow="460" windowWidth="25360" windowHeight="15640" tabRatio="827" firstSheet="51" activeTab="59" xr2:uid="{00000000-000D-0000-FFFF-FFFF00000000}"/>
  </bookViews>
  <sheets>
    <sheet name="Summary" sheetId="4" r:id="rId1"/>
    <sheet name="DeptSummary" sheetId="5" r:id="rId2"/>
    <sheet name="34-Art Museum Subsidy" sheetId="1" r:id="rId3"/>
    <sheet name="18-Atwater Kent Museum" sheetId="7" r:id="rId4"/>
    <sheet name="61-Auditing" sheetId="8" r:id="rId5"/>
    <sheet name="45-Board of Ethics" sheetId="9" r:id="rId6"/>
    <sheet name="63-Board of Revision of Taxes" sheetId="10" r:id="rId7"/>
    <sheet name="73-City Commissioners" sheetId="12" r:id="rId8"/>
    <sheet name="01-City Council" sheetId="13" r:id="rId9"/>
    <sheet name="41-City Representative" sheetId="15" r:id="rId10"/>
    <sheet name="40-City Treasurer" sheetId="17" r:id="rId11"/>
    <sheet name="55-Civil Service Comm" sheetId="18" r:id="rId12"/>
    <sheet name="55L-CivServComm-Labor Reserve" sheetId="19" r:id="rId13"/>
    <sheet name="42-Commerce" sheetId="20" r:id="rId14"/>
    <sheet name="42CC-Commerce Convention Ctr" sheetId="21" r:id="rId15"/>
    <sheet name="42ES-Commerce Econ Stimulus" sheetId="22" r:id="rId16"/>
    <sheet name="69-District Attorney" sheetId="23" r:id="rId17"/>
    <sheet name="35-Finance" sheetId="24" r:id="rId18"/>
    <sheet name="35R-Finance - Recession Reserve" sheetId="102" r:id="rId19"/>
    <sheet name="35D-Finance Reg32" sheetId="98" r:id="rId20"/>
    <sheet name="35CC-Finance - CCP" sheetId="26" r:id="rId21"/>
    <sheet name="35BS-Finance-BudgetStabilizat'n" sheetId="93" r:id="rId22"/>
    <sheet name="35EB-Finance - Benefits" sheetId="83" r:id="rId23"/>
    <sheet name="35H-Finance - Hero" sheetId="27" r:id="rId24"/>
    <sheet name="35I-Finance - Indemnities" sheetId="28" r:id="rId25"/>
    <sheet name="35R-Finance - Refunds" sheetId="29" r:id="rId26"/>
    <sheet name="35SD-Finance-School District" sheetId="30" r:id="rId27"/>
    <sheet name="35W-Finance - Witness Fees" sheetId="31" r:id="rId28"/>
    <sheet name="13-Fire" sheetId="32" r:id="rId29"/>
    <sheet name="84-FJD" sheetId="33" r:id="rId30"/>
    <sheet name="25-Fleet" sheetId="34" r:id="rId31"/>
    <sheet name="25V-Fleet - Vehicle" sheetId="35" r:id="rId32"/>
    <sheet name="52-Free Library" sheetId="36" r:id="rId33"/>
    <sheet name="54-Human Relations Comm" sheetId="38" r:id="rId34"/>
    <sheet name="22-Human Services" sheetId="39" r:id="rId35"/>
    <sheet name="03-Labor" sheetId="40" r:id="rId36"/>
    <sheet name="44-Law" sheetId="42" r:id="rId37"/>
    <sheet name="26-L+I" sheetId="43" r:id="rId38"/>
    <sheet name="29-L+I -Bd Bldg Standards" sheetId="45" r:id="rId39"/>
    <sheet name="27-L+I -Bd LI Rev" sheetId="46" r:id="rId40"/>
    <sheet name="10-MDO" sheetId="49" r:id="rId41"/>
    <sheet name="10LS-MDO-Legal Svcs" sheetId="50" r:id="rId42"/>
    <sheet name="05-Mayor" sheetId="51" r:id="rId43"/>
    <sheet name="05S-Mayor-Schol" sheetId="52" r:id="rId44"/>
    <sheet name="50-Mural Arts" sheetId="56" r:id="rId45"/>
    <sheet name="58-Arts&amp;Culture" sheetId="57" r:id="rId46"/>
    <sheet name="15-OBH" sheetId="58" r:id="rId47"/>
    <sheet name="65-CAO" sheetId="96" r:id="rId48"/>
    <sheet name="08-CEO( MOCS_08)" sheetId="54" r:id="rId49"/>
    <sheet name="66-OCF" sheetId="97" r:id="rId50"/>
    <sheet name="24-OHS" sheetId="65" r:id="rId51"/>
    <sheet name="56-OHR" sheetId="60" r:id="rId52"/>
    <sheet name="04-OIT" sheetId="61" r:id="rId53"/>
    <sheet name="04-OIT-911" sheetId="62" r:id="rId54"/>
    <sheet name="48-OIG" sheetId="63" r:id="rId55"/>
    <sheet name="59-OPA" sheetId="64" r:id="rId56"/>
    <sheet name="49-Off of Sustainability" sheetId="92" r:id="rId57"/>
    <sheet name="16-Parks&amp;Rec" sheetId="66" r:id="rId58"/>
    <sheet name="72-Planning &amp; Dev (Incl OHCD)" sheetId="59" r:id="rId59"/>
    <sheet name="11-Police" sheetId="67" r:id="rId60"/>
    <sheet name="23-Prisons" sheetId="68" r:id="rId61"/>
    <sheet name="38-Procurement" sheetId="69" r:id="rId62"/>
    <sheet name="14-Public Health" sheetId="70" r:id="rId63"/>
    <sheet name="20-Public Property" sheetId="71" r:id="rId64"/>
    <sheet name="20S-Public Prop-SEPTA" sheetId="72" r:id="rId65"/>
    <sheet name="20SR-Public Prop-Space Rentals" sheetId="73" r:id="rId66"/>
    <sheet name="20U-Public Prop-Utilities" sheetId="74" r:id="rId67"/>
    <sheet name="31-Records" sheetId="75" r:id="rId68"/>
    <sheet name="68-Register of Wills" sheetId="76" r:id="rId69"/>
    <sheet name="36-Revenue" sheetId="77" r:id="rId70"/>
    <sheet name="70-Sheriff" sheetId="78" r:id="rId71"/>
    <sheet name="37-Sinking Fund" sheetId="79" r:id="rId72"/>
    <sheet name="12D-Streets-Disposal" sheetId="100" r:id="rId73"/>
    <sheet name="12-Streets" sheetId="80" r:id="rId74"/>
    <sheet name="CSC- ALL" sheetId="90" r:id="rId75"/>
    <sheet name="COMMERCE -ALL" sheetId="89" r:id="rId76"/>
    <sheet name="FINANCE TOTAL" sheetId="86" r:id="rId77"/>
    <sheet name="FLEET TOTAL" sheetId="94" r:id="rId78"/>
    <sheet name="MDO TOTAL" sheetId="85" r:id="rId79"/>
    <sheet name="MAYOR TOTAL" sheetId="91" r:id="rId80"/>
    <sheet name="OIT ALL" sheetId="88" r:id="rId81"/>
    <sheet name="PUB PROP TOTAL" sheetId="87" r:id="rId82"/>
    <sheet name="STREETS TOTAL" sheetId="101" r:id="rId83"/>
    <sheet name="Template" sheetId="41" r:id="rId84"/>
  </sheets>
  <externalReferences>
    <externalReference r:id="rId85"/>
  </externalReferences>
  <definedNames>
    <definedName name="_xlnm._FilterDatabase" localSheetId="71" hidden="1">'37-Sinking Fund'!$A$6:$I$16</definedName>
    <definedName name="_xlnm.Print_Area" localSheetId="8">'01-City Council'!$A$1:$I$50</definedName>
    <definedName name="_xlnm.Print_Area" localSheetId="35">'03-Labor'!$A$1:$I$52</definedName>
    <definedName name="_xlnm.Print_Area" localSheetId="52">'04-OIT'!$A$1:$I$73</definedName>
    <definedName name="_xlnm.Print_Area" localSheetId="53">'04-OIT-911'!$A$1:$I$50</definedName>
    <definedName name="_xlnm.Print_Area" localSheetId="42">'05-Mayor'!$A$1:$I$50</definedName>
    <definedName name="_xlnm.Print_Area" localSheetId="43">'05S-Mayor-Schol'!$A$1:$I$50</definedName>
    <definedName name="_xlnm.Print_Area" localSheetId="48">'08-CEO( MOCS_08)'!$A$1:$I$50</definedName>
    <definedName name="_xlnm.Print_Area" localSheetId="40">'10-MDO'!$A$1:$I$128</definedName>
    <definedName name="_xlnm.Print_Area" localSheetId="41">'10LS-MDO-Legal Svcs'!$A$1:$I$50</definedName>
    <definedName name="_xlnm.Print_Area" localSheetId="59">'11-Police'!$A$1:$I$65</definedName>
    <definedName name="_xlnm.Print_Area" localSheetId="73">'12-Streets'!$A$1:$I$62</definedName>
    <definedName name="_xlnm.Print_Area" localSheetId="72">'12D-Streets-Disposal'!$A$1:$I$50</definedName>
    <definedName name="_xlnm.Print_Area" localSheetId="28">'13-Fire'!$A$1:$I$68</definedName>
    <definedName name="_xlnm.Print_Area" localSheetId="62">'14-Public Health'!$A$1:$I$70</definedName>
    <definedName name="_xlnm.Print_Area" localSheetId="46">'15-OBH'!$A$1:$I$50</definedName>
    <definedName name="_xlnm.Print_Area" localSheetId="57">'16-Parks&amp;Rec'!$A$1:$I$55</definedName>
    <definedName name="_xlnm.Print_Area" localSheetId="3">'18-Atwater Kent Museum'!$A$1:$I$50</definedName>
    <definedName name="_xlnm.Print_Area" localSheetId="63">'20-Public Property'!$A$1:$I$49</definedName>
    <definedName name="_xlnm.Print_Area" localSheetId="64">'20S-Public Prop-SEPTA'!$A$1:$I$31</definedName>
    <definedName name="_xlnm.Print_Area" localSheetId="65">'20SR-Public Prop-Space Rentals'!$A$1:$I$50</definedName>
    <definedName name="_xlnm.Print_Area" localSheetId="66">'20U-Public Prop-Utilities'!$A$1:$I$50</definedName>
    <definedName name="_xlnm.Print_Area" localSheetId="34">'22-Human Services'!$A$1:$I$54</definedName>
    <definedName name="_xlnm.Print_Area" localSheetId="60">'23-Prisons'!$A$1:$I$53</definedName>
    <definedName name="_xlnm.Print_Area" localSheetId="50">'24-OHS'!$A$1:$I$52</definedName>
    <definedName name="_xlnm.Print_Area" localSheetId="30">'25-Fleet'!$A$1:$I$55</definedName>
    <definedName name="_xlnm.Print_Area" localSheetId="31">'25V-Fleet - Vehicle'!$A$1:$I$50</definedName>
    <definedName name="_xlnm.Print_Area" localSheetId="37">'26-L+I'!$A$1:$I$56</definedName>
    <definedName name="_xlnm.Print_Area" localSheetId="39">'27-L+I -Bd LI Rev'!$A$1:$I$50</definedName>
    <definedName name="_xlnm.Print_Area" localSheetId="38">'29-L+I -Bd Bldg Standards'!$A$1:$I$50</definedName>
    <definedName name="_xlnm.Print_Area" localSheetId="67">'31-Records'!$A$1:$I$55</definedName>
    <definedName name="_xlnm.Print_Area" localSheetId="2">'34-Art Museum Subsidy'!$A$1:$I$51</definedName>
    <definedName name="_xlnm.Print_Area" localSheetId="17">'35-Finance'!$A$1:$I$75</definedName>
    <definedName name="_xlnm.Print_Area" localSheetId="21">'35BS-Finance-BudgetStabilizat''n'!$A$1:$I$50</definedName>
    <definedName name="_xlnm.Print_Area" localSheetId="20">'35CC-Finance - CCP'!$A$1:$I$18</definedName>
    <definedName name="_xlnm.Print_Area" localSheetId="19">'35D-Finance Reg32'!$A$1:$I$50</definedName>
    <definedName name="_xlnm.Print_Area" localSheetId="22">'35EB-Finance - Benefits'!$M$1:$U$50</definedName>
    <definedName name="_xlnm.Print_Area" localSheetId="23">'35H-Finance - Hero'!$A$1:$I$50</definedName>
    <definedName name="_xlnm.Print_Area" localSheetId="24">'35I-Finance - Indemnities'!$A$1:$I$50</definedName>
    <definedName name="_xlnm.Print_Area" localSheetId="18">'35R-Finance - Recession Reserve'!$A$1:$I$50</definedName>
    <definedName name="_xlnm.Print_Area" localSheetId="25">'35R-Finance - Refunds'!$A$1:$I$50</definedName>
    <definedName name="_xlnm.Print_Area" localSheetId="26">'35SD-Finance-School District'!$A$1:$I$50</definedName>
    <definedName name="_xlnm.Print_Area" localSheetId="27">'35W-Finance - Witness Fees'!$A$1:$I$50</definedName>
    <definedName name="_xlnm.Print_Area" localSheetId="69">'36-Revenue'!$A$1:$I$55</definedName>
    <definedName name="_xlnm.Print_Area" localSheetId="71">'37-Sinking Fund'!$A$1:$I$50</definedName>
    <definedName name="_xlnm.Print_Area" localSheetId="61">'38-Procurement'!$A$1:$I$52</definedName>
    <definedName name="_xlnm.Print_Area" localSheetId="10">'40-City Treasurer'!$A$1:$I$54</definedName>
    <definedName name="_xlnm.Print_Area" localSheetId="9">'41-City Representative'!$A$1:$I$50</definedName>
    <definedName name="_xlnm.Print_Area" localSheetId="13">'42-Commerce'!$A$1:$I$50</definedName>
    <definedName name="_xlnm.Print_Area" localSheetId="14">'42CC-Commerce Convention Ctr'!$A$1:$I$50</definedName>
    <definedName name="_xlnm.Print_Area" localSheetId="15">'42ES-Commerce Econ Stimulus'!$A$1:$I$50</definedName>
    <definedName name="_xlnm.Print_Area" localSheetId="36">'44-Law'!$A$1:$I$52</definedName>
    <definedName name="_xlnm.Print_Area" localSheetId="5">'45-Board of Ethics'!$A$1:$I$50</definedName>
    <definedName name="_xlnm.Print_Area" localSheetId="54">'48-OIG'!$A$1:$I$50</definedName>
    <definedName name="_xlnm.Print_Area" localSheetId="56">'49-Off of Sustainability'!$A$1:$I$51</definedName>
    <definedName name="_xlnm.Print_Area" localSheetId="44">'50-Mural Arts'!$A$1:$I$52</definedName>
    <definedName name="_xlnm.Print_Area" localSheetId="32">'52-Free Library'!$A$1:$I$55</definedName>
    <definedName name="_xlnm.Print_Area" localSheetId="33">'54-Human Relations Comm'!$A$1:$I$55</definedName>
    <definedName name="_xlnm.Print_Area" localSheetId="11">'55-Civil Service Comm'!$A$1:$I$50</definedName>
    <definedName name="_xlnm.Print_Area" localSheetId="12">'55L-CivServComm-Labor Reserve'!$A$1:$J$50</definedName>
    <definedName name="_xlnm.Print_Area" localSheetId="51">'56-OHR'!$A$1:$I$52</definedName>
    <definedName name="_xlnm.Print_Area" localSheetId="45">'58-Arts&amp;Culture'!$A$1:$I$50</definedName>
    <definedName name="_xlnm.Print_Area" localSheetId="55">'59-OPA'!$A$1:$I$52</definedName>
    <definedName name="_xlnm.Print_Area" localSheetId="4">'61-Auditing'!$A$1:$I$55</definedName>
    <definedName name="_xlnm.Print_Area" localSheetId="6">'63-Board of Revision of Taxes'!$A$1:$I$52</definedName>
    <definedName name="_xlnm.Print_Area" localSheetId="47">'65-CAO'!$A$1:$I$53</definedName>
    <definedName name="_xlnm.Print_Area" localSheetId="49">'66-OCF'!$A$1:$I$51</definedName>
    <definedName name="_xlnm.Print_Area" localSheetId="68">'68-Register of Wills'!$A$1:$I$52</definedName>
    <definedName name="_xlnm.Print_Area" localSheetId="16">'69-District Attorney'!$A$1:$I$52</definedName>
    <definedName name="_xlnm.Print_Area" localSheetId="70">'70-Sheriff'!$A$1:$I$52</definedName>
    <definedName name="_xlnm.Print_Area" localSheetId="58">'72-Planning &amp; Dev (Incl OHCD)'!$A$1:$I$55</definedName>
    <definedName name="_xlnm.Print_Area" localSheetId="7">'73-City Commissioners'!$A$1:$I$55</definedName>
    <definedName name="_xlnm.Print_Area" localSheetId="29">'84-FJD'!$A$1:$I$52</definedName>
    <definedName name="_xlnm.Print_Area" localSheetId="75">'COMMERCE -ALL'!$A$1:$I$50</definedName>
    <definedName name="_xlnm.Print_Area" localSheetId="74">'CSC- ALL'!$A$1:$I$50</definedName>
    <definedName name="_xlnm.Print_Area" localSheetId="1">DeptSummary!$B$1:$J$80</definedName>
    <definedName name="_xlnm.Print_Area" localSheetId="76">'FINANCE TOTAL'!$A$1:$I$20</definedName>
    <definedName name="_xlnm.Print_Area" localSheetId="77">'FLEET TOTAL'!$A$1:$I$50</definedName>
    <definedName name="_xlnm.Print_Area" localSheetId="79">'MAYOR TOTAL'!$A$1:$I$50</definedName>
    <definedName name="_xlnm.Print_Area" localSheetId="78">'MDO TOTAL'!$A$1:$I$50</definedName>
    <definedName name="_xlnm.Print_Area" localSheetId="80">'OIT ALL'!$A$1:$I$50</definedName>
    <definedName name="_xlnm.Print_Area" localSheetId="81">'PUB PROP TOTAL'!$A$1:$I$50</definedName>
    <definedName name="_xlnm.Print_Area" localSheetId="82">'STREETS TOTAL'!$A$1:$I$50</definedName>
    <definedName name="_xlnm.Print_Area" localSheetId="0">Summary!$A$1:$J$35</definedName>
    <definedName name="_xlnm.Print_Area" localSheetId="83">Template!$A$1:$I$50</definedName>
    <definedName name="_xlnm.Print_Titles" localSheetId="52">'04-OIT'!$1:$19</definedName>
    <definedName name="_xlnm.Print_Titles" localSheetId="40">'10-MDO'!$1:$19</definedName>
    <definedName name="_xlnm.Print_Titles" localSheetId="59">'11-Police'!$1:$19</definedName>
    <definedName name="_xlnm.Print_Titles" localSheetId="28">'13-Fire'!$1:$19</definedName>
    <definedName name="_xlnm.Print_Titles" localSheetId="62">'14-Public Health'!$1:$19</definedName>
    <definedName name="_xlnm.Print_Titles" localSheetId="17">'35-Finance'!$1:$19</definedName>
    <definedName name="_xlnm.Print_Titles" localSheetId="1">DeptSummary!$1:$7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32" l="1"/>
  <c r="E65" i="32" l="1"/>
  <c r="K18" i="30" l="1"/>
  <c r="I22" i="93" l="1"/>
  <c r="I25" i="19" l="1"/>
  <c r="H25" i="19"/>
  <c r="G25" i="19"/>
  <c r="F25" i="19"/>
  <c r="F23" i="102" l="1"/>
  <c r="U13" i="83" l="1"/>
  <c r="T13" i="83"/>
  <c r="S13" i="83"/>
  <c r="R13" i="83"/>
  <c r="Q13" i="83"/>
  <c r="H22" i="93"/>
  <c r="G41" i="69"/>
  <c r="G40" i="69"/>
  <c r="G52" i="65"/>
  <c r="G123" i="49"/>
  <c r="G45" i="39"/>
  <c r="G39" i="36"/>
  <c r="H45" i="12"/>
  <c r="H44" i="12"/>
  <c r="H43" i="12"/>
  <c r="P16" i="83"/>
  <c r="P15" i="83"/>
  <c r="P13" i="83"/>
  <c r="P10" i="83"/>
  <c r="D10" i="79"/>
  <c r="P14" i="83"/>
  <c r="D10" i="43"/>
  <c r="E10" i="43" s="1"/>
  <c r="E49" i="66"/>
  <c r="E58" i="67"/>
  <c r="AH20" i="83"/>
  <c r="AH19" i="83"/>
  <c r="AH18" i="83"/>
  <c r="AH17" i="83"/>
  <c r="AH16" i="83"/>
  <c r="AH12" i="83"/>
  <c r="E33" i="22"/>
  <c r="D10" i="97"/>
  <c r="I15" i="19"/>
  <c r="H15" i="19"/>
  <c r="G15" i="19"/>
  <c r="F15" i="19"/>
  <c r="D9" i="68"/>
  <c r="E9" i="68" s="1"/>
  <c r="D9" i="39"/>
  <c r="D9" i="67"/>
  <c r="E9" i="67" s="1"/>
  <c r="D9" i="12"/>
  <c r="D9" i="59"/>
  <c r="E9" i="59" s="1"/>
  <c r="E9" i="78"/>
  <c r="D9" i="78"/>
  <c r="D9" i="23"/>
  <c r="E9" i="23" s="1"/>
  <c r="E9" i="96"/>
  <c r="D9" i="96"/>
  <c r="D9" i="10"/>
  <c r="E9" i="10" s="1"/>
  <c r="F9" i="10" s="1"/>
  <c r="E9" i="8"/>
  <c r="D9" i="8"/>
  <c r="D9" i="64"/>
  <c r="E9" i="64" s="1"/>
  <c r="E9" i="60"/>
  <c r="D9" i="60"/>
  <c r="D9" i="38"/>
  <c r="E9" i="38" s="1"/>
  <c r="E9" i="36"/>
  <c r="D9" i="36"/>
  <c r="D9" i="42"/>
  <c r="E9" i="42" s="1"/>
  <c r="E9" i="17"/>
  <c r="D9" i="17"/>
  <c r="D9" i="69"/>
  <c r="E9" i="69" s="1"/>
  <c r="D9" i="77"/>
  <c r="E9" i="77" s="1"/>
  <c r="D9" i="24"/>
  <c r="D9" i="75"/>
  <c r="E9" i="75" s="1"/>
  <c r="E9" i="46"/>
  <c r="D9" i="46"/>
  <c r="D9" i="43"/>
  <c r="E9" i="43" s="1"/>
  <c r="D9" i="34"/>
  <c r="E9" i="34" s="1"/>
  <c r="D9" i="65"/>
  <c r="E9" i="65" s="1"/>
  <c r="F9" i="65" s="1"/>
  <c r="G9" i="65" s="1"/>
  <c r="H9" i="65" s="1"/>
  <c r="I9" i="65" s="1"/>
  <c r="E9" i="71"/>
  <c r="D9" i="71"/>
  <c r="D9" i="66"/>
  <c r="E9" i="66" s="1"/>
  <c r="E9" i="58"/>
  <c r="D9" i="58"/>
  <c r="D9" i="70"/>
  <c r="E9" i="70" s="1"/>
  <c r="D9" i="80"/>
  <c r="D9" i="61"/>
  <c r="E9" i="61" s="1"/>
  <c r="E15" i="19"/>
  <c r="E109" i="49"/>
  <c r="E39" i="68"/>
  <c r="D10" i="68"/>
  <c r="E10" i="68" s="1"/>
  <c r="F10" i="68" s="1"/>
  <c r="G10" i="68" s="1"/>
  <c r="H10" i="68" s="1"/>
  <c r="D9" i="7"/>
  <c r="E9" i="7" s="1"/>
  <c r="F9" i="7" s="1"/>
  <c r="G9" i="7" s="1"/>
  <c r="H9" i="7" s="1"/>
  <c r="I9" i="7" s="1"/>
  <c r="D10" i="7"/>
  <c r="E10" i="7" s="1"/>
  <c r="F10" i="7" s="1"/>
  <c r="G10" i="7" s="1"/>
  <c r="H10" i="7" s="1"/>
  <c r="I10" i="7" s="1"/>
  <c r="D11" i="7"/>
  <c r="E11" i="7" s="1"/>
  <c r="F11" i="7" s="1"/>
  <c r="G11" i="7" s="1"/>
  <c r="H11" i="7" s="1"/>
  <c r="I11" i="7" s="1"/>
  <c r="D14" i="24"/>
  <c r="E11" i="9"/>
  <c r="E33" i="51"/>
  <c r="D12" i="24"/>
  <c r="E12" i="24" s="1"/>
  <c r="F12" i="24" s="1"/>
  <c r="D11" i="24"/>
  <c r="D10" i="24"/>
  <c r="E10" i="24"/>
  <c r="D9" i="9"/>
  <c r="E9" i="9" s="1"/>
  <c r="F9" i="9" s="1"/>
  <c r="G9" i="9" s="1"/>
  <c r="H9" i="9" s="1"/>
  <c r="I9" i="9" s="1"/>
  <c r="D10" i="9"/>
  <c r="D11" i="9"/>
  <c r="E10" i="9"/>
  <c r="F10" i="9"/>
  <c r="G10" i="9" s="1"/>
  <c r="H10" i="9" s="1"/>
  <c r="I10" i="9" s="1"/>
  <c r="F11" i="9"/>
  <c r="G22" i="93"/>
  <c r="G40" i="12"/>
  <c r="G39" i="12"/>
  <c r="G12" i="28"/>
  <c r="E62" i="24"/>
  <c r="E9" i="24" s="1"/>
  <c r="E64" i="24"/>
  <c r="E11" i="24" s="1"/>
  <c r="F11" i="24" s="1"/>
  <c r="G11" i="24" s="1"/>
  <c r="H11" i="24" s="1"/>
  <c r="F24" i="102"/>
  <c r="E24" i="102"/>
  <c r="E15" i="102" s="1"/>
  <c r="E34" i="42"/>
  <c r="D9" i="76"/>
  <c r="D10" i="69"/>
  <c r="D10" i="67"/>
  <c r="E10" i="67" s="1"/>
  <c r="D10" i="92"/>
  <c r="E10" i="92"/>
  <c r="D9" i="92"/>
  <c r="E9" i="92" s="1"/>
  <c r="D10" i="56"/>
  <c r="E10" i="56" s="1"/>
  <c r="D9" i="56"/>
  <c r="E29" i="63"/>
  <c r="D11" i="63"/>
  <c r="D10" i="63"/>
  <c r="E10" i="63" s="1"/>
  <c r="D9" i="63"/>
  <c r="E9" i="63" s="1"/>
  <c r="E11" i="63"/>
  <c r="D10" i="80"/>
  <c r="D15" i="102"/>
  <c r="D16" i="102" s="1"/>
  <c r="E26" i="5"/>
  <c r="D15" i="24"/>
  <c r="E15" i="24" s="1"/>
  <c r="E9" i="76"/>
  <c r="F9" i="59"/>
  <c r="G9" i="59" s="1"/>
  <c r="H9" i="59" s="1"/>
  <c r="F9" i="96"/>
  <c r="G9" i="96" s="1"/>
  <c r="H9" i="96" s="1"/>
  <c r="F9" i="64"/>
  <c r="G9" i="64" s="1"/>
  <c r="H9" i="64" s="1"/>
  <c r="F9" i="60"/>
  <c r="G9" i="60" s="1"/>
  <c r="H9" i="60" s="1"/>
  <c r="F9" i="38"/>
  <c r="G9" i="38" s="1"/>
  <c r="H9" i="38" s="1"/>
  <c r="F9" i="69"/>
  <c r="G9" i="69" s="1"/>
  <c r="H9" i="69" s="1"/>
  <c r="F9" i="77"/>
  <c r="G9" i="77" s="1"/>
  <c r="H9" i="77" s="1"/>
  <c r="F9" i="75"/>
  <c r="G9" i="75" s="1"/>
  <c r="H9" i="75" s="1"/>
  <c r="F9" i="43"/>
  <c r="G9" i="43" s="1"/>
  <c r="H9" i="43" s="1"/>
  <c r="I9" i="43"/>
  <c r="F9" i="34"/>
  <c r="G9" i="34" s="1"/>
  <c r="H9" i="34" s="1"/>
  <c r="E9" i="18"/>
  <c r="D9" i="18"/>
  <c r="F9" i="66"/>
  <c r="G9" i="66" s="1"/>
  <c r="H9" i="66" s="1"/>
  <c r="I9" i="66"/>
  <c r="D9" i="33"/>
  <c r="E9" i="33" s="1"/>
  <c r="F9" i="33" s="1"/>
  <c r="G9" i="33" s="1"/>
  <c r="H9" i="33" s="1"/>
  <c r="F9" i="46"/>
  <c r="F9" i="58"/>
  <c r="E101" i="49"/>
  <c r="D64" i="49"/>
  <c r="D11" i="49"/>
  <c r="E11" i="49" s="1"/>
  <c r="I15" i="102"/>
  <c r="I24" i="102"/>
  <c r="H24" i="102"/>
  <c r="H15" i="102" s="1"/>
  <c r="G24" i="102"/>
  <c r="G15" i="102" s="1"/>
  <c r="G16" i="102" s="1"/>
  <c r="H26" i="5" s="1"/>
  <c r="E16" i="102"/>
  <c r="F15" i="102"/>
  <c r="D11" i="13"/>
  <c r="D12" i="49"/>
  <c r="E12" i="49" s="1"/>
  <c r="F12" i="49" s="1"/>
  <c r="E11" i="13"/>
  <c r="E41" i="39"/>
  <c r="F41" i="12"/>
  <c r="E40" i="12"/>
  <c r="E31" i="12"/>
  <c r="E39" i="12"/>
  <c r="F11" i="63"/>
  <c r="G11" i="63" s="1"/>
  <c r="H11" i="63" s="1"/>
  <c r="I11" i="63" s="1"/>
  <c r="E38" i="20"/>
  <c r="E39" i="20"/>
  <c r="E54" i="80"/>
  <c r="E10" i="80" s="1"/>
  <c r="D10" i="13"/>
  <c r="D11" i="56"/>
  <c r="E9" i="56"/>
  <c r="F9" i="56" s="1"/>
  <c r="G9" i="56" s="1"/>
  <c r="H9" i="56" s="1"/>
  <c r="D9" i="13"/>
  <c r="D16" i="13" s="1"/>
  <c r="E14" i="5" s="1"/>
  <c r="D12" i="56"/>
  <c r="D12" i="13"/>
  <c r="E12" i="13" s="1"/>
  <c r="F12" i="13" s="1"/>
  <c r="G12" i="13" s="1"/>
  <c r="H12" i="13" s="1"/>
  <c r="I12" i="13" s="1"/>
  <c r="D13" i="56"/>
  <c r="E13" i="56"/>
  <c r="F13" i="56" s="1"/>
  <c r="G13" i="56" s="1"/>
  <c r="H13" i="56" s="1"/>
  <c r="I13" i="56" s="1"/>
  <c r="D13" i="13"/>
  <c r="D14" i="56"/>
  <c r="E14" i="56" s="1"/>
  <c r="D14" i="13"/>
  <c r="D15" i="56"/>
  <c r="D15" i="13"/>
  <c r="C11" i="4"/>
  <c r="C12" i="4"/>
  <c r="C13" i="4"/>
  <c r="C14" i="4"/>
  <c r="C15" i="4"/>
  <c r="C16" i="4"/>
  <c r="B10" i="56"/>
  <c r="B10" i="49"/>
  <c r="B10" i="85" s="1"/>
  <c r="B11" i="13"/>
  <c r="B14" i="4"/>
  <c r="B16" i="4"/>
  <c r="F14" i="56"/>
  <c r="G14" i="56" s="1"/>
  <c r="H14" i="56" s="1"/>
  <c r="I14" i="56" s="1"/>
  <c r="E14" i="13"/>
  <c r="F14" i="13" s="1"/>
  <c r="G14" i="13" s="1"/>
  <c r="H14" i="13" s="1"/>
  <c r="I14" i="13"/>
  <c r="E13" i="13"/>
  <c r="F13" i="13"/>
  <c r="G13" i="13" s="1"/>
  <c r="H13" i="13" s="1"/>
  <c r="I13" i="13" s="1"/>
  <c r="E11" i="56"/>
  <c r="F11" i="56" s="1"/>
  <c r="G11" i="56" s="1"/>
  <c r="H11" i="56" s="1"/>
  <c r="I11" i="56" s="1"/>
  <c r="F11" i="13"/>
  <c r="G11" i="13" s="1"/>
  <c r="H11" i="13"/>
  <c r="I11" i="13" s="1"/>
  <c r="E12" i="56"/>
  <c r="F12" i="56" s="1"/>
  <c r="E15" i="56"/>
  <c r="F15" i="56"/>
  <c r="G15" i="56" s="1"/>
  <c r="H15" i="56" s="1"/>
  <c r="I15" i="56" s="1"/>
  <c r="E15" i="13"/>
  <c r="F15" i="13" s="1"/>
  <c r="G15" i="13" s="1"/>
  <c r="H15" i="13" s="1"/>
  <c r="I15" i="13"/>
  <c r="F9" i="76"/>
  <c r="G9" i="76" s="1"/>
  <c r="H9" i="76" s="1"/>
  <c r="G12" i="56"/>
  <c r="H12" i="56" s="1"/>
  <c r="I12" i="56" s="1"/>
  <c r="E34" i="69"/>
  <c r="E10" i="69" s="1"/>
  <c r="F10" i="43"/>
  <c r="G10" i="43" s="1"/>
  <c r="H10" i="43" s="1"/>
  <c r="D11" i="71"/>
  <c r="D12" i="71"/>
  <c r="D13" i="71"/>
  <c r="D15" i="71"/>
  <c r="E15" i="71"/>
  <c r="E12" i="71"/>
  <c r="F12" i="71" s="1"/>
  <c r="S22" i="83"/>
  <c r="G9" i="83"/>
  <c r="R22" i="83"/>
  <c r="F9" i="83"/>
  <c r="E10" i="72"/>
  <c r="D12" i="57"/>
  <c r="E12" i="57" s="1"/>
  <c r="D11" i="57"/>
  <c r="E11" i="57" s="1"/>
  <c r="D10" i="57"/>
  <c r="E10" i="57" s="1"/>
  <c r="D9" i="57"/>
  <c r="E9" i="57" s="1"/>
  <c r="F24" i="26"/>
  <c r="G24" i="26" s="1"/>
  <c r="H24" i="26" s="1"/>
  <c r="I24" i="26" s="1"/>
  <c r="F25" i="26"/>
  <c r="G25" i="26" s="1"/>
  <c r="H25" i="26" s="1"/>
  <c r="E31" i="26"/>
  <c r="E30" i="26"/>
  <c r="E29" i="26"/>
  <c r="E28" i="26"/>
  <c r="F14" i="93"/>
  <c r="I12" i="30"/>
  <c r="H12" i="30"/>
  <c r="G12" i="30"/>
  <c r="F12" i="30"/>
  <c r="E12" i="30"/>
  <c r="I12" i="28"/>
  <c r="H12" i="28"/>
  <c r="F12" i="28"/>
  <c r="E12" i="28"/>
  <c r="E26" i="26"/>
  <c r="E32" i="26" s="1"/>
  <c r="H59" i="32"/>
  <c r="I59" i="32"/>
  <c r="H58" i="32"/>
  <c r="I58" i="32"/>
  <c r="H57" i="32"/>
  <c r="I57" i="32"/>
  <c r="B14" i="24"/>
  <c r="B15" i="86"/>
  <c r="F43" i="65"/>
  <c r="D12" i="97"/>
  <c r="E12" i="97"/>
  <c r="D10" i="12"/>
  <c r="E10" i="12" s="1"/>
  <c r="F10" i="12" s="1"/>
  <c r="G10" i="12" s="1"/>
  <c r="H10" i="12" s="1"/>
  <c r="I10" i="12" s="1"/>
  <c r="I21" i="93"/>
  <c r="I14" i="93" s="1"/>
  <c r="H21" i="93"/>
  <c r="H14" i="93" s="1"/>
  <c r="G21" i="93"/>
  <c r="G14" i="93" s="1"/>
  <c r="F21" i="93"/>
  <c r="E21" i="93"/>
  <c r="E14" i="93" s="1"/>
  <c r="I25" i="26"/>
  <c r="F12" i="97"/>
  <c r="G12" i="97" s="1"/>
  <c r="H12" i="97" s="1"/>
  <c r="I12" i="97"/>
  <c r="E38" i="24"/>
  <c r="F94" i="49"/>
  <c r="F93" i="49"/>
  <c r="G93" i="49"/>
  <c r="H93" i="49" s="1"/>
  <c r="I93" i="49" s="1"/>
  <c r="F97" i="49"/>
  <c r="F53" i="67"/>
  <c r="F85" i="49"/>
  <c r="B12" i="24"/>
  <c r="B11" i="49"/>
  <c r="B11" i="85"/>
  <c r="B11" i="24"/>
  <c r="D15" i="49"/>
  <c r="E15" i="49" s="1"/>
  <c r="F15" i="49" s="1"/>
  <c r="D13" i="49"/>
  <c r="E13" i="49" s="1"/>
  <c r="D13" i="24"/>
  <c r="E13" i="24" s="1"/>
  <c r="D14" i="49"/>
  <c r="E14" i="49" s="1"/>
  <c r="D42" i="49"/>
  <c r="D10" i="49" s="1"/>
  <c r="D49" i="49"/>
  <c r="D9" i="49" s="1"/>
  <c r="E74" i="49"/>
  <c r="E72" i="49"/>
  <c r="B10" i="24"/>
  <c r="R24" i="83"/>
  <c r="E25" i="49"/>
  <c r="E42" i="49"/>
  <c r="E73" i="49"/>
  <c r="E82" i="49"/>
  <c r="E75" i="49"/>
  <c r="F38" i="24"/>
  <c r="S24" i="83"/>
  <c r="F56" i="24"/>
  <c r="F87" i="49"/>
  <c r="G38" i="24"/>
  <c r="H38" i="24"/>
  <c r="G57" i="24"/>
  <c r="H57" i="24"/>
  <c r="F57" i="61"/>
  <c r="D9" i="20"/>
  <c r="E9" i="20" s="1"/>
  <c r="F9" i="20" s="1"/>
  <c r="G9" i="20" s="1"/>
  <c r="D11" i="20"/>
  <c r="E11" i="20"/>
  <c r="F11" i="20" s="1"/>
  <c r="G11" i="20" s="1"/>
  <c r="H11" i="20" s="1"/>
  <c r="I11" i="20" s="1"/>
  <c r="D12" i="20"/>
  <c r="E12" i="20" s="1"/>
  <c r="F12" i="20" s="1"/>
  <c r="G12" i="20" s="1"/>
  <c r="H12" i="20" s="1"/>
  <c r="I12" i="20" s="1"/>
  <c r="D10" i="20"/>
  <c r="E10" i="20" s="1"/>
  <c r="F10" i="20" s="1"/>
  <c r="G10" i="20" s="1"/>
  <c r="H10" i="20" s="1"/>
  <c r="I10" i="20" s="1"/>
  <c r="D13" i="20"/>
  <c r="E13" i="20"/>
  <c r="D14" i="20"/>
  <c r="E14" i="20"/>
  <c r="D15" i="20"/>
  <c r="E15" i="20"/>
  <c r="F15" i="20" s="1"/>
  <c r="B11" i="20"/>
  <c r="B10" i="20"/>
  <c r="F33" i="20"/>
  <c r="F13" i="20"/>
  <c r="G13" i="20" s="1"/>
  <c r="F14" i="20"/>
  <c r="G14" i="20" s="1"/>
  <c r="H14" i="20" s="1"/>
  <c r="F32" i="20"/>
  <c r="G15" i="20"/>
  <c r="H15" i="20" s="1"/>
  <c r="I15" i="20" s="1"/>
  <c r="H13" i="20"/>
  <c r="I13" i="20" s="1"/>
  <c r="I14" i="20"/>
  <c r="E57" i="70"/>
  <c r="F51" i="80"/>
  <c r="G51" i="80"/>
  <c r="H51" i="80" s="1"/>
  <c r="I51" i="80" s="1"/>
  <c r="F49" i="67"/>
  <c r="D10" i="70"/>
  <c r="F10" i="69"/>
  <c r="G10" i="69" s="1"/>
  <c r="H10" i="69" s="1"/>
  <c r="F10" i="92"/>
  <c r="G10" i="92" s="1"/>
  <c r="H10" i="92" s="1"/>
  <c r="I10" i="92" s="1"/>
  <c r="F30" i="92"/>
  <c r="F9" i="63"/>
  <c r="G9" i="63" s="1"/>
  <c r="H9" i="63" s="1"/>
  <c r="F29" i="17"/>
  <c r="E30" i="12"/>
  <c r="F31" i="36"/>
  <c r="G31" i="36" s="1"/>
  <c r="H31" i="36" s="1"/>
  <c r="F30" i="36"/>
  <c r="F9" i="36" s="1"/>
  <c r="G9" i="36" s="1"/>
  <c r="D10" i="65"/>
  <c r="E10" i="65" s="1"/>
  <c r="F10" i="65" s="1"/>
  <c r="G10" i="65" s="1"/>
  <c r="H10" i="65" s="1"/>
  <c r="H40" i="71"/>
  <c r="I41" i="71" s="1"/>
  <c r="F40" i="71"/>
  <c r="G40" i="71" s="1"/>
  <c r="F39" i="71"/>
  <c r="G39" i="71"/>
  <c r="H39" i="71" s="1"/>
  <c r="I40" i="71"/>
  <c r="F38" i="71"/>
  <c r="G38" i="71"/>
  <c r="H38" i="71" s="1"/>
  <c r="I39" i="71" s="1"/>
  <c r="F53" i="70"/>
  <c r="G53" i="70"/>
  <c r="H53" i="70" s="1"/>
  <c r="I53" i="70"/>
  <c r="F49" i="70"/>
  <c r="F56" i="32"/>
  <c r="F55" i="32"/>
  <c r="G55" i="32" s="1"/>
  <c r="H55" i="32" s="1"/>
  <c r="I55" i="32" s="1"/>
  <c r="F54" i="32"/>
  <c r="G54" i="32"/>
  <c r="H54" i="32" s="1"/>
  <c r="I54" i="32" s="1"/>
  <c r="F53" i="32"/>
  <c r="G53" i="32" s="1"/>
  <c r="H53" i="32" s="1"/>
  <c r="I53" i="32" s="1"/>
  <c r="F52" i="32"/>
  <c r="G52" i="32"/>
  <c r="H52" i="32" s="1"/>
  <c r="I52" i="32" s="1"/>
  <c r="F51" i="32"/>
  <c r="F50" i="32"/>
  <c r="F49" i="32"/>
  <c r="G49" i="32" s="1"/>
  <c r="H49" i="32"/>
  <c r="I49" i="32" s="1"/>
  <c r="F48" i="32"/>
  <c r="F50" i="67"/>
  <c r="F48" i="67"/>
  <c r="G48" i="67" s="1"/>
  <c r="H48" i="67" s="1"/>
  <c r="I48" i="67" s="1"/>
  <c r="E39" i="40"/>
  <c r="B10" i="54"/>
  <c r="B9" i="54"/>
  <c r="I20" i="19"/>
  <c r="F49" i="80"/>
  <c r="F48" i="80"/>
  <c r="D10" i="62"/>
  <c r="E10" i="62" s="1"/>
  <c r="F10" i="62" s="1"/>
  <c r="G10" i="62" s="1"/>
  <c r="H10" i="62" s="1"/>
  <c r="I10" i="62" s="1"/>
  <c r="E38" i="97"/>
  <c r="H28" i="39"/>
  <c r="G28" i="39"/>
  <c r="F28" i="39"/>
  <c r="B10" i="23"/>
  <c r="B10" i="80"/>
  <c r="B16" i="80" s="1"/>
  <c r="B24" i="4"/>
  <c r="B10" i="66"/>
  <c r="B10" i="96"/>
  <c r="B10" i="43"/>
  <c r="B10" i="42"/>
  <c r="B10" i="100"/>
  <c r="B10" i="79"/>
  <c r="B10" i="77"/>
  <c r="B10" i="74"/>
  <c r="B10" i="71" s="1"/>
  <c r="B10" i="69"/>
  <c r="B16" i="69"/>
  <c r="C67" i="5" s="1"/>
  <c r="B11" i="68"/>
  <c r="B16" i="68"/>
  <c r="C66" i="5" s="1"/>
  <c r="B10" i="70"/>
  <c r="N29" i="83"/>
  <c r="N14" i="83"/>
  <c r="AH14" i="83" s="1"/>
  <c r="N15" i="83"/>
  <c r="AH15" i="83" s="1"/>
  <c r="N10" i="83"/>
  <c r="AH10" i="83" s="1"/>
  <c r="N9" i="83"/>
  <c r="AH9" i="83" s="1"/>
  <c r="Q10" i="83"/>
  <c r="Q22" i="83" s="1"/>
  <c r="E9" i="83" s="1"/>
  <c r="P9" i="83"/>
  <c r="I27" i="79"/>
  <c r="H30" i="100"/>
  <c r="H10" i="100"/>
  <c r="G30" i="100"/>
  <c r="G10" i="100" s="1"/>
  <c r="F30" i="100"/>
  <c r="F10" i="100" s="1"/>
  <c r="I27" i="28"/>
  <c r="H27" i="28"/>
  <c r="G27" i="28"/>
  <c r="F27" i="28"/>
  <c r="E27" i="28"/>
  <c r="I23" i="79"/>
  <c r="I29" i="79"/>
  <c r="I30" i="79"/>
  <c r="E29" i="79"/>
  <c r="F29" i="79"/>
  <c r="G29" i="79"/>
  <c r="H29" i="79"/>
  <c r="E30" i="79"/>
  <c r="J30" i="79"/>
  <c r="F30" i="79"/>
  <c r="G30" i="79"/>
  <c r="H30" i="79"/>
  <c r="J25" i="79"/>
  <c r="J27" i="79" s="1"/>
  <c r="J26" i="79"/>
  <c r="H27" i="79"/>
  <c r="G27" i="79"/>
  <c r="F27" i="79"/>
  <c r="E27" i="79"/>
  <c r="J21" i="79"/>
  <c r="J22" i="79"/>
  <c r="H23" i="79"/>
  <c r="G23" i="79"/>
  <c r="F23" i="79"/>
  <c r="E23" i="79"/>
  <c r="I33" i="73"/>
  <c r="I10" i="73" s="1"/>
  <c r="H33" i="73"/>
  <c r="H10" i="73" s="1"/>
  <c r="G33" i="73"/>
  <c r="G10" i="73" s="1"/>
  <c r="F33" i="73"/>
  <c r="F10" i="73" s="1"/>
  <c r="E33" i="73"/>
  <c r="E10" i="73" s="1"/>
  <c r="E35" i="32"/>
  <c r="D35" i="32"/>
  <c r="D9" i="32" s="1"/>
  <c r="B32" i="4"/>
  <c r="B12" i="51"/>
  <c r="B13" i="4" s="1"/>
  <c r="B9" i="87"/>
  <c r="B12" i="87"/>
  <c r="B13" i="87"/>
  <c r="B14" i="87"/>
  <c r="B15" i="87"/>
  <c r="B11" i="33"/>
  <c r="B16" i="33"/>
  <c r="C35" i="5" s="1"/>
  <c r="B11" i="12"/>
  <c r="B10" i="78"/>
  <c r="B11" i="97"/>
  <c r="B9" i="96"/>
  <c r="B9" i="60"/>
  <c r="B16" i="60" s="1"/>
  <c r="C57" i="5" s="1"/>
  <c r="B11" i="38"/>
  <c r="B16" i="38"/>
  <c r="C39" i="5" s="1"/>
  <c r="B11" i="36"/>
  <c r="B11" i="63"/>
  <c r="B16" i="20"/>
  <c r="B11" i="17"/>
  <c r="B16" i="17"/>
  <c r="C16" i="5" s="1"/>
  <c r="B11" i="77"/>
  <c r="B11" i="43"/>
  <c r="B16" i="43"/>
  <c r="C43" i="5" s="1"/>
  <c r="B11" i="39"/>
  <c r="B16" i="39" s="1"/>
  <c r="C40" i="5" s="1"/>
  <c r="B16" i="73"/>
  <c r="B11" i="66"/>
  <c r="B12" i="70"/>
  <c r="B9" i="61"/>
  <c r="B9" i="88"/>
  <c r="N11" i="83"/>
  <c r="AH11" i="83" s="1"/>
  <c r="N13" i="83"/>
  <c r="AH13" i="83" s="1"/>
  <c r="D10" i="61"/>
  <c r="D10" i="88" s="1"/>
  <c r="D11" i="61"/>
  <c r="D11" i="62"/>
  <c r="E11" i="62" s="1"/>
  <c r="F11" i="62" s="1"/>
  <c r="G11" i="62" s="1"/>
  <c r="H11" i="62" s="1"/>
  <c r="I11" i="62" s="1"/>
  <c r="D11" i="80"/>
  <c r="D11" i="43"/>
  <c r="E11" i="43"/>
  <c r="D11" i="40"/>
  <c r="E11" i="40" s="1"/>
  <c r="D10" i="40"/>
  <c r="D9" i="40"/>
  <c r="E9" i="40"/>
  <c r="F9" i="40" s="1"/>
  <c r="G9" i="40" s="1"/>
  <c r="H9" i="40" s="1"/>
  <c r="I9" i="40" s="1"/>
  <c r="D12" i="26"/>
  <c r="D11" i="66"/>
  <c r="E11" i="66" s="1"/>
  <c r="F11" i="66" s="1"/>
  <c r="G11" i="66" s="1"/>
  <c r="H11" i="66" s="1"/>
  <c r="D12" i="66"/>
  <c r="E12" i="66" s="1"/>
  <c r="F12" i="66"/>
  <c r="G12" i="66" s="1"/>
  <c r="H12" i="66" s="1"/>
  <c r="I12" i="66" s="1"/>
  <c r="D12" i="59"/>
  <c r="E12" i="59" s="1"/>
  <c r="F12" i="59" s="1"/>
  <c r="G12" i="59" s="1"/>
  <c r="H12" i="59" s="1"/>
  <c r="I12" i="59" s="1"/>
  <c r="D11" i="23"/>
  <c r="E11" i="23"/>
  <c r="F11" i="23" s="1"/>
  <c r="G11" i="23" s="1"/>
  <c r="H11" i="23" s="1"/>
  <c r="I11" i="23" s="1"/>
  <c r="D10" i="23"/>
  <c r="D10" i="66"/>
  <c r="D11" i="70"/>
  <c r="E11" i="70"/>
  <c r="F11" i="70" s="1"/>
  <c r="G11" i="70" s="1"/>
  <c r="H11" i="70" s="1"/>
  <c r="D11" i="32"/>
  <c r="E11" i="32"/>
  <c r="F11" i="32" s="1"/>
  <c r="G11" i="32" s="1"/>
  <c r="H11" i="32" s="1"/>
  <c r="I11" i="32" s="1"/>
  <c r="D10" i="32"/>
  <c r="E10" i="32" s="1"/>
  <c r="F10" i="32" s="1"/>
  <c r="D12" i="61"/>
  <c r="D10" i="10"/>
  <c r="E10" i="10" s="1"/>
  <c r="F10" i="10" s="1"/>
  <c r="G10" i="10" s="1"/>
  <c r="H10" i="10" s="1"/>
  <c r="I10" i="10" s="1"/>
  <c r="D11" i="75"/>
  <c r="E11" i="75"/>
  <c r="F11" i="75"/>
  <c r="G11" i="75" s="1"/>
  <c r="H11" i="75"/>
  <c r="I11" i="75" s="1"/>
  <c r="D10" i="75"/>
  <c r="E10" i="75"/>
  <c r="F10" i="75"/>
  <c r="G10" i="75" s="1"/>
  <c r="H10" i="75" s="1"/>
  <c r="I10" i="75" s="1"/>
  <c r="D9" i="51"/>
  <c r="E9" i="51"/>
  <c r="F9" i="51"/>
  <c r="G9" i="51" s="1"/>
  <c r="H9" i="51" s="1"/>
  <c r="D9" i="15"/>
  <c r="E9" i="15" s="1"/>
  <c r="F9" i="15" s="1"/>
  <c r="G9" i="15" s="1"/>
  <c r="H9" i="15" s="1"/>
  <c r="I9" i="15" s="1"/>
  <c r="D10" i="72"/>
  <c r="D10" i="71"/>
  <c r="B11" i="59"/>
  <c r="B11" i="78"/>
  <c r="B11" i="23"/>
  <c r="B11" i="76"/>
  <c r="B11" i="96"/>
  <c r="B11" i="10"/>
  <c r="B11" i="8"/>
  <c r="B16" i="8" s="1"/>
  <c r="C10" i="5" s="1"/>
  <c r="B11" i="64"/>
  <c r="B16" i="64"/>
  <c r="C61" i="5" s="1"/>
  <c r="B11" i="9"/>
  <c r="B11" i="42"/>
  <c r="B11" i="75"/>
  <c r="B11" i="35"/>
  <c r="B11" i="34" s="1"/>
  <c r="B16" i="34" s="1"/>
  <c r="C36" i="5" s="1"/>
  <c r="B11" i="65"/>
  <c r="B16" i="65"/>
  <c r="C56" i="5"/>
  <c r="B11" i="71"/>
  <c r="B11" i="87"/>
  <c r="B11" i="70"/>
  <c r="B11" i="32"/>
  <c r="B16" i="32" s="1"/>
  <c r="C34" i="5" s="1"/>
  <c r="B11" i="80"/>
  <c r="B11" i="67"/>
  <c r="B11" i="62"/>
  <c r="B11" i="61" s="1"/>
  <c r="B11" i="88" s="1"/>
  <c r="B10" i="62"/>
  <c r="B10" i="61" s="1"/>
  <c r="D10" i="76"/>
  <c r="E10" i="76" s="1"/>
  <c r="D11" i="67"/>
  <c r="E11" i="67" s="1"/>
  <c r="F11" i="67" s="1"/>
  <c r="D11" i="39"/>
  <c r="E11" i="39"/>
  <c r="F11" i="39"/>
  <c r="G11" i="39"/>
  <c r="H11" i="39" s="1"/>
  <c r="I11" i="39" s="1"/>
  <c r="D10" i="39"/>
  <c r="E10" i="39"/>
  <c r="F10" i="39" s="1"/>
  <c r="G10" i="39" s="1"/>
  <c r="H10" i="39" s="1"/>
  <c r="I10" i="39" s="1"/>
  <c r="D12" i="30"/>
  <c r="D11" i="77"/>
  <c r="E11" i="77" s="1"/>
  <c r="F11" i="77" s="1"/>
  <c r="G11" i="77" s="1"/>
  <c r="H11" i="77" s="1"/>
  <c r="I11" i="77" s="1"/>
  <c r="D10" i="77"/>
  <c r="E10" i="77" s="1"/>
  <c r="F10" i="76"/>
  <c r="G10" i="76" s="1"/>
  <c r="D11" i="76"/>
  <c r="E11" i="76"/>
  <c r="F11" i="76"/>
  <c r="G11" i="76"/>
  <c r="D11" i="33"/>
  <c r="E11" i="33"/>
  <c r="D10" i="33"/>
  <c r="E10" i="33"/>
  <c r="F10" i="33" s="1"/>
  <c r="G10" i="33" s="1"/>
  <c r="H10" i="33" s="1"/>
  <c r="I10" i="33" s="1"/>
  <c r="D10" i="46"/>
  <c r="E10" i="46"/>
  <c r="D11" i="35"/>
  <c r="E11" i="35" s="1"/>
  <c r="D11" i="34"/>
  <c r="E11" i="34" s="1"/>
  <c r="F11" i="34" s="1"/>
  <c r="G11" i="34" s="1"/>
  <c r="H11" i="34" s="1"/>
  <c r="D10" i="34"/>
  <c r="E10" i="34"/>
  <c r="I61" i="71"/>
  <c r="D14" i="70"/>
  <c r="E14" i="70" s="1"/>
  <c r="F14" i="70" s="1"/>
  <c r="G14" i="70" s="1"/>
  <c r="H14" i="70" s="1"/>
  <c r="I14" i="70" s="1"/>
  <c r="F34" i="70"/>
  <c r="F33" i="70"/>
  <c r="E33" i="70"/>
  <c r="D11" i="69"/>
  <c r="E11" i="69"/>
  <c r="F85" i="24"/>
  <c r="I82" i="24"/>
  <c r="H82" i="24"/>
  <c r="G82" i="24"/>
  <c r="F82" i="24"/>
  <c r="E82" i="24"/>
  <c r="D82" i="24"/>
  <c r="D9" i="62"/>
  <c r="E9" i="62" s="1"/>
  <c r="E32" i="61"/>
  <c r="E31" i="61"/>
  <c r="E29" i="61"/>
  <c r="G28" i="61"/>
  <c r="F28" i="61"/>
  <c r="E28" i="61"/>
  <c r="F34" i="97"/>
  <c r="E34" i="97"/>
  <c r="H33" i="97"/>
  <c r="G33" i="97"/>
  <c r="F33" i="97"/>
  <c r="E33" i="97"/>
  <c r="H32" i="97"/>
  <c r="G32" i="97"/>
  <c r="F32" i="97"/>
  <c r="E32" i="97"/>
  <c r="G25" i="97"/>
  <c r="F25" i="97"/>
  <c r="E25" i="97"/>
  <c r="F24" i="97"/>
  <c r="D9" i="97"/>
  <c r="D11" i="97"/>
  <c r="E11" i="97" s="1"/>
  <c r="F11" i="97" s="1"/>
  <c r="G11" i="97" s="1"/>
  <c r="H11" i="97" s="1"/>
  <c r="I11" i="97" s="1"/>
  <c r="D10" i="58"/>
  <c r="E10" i="58"/>
  <c r="F9" i="57"/>
  <c r="D11" i="51"/>
  <c r="E11" i="51"/>
  <c r="F11" i="51"/>
  <c r="G11" i="51" s="1"/>
  <c r="H11" i="51" s="1"/>
  <c r="D10" i="51"/>
  <c r="E10" i="51"/>
  <c r="E11" i="96"/>
  <c r="F11" i="96"/>
  <c r="G11" i="96" s="1"/>
  <c r="D11" i="96"/>
  <c r="D10" i="96"/>
  <c r="E10" i="96" s="1"/>
  <c r="F10" i="96" s="1"/>
  <c r="G10" i="96" s="1"/>
  <c r="H10" i="96" s="1"/>
  <c r="I10" i="96" s="1"/>
  <c r="G24" i="80"/>
  <c r="E24" i="80"/>
  <c r="E11" i="80"/>
  <c r="E11" i="101"/>
  <c r="G22" i="80"/>
  <c r="E22" i="80"/>
  <c r="D12" i="80"/>
  <c r="E12" i="80"/>
  <c r="D30" i="100"/>
  <c r="D10" i="100"/>
  <c r="D12" i="68"/>
  <c r="E12" i="68"/>
  <c r="F12" i="68" s="1"/>
  <c r="G12" i="68" s="1"/>
  <c r="H12" i="68"/>
  <c r="I12" i="68" s="1"/>
  <c r="D11" i="68"/>
  <c r="E11" i="68"/>
  <c r="F11" i="68"/>
  <c r="G11" i="68" s="1"/>
  <c r="H11" i="68" s="1"/>
  <c r="I11" i="68" s="1"/>
  <c r="D10" i="60"/>
  <c r="E10" i="60" s="1"/>
  <c r="F10" i="60" s="1"/>
  <c r="G10" i="60" s="1"/>
  <c r="H10" i="60" s="1"/>
  <c r="I10" i="60" s="1"/>
  <c r="D11" i="60"/>
  <c r="E11" i="60"/>
  <c r="F11" i="60" s="1"/>
  <c r="G11" i="60" s="1"/>
  <c r="H11" i="60" s="1"/>
  <c r="I11" i="60"/>
  <c r="D11" i="12"/>
  <c r="D11" i="59"/>
  <c r="E11" i="59" s="1"/>
  <c r="F11" i="59" s="1"/>
  <c r="G11" i="59" s="1"/>
  <c r="H11" i="59" s="1"/>
  <c r="I11" i="59" s="1"/>
  <c r="D10" i="59"/>
  <c r="E10" i="59" s="1"/>
  <c r="F10" i="59" s="1"/>
  <c r="G10" i="59" s="1"/>
  <c r="H10" i="59" s="1"/>
  <c r="I10" i="59"/>
  <c r="F26" i="66"/>
  <c r="E26" i="66"/>
  <c r="D12" i="75"/>
  <c r="E12" i="75"/>
  <c r="F12" i="75"/>
  <c r="G12" i="75" s="1"/>
  <c r="H12" i="75" s="1"/>
  <c r="I12" i="75"/>
  <c r="I32" i="74"/>
  <c r="I33" i="74"/>
  <c r="I10" i="74" s="1"/>
  <c r="H33" i="74"/>
  <c r="H10" i="74" s="1"/>
  <c r="G33" i="74"/>
  <c r="G10" i="74" s="1"/>
  <c r="F33" i="74"/>
  <c r="F10" i="74" s="1"/>
  <c r="E33" i="74"/>
  <c r="E10" i="74" s="1"/>
  <c r="D33" i="73"/>
  <c r="H56" i="71"/>
  <c r="H55" i="71" s="1"/>
  <c r="H62" i="71" s="1"/>
  <c r="G56" i="71"/>
  <c r="G55" i="71"/>
  <c r="G62" i="71" s="1"/>
  <c r="F56" i="71"/>
  <c r="F55" i="71"/>
  <c r="F62" i="71"/>
  <c r="E56" i="71"/>
  <c r="E55" i="71"/>
  <c r="E62" i="71"/>
  <c r="D56" i="71"/>
  <c r="D55" i="71" s="1"/>
  <c r="G22" i="71"/>
  <c r="F22" i="71"/>
  <c r="E22" i="71"/>
  <c r="I14" i="71"/>
  <c r="D14" i="71"/>
  <c r="D12" i="65"/>
  <c r="E12" i="65"/>
  <c r="F12" i="65"/>
  <c r="G12" i="65"/>
  <c r="H12" i="65" s="1"/>
  <c r="I12" i="65" s="1"/>
  <c r="D11" i="65"/>
  <c r="D12" i="67"/>
  <c r="D11" i="92"/>
  <c r="E11" i="92" s="1"/>
  <c r="D11" i="64"/>
  <c r="E11" i="64" s="1"/>
  <c r="D10" i="64"/>
  <c r="E10" i="64" s="1"/>
  <c r="F10" i="64"/>
  <c r="G10" i="64" s="1"/>
  <c r="H10" i="64" s="1"/>
  <c r="I10" i="64" s="1"/>
  <c r="D11" i="36"/>
  <c r="E11" i="36" s="1"/>
  <c r="F11" i="36" s="1"/>
  <c r="G11" i="36" s="1"/>
  <c r="H11" i="36" s="1"/>
  <c r="I11" i="36" s="1"/>
  <c r="D10" i="36"/>
  <c r="E10" i="36" s="1"/>
  <c r="F10" i="36"/>
  <c r="G10" i="36" s="1"/>
  <c r="H10" i="36" s="1"/>
  <c r="I10" i="36"/>
  <c r="D11" i="42"/>
  <c r="E11" i="42" s="1"/>
  <c r="D10" i="42"/>
  <c r="E10" i="42" s="1"/>
  <c r="F10" i="42"/>
  <c r="G10" i="42" s="1"/>
  <c r="H10" i="42" s="1"/>
  <c r="I10" i="42"/>
  <c r="D10" i="50"/>
  <c r="E10" i="50" s="1"/>
  <c r="F10" i="50" s="1"/>
  <c r="G10" i="50" s="1"/>
  <c r="H10" i="50" s="1"/>
  <c r="D38" i="50"/>
  <c r="C38" i="50"/>
  <c r="D13" i="79"/>
  <c r="H67" i="79"/>
  <c r="G67" i="79"/>
  <c r="F67" i="79"/>
  <c r="F68" i="79" s="1"/>
  <c r="E67" i="79"/>
  <c r="H66" i="79"/>
  <c r="H68" i="79"/>
  <c r="G66" i="79"/>
  <c r="G68" i="79" s="1"/>
  <c r="F66" i="79"/>
  <c r="E66" i="79"/>
  <c r="H64" i="79"/>
  <c r="G64" i="79"/>
  <c r="F64" i="79"/>
  <c r="E64" i="79"/>
  <c r="I63" i="79"/>
  <c r="I67" i="79" s="1"/>
  <c r="I68" i="79" s="1"/>
  <c r="I62" i="79"/>
  <c r="I66" i="79"/>
  <c r="I60" i="79"/>
  <c r="H60" i="79"/>
  <c r="G60" i="79"/>
  <c r="F60" i="79"/>
  <c r="E60" i="79"/>
  <c r="J59" i="79"/>
  <c r="J58" i="79"/>
  <c r="J60" i="79"/>
  <c r="D11" i="78"/>
  <c r="E11" i="78" s="1"/>
  <c r="F11" i="78" s="1"/>
  <c r="D10" i="78"/>
  <c r="E10" i="78" s="1"/>
  <c r="F10" i="78" s="1"/>
  <c r="G10" i="78" s="1"/>
  <c r="H10" i="78" s="1"/>
  <c r="I10" i="78" s="1"/>
  <c r="D14" i="93"/>
  <c r="J62" i="79"/>
  <c r="U18" i="83"/>
  <c r="U17" i="83"/>
  <c r="AB15" i="83"/>
  <c r="U9" i="83"/>
  <c r="P20" i="83"/>
  <c r="X20" i="83" s="1"/>
  <c r="P18" i="83"/>
  <c r="P17" i="83"/>
  <c r="I14" i="32"/>
  <c r="D14" i="32"/>
  <c r="D12" i="28"/>
  <c r="D15" i="19"/>
  <c r="D11" i="17"/>
  <c r="E11" i="17" s="1"/>
  <c r="F11" i="17" s="1"/>
  <c r="G11" i="17" s="1"/>
  <c r="H11" i="17" s="1"/>
  <c r="I11" i="17" s="1"/>
  <c r="D10" i="17"/>
  <c r="E10" i="17" s="1"/>
  <c r="D11" i="10"/>
  <c r="E11" i="10" s="1"/>
  <c r="F11" i="10" s="1"/>
  <c r="G11" i="10" s="1"/>
  <c r="H11" i="10" s="1"/>
  <c r="I11" i="10" s="1"/>
  <c r="E10" i="8"/>
  <c r="D11" i="8"/>
  <c r="E11" i="8"/>
  <c r="F11" i="8" s="1"/>
  <c r="G11" i="8" s="1"/>
  <c r="H11" i="8" s="1"/>
  <c r="I11" i="8" s="1"/>
  <c r="D10" i="8"/>
  <c r="E14" i="80"/>
  <c r="F14" i="80"/>
  <c r="C15" i="86"/>
  <c r="C9" i="86"/>
  <c r="C11" i="86"/>
  <c r="C12" i="86"/>
  <c r="C13" i="86"/>
  <c r="C14" i="86"/>
  <c r="C16" i="86"/>
  <c r="B11" i="86"/>
  <c r="B12" i="86"/>
  <c r="B13" i="86"/>
  <c r="B14" i="86"/>
  <c r="B16" i="86"/>
  <c r="F21" i="73"/>
  <c r="G21" i="73"/>
  <c r="H21" i="73"/>
  <c r="K13" i="30"/>
  <c r="K12" i="30"/>
  <c r="F11" i="35"/>
  <c r="G11" i="35" s="1"/>
  <c r="H11" i="35" s="1"/>
  <c r="D12" i="7"/>
  <c r="U16" i="83"/>
  <c r="Z20" i="83"/>
  <c r="T20" i="83"/>
  <c r="AA20" i="83" s="1"/>
  <c r="Y20" i="83"/>
  <c r="J28" i="19"/>
  <c r="E30" i="100"/>
  <c r="E10" i="100" s="1"/>
  <c r="I29" i="100"/>
  <c r="I30" i="100" s="1"/>
  <c r="I10" i="100" s="1"/>
  <c r="I56" i="71"/>
  <c r="I55" i="71" s="1"/>
  <c r="I62" i="71" s="1"/>
  <c r="I25" i="72"/>
  <c r="H25" i="72"/>
  <c r="G25" i="72"/>
  <c r="F25" i="72"/>
  <c r="E25" i="72"/>
  <c r="J27" i="19"/>
  <c r="J26" i="19"/>
  <c r="E65" i="39"/>
  <c r="D65" i="39"/>
  <c r="D64" i="39"/>
  <c r="D10" i="22"/>
  <c r="E10" i="22" s="1"/>
  <c r="F10" i="22"/>
  <c r="J14" i="97"/>
  <c r="J13" i="97"/>
  <c r="J25" i="19"/>
  <c r="F9" i="18"/>
  <c r="D9" i="45"/>
  <c r="E9" i="45"/>
  <c r="J24" i="19"/>
  <c r="J23" i="19"/>
  <c r="D11" i="38"/>
  <c r="E11" i="38"/>
  <c r="F11" i="38"/>
  <c r="G11" i="38"/>
  <c r="H11" i="38" s="1"/>
  <c r="I11" i="38" s="1"/>
  <c r="J22" i="19"/>
  <c r="J24" i="4"/>
  <c r="AG22" i="83"/>
  <c r="D15" i="80"/>
  <c r="D14" i="80"/>
  <c r="D13" i="80"/>
  <c r="E9" i="100"/>
  <c r="D15" i="79"/>
  <c r="D14" i="79"/>
  <c r="D12" i="79"/>
  <c r="D11" i="79"/>
  <c r="D9" i="79"/>
  <c r="E9" i="79"/>
  <c r="D10" i="74"/>
  <c r="D10" i="87" s="1"/>
  <c r="D10" i="73"/>
  <c r="D9" i="72"/>
  <c r="E9" i="72"/>
  <c r="F9" i="78"/>
  <c r="G9" i="78" s="1"/>
  <c r="H9" i="78" s="1"/>
  <c r="D15" i="70"/>
  <c r="D13" i="70"/>
  <c r="E13" i="70"/>
  <c r="F13" i="70"/>
  <c r="G13" i="70" s="1"/>
  <c r="H13" i="70" s="1"/>
  <c r="I13" i="70" s="1"/>
  <c r="D12" i="70"/>
  <c r="D14" i="66"/>
  <c r="E14" i="66"/>
  <c r="F14" i="66"/>
  <c r="G14" i="66"/>
  <c r="H14" i="66" s="1"/>
  <c r="I14" i="66" s="1"/>
  <c r="D13" i="66"/>
  <c r="D9" i="30"/>
  <c r="E9" i="30" s="1"/>
  <c r="H20" i="102"/>
  <c r="I20" i="102"/>
  <c r="C16" i="102"/>
  <c r="D26" i="5" s="1"/>
  <c r="B16" i="102"/>
  <c r="C26" i="5"/>
  <c r="D10" i="18"/>
  <c r="E10" i="18" s="1"/>
  <c r="D11" i="15"/>
  <c r="E11" i="15" s="1"/>
  <c r="F11" i="15" s="1"/>
  <c r="G11" i="15" s="1"/>
  <c r="H11" i="15" s="1"/>
  <c r="I11" i="15" s="1"/>
  <c r="D10" i="15"/>
  <c r="E10" i="15" s="1"/>
  <c r="F10" i="15" s="1"/>
  <c r="G10" i="15" s="1"/>
  <c r="H10" i="15" s="1"/>
  <c r="I10" i="15" s="1"/>
  <c r="H68" i="30"/>
  <c r="H62" i="30"/>
  <c r="H70" i="30"/>
  <c r="H21" i="100"/>
  <c r="H22" i="100" s="1"/>
  <c r="G68" i="30"/>
  <c r="G62" i="30"/>
  <c r="G70" i="30"/>
  <c r="G21" i="100"/>
  <c r="G22" i="100" s="1"/>
  <c r="F69" i="30"/>
  <c r="G69" i="30" s="1"/>
  <c r="F68" i="30"/>
  <c r="F62" i="30"/>
  <c r="F70" i="30"/>
  <c r="F21" i="100"/>
  <c r="F22" i="100" s="1"/>
  <c r="E68" i="30"/>
  <c r="E67" i="30"/>
  <c r="E71" i="30" s="1"/>
  <c r="E62" i="30"/>
  <c r="E38" i="50"/>
  <c r="E21" i="100"/>
  <c r="E22" i="100"/>
  <c r="I38" i="50"/>
  <c r="G38" i="50"/>
  <c r="H38" i="50"/>
  <c r="F38" i="50"/>
  <c r="F16" i="102"/>
  <c r="G26" i="5"/>
  <c r="E70" i="30"/>
  <c r="J12" i="97"/>
  <c r="I16" i="102"/>
  <c r="J26" i="5" s="1"/>
  <c r="H16" i="102"/>
  <c r="I26" i="5" s="1"/>
  <c r="K68" i="30"/>
  <c r="J15" i="19"/>
  <c r="B9" i="101"/>
  <c r="C15" i="101"/>
  <c r="C14" i="101"/>
  <c r="C13" i="101"/>
  <c r="C12" i="101"/>
  <c r="C11" i="101"/>
  <c r="C9" i="101"/>
  <c r="C16" i="101" s="1"/>
  <c r="B15" i="101"/>
  <c r="B14" i="101"/>
  <c r="B13" i="101"/>
  <c r="B12" i="101"/>
  <c r="B11" i="101"/>
  <c r="C16" i="100"/>
  <c r="D78" i="5" s="1"/>
  <c r="B16" i="100"/>
  <c r="B17" i="80"/>
  <c r="B18" i="80" s="1"/>
  <c r="D15" i="100"/>
  <c r="E15" i="100"/>
  <c r="F15" i="100" s="1"/>
  <c r="G15" i="100" s="1"/>
  <c r="H15" i="100" s="1"/>
  <c r="I15" i="100" s="1"/>
  <c r="D14" i="100"/>
  <c r="D13" i="100"/>
  <c r="E13" i="100"/>
  <c r="F13" i="100" s="1"/>
  <c r="G13" i="100" s="1"/>
  <c r="C78" i="5"/>
  <c r="C10" i="101"/>
  <c r="E14" i="100"/>
  <c r="D10" i="101"/>
  <c r="F14" i="100"/>
  <c r="F14" i="101" s="1"/>
  <c r="G14" i="100"/>
  <c r="H14" i="100"/>
  <c r="I14" i="100" s="1"/>
  <c r="J10" i="79"/>
  <c r="J16" i="79" s="1"/>
  <c r="J13" i="79"/>
  <c r="J21" i="72"/>
  <c r="D11" i="101"/>
  <c r="D10" i="54"/>
  <c r="E10" i="54" s="1"/>
  <c r="D9" i="98"/>
  <c r="D16" i="98" s="1"/>
  <c r="D24" i="5"/>
  <c r="C24" i="5"/>
  <c r="O22" i="83"/>
  <c r="C9" i="83"/>
  <c r="C16" i="98"/>
  <c r="B16" i="98"/>
  <c r="D9" i="54"/>
  <c r="E9" i="54" s="1"/>
  <c r="F9" i="54" s="1"/>
  <c r="G9" i="54" s="1"/>
  <c r="H9" i="54" s="1"/>
  <c r="T24" i="83"/>
  <c r="Q24" i="83"/>
  <c r="O24" i="83"/>
  <c r="P22" i="83"/>
  <c r="D9" i="83"/>
  <c r="D10" i="4"/>
  <c r="P24" i="83"/>
  <c r="D14" i="7"/>
  <c r="E14" i="7"/>
  <c r="F14" i="7"/>
  <c r="G14" i="7" s="1"/>
  <c r="H14" i="7" s="1"/>
  <c r="I14" i="7" s="1"/>
  <c r="D15" i="7"/>
  <c r="E15" i="7" s="1"/>
  <c r="F15" i="7" s="1"/>
  <c r="G15" i="7" s="1"/>
  <c r="H15" i="7" s="1"/>
  <c r="I15" i="7" s="1"/>
  <c r="D13" i="7"/>
  <c r="E13" i="7"/>
  <c r="F13" i="7"/>
  <c r="G13" i="7" s="1"/>
  <c r="H13" i="7" s="1"/>
  <c r="I13" i="7" s="1"/>
  <c r="D15" i="8"/>
  <c r="E15" i="8" s="1"/>
  <c r="D15" i="9"/>
  <c r="D15" i="10"/>
  <c r="D15" i="12"/>
  <c r="D15" i="15"/>
  <c r="D15" i="17"/>
  <c r="D15" i="18"/>
  <c r="D15" i="21"/>
  <c r="D15" i="22"/>
  <c r="D15" i="23"/>
  <c r="E15" i="23"/>
  <c r="F15" i="23"/>
  <c r="G15" i="23" s="1"/>
  <c r="H15" i="23" s="1"/>
  <c r="I15" i="23" s="1"/>
  <c r="D15" i="26"/>
  <c r="D15" i="83"/>
  <c r="D15" i="27"/>
  <c r="D15" i="28"/>
  <c r="D15" i="29"/>
  <c r="D15" i="30"/>
  <c r="D15" i="31"/>
  <c r="D15" i="32"/>
  <c r="D15" i="33"/>
  <c r="D15" i="34"/>
  <c r="D15" i="35"/>
  <c r="D15" i="36"/>
  <c r="E15" i="36"/>
  <c r="F15" i="36" s="1"/>
  <c r="G15" i="36" s="1"/>
  <c r="H15" i="36" s="1"/>
  <c r="I15" i="36" s="1"/>
  <c r="D15" i="38"/>
  <c r="D15" i="39"/>
  <c r="D15" i="40"/>
  <c r="E15" i="40"/>
  <c r="F15" i="40" s="1"/>
  <c r="G15" i="40" s="1"/>
  <c r="H15" i="40" s="1"/>
  <c r="I15" i="40" s="1"/>
  <c r="D15" i="42"/>
  <c r="D15" i="43"/>
  <c r="E15" i="43"/>
  <c r="F15" i="43"/>
  <c r="G15" i="43" s="1"/>
  <c r="H15" i="43" s="1"/>
  <c r="I15" i="43" s="1"/>
  <c r="D15" i="45"/>
  <c r="D15" i="46"/>
  <c r="D15" i="50"/>
  <c r="D15" i="51"/>
  <c r="D15" i="52"/>
  <c r="D15" i="96"/>
  <c r="D15" i="97"/>
  <c r="D15" i="54"/>
  <c r="D15" i="57"/>
  <c r="D15" i="58"/>
  <c r="D15" i="65"/>
  <c r="E15" i="65"/>
  <c r="F15" i="65"/>
  <c r="G15" i="65" s="1"/>
  <c r="H15" i="65" s="1"/>
  <c r="I15" i="65" s="1"/>
  <c r="D15" i="59"/>
  <c r="E15" i="59" s="1"/>
  <c r="F15" i="59" s="1"/>
  <c r="G15" i="59" s="1"/>
  <c r="H15" i="59" s="1"/>
  <c r="I15" i="59" s="1"/>
  <c r="D15" i="60"/>
  <c r="D15" i="61"/>
  <c r="D15" i="62"/>
  <c r="D15" i="63"/>
  <c r="D15" i="64"/>
  <c r="E15" i="64"/>
  <c r="F15" i="64"/>
  <c r="G15" i="64" s="1"/>
  <c r="H15" i="64" s="1"/>
  <c r="I15" i="64" s="1"/>
  <c r="D15" i="92"/>
  <c r="E15" i="92" s="1"/>
  <c r="F15" i="92" s="1"/>
  <c r="G15" i="92" s="1"/>
  <c r="H15" i="92" s="1"/>
  <c r="I15" i="92" s="1"/>
  <c r="D15" i="66"/>
  <c r="D15" i="67"/>
  <c r="E15" i="67"/>
  <c r="D15" i="68"/>
  <c r="D15" i="69"/>
  <c r="E15" i="69"/>
  <c r="F15" i="69"/>
  <c r="G15" i="69" s="1"/>
  <c r="H15" i="69" s="1"/>
  <c r="I15" i="69" s="1"/>
  <c r="D15" i="72"/>
  <c r="D15" i="73"/>
  <c r="D15" i="74"/>
  <c r="D15" i="75"/>
  <c r="D15" i="76"/>
  <c r="D15" i="77"/>
  <c r="D15" i="78"/>
  <c r="D15" i="1"/>
  <c r="D14" i="8"/>
  <c r="D14" i="9"/>
  <c r="D14" i="10"/>
  <c r="D14" i="12"/>
  <c r="E14" i="12"/>
  <c r="F14" i="12" s="1"/>
  <c r="G14" i="12" s="1"/>
  <c r="H14" i="12" s="1"/>
  <c r="I14" i="12" s="1"/>
  <c r="D14" i="15"/>
  <c r="D14" i="17"/>
  <c r="E14" i="17"/>
  <c r="F14" i="17"/>
  <c r="G14" i="17" s="1"/>
  <c r="H14" i="17" s="1"/>
  <c r="I14" i="17" s="1"/>
  <c r="D14" i="18"/>
  <c r="D14" i="19"/>
  <c r="D14" i="21"/>
  <c r="D14" i="22"/>
  <c r="D14" i="23"/>
  <c r="D14" i="26"/>
  <c r="D14" i="83"/>
  <c r="D14" i="27"/>
  <c r="D14" i="28"/>
  <c r="D14" i="29"/>
  <c r="D14" i="30"/>
  <c r="D14" i="31"/>
  <c r="D14" i="33"/>
  <c r="D14" i="34"/>
  <c r="D14" i="35"/>
  <c r="D14" i="36"/>
  <c r="E14" i="36"/>
  <c r="F14" i="36" s="1"/>
  <c r="G14" i="36" s="1"/>
  <c r="H14" i="36" s="1"/>
  <c r="I14" i="36" s="1"/>
  <c r="D14" i="38"/>
  <c r="E14" i="38" s="1"/>
  <c r="F14" i="38" s="1"/>
  <c r="G14" i="38" s="1"/>
  <c r="H14" i="38" s="1"/>
  <c r="I14" i="38" s="1"/>
  <c r="D14" i="39"/>
  <c r="D14" i="40"/>
  <c r="D14" i="42"/>
  <c r="D14" i="43"/>
  <c r="E14" i="43"/>
  <c r="F14" i="43"/>
  <c r="G14" i="43" s="1"/>
  <c r="H14" i="43" s="1"/>
  <c r="I14" i="43" s="1"/>
  <c r="D14" i="45"/>
  <c r="D14" i="46"/>
  <c r="D14" i="50"/>
  <c r="D14" i="51"/>
  <c r="D14" i="91"/>
  <c r="D14" i="52"/>
  <c r="D14" i="96"/>
  <c r="D14" i="54"/>
  <c r="D14" i="57"/>
  <c r="D14" i="58"/>
  <c r="D14" i="65"/>
  <c r="E14" i="65"/>
  <c r="F14" i="65"/>
  <c r="G14" i="65" s="1"/>
  <c r="H14" i="65" s="1"/>
  <c r="I14" i="65" s="1"/>
  <c r="D14" i="59"/>
  <c r="D14" i="60"/>
  <c r="D14" i="61"/>
  <c r="D14" i="62"/>
  <c r="D14" i="63"/>
  <c r="D14" i="64"/>
  <c r="E14" i="64" s="1"/>
  <c r="F14" i="64" s="1"/>
  <c r="G14" i="64" s="1"/>
  <c r="H14" i="64" s="1"/>
  <c r="I14" i="64" s="1"/>
  <c r="D14" i="92"/>
  <c r="E14" i="92" s="1"/>
  <c r="F14" i="92"/>
  <c r="G14" i="92" s="1"/>
  <c r="H14" i="92" s="1"/>
  <c r="I14" i="92" s="1"/>
  <c r="D14" i="67"/>
  <c r="E14" i="67"/>
  <c r="F14" i="67"/>
  <c r="G14" i="67" s="1"/>
  <c r="D14" i="68"/>
  <c r="E14" i="68"/>
  <c r="F14" i="68"/>
  <c r="G14" i="68" s="1"/>
  <c r="H14" i="68" s="1"/>
  <c r="I14" i="68" s="1"/>
  <c r="D14" i="69"/>
  <c r="E14" i="69" s="1"/>
  <c r="F14" i="69" s="1"/>
  <c r="G14" i="69" s="1"/>
  <c r="H14" i="69" s="1"/>
  <c r="I14" i="69" s="1"/>
  <c r="D14" i="72"/>
  <c r="D14" i="87" s="1"/>
  <c r="D14" i="73"/>
  <c r="D14" i="74"/>
  <c r="D14" i="75"/>
  <c r="D14" i="76"/>
  <c r="D14" i="77"/>
  <c r="E14" i="77"/>
  <c r="F14" i="77" s="1"/>
  <c r="G14" i="77" s="1"/>
  <c r="H14" i="77" s="1"/>
  <c r="I14" i="77" s="1"/>
  <c r="D14" i="78"/>
  <c r="D14" i="1"/>
  <c r="D13" i="8"/>
  <c r="D13" i="9"/>
  <c r="D13" i="10"/>
  <c r="D13" i="12"/>
  <c r="E13" i="12"/>
  <c r="F13" i="12"/>
  <c r="G13" i="12" s="1"/>
  <c r="H13" i="12" s="1"/>
  <c r="I13" i="12" s="1"/>
  <c r="D13" i="15"/>
  <c r="D13" i="17"/>
  <c r="D13" i="18"/>
  <c r="D13" i="19"/>
  <c r="D13" i="21"/>
  <c r="D13" i="22"/>
  <c r="D13" i="23"/>
  <c r="E13" i="23"/>
  <c r="F13" i="23"/>
  <c r="G13" i="23" s="1"/>
  <c r="H13" i="23" s="1"/>
  <c r="I13" i="23" s="1"/>
  <c r="D13" i="26"/>
  <c r="D13" i="83"/>
  <c r="D13" i="93"/>
  <c r="D13" i="27"/>
  <c r="D13" i="28"/>
  <c r="D13" i="29"/>
  <c r="D13" i="30"/>
  <c r="D13" i="31"/>
  <c r="D13" i="32"/>
  <c r="E13" i="32" s="1"/>
  <c r="F13" i="32" s="1"/>
  <c r="G13" i="32" s="1"/>
  <c r="H13" i="32" s="1"/>
  <c r="I13" i="32" s="1"/>
  <c r="D13" i="33"/>
  <c r="E13" i="33"/>
  <c r="F13" i="33"/>
  <c r="G13" i="33" s="1"/>
  <c r="H13" i="33" s="1"/>
  <c r="I13" i="33" s="1"/>
  <c r="D13" i="34"/>
  <c r="D13" i="94" s="1"/>
  <c r="D13" i="35"/>
  <c r="D13" i="36"/>
  <c r="E13" i="36"/>
  <c r="F13" i="36" s="1"/>
  <c r="G13" i="36" s="1"/>
  <c r="H13" i="36" s="1"/>
  <c r="I13" i="36" s="1"/>
  <c r="D13" i="38"/>
  <c r="D13" i="39"/>
  <c r="D13" i="40"/>
  <c r="E13" i="40"/>
  <c r="F13" i="40" s="1"/>
  <c r="G13" i="40" s="1"/>
  <c r="H13" i="40" s="1"/>
  <c r="I13" i="40" s="1"/>
  <c r="D13" i="42"/>
  <c r="D13" i="43"/>
  <c r="D13" i="45"/>
  <c r="D13" i="46"/>
  <c r="D13" i="50"/>
  <c r="D13" i="51"/>
  <c r="D13" i="52"/>
  <c r="D13" i="96"/>
  <c r="D13" i="54"/>
  <c r="D13" i="57"/>
  <c r="D13" i="58"/>
  <c r="D13" i="65"/>
  <c r="E13" i="65" s="1"/>
  <c r="F13" i="65" s="1"/>
  <c r="G13" i="65" s="1"/>
  <c r="H13" i="65" s="1"/>
  <c r="I13" i="65" s="1"/>
  <c r="D13" i="59"/>
  <c r="D13" i="60"/>
  <c r="E13" i="60"/>
  <c r="F13" i="60" s="1"/>
  <c r="G13" i="60" s="1"/>
  <c r="H13" i="60" s="1"/>
  <c r="I13" i="60" s="1"/>
  <c r="D13" i="61"/>
  <c r="D13" i="62"/>
  <c r="D13" i="88" s="1"/>
  <c r="D13" i="63"/>
  <c r="E13" i="63" s="1"/>
  <c r="F13" i="63" s="1"/>
  <c r="G13" i="63" s="1"/>
  <c r="H13" i="63" s="1"/>
  <c r="I13" i="63" s="1"/>
  <c r="D13" i="64"/>
  <c r="D13" i="92"/>
  <c r="E13" i="92"/>
  <c r="F13" i="92" s="1"/>
  <c r="G13" i="92" s="1"/>
  <c r="H13" i="92" s="1"/>
  <c r="I13" i="92" s="1"/>
  <c r="D13" i="67"/>
  <c r="D13" i="68"/>
  <c r="E13" i="68"/>
  <c r="F13" i="68"/>
  <c r="G13" i="68" s="1"/>
  <c r="H13" i="68" s="1"/>
  <c r="I13" i="68" s="1"/>
  <c r="D13" i="69"/>
  <c r="E13" i="69" s="1"/>
  <c r="F13" i="69" s="1"/>
  <c r="G13" i="69" s="1"/>
  <c r="H13" i="69" s="1"/>
  <c r="I13" i="69" s="1"/>
  <c r="D13" i="72"/>
  <c r="D13" i="73"/>
  <c r="D13" i="74"/>
  <c r="D13" i="75"/>
  <c r="D13" i="76"/>
  <c r="D13" i="77"/>
  <c r="E13" i="77"/>
  <c r="F13" i="77" s="1"/>
  <c r="G13" i="77" s="1"/>
  <c r="H13" i="77" s="1"/>
  <c r="I13" i="77" s="1"/>
  <c r="D13" i="78"/>
  <c r="D13" i="1"/>
  <c r="D12" i="8"/>
  <c r="D16" i="8" s="1"/>
  <c r="E10" i="5" s="1"/>
  <c r="D12" i="9"/>
  <c r="D12" i="10"/>
  <c r="D12" i="12"/>
  <c r="D16" i="12" s="1"/>
  <c r="E13" i="5" s="1"/>
  <c r="D12" i="15"/>
  <c r="D12" i="17"/>
  <c r="D12" i="18"/>
  <c r="D12" i="19"/>
  <c r="D12" i="21"/>
  <c r="D12" i="22"/>
  <c r="D12" i="23"/>
  <c r="E12" i="23"/>
  <c r="F12" i="23"/>
  <c r="G12" i="23"/>
  <c r="H12" i="23" s="1"/>
  <c r="I12" i="23" s="1"/>
  <c r="D12" i="83"/>
  <c r="D12" i="93"/>
  <c r="D12" i="27"/>
  <c r="D12" i="29"/>
  <c r="D12" i="31"/>
  <c r="D12" i="32"/>
  <c r="E12" i="32" s="1"/>
  <c r="F12" i="32" s="1"/>
  <c r="G12" i="32" s="1"/>
  <c r="H12" i="32" s="1"/>
  <c r="I12" i="32" s="1"/>
  <c r="D12" i="33"/>
  <c r="D12" i="34"/>
  <c r="E12" i="34"/>
  <c r="D12" i="35"/>
  <c r="D12" i="36"/>
  <c r="E12" i="36"/>
  <c r="F12" i="36"/>
  <c r="G12" i="36" s="1"/>
  <c r="H12" i="36" s="1"/>
  <c r="I12" i="36" s="1"/>
  <c r="D12" i="38"/>
  <c r="D12" i="39"/>
  <c r="D12" i="40"/>
  <c r="E12" i="40"/>
  <c r="F12" i="40"/>
  <c r="G12" i="40" s="1"/>
  <c r="H12" i="40" s="1"/>
  <c r="I12" i="40" s="1"/>
  <c r="D12" i="42"/>
  <c r="D12" i="43"/>
  <c r="D12" i="45"/>
  <c r="D12" i="46"/>
  <c r="D12" i="50"/>
  <c r="D12" i="51"/>
  <c r="D12" i="52"/>
  <c r="E12" i="52" s="1"/>
  <c r="D12" i="96"/>
  <c r="D12" i="54"/>
  <c r="D12" i="58"/>
  <c r="D12" i="60"/>
  <c r="E12" i="60"/>
  <c r="F12" i="60"/>
  <c r="G12" i="60" s="1"/>
  <c r="H12" i="60" s="1"/>
  <c r="I12" i="60" s="1"/>
  <c r="D12" i="62"/>
  <c r="D12" i="63"/>
  <c r="D12" i="64"/>
  <c r="E12" i="64"/>
  <c r="F12" i="64"/>
  <c r="G12" i="64" s="1"/>
  <c r="H12" i="64" s="1"/>
  <c r="I12" i="64" s="1"/>
  <c r="D12" i="92"/>
  <c r="E12" i="92" s="1"/>
  <c r="F12" i="92" s="1"/>
  <c r="G12" i="92" s="1"/>
  <c r="H12" i="92" s="1"/>
  <c r="I12" i="92" s="1"/>
  <c r="D12" i="69"/>
  <c r="D12" i="72"/>
  <c r="D12" i="73"/>
  <c r="D12" i="74"/>
  <c r="D12" i="76"/>
  <c r="D12" i="77"/>
  <c r="D12" i="78"/>
  <c r="D12" i="1"/>
  <c r="E12" i="1" s="1"/>
  <c r="D11" i="18"/>
  <c r="E11" i="18"/>
  <c r="D11" i="19"/>
  <c r="D11" i="21"/>
  <c r="D11" i="22"/>
  <c r="D11" i="26"/>
  <c r="D11" i="83"/>
  <c r="D11" i="93"/>
  <c r="D11" i="27"/>
  <c r="D11" i="28"/>
  <c r="D11" i="29"/>
  <c r="D11" i="30"/>
  <c r="D11" i="31"/>
  <c r="D11" i="45"/>
  <c r="D11" i="46"/>
  <c r="D11" i="50"/>
  <c r="D11" i="52"/>
  <c r="D11" i="54"/>
  <c r="D11" i="58"/>
  <c r="D11" i="72"/>
  <c r="D11" i="73"/>
  <c r="D11" i="74"/>
  <c r="D11" i="1"/>
  <c r="D10" i="19"/>
  <c r="D10" i="21"/>
  <c r="D10" i="26"/>
  <c r="D10" i="83"/>
  <c r="D10" i="93"/>
  <c r="D10" i="27"/>
  <c r="D10" i="28"/>
  <c r="D10" i="29"/>
  <c r="D10" i="30"/>
  <c r="D10" i="31"/>
  <c r="D10" i="35"/>
  <c r="E10" i="35" s="1"/>
  <c r="F10" i="35" s="1"/>
  <c r="G10" i="35" s="1"/>
  <c r="D10" i="38"/>
  <c r="E10" i="38" s="1"/>
  <c r="F10" i="38"/>
  <c r="G10" i="38" s="1"/>
  <c r="D10" i="45"/>
  <c r="D10" i="52"/>
  <c r="J10" i="72"/>
  <c r="J10" i="74"/>
  <c r="D10" i="1"/>
  <c r="D9" i="19"/>
  <c r="E9" i="19"/>
  <c r="D9" i="21"/>
  <c r="E9" i="21" s="1"/>
  <c r="D9" i="22"/>
  <c r="E9" i="22"/>
  <c r="D9" i="26"/>
  <c r="E9" i="26" s="1"/>
  <c r="D9" i="93"/>
  <c r="D9" i="27"/>
  <c r="E9" i="27" s="1"/>
  <c r="D9" i="28"/>
  <c r="E9" i="28" s="1"/>
  <c r="D9" i="29"/>
  <c r="E9" i="29" s="1"/>
  <c r="D9" i="31"/>
  <c r="E9" i="31" s="1"/>
  <c r="D9" i="35"/>
  <c r="E9" i="35" s="1"/>
  <c r="D9" i="50"/>
  <c r="E9" i="50" s="1"/>
  <c r="D9" i="52"/>
  <c r="E9" i="52" s="1"/>
  <c r="D9" i="73"/>
  <c r="E9" i="73" s="1"/>
  <c r="D9" i="74"/>
  <c r="D9" i="1"/>
  <c r="E9" i="1" s="1"/>
  <c r="E16" i="1" s="1"/>
  <c r="D14" i="86"/>
  <c r="D15" i="86"/>
  <c r="D13" i="86"/>
  <c r="E9" i="93"/>
  <c r="E9" i="74"/>
  <c r="D16" i="33"/>
  <c r="E35" i="5"/>
  <c r="D13" i="101"/>
  <c r="E14" i="101"/>
  <c r="D14" i="101"/>
  <c r="F12" i="7"/>
  <c r="G12" i="7" s="1"/>
  <c r="H12" i="7" s="1"/>
  <c r="I12" i="7" s="1"/>
  <c r="AA19" i="83"/>
  <c r="Z19" i="83"/>
  <c r="Y19" i="83"/>
  <c r="X19" i="83"/>
  <c r="D16" i="41"/>
  <c r="C16" i="41"/>
  <c r="B16" i="41"/>
  <c r="E15" i="41"/>
  <c r="F15" i="41"/>
  <c r="G15" i="41" s="1"/>
  <c r="H15" i="41" s="1"/>
  <c r="I15" i="41" s="1"/>
  <c r="E14" i="41"/>
  <c r="F14" i="41" s="1"/>
  <c r="G14" i="41" s="1"/>
  <c r="H14" i="41" s="1"/>
  <c r="I14" i="41" s="1"/>
  <c r="E13" i="41"/>
  <c r="F13" i="41" s="1"/>
  <c r="G13" i="41" s="1"/>
  <c r="H13" i="41" s="1"/>
  <c r="I13" i="41" s="1"/>
  <c r="E12" i="41"/>
  <c r="F12" i="41" s="1"/>
  <c r="G12" i="41" s="1"/>
  <c r="H12" i="41" s="1"/>
  <c r="I12" i="41" s="1"/>
  <c r="E11" i="41"/>
  <c r="F11" i="41"/>
  <c r="G11" i="41" s="1"/>
  <c r="H11" i="41" s="1"/>
  <c r="I11" i="41" s="1"/>
  <c r="E10" i="41"/>
  <c r="F10" i="41" s="1"/>
  <c r="G10" i="41" s="1"/>
  <c r="H10" i="41" s="1"/>
  <c r="I10" i="41" s="1"/>
  <c r="E9" i="41"/>
  <c r="C15" i="87"/>
  <c r="C14" i="87"/>
  <c r="C13" i="87"/>
  <c r="C12" i="87"/>
  <c r="C11" i="87"/>
  <c r="C10" i="87"/>
  <c r="C9" i="87"/>
  <c r="C15" i="88"/>
  <c r="C14" i="88"/>
  <c r="C13" i="88"/>
  <c r="B13" i="88"/>
  <c r="C12" i="88"/>
  <c r="B12" i="88"/>
  <c r="C11" i="88"/>
  <c r="C10" i="88"/>
  <c r="C9" i="88"/>
  <c r="C16" i="88" s="1"/>
  <c r="C15" i="85"/>
  <c r="B15" i="85"/>
  <c r="C14" i="85"/>
  <c r="B14" i="85"/>
  <c r="C13" i="85"/>
  <c r="B13" i="85"/>
  <c r="C12" i="85"/>
  <c r="B12" i="85"/>
  <c r="C11" i="85"/>
  <c r="C16" i="85"/>
  <c r="C10" i="85"/>
  <c r="C9" i="85"/>
  <c r="B9" i="85"/>
  <c r="C15" i="91"/>
  <c r="B15" i="91"/>
  <c r="C14" i="91"/>
  <c r="B14" i="91"/>
  <c r="C13" i="91"/>
  <c r="B13" i="91"/>
  <c r="C12" i="91"/>
  <c r="B12" i="91"/>
  <c r="C11" i="91"/>
  <c r="B11" i="91"/>
  <c r="C10" i="91"/>
  <c r="B10" i="91"/>
  <c r="C9" i="91"/>
  <c r="C15" i="94"/>
  <c r="B15" i="94"/>
  <c r="C14" i="94"/>
  <c r="B14" i="94"/>
  <c r="C13" i="94"/>
  <c r="B13" i="94"/>
  <c r="C12" i="94"/>
  <c r="B12" i="94"/>
  <c r="C11" i="94"/>
  <c r="C10" i="94"/>
  <c r="C9" i="94"/>
  <c r="C16" i="94"/>
  <c r="C15" i="89"/>
  <c r="B15" i="89"/>
  <c r="C14" i="89"/>
  <c r="B14" i="89"/>
  <c r="C13" i="89"/>
  <c r="B13" i="89"/>
  <c r="C12" i="89"/>
  <c r="B12" i="89"/>
  <c r="C11" i="89"/>
  <c r="C10" i="89"/>
  <c r="C9" i="89"/>
  <c r="B9" i="89"/>
  <c r="C15" i="90"/>
  <c r="B15" i="90"/>
  <c r="C14" i="90"/>
  <c r="B14" i="90"/>
  <c r="C13" i="90"/>
  <c r="B13" i="90"/>
  <c r="C12" i="90"/>
  <c r="B12" i="90"/>
  <c r="C11" i="90"/>
  <c r="B11" i="90"/>
  <c r="C10" i="90"/>
  <c r="B10" i="90"/>
  <c r="C9" i="90"/>
  <c r="C16" i="80"/>
  <c r="D79" i="5"/>
  <c r="C16" i="79"/>
  <c r="D77" i="5" s="1"/>
  <c r="B16" i="79"/>
  <c r="C77" i="5" s="1"/>
  <c r="E15" i="79"/>
  <c r="E14" i="79"/>
  <c r="E12" i="79"/>
  <c r="F12" i="79" s="1"/>
  <c r="C16" i="78"/>
  <c r="D76" i="5" s="1"/>
  <c r="B16" i="78"/>
  <c r="E15" i="78"/>
  <c r="F15" i="78"/>
  <c r="G15" i="78"/>
  <c r="H15" i="78" s="1"/>
  <c r="I15" i="78" s="1"/>
  <c r="E14" i="78"/>
  <c r="F14" i="78"/>
  <c r="G14" i="78" s="1"/>
  <c r="H14" i="78" s="1"/>
  <c r="I14" i="78" s="1"/>
  <c r="E13" i="78"/>
  <c r="F13" i="78" s="1"/>
  <c r="G13" i="78" s="1"/>
  <c r="H13" i="78" s="1"/>
  <c r="I13" i="78" s="1"/>
  <c r="E12" i="78"/>
  <c r="F12" i="78" s="1"/>
  <c r="G12" i="78" s="1"/>
  <c r="H12" i="78" s="1"/>
  <c r="I12" i="78" s="1"/>
  <c r="C16" i="77"/>
  <c r="E12" i="77"/>
  <c r="F12" i="77"/>
  <c r="G12" i="77" s="1"/>
  <c r="H12" i="77" s="1"/>
  <c r="I12" i="77" s="1"/>
  <c r="C16" i="76"/>
  <c r="D74" i="5" s="1"/>
  <c r="B16" i="76"/>
  <c r="C74" i="5"/>
  <c r="C16" i="75"/>
  <c r="D73" i="5" s="1"/>
  <c r="B16" i="75"/>
  <c r="C73" i="5" s="1"/>
  <c r="E15" i="75"/>
  <c r="E13" i="75"/>
  <c r="F13" i="75" s="1"/>
  <c r="G13" i="75" s="1"/>
  <c r="H13" i="75" s="1"/>
  <c r="I13" i="75" s="1"/>
  <c r="C16" i="74"/>
  <c r="D72" i="5" s="1"/>
  <c r="B16" i="74"/>
  <c r="E15" i="74"/>
  <c r="F15" i="74"/>
  <c r="G15" i="74"/>
  <c r="H15" i="74" s="1"/>
  <c r="I15" i="74" s="1"/>
  <c r="E14" i="74"/>
  <c r="F14" i="74"/>
  <c r="G14" i="74" s="1"/>
  <c r="H14" i="74" s="1"/>
  <c r="I14" i="74" s="1"/>
  <c r="E13" i="74"/>
  <c r="F13" i="74" s="1"/>
  <c r="G13" i="74" s="1"/>
  <c r="H13" i="74" s="1"/>
  <c r="I13" i="74" s="1"/>
  <c r="E12" i="74"/>
  <c r="F12" i="74" s="1"/>
  <c r="G12" i="74" s="1"/>
  <c r="H12" i="74" s="1"/>
  <c r="I12" i="74" s="1"/>
  <c r="D16" i="74"/>
  <c r="E72" i="5"/>
  <c r="F9" i="74"/>
  <c r="C16" i="73"/>
  <c r="D71" i="5" s="1"/>
  <c r="C71" i="5"/>
  <c r="E15" i="73"/>
  <c r="F15" i="73" s="1"/>
  <c r="G15" i="73" s="1"/>
  <c r="E14" i="73"/>
  <c r="F14" i="73"/>
  <c r="E13" i="73"/>
  <c r="F13" i="73" s="1"/>
  <c r="E12" i="73"/>
  <c r="F12" i="73"/>
  <c r="E11" i="73"/>
  <c r="F11" i="73" s="1"/>
  <c r="C16" i="72"/>
  <c r="B16" i="72"/>
  <c r="B17" i="71" s="1"/>
  <c r="E15" i="72"/>
  <c r="F15" i="72" s="1"/>
  <c r="G15" i="72" s="1"/>
  <c r="H15" i="72" s="1"/>
  <c r="I15" i="72" s="1"/>
  <c r="E14" i="72"/>
  <c r="E13" i="72"/>
  <c r="F13" i="72"/>
  <c r="G13" i="72" s="1"/>
  <c r="H13" i="72" s="1"/>
  <c r="I13" i="72" s="1"/>
  <c r="E12" i="72"/>
  <c r="F12" i="72" s="1"/>
  <c r="G12" i="72" s="1"/>
  <c r="H12" i="72" s="1"/>
  <c r="I12" i="72" s="1"/>
  <c r="E11" i="72"/>
  <c r="F11" i="72" s="1"/>
  <c r="G11" i="72" s="1"/>
  <c r="H11" i="72" s="1"/>
  <c r="I11" i="72" s="1"/>
  <c r="C16" i="71"/>
  <c r="D69" i="5"/>
  <c r="C16" i="70"/>
  <c r="D68" i="5" s="1"/>
  <c r="C16" i="69"/>
  <c r="E12" i="69"/>
  <c r="C16" i="68"/>
  <c r="E15" i="68"/>
  <c r="F15" i="68" s="1"/>
  <c r="G15" i="68" s="1"/>
  <c r="H15" i="68" s="1"/>
  <c r="I15" i="68" s="1"/>
  <c r="C16" i="67"/>
  <c r="D65" i="5"/>
  <c r="B16" i="67"/>
  <c r="C65" i="5" s="1"/>
  <c r="C16" i="66"/>
  <c r="D63" i="5"/>
  <c r="B16" i="66"/>
  <c r="C63" i="5" s="1"/>
  <c r="C16" i="92"/>
  <c r="D62" i="5" s="1"/>
  <c r="B16" i="92"/>
  <c r="C16" i="65"/>
  <c r="D56" i="5" s="1"/>
  <c r="C16" i="64"/>
  <c r="D61" i="5"/>
  <c r="E13" i="64"/>
  <c r="F13" i="64" s="1"/>
  <c r="G13" i="64" s="1"/>
  <c r="H13" i="64" s="1"/>
  <c r="I13" i="64" s="1"/>
  <c r="C16" i="63"/>
  <c r="D60" i="5" s="1"/>
  <c r="C16" i="62"/>
  <c r="D59" i="5" s="1"/>
  <c r="B16" i="62"/>
  <c r="B17" i="61" s="1"/>
  <c r="E15" i="62"/>
  <c r="F15" i="62" s="1"/>
  <c r="G15" i="62" s="1"/>
  <c r="H15" i="62" s="1"/>
  <c r="I15" i="62" s="1"/>
  <c r="E14" i="62"/>
  <c r="F14" i="62" s="1"/>
  <c r="G14" i="62" s="1"/>
  <c r="H14" i="62" s="1"/>
  <c r="I14" i="62" s="1"/>
  <c r="E13" i="62"/>
  <c r="F13" i="62" s="1"/>
  <c r="G13" i="62" s="1"/>
  <c r="H13" i="62" s="1"/>
  <c r="I13" i="62" s="1"/>
  <c r="E12" i="62"/>
  <c r="F12" i="62"/>
  <c r="G12" i="62" s="1"/>
  <c r="H12" i="62" s="1"/>
  <c r="I12" i="62" s="1"/>
  <c r="C16" i="61"/>
  <c r="D58" i="5" s="1"/>
  <c r="E15" i="61"/>
  <c r="F15" i="61"/>
  <c r="E14" i="61"/>
  <c r="F14" i="61" s="1"/>
  <c r="C16" i="60"/>
  <c r="D57" i="5"/>
  <c r="E14" i="60"/>
  <c r="F14" i="60" s="1"/>
  <c r="G14" i="60" s="1"/>
  <c r="H14" i="60" s="1"/>
  <c r="I14" i="60" s="1"/>
  <c r="C16" i="59"/>
  <c r="D64" i="5" s="1"/>
  <c r="B16" i="59"/>
  <c r="C64" i="5" s="1"/>
  <c r="E14" i="59"/>
  <c r="F14" i="59" s="1"/>
  <c r="G14" i="59" s="1"/>
  <c r="H14" i="59" s="1"/>
  <c r="I14" i="59" s="1"/>
  <c r="C16" i="58"/>
  <c r="D55" i="5"/>
  <c r="B16" i="58"/>
  <c r="C55" i="5" s="1"/>
  <c r="E15" i="58"/>
  <c r="F15" i="58"/>
  <c r="G15" i="58" s="1"/>
  <c r="H15" i="58" s="1"/>
  <c r="I15" i="58" s="1"/>
  <c r="E14" i="58"/>
  <c r="F14" i="58" s="1"/>
  <c r="G14" i="58" s="1"/>
  <c r="H14" i="58" s="1"/>
  <c r="I14" i="58" s="1"/>
  <c r="E13" i="58"/>
  <c r="F13" i="58" s="1"/>
  <c r="G13" i="58" s="1"/>
  <c r="H13" i="58" s="1"/>
  <c r="I13" i="58" s="1"/>
  <c r="E12" i="58"/>
  <c r="F12" i="58" s="1"/>
  <c r="G12" i="58" s="1"/>
  <c r="H12" i="58" s="1"/>
  <c r="I12" i="58" s="1"/>
  <c r="E11" i="58"/>
  <c r="F11" i="58"/>
  <c r="G11" i="58" s="1"/>
  <c r="H11" i="58" s="1"/>
  <c r="I11" i="58" s="1"/>
  <c r="C16" i="57"/>
  <c r="B16" i="57"/>
  <c r="E15" i="57"/>
  <c r="F15" i="57" s="1"/>
  <c r="G15" i="57" s="1"/>
  <c r="H15" i="57" s="1"/>
  <c r="I15" i="57" s="1"/>
  <c r="E14" i="57"/>
  <c r="F14" i="57"/>
  <c r="G14" i="57" s="1"/>
  <c r="H14" i="57" s="1"/>
  <c r="I14" i="57" s="1"/>
  <c r="E13" i="57"/>
  <c r="F13" i="57" s="1"/>
  <c r="G13" i="57" s="1"/>
  <c r="H13" i="57" s="1"/>
  <c r="I13" i="57" s="1"/>
  <c r="C16" i="56"/>
  <c r="D53" i="5" s="1"/>
  <c r="B16" i="56"/>
  <c r="C53" i="5"/>
  <c r="C16" i="54"/>
  <c r="B16" i="54"/>
  <c r="C52" i="5" s="1"/>
  <c r="E15" i="54"/>
  <c r="F15" i="54" s="1"/>
  <c r="G15" i="54" s="1"/>
  <c r="H15" i="54" s="1"/>
  <c r="I15" i="54" s="1"/>
  <c r="E14" i="54"/>
  <c r="F14" i="54" s="1"/>
  <c r="G14" i="54" s="1"/>
  <c r="H14" i="54" s="1"/>
  <c r="I14" i="54" s="1"/>
  <c r="E13" i="54"/>
  <c r="F13" i="54" s="1"/>
  <c r="G13" i="54" s="1"/>
  <c r="H13" i="54" s="1"/>
  <c r="I13" i="54" s="1"/>
  <c r="E12" i="54"/>
  <c r="F12" i="54"/>
  <c r="G12" i="54" s="1"/>
  <c r="H12" i="54" s="1"/>
  <c r="I12" i="54" s="1"/>
  <c r="E11" i="54"/>
  <c r="F11" i="54" s="1"/>
  <c r="G11" i="54" s="1"/>
  <c r="H11" i="54" s="1"/>
  <c r="I11" i="54" s="1"/>
  <c r="C16" i="97"/>
  <c r="D51" i="5" s="1"/>
  <c r="B16" i="97"/>
  <c r="C51" i="5"/>
  <c r="E15" i="97"/>
  <c r="C16" i="96"/>
  <c r="D50" i="5" s="1"/>
  <c r="B16" i="96"/>
  <c r="C50" i="5" s="1"/>
  <c r="E14" i="96"/>
  <c r="F14" i="96" s="1"/>
  <c r="E12" i="96"/>
  <c r="F12" i="96" s="1"/>
  <c r="C16" i="52"/>
  <c r="B16" i="52"/>
  <c r="B17" i="51" s="1"/>
  <c r="C49" i="5"/>
  <c r="E15" i="52"/>
  <c r="F15" i="52" s="1"/>
  <c r="G15" i="52" s="1"/>
  <c r="H15" i="52" s="1"/>
  <c r="I15" i="52" s="1"/>
  <c r="E14" i="52"/>
  <c r="F14" i="52"/>
  <c r="G14" i="52"/>
  <c r="H14" i="52" s="1"/>
  <c r="I14" i="52" s="1"/>
  <c r="E13" i="52"/>
  <c r="F13" i="52"/>
  <c r="G13" i="52" s="1"/>
  <c r="H13" i="52" s="1"/>
  <c r="I13" i="52" s="1"/>
  <c r="F12" i="52"/>
  <c r="G12" i="52" s="1"/>
  <c r="H12" i="52" s="1"/>
  <c r="I12" i="52" s="1"/>
  <c r="E11" i="52"/>
  <c r="F11" i="52" s="1"/>
  <c r="G11" i="52" s="1"/>
  <c r="H11" i="52" s="1"/>
  <c r="I11" i="52" s="1"/>
  <c r="C16" i="51"/>
  <c r="D48" i="5" s="1"/>
  <c r="D13" i="91"/>
  <c r="D12" i="91"/>
  <c r="C16" i="50"/>
  <c r="B16" i="50"/>
  <c r="B17" i="49" s="1"/>
  <c r="C47" i="5"/>
  <c r="E15" i="50"/>
  <c r="F15" i="50" s="1"/>
  <c r="G15" i="50" s="1"/>
  <c r="H15" i="50" s="1"/>
  <c r="I15" i="50" s="1"/>
  <c r="E14" i="50"/>
  <c r="F14" i="50" s="1"/>
  <c r="G14" i="50" s="1"/>
  <c r="H14" i="50" s="1"/>
  <c r="I14" i="50" s="1"/>
  <c r="E13" i="50"/>
  <c r="F13" i="50" s="1"/>
  <c r="G13" i="50" s="1"/>
  <c r="H13" i="50" s="1"/>
  <c r="I13" i="50" s="1"/>
  <c r="E12" i="50"/>
  <c r="F12" i="50"/>
  <c r="G12" i="50" s="1"/>
  <c r="H12" i="50" s="1"/>
  <c r="I12" i="50" s="1"/>
  <c r="E11" i="50"/>
  <c r="F11" i="50" s="1"/>
  <c r="G11" i="50" s="1"/>
  <c r="H11" i="50" s="1"/>
  <c r="I11" i="50" s="1"/>
  <c r="C16" i="49"/>
  <c r="D46" i="5" s="1"/>
  <c r="C16" i="46"/>
  <c r="D45" i="5"/>
  <c r="B16" i="46"/>
  <c r="C45" i="5" s="1"/>
  <c r="E15" i="46"/>
  <c r="F15" i="46"/>
  <c r="G15" i="46" s="1"/>
  <c r="H15" i="46" s="1"/>
  <c r="I15" i="46" s="1"/>
  <c r="E14" i="46"/>
  <c r="F14" i="46" s="1"/>
  <c r="G14" i="46" s="1"/>
  <c r="H14" i="46" s="1"/>
  <c r="I14" i="46" s="1"/>
  <c r="E13" i="46"/>
  <c r="F13" i="46" s="1"/>
  <c r="G13" i="46" s="1"/>
  <c r="H13" i="46" s="1"/>
  <c r="I13" i="46" s="1"/>
  <c r="E12" i="46"/>
  <c r="F12" i="46" s="1"/>
  <c r="G12" i="46" s="1"/>
  <c r="H12" i="46" s="1"/>
  <c r="I12" i="46" s="1"/>
  <c r="E11" i="46"/>
  <c r="F11" i="46"/>
  <c r="G11" i="46" s="1"/>
  <c r="H11" i="46" s="1"/>
  <c r="I11" i="46" s="1"/>
  <c r="F10" i="46"/>
  <c r="G10" i="46" s="1"/>
  <c r="H10" i="46" s="1"/>
  <c r="I10" i="46" s="1"/>
  <c r="C16" i="45"/>
  <c r="B16" i="45"/>
  <c r="C44" i="5"/>
  <c r="E15" i="45"/>
  <c r="F15" i="45" s="1"/>
  <c r="G15" i="45" s="1"/>
  <c r="H15" i="45" s="1"/>
  <c r="I15" i="45" s="1"/>
  <c r="E14" i="45"/>
  <c r="F14" i="45" s="1"/>
  <c r="G14" i="45" s="1"/>
  <c r="H14" i="45" s="1"/>
  <c r="I14" i="45" s="1"/>
  <c r="E13" i="45"/>
  <c r="F13" i="45"/>
  <c r="G13" i="45" s="1"/>
  <c r="H13" i="45" s="1"/>
  <c r="I13" i="45" s="1"/>
  <c r="E12" i="45"/>
  <c r="F12" i="45" s="1"/>
  <c r="G12" i="45" s="1"/>
  <c r="H12" i="45" s="1"/>
  <c r="I12" i="45" s="1"/>
  <c r="E11" i="45"/>
  <c r="F11" i="45" s="1"/>
  <c r="G11" i="45" s="1"/>
  <c r="H11" i="45" s="1"/>
  <c r="I11" i="45" s="1"/>
  <c r="E10" i="45"/>
  <c r="F10" i="45" s="1"/>
  <c r="G10" i="45" s="1"/>
  <c r="H10" i="45" s="1"/>
  <c r="I10" i="45" s="1"/>
  <c r="C16" i="43"/>
  <c r="D43" i="5" s="1"/>
  <c r="E13" i="43"/>
  <c r="F13" i="43"/>
  <c r="G13" i="43" s="1"/>
  <c r="H13" i="43" s="1"/>
  <c r="I13" i="43" s="1"/>
  <c r="C16" i="42"/>
  <c r="D42" i="5" s="1"/>
  <c r="B16" i="42"/>
  <c r="C42" i="5" s="1"/>
  <c r="E15" i="42"/>
  <c r="E13" i="42"/>
  <c r="F13" i="42" s="1"/>
  <c r="G13" i="42" s="1"/>
  <c r="H13" i="42" s="1"/>
  <c r="I13" i="42" s="1"/>
  <c r="C16" i="40"/>
  <c r="D41" i="5"/>
  <c r="B16" i="40"/>
  <c r="C41" i="5" s="1"/>
  <c r="E14" i="40"/>
  <c r="F14" i="40"/>
  <c r="G14" i="40"/>
  <c r="H14" i="40" s="1"/>
  <c r="I14" i="40" s="1"/>
  <c r="C16" i="39"/>
  <c r="D40" i="5"/>
  <c r="E15" i="39"/>
  <c r="F15" i="39" s="1"/>
  <c r="G15" i="39" s="1"/>
  <c r="H15" i="39" s="1"/>
  <c r="I15" i="39" s="1"/>
  <c r="E14" i="39"/>
  <c r="F14" i="39"/>
  <c r="G14" i="39"/>
  <c r="H14" i="39" s="1"/>
  <c r="I14" i="39" s="1"/>
  <c r="E13" i="39"/>
  <c r="F13" i="39"/>
  <c r="G13" i="39" s="1"/>
  <c r="H13" i="39" s="1"/>
  <c r="I13" i="39" s="1"/>
  <c r="E12" i="39"/>
  <c r="F12" i="39" s="1"/>
  <c r="G12" i="39" s="1"/>
  <c r="H12" i="39" s="1"/>
  <c r="I12" i="39" s="1"/>
  <c r="D16" i="39"/>
  <c r="E40" i="5" s="1"/>
  <c r="C16" i="38"/>
  <c r="D39" i="5"/>
  <c r="E15" i="38"/>
  <c r="E13" i="38"/>
  <c r="F13" i="38"/>
  <c r="G13" i="38"/>
  <c r="H13" i="38" s="1"/>
  <c r="I13" i="38" s="1"/>
  <c r="C16" i="36"/>
  <c r="D38" i="5"/>
  <c r="B16" i="36"/>
  <c r="C38" i="5" s="1"/>
  <c r="C16" i="35"/>
  <c r="D37" i="5"/>
  <c r="B16" i="35"/>
  <c r="B17" i="34" s="1"/>
  <c r="E15" i="35"/>
  <c r="F15" i="35"/>
  <c r="G15" i="35" s="1"/>
  <c r="H15" i="35" s="1"/>
  <c r="I15" i="35" s="1"/>
  <c r="E14" i="35"/>
  <c r="F14" i="35" s="1"/>
  <c r="G14" i="35" s="1"/>
  <c r="H14" i="35" s="1"/>
  <c r="I14" i="35" s="1"/>
  <c r="E13" i="35"/>
  <c r="F13" i="35" s="1"/>
  <c r="G13" i="35" s="1"/>
  <c r="H13" i="35" s="1"/>
  <c r="I13" i="35" s="1"/>
  <c r="E12" i="35"/>
  <c r="F12" i="35"/>
  <c r="G12" i="35"/>
  <c r="H12" i="35" s="1"/>
  <c r="I12" i="35" s="1"/>
  <c r="H10" i="35"/>
  <c r="I10" i="35" s="1"/>
  <c r="F9" i="35"/>
  <c r="G9" i="35" s="1"/>
  <c r="H9" i="35" s="1"/>
  <c r="I9" i="35" s="1"/>
  <c r="C16" i="34"/>
  <c r="D15" i="94"/>
  <c r="D14" i="94"/>
  <c r="D12" i="94"/>
  <c r="D11" i="94"/>
  <c r="B10" i="94"/>
  <c r="B9" i="94"/>
  <c r="C16" i="33"/>
  <c r="D35" i="5"/>
  <c r="E15" i="33"/>
  <c r="F15" i="33" s="1"/>
  <c r="G15" i="33" s="1"/>
  <c r="H15" i="33" s="1"/>
  <c r="I15" i="33" s="1"/>
  <c r="E14" i="33"/>
  <c r="F14" i="33"/>
  <c r="G14" i="33"/>
  <c r="H14" i="33" s="1"/>
  <c r="I14" i="33" s="1"/>
  <c r="E12" i="33"/>
  <c r="F12" i="33"/>
  <c r="G12" i="33" s="1"/>
  <c r="H12" i="33" s="1"/>
  <c r="I12" i="33" s="1"/>
  <c r="F11" i="33"/>
  <c r="G11" i="33" s="1"/>
  <c r="H11" i="33" s="1"/>
  <c r="I11" i="33" s="1"/>
  <c r="C16" i="32"/>
  <c r="D34" i="5" s="1"/>
  <c r="C16" i="31"/>
  <c r="B16" i="31"/>
  <c r="E15" i="31"/>
  <c r="F15" i="31" s="1"/>
  <c r="G15" i="31" s="1"/>
  <c r="H15" i="31" s="1"/>
  <c r="I15" i="31" s="1"/>
  <c r="E14" i="31"/>
  <c r="F14" i="31" s="1"/>
  <c r="G14" i="31" s="1"/>
  <c r="H14" i="31" s="1"/>
  <c r="I14" i="31" s="1"/>
  <c r="E13" i="31"/>
  <c r="F13" i="31" s="1"/>
  <c r="G13" i="31" s="1"/>
  <c r="H13" i="31" s="1"/>
  <c r="I13" i="31" s="1"/>
  <c r="E12" i="31"/>
  <c r="F12" i="31"/>
  <c r="G12" i="31" s="1"/>
  <c r="H12" i="31" s="1"/>
  <c r="I12" i="31" s="1"/>
  <c r="E11" i="31"/>
  <c r="F11" i="31" s="1"/>
  <c r="G11" i="31" s="1"/>
  <c r="H11" i="31" s="1"/>
  <c r="I11" i="31" s="1"/>
  <c r="E10" i="31"/>
  <c r="F10" i="31" s="1"/>
  <c r="G10" i="31" s="1"/>
  <c r="H10" i="31" s="1"/>
  <c r="I10" i="31" s="1"/>
  <c r="C16" i="30"/>
  <c r="D32" i="5" s="1"/>
  <c r="B16" i="30"/>
  <c r="C32" i="5"/>
  <c r="E15" i="30"/>
  <c r="F15" i="30" s="1"/>
  <c r="G15" i="30" s="1"/>
  <c r="H15" i="30" s="1"/>
  <c r="I15" i="30" s="1"/>
  <c r="E14" i="30"/>
  <c r="F14" i="30" s="1"/>
  <c r="G14" i="30" s="1"/>
  <c r="H14" i="30" s="1"/>
  <c r="I14" i="30" s="1"/>
  <c r="E13" i="30"/>
  <c r="F13" i="30"/>
  <c r="G13" i="30"/>
  <c r="H13" i="30" s="1"/>
  <c r="I13" i="30" s="1"/>
  <c r="E11" i="30"/>
  <c r="F11" i="30"/>
  <c r="G11" i="30" s="1"/>
  <c r="H11" i="30" s="1"/>
  <c r="I11" i="30" s="1"/>
  <c r="E10" i="30"/>
  <c r="F10" i="30" s="1"/>
  <c r="G10" i="30" s="1"/>
  <c r="H10" i="30" s="1"/>
  <c r="I10" i="30" s="1"/>
  <c r="C16" i="29"/>
  <c r="D31" i="5"/>
  <c r="B16" i="29"/>
  <c r="E15" i="29"/>
  <c r="F15" i="29"/>
  <c r="G15" i="29"/>
  <c r="H15" i="29" s="1"/>
  <c r="I15" i="29" s="1"/>
  <c r="E14" i="29"/>
  <c r="F14" i="29"/>
  <c r="G14" i="29" s="1"/>
  <c r="H14" i="29" s="1"/>
  <c r="I14" i="29" s="1"/>
  <c r="E13" i="29"/>
  <c r="F13" i="29" s="1"/>
  <c r="G13" i="29" s="1"/>
  <c r="H13" i="29" s="1"/>
  <c r="I13" i="29" s="1"/>
  <c r="E12" i="29"/>
  <c r="F12" i="29" s="1"/>
  <c r="G12" i="29" s="1"/>
  <c r="H12" i="29" s="1"/>
  <c r="I12" i="29" s="1"/>
  <c r="E11" i="29"/>
  <c r="F11" i="29"/>
  <c r="G11" i="29"/>
  <c r="H11" i="29" s="1"/>
  <c r="I11" i="29" s="1"/>
  <c r="E10" i="29"/>
  <c r="F10" i="29"/>
  <c r="G10" i="29" s="1"/>
  <c r="H10" i="29" s="1"/>
  <c r="I10" i="29" s="1"/>
  <c r="C16" i="28"/>
  <c r="D30" i="5" s="1"/>
  <c r="B16" i="28"/>
  <c r="C30" i="5" s="1"/>
  <c r="E15" i="28"/>
  <c r="F15" i="28" s="1"/>
  <c r="G15" i="28" s="1"/>
  <c r="H15" i="28" s="1"/>
  <c r="I15" i="28" s="1"/>
  <c r="E14" i="28"/>
  <c r="F14" i="28"/>
  <c r="G14" i="28" s="1"/>
  <c r="H14" i="28" s="1"/>
  <c r="I14" i="28" s="1"/>
  <c r="E13" i="28"/>
  <c r="F13" i="28" s="1"/>
  <c r="G13" i="28" s="1"/>
  <c r="H13" i="28" s="1"/>
  <c r="I13" i="28" s="1"/>
  <c r="E11" i="28"/>
  <c r="F11" i="28" s="1"/>
  <c r="G11" i="28" s="1"/>
  <c r="H11" i="28" s="1"/>
  <c r="I11" i="28" s="1"/>
  <c r="E10" i="28"/>
  <c r="F10" i="28" s="1"/>
  <c r="G10" i="28" s="1"/>
  <c r="H10" i="28" s="1"/>
  <c r="I10" i="28" s="1"/>
  <c r="C16" i="27"/>
  <c r="D29" i="5" s="1"/>
  <c r="B16" i="27"/>
  <c r="C29" i="5" s="1"/>
  <c r="E15" i="27"/>
  <c r="F15" i="27"/>
  <c r="G15" i="27" s="1"/>
  <c r="H15" i="27" s="1"/>
  <c r="I15" i="27" s="1"/>
  <c r="E14" i="27"/>
  <c r="F14" i="27" s="1"/>
  <c r="G14" i="27" s="1"/>
  <c r="H14" i="27" s="1"/>
  <c r="I14" i="27" s="1"/>
  <c r="E13" i="27"/>
  <c r="F13" i="27"/>
  <c r="G13" i="27"/>
  <c r="H13" i="27"/>
  <c r="I13" i="27" s="1"/>
  <c r="E12" i="27"/>
  <c r="E11" i="27"/>
  <c r="F11" i="27"/>
  <c r="G11" i="27" s="1"/>
  <c r="H11" i="27" s="1"/>
  <c r="I11" i="27" s="1"/>
  <c r="E10" i="27"/>
  <c r="F10" i="27" s="1"/>
  <c r="G10" i="27" s="1"/>
  <c r="H10" i="27" s="1"/>
  <c r="I10" i="27" s="1"/>
  <c r="C16" i="93"/>
  <c r="D25" i="5" s="1"/>
  <c r="B16" i="93"/>
  <c r="C25" i="5" s="1"/>
  <c r="I15" i="93"/>
  <c r="H15" i="93"/>
  <c r="F15" i="93"/>
  <c r="G15" i="93" s="1"/>
  <c r="E13" i="93"/>
  <c r="F13" i="93" s="1"/>
  <c r="G13" i="93" s="1"/>
  <c r="H13" i="93" s="1"/>
  <c r="I13" i="93" s="1"/>
  <c r="H12" i="93"/>
  <c r="I12" i="93" s="1"/>
  <c r="E11" i="93"/>
  <c r="F11" i="93"/>
  <c r="G11" i="93"/>
  <c r="H11" i="93" s="1"/>
  <c r="I11" i="93" s="1"/>
  <c r="E10" i="93"/>
  <c r="F10" i="93"/>
  <c r="G10" i="93" s="1"/>
  <c r="H10" i="93" s="1"/>
  <c r="I10" i="93" s="1"/>
  <c r="AA18" i="83"/>
  <c r="Z18" i="83"/>
  <c r="Y18" i="83"/>
  <c r="X18" i="83"/>
  <c r="AB18" i="83"/>
  <c r="AA17" i="83"/>
  <c r="Z17" i="83"/>
  <c r="Y17" i="83"/>
  <c r="AB17" i="83"/>
  <c r="X17" i="83"/>
  <c r="AA16" i="83"/>
  <c r="Z16" i="83"/>
  <c r="Y16" i="83"/>
  <c r="AB16" i="83"/>
  <c r="X16" i="83"/>
  <c r="C16" i="83"/>
  <c r="AA15" i="83"/>
  <c r="Z15" i="83"/>
  <c r="Y15" i="83"/>
  <c r="X15" i="83"/>
  <c r="E15" i="83"/>
  <c r="F15" i="83" s="1"/>
  <c r="G15" i="83" s="1"/>
  <c r="AA14" i="83"/>
  <c r="Z14" i="83"/>
  <c r="Y14" i="83"/>
  <c r="AB14" i="83"/>
  <c r="E14" i="83"/>
  <c r="F14" i="83"/>
  <c r="AA13" i="83"/>
  <c r="Z13" i="83"/>
  <c r="Y13" i="83"/>
  <c r="AB13" i="83"/>
  <c r="X13" i="83"/>
  <c r="AB12" i="83"/>
  <c r="AA12" i="83"/>
  <c r="Z12" i="83"/>
  <c r="Y12" i="83"/>
  <c r="X12" i="83"/>
  <c r="E12" i="83"/>
  <c r="AB11" i="83"/>
  <c r="AA11" i="83"/>
  <c r="Z11" i="83"/>
  <c r="Y11" i="83"/>
  <c r="E11" i="83"/>
  <c r="F11" i="83"/>
  <c r="AA10" i="83"/>
  <c r="Z10" i="83"/>
  <c r="Y10" i="83"/>
  <c r="AB10" i="83"/>
  <c r="AA9" i="83"/>
  <c r="Z9" i="83"/>
  <c r="Y9" i="83"/>
  <c r="X9" i="83"/>
  <c r="C16" i="26"/>
  <c r="D27" i="5" s="1"/>
  <c r="B16" i="26"/>
  <c r="C27" i="5" s="1"/>
  <c r="E15" i="26"/>
  <c r="E14" i="26"/>
  <c r="E13" i="26"/>
  <c r="E11" i="26"/>
  <c r="E10" i="26"/>
  <c r="C16" i="24"/>
  <c r="D23" i="5"/>
  <c r="C16" i="23"/>
  <c r="D22" i="5" s="1"/>
  <c r="C16" i="22"/>
  <c r="D21" i="5"/>
  <c r="B16" i="22"/>
  <c r="E15" i="22"/>
  <c r="F15" i="22"/>
  <c r="G15" i="22"/>
  <c r="H15" i="22" s="1"/>
  <c r="I15" i="22" s="1"/>
  <c r="E14" i="22"/>
  <c r="F14" i="22"/>
  <c r="G14" i="22" s="1"/>
  <c r="H14" i="22" s="1"/>
  <c r="I14" i="22" s="1"/>
  <c r="E13" i="22"/>
  <c r="F13" i="22" s="1"/>
  <c r="G13" i="22" s="1"/>
  <c r="H13" i="22" s="1"/>
  <c r="I13" i="22" s="1"/>
  <c r="E12" i="22"/>
  <c r="F12" i="22" s="1"/>
  <c r="G12" i="22" s="1"/>
  <c r="H12" i="22" s="1"/>
  <c r="I12" i="22" s="1"/>
  <c r="E11" i="22"/>
  <c r="F11" i="22" s="1"/>
  <c r="G11" i="22" s="1"/>
  <c r="H11" i="22" s="1"/>
  <c r="I11" i="22" s="1"/>
  <c r="D16" i="22"/>
  <c r="E21" i="5"/>
  <c r="C16" i="21"/>
  <c r="B16" i="21"/>
  <c r="E15" i="21"/>
  <c r="F15" i="21"/>
  <c r="G15" i="21" s="1"/>
  <c r="H15" i="21" s="1"/>
  <c r="I15" i="21" s="1"/>
  <c r="E14" i="21"/>
  <c r="F14" i="21" s="1"/>
  <c r="G14" i="21" s="1"/>
  <c r="H14" i="21" s="1"/>
  <c r="I14" i="21" s="1"/>
  <c r="E13" i="21"/>
  <c r="F13" i="21" s="1"/>
  <c r="G13" i="21" s="1"/>
  <c r="H13" i="21" s="1"/>
  <c r="I13" i="21" s="1"/>
  <c r="E12" i="21"/>
  <c r="F12" i="21" s="1"/>
  <c r="E11" i="21"/>
  <c r="F11" i="21"/>
  <c r="G11" i="21" s="1"/>
  <c r="H11" i="21" s="1"/>
  <c r="I11" i="21" s="1"/>
  <c r="E10" i="21"/>
  <c r="F10" i="21" s="1"/>
  <c r="D16" i="21"/>
  <c r="E20" i="5"/>
  <c r="C16" i="20"/>
  <c r="D19" i="5" s="1"/>
  <c r="D13" i="89"/>
  <c r="D12" i="89"/>
  <c r="D11" i="89"/>
  <c r="B10" i="89"/>
  <c r="J20" i="19"/>
  <c r="C16" i="19"/>
  <c r="D18" i="5" s="1"/>
  <c r="B16" i="19"/>
  <c r="C18" i="5"/>
  <c r="E14" i="19"/>
  <c r="F14" i="19" s="1"/>
  <c r="E13" i="19"/>
  <c r="F13" i="19" s="1"/>
  <c r="G13" i="19" s="1"/>
  <c r="H13" i="19" s="1"/>
  <c r="I13" i="19" s="1"/>
  <c r="E12" i="19"/>
  <c r="F12" i="19"/>
  <c r="G12" i="19"/>
  <c r="H12" i="19" s="1"/>
  <c r="I12" i="19" s="1"/>
  <c r="E11" i="19"/>
  <c r="F11" i="19"/>
  <c r="G11" i="19" s="1"/>
  <c r="E10" i="19"/>
  <c r="F10" i="19"/>
  <c r="G10" i="19" s="1"/>
  <c r="H10" i="19" s="1"/>
  <c r="I10" i="19" s="1"/>
  <c r="C16" i="18"/>
  <c r="D17" i="5"/>
  <c r="E14" i="18"/>
  <c r="E12" i="18"/>
  <c r="B9" i="90"/>
  <c r="C16" i="17"/>
  <c r="D16" i="5" s="1"/>
  <c r="E15" i="17"/>
  <c r="F15" i="17"/>
  <c r="G15" i="17"/>
  <c r="H15" i="17" s="1"/>
  <c r="I15" i="17" s="1"/>
  <c r="C16" i="15"/>
  <c r="D15" i="5"/>
  <c r="B16" i="15"/>
  <c r="C15" i="5" s="1"/>
  <c r="C16" i="13"/>
  <c r="D14" i="5"/>
  <c r="B16" i="13"/>
  <c r="C14" i="5" s="1"/>
  <c r="C16" i="12"/>
  <c r="D13" i="5"/>
  <c r="E15" i="12"/>
  <c r="F15" i="12" s="1"/>
  <c r="G15" i="12" s="1"/>
  <c r="H15" i="12" s="1"/>
  <c r="I15" i="12" s="1"/>
  <c r="E12" i="12"/>
  <c r="F12" i="12" s="1"/>
  <c r="G12" i="12"/>
  <c r="H12" i="12" s="1"/>
  <c r="I12" i="12" s="1"/>
  <c r="C16" i="10"/>
  <c r="D12" i="5"/>
  <c r="E15" i="10"/>
  <c r="F15" i="10" s="1"/>
  <c r="G15" i="10" s="1"/>
  <c r="H15" i="10" s="1"/>
  <c r="I15" i="10" s="1"/>
  <c r="E14" i="10"/>
  <c r="F14" i="10" s="1"/>
  <c r="G14" i="10"/>
  <c r="H14" i="10" s="1"/>
  <c r="I14" i="10" s="1"/>
  <c r="E13" i="10"/>
  <c r="F13" i="10"/>
  <c r="G13" i="10"/>
  <c r="H13" i="10" s="1"/>
  <c r="I13" i="10" s="1"/>
  <c r="E12" i="10"/>
  <c r="F12" i="10" s="1"/>
  <c r="G12" i="10" s="1"/>
  <c r="H12" i="10" s="1"/>
  <c r="I12" i="10" s="1"/>
  <c r="C16" i="9"/>
  <c r="D11" i="5" s="1"/>
  <c r="E15" i="9"/>
  <c r="E14" i="9"/>
  <c r="F14" i="9" s="1"/>
  <c r="G14" i="9" s="1"/>
  <c r="H14" i="9" s="1"/>
  <c r="I14" i="9" s="1"/>
  <c r="E13" i="9"/>
  <c r="F13" i="9" s="1"/>
  <c r="G13" i="9" s="1"/>
  <c r="H13" i="9" s="1"/>
  <c r="I13" i="9" s="1"/>
  <c r="E12" i="9"/>
  <c r="F12" i="9" s="1"/>
  <c r="G12" i="9" s="1"/>
  <c r="H12" i="9" s="1"/>
  <c r="I12" i="9" s="1"/>
  <c r="B16" i="9"/>
  <c r="C11" i="5"/>
  <c r="D16" i="9"/>
  <c r="E11" i="5" s="1"/>
  <c r="C16" i="8"/>
  <c r="D10" i="5"/>
  <c r="H15" i="8"/>
  <c r="I15" i="8" s="1"/>
  <c r="H14" i="8"/>
  <c r="I14" i="8"/>
  <c r="H13" i="8"/>
  <c r="I13" i="8" s="1"/>
  <c r="H12" i="8"/>
  <c r="I12" i="8"/>
  <c r="F10" i="8"/>
  <c r="G10" i="8" s="1"/>
  <c r="H10" i="8" s="1"/>
  <c r="I10" i="8" s="1"/>
  <c r="C16" i="7"/>
  <c r="D9" i="5" s="1"/>
  <c r="B16" i="7"/>
  <c r="C9" i="5"/>
  <c r="C16" i="1"/>
  <c r="D8" i="5" s="1"/>
  <c r="B16" i="1"/>
  <c r="C8" i="5"/>
  <c r="H15" i="1"/>
  <c r="I15" i="1" s="1"/>
  <c r="H14" i="1"/>
  <c r="I14" i="1"/>
  <c r="H13" i="1"/>
  <c r="I13" i="1" s="1"/>
  <c r="H11" i="1"/>
  <c r="I11" i="1"/>
  <c r="H10" i="1"/>
  <c r="I10" i="1" s="1"/>
  <c r="H9" i="1"/>
  <c r="I9" i="1"/>
  <c r="C76" i="5"/>
  <c r="D75" i="5"/>
  <c r="C72" i="5"/>
  <c r="D70" i="5"/>
  <c r="C70" i="5"/>
  <c r="D67" i="5"/>
  <c r="D66" i="5"/>
  <c r="C62" i="5"/>
  <c r="D54" i="5"/>
  <c r="C54" i="5"/>
  <c r="D52" i="5"/>
  <c r="D49" i="5"/>
  <c r="D47" i="5"/>
  <c r="D44" i="5"/>
  <c r="D36" i="5"/>
  <c r="D33" i="5"/>
  <c r="C33" i="5"/>
  <c r="C31" i="5"/>
  <c r="D28" i="5"/>
  <c r="C21" i="5"/>
  <c r="D20" i="5"/>
  <c r="C20" i="5"/>
  <c r="E16" i="41"/>
  <c r="F12" i="27"/>
  <c r="F13" i="86" s="1"/>
  <c r="F13" i="26"/>
  <c r="F10" i="26"/>
  <c r="G10" i="26" s="1"/>
  <c r="F15" i="26"/>
  <c r="F14" i="26"/>
  <c r="F11" i="26"/>
  <c r="F15" i="97"/>
  <c r="C22" i="101"/>
  <c r="C23" i="101" s="1"/>
  <c r="G14" i="73"/>
  <c r="G11" i="73"/>
  <c r="G12" i="73"/>
  <c r="G13" i="73"/>
  <c r="F9" i="41"/>
  <c r="F15" i="9"/>
  <c r="G15" i="9"/>
  <c r="H15" i="9" s="1"/>
  <c r="I15" i="9" s="1"/>
  <c r="X11" i="83"/>
  <c r="C40" i="50"/>
  <c r="B16" i="90"/>
  <c r="B16" i="12"/>
  <c r="C13" i="5"/>
  <c r="B16" i="10"/>
  <c r="C12" i="5" s="1"/>
  <c r="D15" i="91"/>
  <c r="F9" i="21"/>
  <c r="F16" i="21" s="1"/>
  <c r="G20" i="5" s="1"/>
  <c r="F9" i="22"/>
  <c r="G9" i="22"/>
  <c r="H9" i="22" s="1"/>
  <c r="I9" i="22" s="1"/>
  <c r="E12" i="43"/>
  <c r="F12" i="43"/>
  <c r="G12" i="43" s="1"/>
  <c r="H12" i="43" s="1"/>
  <c r="I12" i="43" s="1"/>
  <c r="G15" i="97"/>
  <c r="H15" i="97" s="1"/>
  <c r="F12" i="1"/>
  <c r="G12" i="1" s="1"/>
  <c r="F16" i="1"/>
  <c r="G8" i="5" s="1"/>
  <c r="D16" i="7"/>
  <c r="E9" i="5"/>
  <c r="D16" i="19"/>
  <c r="E18" i="5" s="1"/>
  <c r="D16" i="27"/>
  <c r="E29" i="5"/>
  <c r="D16" i="1"/>
  <c r="D16" i="93"/>
  <c r="E25" i="5" s="1"/>
  <c r="F9" i="27"/>
  <c r="G9" i="27"/>
  <c r="D16" i="29"/>
  <c r="E31" i="5" s="1"/>
  <c r="D16" i="63"/>
  <c r="E60" i="5"/>
  <c r="E16" i="72"/>
  <c r="E54" i="72" s="1"/>
  <c r="C16" i="91"/>
  <c r="D16" i="26"/>
  <c r="E27" i="5" s="1"/>
  <c r="F9" i="29"/>
  <c r="G9" i="29"/>
  <c r="D16" i="30"/>
  <c r="E32" i="5" s="1"/>
  <c r="D16" i="35"/>
  <c r="E37" i="5"/>
  <c r="E10" i="52"/>
  <c r="F10" i="52" s="1"/>
  <c r="D16" i="73"/>
  <c r="C16" i="89"/>
  <c r="D16" i="17"/>
  <c r="E16" i="5" s="1"/>
  <c r="E16" i="31"/>
  <c r="F9" i="31"/>
  <c r="D12" i="90"/>
  <c r="E12" i="90"/>
  <c r="E16" i="21"/>
  <c r="E16" i="28"/>
  <c r="F30" i="5"/>
  <c r="F9" i="28"/>
  <c r="G9" i="28"/>
  <c r="H9" i="28" s="1"/>
  <c r="I9" i="28" s="1"/>
  <c r="D10" i="90"/>
  <c r="D15" i="89"/>
  <c r="E16" i="93"/>
  <c r="F25" i="5"/>
  <c r="E16" i="29"/>
  <c r="F9" i="93"/>
  <c r="F16" i="93" s="1"/>
  <c r="G25" i="5" s="1"/>
  <c r="D16" i="28"/>
  <c r="E30" i="5"/>
  <c r="D16" i="31"/>
  <c r="E33" i="5" s="1"/>
  <c r="D16" i="45"/>
  <c r="E44" i="5"/>
  <c r="D16" i="46"/>
  <c r="E45" i="5" s="1"/>
  <c r="D16" i="50"/>
  <c r="D16" i="97"/>
  <c r="E51" i="5"/>
  <c r="D16" i="56"/>
  <c r="E53" i="5" s="1"/>
  <c r="D16" i="57"/>
  <c r="E54" i="5"/>
  <c r="E12" i="51"/>
  <c r="E12" i="91" s="1"/>
  <c r="D16" i="54"/>
  <c r="E52" i="5"/>
  <c r="D16" i="52"/>
  <c r="E49" i="5" s="1"/>
  <c r="G9" i="74"/>
  <c r="E13" i="51"/>
  <c r="E15" i="51"/>
  <c r="F15" i="51" s="1"/>
  <c r="G15" i="51" s="1"/>
  <c r="E14" i="87"/>
  <c r="F14" i="72"/>
  <c r="F14" i="87" s="1"/>
  <c r="F9" i="72"/>
  <c r="E11" i="74"/>
  <c r="F11" i="74"/>
  <c r="G11" i="74" s="1"/>
  <c r="H11" i="74" s="1"/>
  <c r="I11" i="74" s="1"/>
  <c r="I16" i="74" s="1"/>
  <c r="J72" i="5" s="1"/>
  <c r="D16" i="72"/>
  <c r="E70" i="5" s="1"/>
  <c r="C16" i="90"/>
  <c r="D16" i="59"/>
  <c r="E64" i="5" s="1"/>
  <c r="D16" i="62"/>
  <c r="G11" i="78"/>
  <c r="H11" i="78"/>
  <c r="E16" i="35"/>
  <c r="F37" i="5" s="1"/>
  <c r="AB9" i="83"/>
  <c r="E13" i="80"/>
  <c r="E13" i="101" s="1"/>
  <c r="F14" i="79"/>
  <c r="E11" i="79"/>
  <c r="G12" i="79"/>
  <c r="F15" i="79"/>
  <c r="D16" i="79"/>
  <c r="E77" i="5"/>
  <c r="E12" i="76"/>
  <c r="E14" i="76"/>
  <c r="D16" i="76"/>
  <c r="E74" i="5" s="1"/>
  <c r="E13" i="76"/>
  <c r="E15" i="76"/>
  <c r="F15" i="75"/>
  <c r="E14" i="75"/>
  <c r="F14" i="75" s="1"/>
  <c r="G14" i="75" s="1"/>
  <c r="H14" i="75" s="1"/>
  <c r="I14" i="75" s="1"/>
  <c r="E15" i="70"/>
  <c r="E12" i="70"/>
  <c r="F12" i="70"/>
  <c r="G12" i="70" s="1"/>
  <c r="H12" i="70" s="1"/>
  <c r="I12" i="70" s="1"/>
  <c r="F12" i="69"/>
  <c r="G12" i="69" s="1"/>
  <c r="H12" i="69" s="1"/>
  <c r="I12" i="69" s="1"/>
  <c r="E13" i="66"/>
  <c r="E15" i="66"/>
  <c r="B16" i="63"/>
  <c r="C60" i="5" s="1"/>
  <c r="E12" i="63"/>
  <c r="F12" i="63" s="1"/>
  <c r="E14" i="63"/>
  <c r="F14" i="63" s="1"/>
  <c r="G14" i="63" s="1"/>
  <c r="H14" i="63" s="1"/>
  <c r="I14" i="63" s="1"/>
  <c r="E15" i="63"/>
  <c r="G12" i="96"/>
  <c r="E13" i="96"/>
  <c r="G14" i="96"/>
  <c r="E15" i="96"/>
  <c r="D16" i="96"/>
  <c r="E50" i="5"/>
  <c r="E9" i="91"/>
  <c r="B9" i="91"/>
  <c r="B16" i="91" s="1"/>
  <c r="D11" i="91"/>
  <c r="F11" i="42"/>
  <c r="G11" i="42" s="1"/>
  <c r="H11" i="42" s="1"/>
  <c r="F15" i="42"/>
  <c r="E12" i="42"/>
  <c r="E14" i="42"/>
  <c r="F14" i="42"/>
  <c r="G14" i="42" s="1"/>
  <c r="H14" i="42" s="1"/>
  <c r="I14" i="42" s="1"/>
  <c r="D16" i="60"/>
  <c r="E57" i="5" s="1"/>
  <c r="E15" i="60"/>
  <c r="F15" i="38"/>
  <c r="G15" i="38"/>
  <c r="H15" i="38" s="1"/>
  <c r="I15" i="38" s="1"/>
  <c r="E12" i="38"/>
  <c r="F12" i="38"/>
  <c r="G12" i="38" s="1"/>
  <c r="H12" i="38" s="1"/>
  <c r="I12" i="38" s="1"/>
  <c r="E13" i="59"/>
  <c r="F13" i="59" s="1"/>
  <c r="D13" i="85"/>
  <c r="E14" i="34"/>
  <c r="F14" i="34" s="1"/>
  <c r="E15" i="34"/>
  <c r="E15" i="32"/>
  <c r="F15" i="32" s="1"/>
  <c r="G15" i="32" s="1"/>
  <c r="H15" i="32" s="1"/>
  <c r="I15" i="32" s="1"/>
  <c r="D9" i="87"/>
  <c r="E15" i="77"/>
  <c r="F15" i="77"/>
  <c r="G15" i="77" s="1"/>
  <c r="H15" i="77" s="1"/>
  <c r="I15" i="77" s="1"/>
  <c r="E13" i="67"/>
  <c r="F13" i="67" s="1"/>
  <c r="F14" i="89"/>
  <c r="E14" i="89"/>
  <c r="B11" i="89"/>
  <c r="B16" i="89" s="1"/>
  <c r="C19" i="5"/>
  <c r="D14" i="89"/>
  <c r="F12" i="18"/>
  <c r="F14" i="18"/>
  <c r="D11" i="90"/>
  <c r="D13" i="90"/>
  <c r="D14" i="90"/>
  <c r="D15" i="90"/>
  <c r="E13" i="18"/>
  <c r="E15" i="18"/>
  <c r="B16" i="18"/>
  <c r="C17" i="5" s="1"/>
  <c r="E13" i="61"/>
  <c r="F13" i="61" s="1"/>
  <c r="E12" i="61"/>
  <c r="F12" i="61" s="1"/>
  <c r="E14" i="88"/>
  <c r="D12" i="88"/>
  <c r="D14" i="88"/>
  <c r="D15" i="88"/>
  <c r="E15" i="88"/>
  <c r="B14" i="88"/>
  <c r="B15" i="88"/>
  <c r="E13" i="17"/>
  <c r="F13" i="17" s="1"/>
  <c r="G13" i="17" s="1"/>
  <c r="H13" i="17" s="1"/>
  <c r="I13" i="17" s="1"/>
  <c r="E12" i="17"/>
  <c r="E12" i="15"/>
  <c r="E13" i="15"/>
  <c r="E15" i="15"/>
  <c r="E14" i="15"/>
  <c r="D16" i="15"/>
  <c r="E15" i="5" s="1"/>
  <c r="H15" i="83"/>
  <c r="G11" i="83"/>
  <c r="F12" i="83"/>
  <c r="G14" i="83"/>
  <c r="E10" i="83"/>
  <c r="X10" i="83"/>
  <c r="E13" i="83"/>
  <c r="D16" i="78"/>
  <c r="E76" i="5"/>
  <c r="D16" i="75"/>
  <c r="E73" i="5" s="1"/>
  <c r="D9" i="88"/>
  <c r="D16" i="58"/>
  <c r="E55" i="5"/>
  <c r="D10" i="94"/>
  <c r="D16" i="34"/>
  <c r="E36" i="5"/>
  <c r="D9" i="94"/>
  <c r="D16" i="94" s="1"/>
  <c r="X14" i="83"/>
  <c r="D10" i="89"/>
  <c r="D16" i="18"/>
  <c r="E17" i="5" s="1"/>
  <c r="D9" i="90"/>
  <c r="E9" i="90"/>
  <c r="D16" i="10"/>
  <c r="E12" i="5" s="1"/>
  <c r="D16" i="20"/>
  <c r="E19" i="5"/>
  <c r="D9" i="89"/>
  <c r="D16" i="42"/>
  <c r="E42" i="5" s="1"/>
  <c r="G12" i="27"/>
  <c r="H12" i="27" s="1"/>
  <c r="G11" i="26"/>
  <c r="G15" i="26"/>
  <c r="G14" i="26"/>
  <c r="G13" i="26"/>
  <c r="F12" i="51"/>
  <c r="G12" i="51" s="1"/>
  <c r="F16" i="22"/>
  <c r="G21" i="5" s="1"/>
  <c r="G9" i="21"/>
  <c r="H9" i="21" s="1"/>
  <c r="E8" i="5"/>
  <c r="H13" i="73"/>
  <c r="H11" i="73"/>
  <c r="I11" i="73" s="1"/>
  <c r="H12" i="73"/>
  <c r="H15" i="73"/>
  <c r="H14" i="73"/>
  <c r="F16" i="29"/>
  <c r="G31" i="5" s="1"/>
  <c r="E12" i="89"/>
  <c r="E16" i="18"/>
  <c r="E18" i="18"/>
  <c r="F16" i="28"/>
  <c r="G30" i="5" s="1"/>
  <c r="F16" i="72"/>
  <c r="G70" i="5" s="1"/>
  <c r="F16" i="74"/>
  <c r="G72" i="5"/>
  <c r="E47" i="5"/>
  <c r="D40" i="50"/>
  <c r="G9" i="41"/>
  <c r="F16" i="41"/>
  <c r="E59" i="5"/>
  <c r="F33" i="5"/>
  <c r="E18" i="31"/>
  <c r="F31" i="5"/>
  <c r="E18" i="29"/>
  <c r="F16" i="27"/>
  <c r="G29" i="5" s="1"/>
  <c r="F20" i="5"/>
  <c r="E18" i="21"/>
  <c r="E16" i="27"/>
  <c r="F29" i="5" s="1"/>
  <c r="E71" i="5"/>
  <c r="D18" i="73"/>
  <c r="E18" i="72"/>
  <c r="F9" i="30"/>
  <c r="F16" i="30"/>
  <c r="G32" i="5" s="1"/>
  <c r="F13" i="80"/>
  <c r="F13" i="101" s="1"/>
  <c r="D16" i="90"/>
  <c r="F70" i="5"/>
  <c r="E16" i="74"/>
  <c r="G14" i="72"/>
  <c r="G14" i="87" s="1"/>
  <c r="F13" i="51"/>
  <c r="G13" i="51" s="1"/>
  <c r="E13" i="91"/>
  <c r="E16" i="26"/>
  <c r="F27" i="5" s="1"/>
  <c r="F9" i="26"/>
  <c r="G16" i="27"/>
  <c r="H29" i="5" s="1"/>
  <c r="H9" i="27"/>
  <c r="F9" i="73"/>
  <c r="F16" i="73" s="1"/>
  <c r="G71" i="5" s="1"/>
  <c r="E16" i="52"/>
  <c r="E18" i="52" s="1"/>
  <c r="F9" i="52"/>
  <c r="E16" i="50"/>
  <c r="E18" i="50"/>
  <c r="F9" i="50"/>
  <c r="G9" i="50" s="1"/>
  <c r="G16" i="74"/>
  <c r="H72" i="5" s="1"/>
  <c r="K72" i="5" s="1"/>
  <c r="H9" i="74"/>
  <c r="G9" i="93"/>
  <c r="G16" i="93" s="1"/>
  <c r="H25" i="5" s="1"/>
  <c r="G16" i="29"/>
  <c r="H31" i="5" s="1"/>
  <c r="H9" i="29"/>
  <c r="G9" i="31"/>
  <c r="G16" i="31" s="1"/>
  <c r="H33" i="5" s="1"/>
  <c r="F16" i="31"/>
  <c r="G33" i="5" s="1"/>
  <c r="G9" i="72"/>
  <c r="E16" i="30"/>
  <c r="F32" i="5" s="1"/>
  <c r="F9" i="19"/>
  <c r="G9" i="19" s="1"/>
  <c r="E16" i="19"/>
  <c r="F18" i="5" s="1"/>
  <c r="F16" i="35"/>
  <c r="G37" i="5" s="1"/>
  <c r="K37" i="5" s="1"/>
  <c r="G16" i="28"/>
  <c r="H30" i="5"/>
  <c r="G16" i="7"/>
  <c r="H9" i="5"/>
  <c r="G16" i="35"/>
  <c r="H37" i="5" s="1"/>
  <c r="F9" i="79"/>
  <c r="F16" i="79" s="1"/>
  <c r="G77" i="5" s="1"/>
  <c r="E16" i="79"/>
  <c r="F77" i="5" s="1"/>
  <c r="G14" i="79"/>
  <c r="G15" i="79"/>
  <c r="H15" i="79" s="1"/>
  <c r="I15" i="79" s="1"/>
  <c r="H12" i="79"/>
  <c r="I12" i="79" s="1"/>
  <c r="F11" i="79"/>
  <c r="F12" i="76"/>
  <c r="E16" i="76"/>
  <c r="F74" i="5" s="1"/>
  <c r="F15" i="76"/>
  <c r="F13" i="76"/>
  <c r="F14" i="76"/>
  <c r="G14" i="76" s="1"/>
  <c r="G15" i="75"/>
  <c r="F15" i="70"/>
  <c r="F13" i="66"/>
  <c r="F15" i="66"/>
  <c r="G15" i="66" s="1"/>
  <c r="H15" i="66" s="1"/>
  <c r="I15" i="66" s="1"/>
  <c r="F15" i="63"/>
  <c r="G15" i="63" s="1"/>
  <c r="H15" i="63" s="1"/>
  <c r="I15" i="63" s="1"/>
  <c r="F15" i="96"/>
  <c r="H14" i="96"/>
  <c r="F13" i="96"/>
  <c r="H12" i="96"/>
  <c r="I12" i="96" s="1"/>
  <c r="I11" i="42"/>
  <c r="G15" i="42"/>
  <c r="F12" i="42"/>
  <c r="F15" i="60"/>
  <c r="E15" i="94"/>
  <c r="F15" i="34"/>
  <c r="E15" i="89"/>
  <c r="G14" i="89"/>
  <c r="E13" i="89"/>
  <c r="E11" i="89"/>
  <c r="F13" i="18"/>
  <c r="E13" i="90"/>
  <c r="G14" i="18"/>
  <c r="F11" i="18"/>
  <c r="G11" i="18"/>
  <c r="H11" i="18" s="1"/>
  <c r="E11" i="90"/>
  <c r="F12" i="90"/>
  <c r="G12" i="18"/>
  <c r="H12" i="18" s="1"/>
  <c r="F15" i="18"/>
  <c r="G15" i="18" s="1"/>
  <c r="E15" i="90"/>
  <c r="F12" i="17"/>
  <c r="G12" i="17" s="1"/>
  <c r="H12" i="17" s="1"/>
  <c r="I12" i="17" s="1"/>
  <c r="F14" i="15"/>
  <c r="F15" i="15"/>
  <c r="F12" i="15"/>
  <c r="F13" i="15"/>
  <c r="I15" i="83"/>
  <c r="F10" i="83"/>
  <c r="G10" i="83" s="1"/>
  <c r="H10" i="83" s="1"/>
  <c r="I10" i="83" s="1"/>
  <c r="G12" i="83"/>
  <c r="H14" i="83"/>
  <c r="F13" i="83"/>
  <c r="H11" i="83"/>
  <c r="I11" i="83" s="1"/>
  <c r="E10" i="90"/>
  <c r="F10" i="18"/>
  <c r="G10" i="18" s="1"/>
  <c r="G10" i="90" s="1"/>
  <c r="H10" i="18"/>
  <c r="I10" i="18" s="1"/>
  <c r="I10" i="90" s="1"/>
  <c r="E16" i="78"/>
  <c r="E18" i="78" s="1"/>
  <c r="E10" i="89"/>
  <c r="D16" i="89"/>
  <c r="E16" i="10"/>
  <c r="F12" i="5" s="1"/>
  <c r="E16" i="7"/>
  <c r="F9" i="5"/>
  <c r="E9" i="89"/>
  <c r="E16" i="89" s="1"/>
  <c r="E16" i="20"/>
  <c r="F19" i="5"/>
  <c r="E16" i="15"/>
  <c r="E18" i="15" s="1"/>
  <c r="H15" i="26"/>
  <c r="I15" i="26" s="1"/>
  <c r="H13" i="26"/>
  <c r="I13" i="26" s="1"/>
  <c r="H14" i="26"/>
  <c r="H10" i="26"/>
  <c r="I10" i="26" s="1"/>
  <c r="H11" i="26"/>
  <c r="I12" i="73"/>
  <c r="I13" i="73"/>
  <c r="I14" i="73"/>
  <c r="I15" i="73"/>
  <c r="F17" i="5"/>
  <c r="G16" i="41"/>
  <c r="H9" i="41"/>
  <c r="H16" i="41" s="1"/>
  <c r="F15" i="5"/>
  <c r="F72" i="5"/>
  <c r="E18" i="74"/>
  <c r="F49" i="5"/>
  <c r="E18" i="76"/>
  <c r="G9" i="30"/>
  <c r="G16" i="30" s="1"/>
  <c r="H14" i="72"/>
  <c r="H14" i="87" s="1"/>
  <c r="G9" i="73"/>
  <c r="G16" i="73" s="1"/>
  <c r="H71" i="5" s="1"/>
  <c r="G9" i="26"/>
  <c r="H9" i="72"/>
  <c r="H9" i="31"/>
  <c r="I9" i="29"/>
  <c r="I16" i="29"/>
  <c r="J31" i="5"/>
  <c r="H16" i="29"/>
  <c r="I31" i="5" s="1"/>
  <c r="H16" i="74"/>
  <c r="I72" i="5"/>
  <c r="I9" i="74"/>
  <c r="G9" i="52"/>
  <c r="H9" i="52"/>
  <c r="I9" i="27"/>
  <c r="F13" i="91"/>
  <c r="I11" i="78"/>
  <c r="H16" i="28"/>
  <c r="I30" i="5" s="1"/>
  <c r="H16" i="7"/>
  <c r="I9" i="5" s="1"/>
  <c r="H16" i="31"/>
  <c r="I33" i="5" s="1"/>
  <c r="H10" i="76"/>
  <c r="I10" i="76" s="1"/>
  <c r="G11" i="79"/>
  <c r="H11" i="79" s="1"/>
  <c r="I11" i="79" s="1"/>
  <c r="H14" i="79"/>
  <c r="G9" i="79"/>
  <c r="G16" i="79" s="1"/>
  <c r="H77" i="5" s="1"/>
  <c r="F16" i="76"/>
  <c r="G74" i="5" s="1"/>
  <c r="G15" i="76"/>
  <c r="G13" i="76"/>
  <c r="H13" i="76" s="1"/>
  <c r="I13" i="76" s="1"/>
  <c r="G12" i="76"/>
  <c r="H12" i="76" s="1"/>
  <c r="H11" i="76"/>
  <c r="H15" i="75"/>
  <c r="I15" i="75" s="1"/>
  <c r="G15" i="70"/>
  <c r="H15" i="70" s="1"/>
  <c r="I15" i="70" s="1"/>
  <c r="G13" i="66"/>
  <c r="H13" i="66" s="1"/>
  <c r="I13" i="66" s="1"/>
  <c r="I14" i="96"/>
  <c r="G13" i="96"/>
  <c r="G15" i="96"/>
  <c r="H15" i="42"/>
  <c r="G12" i="42"/>
  <c r="G15" i="60"/>
  <c r="H15" i="60" s="1"/>
  <c r="I15" i="60" s="1"/>
  <c r="F15" i="94"/>
  <c r="G15" i="34"/>
  <c r="G15" i="94" s="1"/>
  <c r="F13" i="89"/>
  <c r="F15" i="89"/>
  <c r="H14" i="89"/>
  <c r="F11" i="89"/>
  <c r="F15" i="90"/>
  <c r="F13" i="90"/>
  <c r="G13" i="18"/>
  <c r="G13" i="90" s="1"/>
  <c r="H14" i="18"/>
  <c r="G12" i="90"/>
  <c r="F11" i="90"/>
  <c r="G12" i="15"/>
  <c r="G13" i="15"/>
  <c r="G15" i="15"/>
  <c r="G14" i="15"/>
  <c r="H14" i="15" s="1"/>
  <c r="I14" i="15" s="1"/>
  <c r="I16" i="15" s="1"/>
  <c r="J15" i="5" s="1"/>
  <c r="H12" i="83"/>
  <c r="G13" i="83"/>
  <c r="I14" i="83"/>
  <c r="F10" i="90"/>
  <c r="F16" i="7"/>
  <c r="G9" i="5"/>
  <c r="F16" i="15"/>
  <c r="G15" i="5" s="1"/>
  <c r="I14" i="26"/>
  <c r="I11" i="26"/>
  <c r="I9" i="41"/>
  <c r="I16" i="41"/>
  <c r="I9" i="31"/>
  <c r="I16" i="31" s="1"/>
  <c r="J33" i="5" s="1"/>
  <c r="H9" i="26"/>
  <c r="I9" i="26" s="1"/>
  <c r="I9" i="72"/>
  <c r="H9" i="73"/>
  <c r="H16" i="73" s="1"/>
  <c r="I71" i="5" s="1"/>
  <c r="I16" i="28"/>
  <c r="J30" i="5"/>
  <c r="H9" i="79"/>
  <c r="H16" i="79" s="1"/>
  <c r="I77" i="5" s="1"/>
  <c r="I14" i="79"/>
  <c r="I11" i="76"/>
  <c r="H15" i="76"/>
  <c r="H13" i="96"/>
  <c r="H15" i="96"/>
  <c r="H11" i="96"/>
  <c r="H12" i="42"/>
  <c r="I12" i="42"/>
  <c r="I15" i="42"/>
  <c r="H15" i="34"/>
  <c r="H15" i="94" s="1"/>
  <c r="G13" i="89"/>
  <c r="I14" i="89"/>
  <c r="G11" i="89"/>
  <c r="I11" i="89"/>
  <c r="G15" i="89"/>
  <c r="H13" i="18"/>
  <c r="I13" i="18" s="1"/>
  <c r="I13" i="90" s="1"/>
  <c r="I14" i="18"/>
  <c r="H15" i="15"/>
  <c r="H13" i="15"/>
  <c r="H12" i="15"/>
  <c r="H16" i="15" s="1"/>
  <c r="I15" i="5" s="1"/>
  <c r="H13" i="83"/>
  <c r="I12" i="83"/>
  <c r="I9" i="79"/>
  <c r="I16" i="79" s="1"/>
  <c r="J77" i="5" s="1"/>
  <c r="I15" i="76"/>
  <c r="I11" i="96"/>
  <c r="I15" i="96"/>
  <c r="I13" i="96"/>
  <c r="H15" i="89"/>
  <c r="H11" i="89"/>
  <c r="H13" i="89"/>
  <c r="I12" i="15"/>
  <c r="I15" i="15"/>
  <c r="I13" i="15"/>
  <c r="I13" i="83"/>
  <c r="H10" i="90"/>
  <c r="I13" i="89"/>
  <c r="I15" i="89"/>
  <c r="I16" i="7"/>
  <c r="J9" i="5"/>
  <c r="D15" i="85"/>
  <c r="D9" i="86"/>
  <c r="F16" i="20"/>
  <c r="G19" i="5"/>
  <c r="F11" i="92"/>
  <c r="G11" i="92" s="1"/>
  <c r="H11" i="92" s="1"/>
  <c r="F18" i="30"/>
  <c r="E18" i="19"/>
  <c r="E16" i="62"/>
  <c r="E18" i="62" s="1"/>
  <c r="F59" i="5"/>
  <c r="AB19" i="83"/>
  <c r="J11" i="97"/>
  <c r="H16" i="35"/>
  <c r="I37" i="5"/>
  <c r="I11" i="35"/>
  <c r="E18" i="35"/>
  <c r="F8" i="5"/>
  <c r="E18" i="1"/>
  <c r="F12" i="57"/>
  <c r="G12" i="57" s="1"/>
  <c r="H12" i="57" s="1"/>
  <c r="I12" i="57" s="1"/>
  <c r="F10" i="57"/>
  <c r="G10" i="57" s="1"/>
  <c r="E16" i="57"/>
  <c r="F54" i="5" s="1"/>
  <c r="F11" i="57"/>
  <c r="G11" i="57"/>
  <c r="H11" i="57"/>
  <c r="I11" i="57" s="1"/>
  <c r="G9" i="57"/>
  <c r="I9" i="52"/>
  <c r="F31" i="79"/>
  <c r="I16" i="35"/>
  <c r="J37" i="5" s="1"/>
  <c r="F16" i="57"/>
  <c r="G54" i="5"/>
  <c r="H9" i="57"/>
  <c r="I9" i="57" s="1"/>
  <c r="I11" i="70"/>
  <c r="I10" i="69"/>
  <c r="I11" i="66"/>
  <c r="G56" i="24"/>
  <c r="H56" i="24" s="1"/>
  <c r="I56" i="24" s="1"/>
  <c r="F9" i="24"/>
  <c r="G16" i="26"/>
  <c r="H27" i="5" s="1"/>
  <c r="F16" i="26"/>
  <c r="G27" i="5"/>
  <c r="H32" i="5"/>
  <c r="G18" i="30"/>
  <c r="D12" i="85"/>
  <c r="B16" i="49"/>
  <c r="C46" i="5" s="1"/>
  <c r="D9" i="85"/>
  <c r="D16" i="92"/>
  <c r="E62" i="5" s="1"/>
  <c r="E16" i="92"/>
  <c r="F10" i="56"/>
  <c r="G10" i="56" s="1"/>
  <c r="H10" i="56" s="1"/>
  <c r="E16" i="56"/>
  <c r="F53" i="5" s="1"/>
  <c r="E16" i="63"/>
  <c r="F60" i="5"/>
  <c r="F10" i="63"/>
  <c r="D12" i="101"/>
  <c r="B10" i="101"/>
  <c r="B16" i="101" s="1"/>
  <c r="D12" i="86"/>
  <c r="I9" i="56"/>
  <c r="D16" i="66"/>
  <c r="E63" i="5"/>
  <c r="E16" i="58"/>
  <c r="E18" i="58" s="1"/>
  <c r="F10" i="58"/>
  <c r="G49" i="70"/>
  <c r="H49" i="70"/>
  <c r="I49" i="70" s="1"/>
  <c r="F9" i="70"/>
  <c r="D16" i="70"/>
  <c r="E68" i="5"/>
  <c r="F12" i="80"/>
  <c r="E12" i="101"/>
  <c r="E10" i="101"/>
  <c r="F10" i="80"/>
  <c r="G10" i="80" s="1"/>
  <c r="H10" i="80" s="1"/>
  <c r="E15" i="80"/>
  <c r="D15" i="101"/>
  <c r="F11" i="80"/>
  <c r="G11" i="80" s="1"/>
  <c r="H11" i="80" s="1"/>
  <c r="G13" i="80"/>
  <c r="F13" i="49"/>
  <c r="E13" i="85"/>
  <c r="G15" i="49"/>
  <c r="F15" i="85"/>
  <c r="D16" i="49"/>
  <c r="E46" i="5"/>
  <c r="D10" i="85"/>
  <c r="F14" i="49"/>
  <c r="G14" i="49" s="1"/>
  <c r="H14" i="49" s="1"/>
  <c r="H14" i="85" s="1"/>
  <c r="E14" i="85"/>
  <c r="E11" i="85"/>
  <c r="D11" i="85"/>
  <c r="E15" i="85"/>
  <c r="D14" i="85"/>
  <c r="E11" i="91"/>
  <c r="F15" i="91"/>
  <c r="D10" i="91"/>
  <c r="E15" i="91"/>
  <c r="G14" i="61"/>
  <c r="G14" i="88" s="1"/>
  <c r="F14" i="88"/>
  <c r="F15" i="88"/>
  <c r="G15" i="61"/>
  <c r="H15" i="61" s="1"/>
  <c r="I15" i="61" s="1"/>
  <c r="E13" i="88"/>
  <c r="D16" i="65"/>
  <c r="E56" i="5"/>
  <c r="E11" i="65"/>
  <c r="F11" i="65" s="1"/>
  <c r="G48" i="32"/>
  <c r="H48" i="32"/>
  <c r="I48" i="32" s="1"/>
  <c r="D16" i="61"/>
  <c r="E58" i="5"/>
  <c r="F9" i="90"/>
  <c r="F16" i="18"/>
  <c r="G17" i="5"/>
  <c r="G9" i="18"/>
  <c r="B16" i="77"/>
  <c r="C75" i="5"/>
  <c r="D16" i="77"/>
  <c r="E75" i="5" s="1"/>
  <c r="E12" i="86"/>
  <c r="D16" i="24"/>
  <c r="E23" i="5"/>
  <c r="F9" i="45"/>
  <c r="E16" i="45"/>
  <c r="I10" i="65"/>
  <c r="E11" i="71"/>
  <c r="E11" i="87" s="1"/>
  <c r="E10" i="70"/>
  <c r="E16" i="70" s="1"/>
  <c r="F10" i="70"/>
  <c r="G10" i="70" s="1"/>
  <c r="H10" i="70" s="1"/>
  <c r="F11" i="101"/>
  <c r="G49" i="80"/>
  <c r="H49" i="80"/>
  <c r="G48" i="80"/>
  <c r="H48" i="80" s="1"/>
  <c r="E11" i="61"/>
  <c r="E11" i="88"/>
  <c r="F16" i="33"/>
  <c r="G35" i="5"/>
  <c r="E16" i="33"/>
  <c r="E11" i="12"/>
  <c r="F11" i="12"/>
  <c r="G11" i="12" s="1"/>
  <c r="H11" i="12" s="1"/>
  <c r="I11" i="12" s="1"/>
  <c r="E16" i="59"/>
  <c r="E18" i="59" s="1"/>
  <c r="F9" i="8"/>
  <c r="G9" i="8" s="1"/>
  <c r="H9" i="8" s="1"/>
  <c r="E16" i="8"/>
  <c r="F10" i="5"/>
  <c r="D16" i="64"/>
  <c r="E61" i="5" s="1"/>
  <c r="D16" i="69"/>
  <c r="E67" i="5"/>
  <c r="E16" i="60"/>
  <c r="E18" i="60" s="1"/>
  <c r="E16" i="38"/>
  <c r="E18" i="38" s="1"/>
  <c r="D16" i="38"/>
  <c r="E39" i="5"/>
  <c r="D16" i="36"/>
  <c r="E38" i="5" s="1"/>
  <c r="E16" i="36"/>
  <c r="F11" i="69"/>
  <c r="G11" i="69" s="1"/>
  <c r="H11" i="69" s="1"/>
  <c r="I11" i="69" s="1"/>
  <c r="E16" i="69"/>
  <c r="F67" i="5"/>
  <c r="F10" i="77"/>
  <c r="G10" i="77" s="1"/>
  <c r="H10" i="77" s="1"/>
  <c r="I10" i="77" s="1"/>
  <c r="E13" i="86"/>
  <c r="E14" i="86"/>
  <c r="F13" i="24"/>
  <c r="D11" i="86"/>
  <c r="B15" i="4"/>
  <c r="E16" i="75"/>
  <c r="E18" i="75"/>
  <c r="E12" i="94"/>
  <c r="F12" i="34"/>
  <c r="E9" i="94"/>
  <c r="E10" i="94"/>
  <c r="F10" i="34"/>
  <c r="G10" i="34" s="1"/>
  <c r="H10" i="34" s="1"/>
  <c r="E14" i="94"/>
  <c r="B11" i="94"/>
  <c r="B16" i="94" s="1"/>
  <c r="E13" i="34"/>
  <c r="B16" i="70"/>
  <c r="C68" i="5" s="1"/>
  <c r="F12" i="85"/>
  <c r="E12" i="85"/>
  <c r="D11" i="88"/>
  <c r="D16" i="32"/>
  <c r="E34" i="5" s="1"/>
  <c r="B16" i="23"/>
  <c r="C22" i="5"/>
  <c r="D16" i="23"/>
  <c r="E22" i="5" s="1"/>
  <c r="E14" i="23"/>
  <c r="E10" i="23"/>
  <c r="E16" i="23" s="1"/>
  <c r="E18" i="23" s="1"/>
  <c r="G11" i="67"/>
  <c r="H11" i="67" s="1"/>
  <c r="I11" i="67" s="1"/>
  <c r="D16" i="67"/>
  <c r="E65" i="5" s="1"/>
  <c r="E12" i="67"/>
  <c r="F12" i="67" s="1"/>
  <c r="I10" i="70"/>
  <c r="H16" i="26"/>
  <c r="I27" i="5" s="1"/>
  <c r="B18" i="49"/>
  <c r="E18" i="56"/>
  <c r="G10" i="63"/>
  <c r="E18" i="63"/>
  <c r="G10" i="58"/>
  <c r="H10" i="58" s="1"/>
  <c r="I10" i="58" s="1"/>
  <c r="G13" i="101"/>
  <c r="H13" i="80"/>
  <c r="F10" i="101"/>
  <c r="F15" i="80"/>
  <c r="E15" i="101"/>
  <c r="F12" i="101"/>
  <c r="G12" i="80"/>
  <c r="F14" i="85"/>
  <c r="G15" i="85"/>
  <c r="H15" i="49"/>
  <c r="G13" i="49"/>
  <c r="F13" i="85"/>
  <c r="F10" i="51"/>
  <c r="G10" i="51" s="1"/>
  <c r="H10" i="51" s="1"/>
  <c r="E10" i="91"/>
  <c r="H14" i="61"/>
  <c r="H14" i="88" s="1"/>
  <c r="G15" i="88"/>
  <c r="H9" i="18"/>
  <c r="F44" i="5"/>
  <c r="E18" i="45"/>
  <c r="F16" i="45"/>
  <c r="G44" i="5" s="1"/>
  <c r="G9" i="45"/>
  <c r="F35" i="5"/>
  <c r="E18" i="33"/>
  <c r="G16" i="33"/>
  <c r="H35" i="5" s="1"/>
  <c r="H16" i="33"/>
  <c r="I35" i="5"/>
  <c r="F14" i="23"/>
  <c r="G14" i="23" s="1"/>
  <c r="E18" i="8"/>
  <c r="F11" i="64"/>
  <c r="G11" i="64" s="1"/>
  <c r="H11" i="64" s="1"/>
  <c r="E16" i="64"/>
  <c r="E18" i="64" s="1"/>
  <c r="F16" i="69"/>
  <c r="G67" i="5" s="1"/>
  <c r="F38" i="5"/>
  <c r="G13" i="24"/>
  <c r="G14" i="86" s="1"/>
  <c r="F14" i="86"/>
  <c r="F15" i="24"/>
  <c r="G15" i="24" s="1"/>
  <c r="F73" i="5"/>
  <c r="F12" i="94"/>
  <c r="G12" i="34"/>
  <c r="F13" i="34"/>
  <c r="E13" i="94"/>
  <c r="E16" i="65"/>
  <c r="F56" i="5" s="1"/>
  <c r="G12" i="49"/>
  <c r="G12" i="85" s="1"/>
  <c r="F10" i="23"/>
  <c r="G10" i="23" s="1"/>
  <c r="H10" i="23" s="1"/>
  <c r="I10" i="23" s="1"/>
  <c r="F9" i="23"/>
  <c r="G9" i="23" s="1"/>
  <c r="H9" i="23" s="1"/>
  <c r="H10" i="63"/>
  <c r="I10" i="63" s="1"/>
  <c r="H10" i="101"/>
  <c r="G10" i="101"/>
  <c r="I13" i="80"/>
  <c r="H12" i="80"/>
  <c r="H12" i="101" s="1"/>
  <c r="G12" i="101"/>
  <c r="F15" i="101"/>
  <c r="G15" i="80"/>
  <c r="H15" i="80" s="1"/>
  <c r="H15" i="101" s="1"/>
  <c r="H13" i="49"/>
  <c r="H13" i="85" s="1"/>
  <c r="G13" i="85"/>
  <c r="I15" i="49"/>
  <c r="I15" i="85"/>
  <c r="H15" i="85"/>
  <c r="G14" i="85"/>
  <c r="I14" i="61"/>
  <c r="I14" i="88" s="1"/>
  <c r="I15" i="88"/>
  <c r="H15" i="88"/>
  <c r="I9" i="18"/>
  <c r="H9" i="45"/>
  <c r="I9" i="45" s="1"/>
  <c r="I16" i="45" s="1"/>
  <c r="G16" i="45"/>
  <c r="H44" i="5" s="1"/>
  <c r="I11" i="80"/>
  <c r="I11" i="101" s="1"/>
  <c r="G11" i="101"/>
  <c r="F16" i="86"/>
  <c r="H12" i="34"/>
  <c r="I12" i="34" s="1"/>
  <c r="I12" i="94" s="1"/>
  <c r="G12" i="94"/>
  <c r="I10" i="34"/>
  <c r="I10" i="94"/>
  <c r="G13" i="34"/>
  <c r="F13" i="94"/>
  <c r="G15" i="101"/>
  <c r="I12" i="80"/>
  <c r="I12" i="101" s="1"/>
  <c r="I14" i="49"/>
  <c r="I14" i="85" s="1"/>
  <c r="I13" i="49"/>
  <c r="I13" i="85"/>
  <c r="J44" i="5"/>
  <c r="H16" i="45"/>
  <c r="I44" i="5" s="1"/>
  <c r="H11" i="101"/>
  <c r="H13" i="34"/>
  <c r="I13" i="34" s="1"/>
  <c r="I13" i="94" s="1"/>
  <c r="G13" i="94"/>
  <c r="H12" i="94"/>
  <c r="I15" i="80"/>
  <c r="I15" i="101" s="1"/>
  <c r="I11" i="64"/>
  <c r="D28" i="4"/>
  <c r="E28" i="4"/>
  <c r="F28" i="4"/>
  <c r="G28" i="4"/>
  <c r="H28" i="4"/>
  <c r="I28" i="4"/>
  <c r="J28" i="4"/>
  <c r="Q23" i="83"/>
  <c r="R25" i="83"/>
  <c r="Y22" i="83"/>
  <c r="I10" i="80"/>
  <c r="I10" i="101" s="1"/>
  <c r="G14" i="80"/>
  <c r="F76" i="5"/>
  <c r="I9" i="76"/>
  <c r="F10" i="54"/>
  <c r="G10" i="54" s="1"/>
  <c r="H10" i="54" s="1"/>
  <c r="I10" i="54"/>
  <c r="E16" i="54"/>
  <c r="D16" i="40"/>
  <c r="E41" i="5"/>
  <c r="E10" i="40"/>
  <c r="F10" i="40" s="1"/>
  <c r="G10" i="40" s="1"/>
  <c r="H10" i="40" s="1"/>
  <c r="I10" i="40" s="1"/>
  <c r="H10" i="94"/>
  <c r="E16" i="34"/>
  <c r="F36" i="5" s="1"/>
  <c r="F11" i="94"/>
  <c r="F16" i="34"/>
  <c r="G36" i="5"/>
  <c r="E11" i="94"/>
  <c r="I9" i="33"/>
  <c r="I16" i="33"/>
  <c r="J35" i="5"/>
  <c r="G16" i="56"/>
  <c r="H53" i="5" s="1"/>
  <c r="F16" i="56"/>
  <c r="G53" i="5" s="1"/>
  <c r="E10" i="13"/>
  <c r="F10" i="13" s="1"/>
  <c r="F26" i="5"/>
  <c r="E18" i="102"/>
  <c r="E16" i="86"/>
  <c r="F11" i="43"/>
  <c r="G11" i="43" s="1"/>
  <c r="H11" i="43" s="1"/>
  <c r="I11" i="43"/>
  <c r="E16" i="43"/>
  <c r="F43" i="5"/>
  <c r="D16" i="43"/>
  <c r="E43" i="5"/>
  <c r="E9" i="13"/>
  <c r="E18" i="20"/>
  <c r="F64" i="5"/>
  <c r="H12" i="49"/>
  <c r="G10" i="22"/>
  <c r="E18" i="79"/>
  <c r="J23" i="79"/>
  <c r="H31" i="79"/>
  <c r="I31" i="79"/>
  <c r="E31" i="79"/>
  <c r="J29" i="79"/>
  <c r="J31" i="79" s="1"/>
  <c r="G31" i="79"/>
  <c r="G10" i="86"/>
  <c r="G16" i="83"/>
  <c r="H28" i="5" s="1"/>
  <c r="P25" i="83"/>
  <c r="S25" i="83"/>
  <c r="P23" i="83"/>
  <c r="D16" i="83"/>
  <c r="E28" i="5"/>
  <c r="D10" i="86"/>
  <c r="F11" i="91"/>
  <c r="G9" i="91"/>
  <c r="H9" i="91"/>
  <c r="H12" i="51"/>
  <c r="G12" i="91"/>
  <c r="H13" i="51"/>
  <c r="G13" i="91"/>
  <c r="G15" i="91"/>
  <c r="H15" i="51"/>
  <c r="F10" i="91"/>
  <c r="B16" i="51"/>
  <c r="D9" i="91"/>
  <c r="D16" i="91"/>
  <c r="D16" i="51"/>
  <c r="E48" i="5" s="1"/>
  <c r="D15" i="4"/>
  <c r="F9" i="91"/>
  <c r="E14" i="51"/>
  <c r="I9" i="63"/>
  <c r="Z22" i="83"/>
  <c r="F10" i="86"/>
  <c r="F10" i="4"/>
  <c r="F16" i="83"/>
  <c r="G28" i="5" s="1"/>
  <c r="E10" i="86"/>
  <c r="E10" i="4"/>
  <c r="E16" i="83"/>
  <c r="F28" i="5" s="1"/>
  <c r="G10" i="4"/>
  <c r="Q25" i="83"/>
  <c r="X22" i="83"/>
  <c r="F16" i="78"/>
  <c r="G76" i="5" s="1"/>
  <c r="G16" i="78"/>
  <c r="H76" i="5"/>
  <c r="I9" i="23"/>
  <c r="E16" i="96"/>
  <c r="G16" i="96"/>
  <c r="H50" i="5" s="1"/>
  <c r="F16" i="96"/>
  <c r="G50" i="5"/>
  <c r="G9" i="10"/>
  <c r="F16" i="10"/>
  <c r="G12" i="5" s="1"/>
  <c r="K12" i="5" s="1"/>
  <c r="E18" i="10"/>
  <c r="G16" i="8"/>
  <c r="H10" i="5" s="1"/>
  <c r="F16" i="8"/>
  <c r="G10" i="5"/>
  <c r="F16" i="38"/>
  <c r="G39" i="5" s="1"/>
  <c r="I9" i="38"/>
  <c r="F16" i="36"/>
  <c r="G38" i="5" s="1"/>
  <c r="F9" i="17"/>
  <c r="G9" i="17" s="1"/>
  <c r="H9" i="17" s="1"/>
  <c r="F12" i="86"/>
  <c r="G12" i="24"/>
  <c r="H12" i="24"/>
  <c r="I12" i="24" s="1"/>
  <c r="G16" i="86"/>
  <c r="H15" i="24"/>
  <c r="F10" i="24"/>
  <c r="G10" i="24" s="1"/>
  <c r="H10" i="24" s="1"/>
  <c r="F16" i="75"/>
  <c r="G73" i="5"/>
  <c r="F16" i="46"/>
  <c r="G45" i="5" s="1"/>
  <c r="G9" i="46"/>
  <c r="E18" i="34"/>
  <c r="F9" i="94"/>
  <c r="E16" i="94"/>
  <c r="B18" i="34"/>
  <c r="E18" i="65"/>
  <c r="D16" i="71"/>
  <c r="E69" i="5" s="1"/>
  <c r="D14" i="4"/>
  <c r="C16" i="87"/>
  <c r="F11" i="71"/>
  <c r="E13" i="71"/>
  <c r="E12" i="87"/>
  <c r="F16" i="58"/>
  <c r="G55" i="5" s="1"/>
  <c r="G9" i="58"/>
  <c r="F55" i="5"/>
  <c r="E18" i="70"/>
  <c r="F68" i="5"/>
  <c r="F16" i="70"/>
  <c r="G68" i="5" s="1"/>
  <c r="G10" i="32"/>
  <c r="H10" i="32"/>
  <c r="I10" i="32" s="1"/>
  <c r="D9" i="101"/>
  <c r="D16" i="101"/>
  <c r="C79" i="5"/>
  <c r="B22" i="101"/>
  <c r="B23" i="101"/>
  <c r="D16" i="85"/>
  <c r="B16" i="85"/>
  <c r="D80" i="5"/>
  <c r="B10" i="88"/>
  <c r="B16" i="88" s="1"/>
  <c r="B11" i="4"/>
  <c r="B12" i="4"/>
  <c r="E16" i="68"/>
  <c r="F9" i="68"/>
  <c r="G9" i="68" s="1"/>
  <c r="H9" i="68" s="1"/>
  <c r="I9" i="68"/>
  <c r="D13" i="4"/>
  <c r="D16" i="68"/>
  <c r="E66" i="5" s="1"/>
  <c r="D12" i="4"/>
  <c r="E16" i="40"/>
  <c r="F11" i="40"/>
  <c r="G11" i="40" s="1"/>
  <c r="H11" i="40" s="1"/>
  <c r="I11" i="40" s="1"/>
  <c r="I16" i="40" s="1"/>
  <c r="J41" i="5" s="1"/>
  <c r="K9" i="5"/>
  <c r="E18" i="7"/>
  <c r="G16" i="60"/>
  <c r="H57" i="5" s="1"/>
  <c r="G16" i="38"/>
  <c r="H39" i="5"/>
  <c r="H10" i="38"/>
  <c r="D16" i="88"/>
  <c r="D11" i="4"/>
  <c r="F9" i="61"/>
  <c r="G57" i="61"/>
  <c r="H57" i="61" s="1"/>
  <c r="I57" i="61" s="1"/>
  <c r="F11" i="61"/>
  <c r="G11" i="61" s="1"/>
  <c r="H11" i="61" s="1"/>
  <c r="G16" i="36"/>
  <c r="H38" i="5"/>
  <c r="F15" i="71"/>
  <c r="E15" i="87"/>
  <c r="D16" i="4"/>
  <c r="G12" i="71"/>
  <c r="F9" i="71"/>
  <c r="G9" i="71" s="1"/>
  <c r="H9" i="71" s="1"/>
  <c r="D9" i="4"/>
  <c r="D15" i="87"/>
  <c r="I10" i="50"/>
  <c r="E40" i="50"/>
  <c r="F47" i="5"/>
  <c r="G16" i="64"/>
  <c r="H61" i="5"/>
  <c r="F16" i="64"/>
  <c r="G61" i="5" s="1"/>
  <c r="F61" i="5"/>
  <c r="F9" i="42"/>
  <c r="G9" i="42" s="1"/>
  <c r="H9" i="42" s="1"/>
  <c r="E16" i="42"/>
  <c r="E14" i="4"/>
  <c r="F62" i="5"/>
  <c r="H16" i="60"/>
  <c r="I57" i="5" s="1"/>
  <c r="F16" i="60"/>
  <c r="G57" i="5"/>
  <c r="F57" i="5"/>
  <c r="I9" i="60"/>
  <c r="I16" i="60"/>
  <c r="J57" i="5"/>
  <c r="F16" i="77"/>
  <c r="G75" i="5" s="1"/>
  <c r="E16" i="77"/>
  <c r="E18" i="69"/>
  <c r="H16" i="69"/>
  <c r="I67" i="5" s="1"/>
  <c r="I9" i="69"/>
  <c r="I16" i="69"/>
  <c r="J67" i="5" s="1"/>
  <c r="G16" i="69"/>
  <c r="H67" i="5"/>
  <c r="G16" i="43"/>
  <c r="H43" i="5" s="1"/>
  <c r="F16" i="43"/>
  <c r="G43" i="5"/>
  <c r="G16" i="20"/>
  <c r="H19" i="5" s="1"/>
  <c r="K19" i="5" s="1"/>
  <c r="H9" i="20"/>
  <c r="G9" i="89"/>
  <c r="F9" i="89"/>
  <c r="E16" i="9"/>
  <c r="E18" i="9"/>
  <c r="G12" i="67"/>
  <c r="F13" i="4"/>
  <c r="F15" i="67"/>
  <c r="E16" i="4"/>
  <c r="G13" i="67"/>
  <c r="H14" i="67"/>
  <c r="E16" i="67"/>
  <c r="F65" i="5"/>
  <c r="E13" i="4"/>
  <c r="G11" i="9"/>
  <c r="F16" i="9"/>
  <c r="G11" i="5" s="1"/>
  <c r="E12" i="4"/>
  <c r="G14" i="101"/>
  <c r="H14" i="80"/>
  <c r="I14" i="80" s="1"/>
  <c r="I14" i="101" s="1"/>
  <c r="F16" i="54"/>
  <c r="G52" i="5"/>
  <c r="G16" i="54"/>
  <c r="H52" i="5" s="1"/>
  <c r="F52" i="5"/>
  <c r="E18" i="54"/>
  <c r="G11" i="94"/>
  <c r="H11" i="94"/>
  <c r="I11" i="34"/>
  <c r="I11" i="94" s="1"/>
  <c r="H16" i="56"/>
  <c r="I53" i="5"/>
  <c r="I10" i="56"/>
  <c r="I16" i="56" s="1"/>
  <c r="J53" i="5" s="1"/>
  <c r="E18" i="43"/>
  <c r="F9" i="13"/>
  <c r="E16" i="13"/>
  <c r="I12" i="49"/>
  <c r="I12" i="85"/>
  <c r="H12" i="85"/>
  <c r="G16" i="22"/>
  <c r="H21" i="5" s="1"/>
  <c r="H10" i="22"/>
  <c r="F14" i="51"/>
  <c r="E14" i="91"/>
  <c r="E16" i="91" s="1"/>
  <c r="H15" i="91"/>
  <c r="I15" i="51"/>
  <c r="I15" i="91" s="1"/>
  <c r="E16" i="51"/>
  <c r="H13" i="91"/>
  <c r="I13" i="51"/>
  <c r="I13" i="91"/>
  <c r="I9" i="51"/>
  <c r="I9" i="91" s="1"/>
  <c r="B18" i="51"/>
  <c r="C48" i="5"/>
  <c r="H12" i="91"/>
  <c r="I12" i="51"/>
  <c r="I12" i="91" s="1"/>
  <c r="G11" i="91"/>
  <c r="H16" i="78"/>
  <c r="I76" i="5"/>
  <c r="I9" i="78"/>
  <c r="I16" i="78" s="1"/>
  <c r="J76" i="5" s="1"/>
  <c r="F50" i="5"/>
  <c r="E18" i="96"/>
  <c r="I9" i="96"/>
  <c r="I16" i="96"/>
  <c r="J50" i="5"/>
  <c r="H16" i="96"/>
  <c r="I50" i="5" s="1"/>
  <c r="G16" i="10"/>
  <c r="H12" i="5"/>
  <c r="H9" i="10"/>
  <c r="H16" i="8"/>
  <c r="I10" i="5"/>
  <c r="I9" i="8"/>
  <c r="I16" i="8" s="1"/>
  <c r="J10" i="5" s="1"/>
  <c r="H13" i="86"/>
  <c r="G13" i="86"/>
  <c r="G12" i="86"/>
  <c r="I15" i="24"/>
  <c r="I16" i="86" s="1"/>
  <c r="H16" i="86"/>
  <c r="F11" i="86"/>
  <c r="H16" i="40"/>
  <c r="I41" i="5"/>
  <c r="G16" i="75"/>
  <c r="H73" i="5" s="1"/>
  <c r="G16" i="46"/>
  <c r="H45" i="5"/>
  <c r="H9" i="46"/>
  <c r="G9" i="94"/>
  <c r="F16" i="68"/>
  <c r="G66" i="5"/>
  <c r="F11" i="87"/>
  <c r="G11" i="71"/>
  <c r="E13" i="87"/>
  <c r="F13" i="71"/>
  <c r="G16" i="58"/>
  <c r="H55" i="5"/>
  <c r="H9" i="58"/>
  <c r="I9" i="58" s="1"/>
  <c r="I16" i="58" s="1"/>
  <c r="J55" i="5" s="1"/>
  <c r="E18" i="68"/>
  <c r="F66" i="5"/>
  <c r="G16" i="68"/>
  <c r="H66" i="5" s="1"/>
  <c r="G16" i="40"/>
  <c r="H41" i="5"/>
  <c r="F16" i="40"/>
  <c r="G41" i="5" s="1"/>
  <c r="K41" i="5" s="1"/>
  <c r="E18" i="40"/>
  <c r="F41" i="5"/>
  <c r="I10" i="38"/>
  <c r="I16" i="38" s="1"/>
  <c r="J39" i="5" s="1"/>
  <c r="H16" i="38"/>
  <c r="I39" i="5"/>
  <c r="I10" i="51"/>
  <c r="F11" i="88"/>
  <c r="F9" i="87"/>
  <c r="D17" i="4"/>
  <c r="G12" i="87"/>
  <c r="H12" i="71"/>
  <c r="G15" i="71"/>
  <c r="F15" i="87"/>
  <c r="H16" i="64"/>
  <c r="I61" i="5" s="1"/>
  <c r="I9" i="64"/>
  <c r="I16" i="64"/>
  <c r="J61" i="5"/>
  <c r="E18" i="42"/>
  <c r="F42" i="5"/>
  <c r="F16" i="42"/>
  <c r="G42" i="5" s="1"/>
  <c r="K42" i="5" s="1"/>
  <c r="E18" i="77"/>
  <c r="F75" i="5"/>
  <c r="G16" i="77"/>
  <c r="H75" i="5" s="1"/>
  <c r="H16" i="43"/>
  <c r="I43" i="5"/>
  <c r="I10" i="43"/>
  <c r="I16" i="43" s="1"/>
  <c r="J43" i="5" s="1"/>
  <c r="H9" i="89"/>
  <c r="I9" i="20"/>
  <c r="H16" i="20"/>
  <c r="I19" i="5"/>
  <c r="F11" i="5"/>
  <c r="E18" i="67"/>
  <c r="H13" i="67"/>
  <c r="I13" i="67" s="1"/>
  <c r="I14" i="67"/>
  <c r="G15" i="67"/>
  <c r="H12" i="67"/>
  <c r="G16" i="9"/>
  <c r="H11" i="5" s="1"/>
  <c r="H11" i="9"/>
  <c r="H14" i="101"/>
  <c r="I11" i="92"/>
  <c r="I9" i="54"/>
  <c r="I16" i="54"/>
  <c r="J52" i="5"/>
  <c r="H16" i="54"/>
  <c r="I52" i="5" s="1"/>
  <c r="F14" i="5"/>
  <c r="E18" i="13"/>
  <c r="G9" i="13"/>
  <c r="H16" i="22"/>
  <c r="I21" i="5"/>
  <c r="I10" i="22"/>
  <c r="H11" i="91"/>
  <c r="I11" i="51"/>
  <c r="I11" i="91" s="1"/>
  <c r="E18" i="51"/>
  <c r="F48" i="5"/>
  <c r="G14" i="51"/>
  <c r="H14" i="51" s="1"/>
  <c r="F14" i="91"/>
  <c r="F16" i="51"/>
  <c r="G48" i="5" s="1"/>
  <c r="D25" i="4"/>
  <c r="E82" i="5" s="1"/>
  <c r="I9" i="59"/>
  <c r="H16" i="10"/>
  <c r="I12" i="5"/>
  <c r="I9" i="10"/>
  <c r="I16" i="10" s="1"/>
  <c r="J12" i="5" s="1"/>
  <c r="H12" i="86"/>
  <c r="I11" i="24"/>
  <c r="I12" i="86" s="1"/>
  <c r="G11" i="86"/>
  <c r="I9" i="75"/>
  <c r="I16" i="75"/>
  <c r="J73" i="5" s="1"/>
  <c r="H16" i="75"/>
  <c r="I73" i="5"/>
  <c r="H16" i="46"/>
  <c r="I45" i="5" s="1"/>
  <c r="I9" i="46"/>
  <c r="I16" i="46"/>
  <c r="J45" i="5"/>
  <c r="H9" i="94"/>
  <c r="I9" i="34"/>
  <c r="G13" i="71"/>
  <c r="F13" i="87"/>
  <c r="F14" i="4"/>
  <c r="G11" i="87"/>
  <c r="H11" i="71"/>
  <c r="I11" i="71" s="1"/>
  <c r="I11" i="87" s="1"/>
  <c r="H16" i="58"/>
  <c r="I55" i="5" s="1"/>
  <c r="I10" i="68"/>
  <c r="H16" i="68"/>
  <c r="I66" i="5" s="1"/>
  <c r="G11" i="88"/>
  <c r="G9" i="87"/>
  <c r="H15" i="71"/>
  <c r="G15" i="87"/>
  <c r="H12" i="87"/>
  <c r="I12" i="71"/>
  <c r="I12" i="87" s="1"/>
  <c r="G16" i="42"/>
  <c r="H42" i="5" s="1"/>
  <c r="H16" i="77"/>
  <c r="I75" i="5" s="1"/>
  <c r="I9" i="77"/>
  <c r="I16" i="77"/>
  <c r="J75" i="5" s="1"/>
  <c r="I16" i="20"/>
  <c r="J19" i="5"/>
  <c r="H15" i="67"/>
  <c r="I15" i="67" s="1"/>
  <c r="G16" i="4"/>
  <c r="I12" i="67"/>
  <c r="I11" i="9"/>
  <c r="I16" i="9" s="1"/>
  <c r="J11" i="5" s="1"/>
  <c r="H16" i="9"/>
  <c r="I11" i="5" s="1"/>
  <c r="H9" i="13"/>
  <c r="I16" i="22"/>
  <c r="J21" i="5" s="1"/>
  <c r="G14" i="91"/>
  <c r="D26" i="4"/>
  <c r="I9" i="17"/>
  <c r="H11" i="86"/>
  <c r="I10" i="24"/>
  <c r="I11" i="86"/>
  <c r="I9" i="94"/>
  <c r="H11" i="87"/>
  <c r="G13" i="87"/>
  <c r="H13" i="71"/>
  <c r="H11" i="88"/>
  <c r="I11" i="61"/>
  <c r="I11" i="88"/>
  <c r="I9" i="71"/>
  <c r="H9" i="87"/>
  <c r="I15" i="71"/>
  <c r="I15" i="87"/>
  <c r="H15" i="87"/>
  <c r="H16" i="42"/>
  <c r="I42" i="5"/>
  <c r="I9" i="42"/>
  <c r="I16" i="42" s="1"/>
  <c r="J42" i="5" s="1"/>
  <c r="I9" i="13"/>
  <c r="H13" i="87"/>
  <c r="I13" i="71"/>
  <c r="I13" i="87" s="1"/>
  <c r="K70" i="30" l="1"/>
  <c r="G10" i="13"/>
  <c r="F16" i="13"/>
  <c r="G14" i="5" s="1"/>
  <c r="F16" i="94"/>
  <c r="I14" i="51"/>
  <c r="H16" i="51"/>
  <c r="I48" i="5" s="1"/>
  <c r="H14" i="91"/>
  <c r="K75" i="5"/>
  <c r="K43" i="5"/>
  <c r="K57" i="5"/>
  <c r="I13" i="86"/>
  <c r="K76" i="5"/>
  <c r="K53" i="5"/>
  <c r="K11" i="5"/>
  <c r="K52" i="5"/>
  <c r="K73" i="5"/>
  <c r="K50" i="5"/>
  <c r="K61" i="5"/>
  <c r="K55" i="5"/>
  <c r="K10" i="5"/>
  <c r="K67" i="5"/>
  <c r="H14" i="23"/>
  <c r="G16" i="23"/>
  <c r="H22" i="5" s="1"/>
  <c r="F16" i="23"/>
  <c r="G22" i="5" s="1"/>
  <c r="K35" i="5"/>
  <c r="I12" i="76"/>
  <c r="I16" i="76" s="1"/>
  <c r="J74" i="5" s="1"/>
  <c r="H12" i="90"/>
  <c r="I12" i="18"/>
  <c r="I12" i="90" s="1"/>
  <c r="K77" i="5"/>
  <c r="I9" i="21"/>
  <c r="F16" i="63"/>
  <c r="G60" i="5" s="1"/>
  <c r="G12" i="63"/>
  <c r="G10" i="52"/>
  <c r="F16" i="52"/>
  <c r="G49" i="5" s="1"/>
  <c r="G16" i="51"/>
  <c r="H48" i="5" s="1"/>
  <c r="D29" i="4"/>
  <c r="F22" i="5"/>
  <c r="H9" i="90"/>
  <c r="G11" i="65"/>
  <c r="F16" i="65"/>
  <c r="G56" i="5" s="1"/>
  <c r="I16" i="26"/>
  <c r="J27" i="5" s="1"/>
  <c r="H9" i="19"/>
  <c r="I9" i="19" s="1"/>
  <c r="G9" i="90"/>
  <c r="K30" i="5"/>
  <c r="K31" i="5"/>
  <c r="E16" i="90"/>
  <c r="G12" i="61"/>
  <c r="F12" i="88"/>
  <c r="G13" i="59"/>
  <c r="F16" i="59"/>
  <c r="G64" i="5" s="1"/>
  <c r="H11" i="19"/>
  <c r="G11" i="90"/>
  <c r="G9" i="61"/>
  <c r="H13" i="94"/>
  <c r="H13" i="24"/>
  <c r="K44" i="5"/>
  <c r="H10" i="57"/>
  <c r="G16" i="57"/>
  <c r="H54" i="5" s="1"/>
  <c r="F13" i="88"/>
  <c r="G13" i="61"/>
  <c r="K27" i="5"/>
  <c r="G15" i="90"/>
  <c r="H15" i="18"/>
  <c r="I15" i="18" s="1"/>
  <c r="G16" i="18"/>
  <c r="H17" i="5" s="1"/>
  <c r="I11" i="18"/>
  <c r="I16" i="18" s="1"/>
  <c r="J17" i="5" s="1"/>
  <c r="H11" i="90"/>
  <c r="H14" i="76"/>
  <c r="I14" i="76" s="1"/>
  <c r="G16" i="76"/>
  <c r="H74" i="5" s="1"/>
  <c r="G16" i="50"/>
  <c r="H9" i="50"/>
  <c r="I12" i="27"/>
  <c r="I16" i="27" s="1"/>
  <c r="J29" i="5" s="1"/>
  <c r="H16" i="27"/>
  <c r="I29" i="5" s="1"/>
  <c r="K29" i="5" s="1"/>
  <c r="K15" i="5"/>
  <c r="F14" i="94"/>
  <c r="G14" i="34"/>
  <c r="K33" i="5"/>
  <c r="I15" i="97"/>
  <c r="J15" i="97"/>
  <c r="G14" i="19"/>
  <c r="F14" i="90"/>
  <c r="F16" i="90" s="1"/>
  <c r="F16" i="19"/>
  <c r="G18" i="5" s="1"/>
  <c r="E18" i="92"/>
  <c r="G9" i="24"/>
  <c r="F10" i="94"/>
  <c r="E18" i="36"/>
  <c r="G9" i="70"/>
  <c r="H13" i="90"/>
  <c r="I15" i="34"/>
  <c r="I15" i="94" s="1"/>
  <c r="H16" i="72"/>
  <c r="E18" i="30"/>
  <c r="F12" i="91"/>
  <c r="F16" i="91" s="1"/>
  <c r="E14" i="90"/>
  <c r="G10" i="94"/>
  <c r="F39" i="5"/>
  <c r="K39" i="5" s="1"/>
  <c r="E18" i="57"/>
  <c r="G16" i="15"/>
  <c r="H15" i="5" s="1"/>
  <c r="I9" i="73"/>
  <c r="I14" i="72"/>
  <c r="H9" i="30"/>
  <c r="H9" i="93"/>
  <c r="F16" i="50"/>
  <c r="G16" i="72"/>
  <c r="F54" i="72"/>
  <c r="E12" i="88"/>
  <c r="F12" i="89"/>
  <c r="G12" i="21"/>
  <c r="G10" i="21"/>
  <c r="F10" i="89"/>
  <c r="F16" i="89" s="1"/>
  <c r="H13" i="100"/>
  <c r="G16" i="100"/>
  <c r="E16" i="73"/>
  <c r="E16" i="22"/>
  <c r="H12" i="1"/>
  <c r="G16" i="1"/>
  <c r="H8" i="5" s="1"/>
  <c r="E16" i="46"/>
  <c r="C59" i="5"/>
  <c r="B17" i="20"/>
  <c r="B18" i="20" s="1"/>
  <c r="C37" i="5"/>
  <c r="H69" i="30"/>
  <c r="K69" i="30" s="1"/>
  <c r="D13" i="87"/>
  <c r="C10" i="4"/>
  <c r="C9" i="4"/>
  <c r="C17" i="4" s="1"/>
  <c r="E24" i="5"/>
  <c r="E16" i="100"/>
  <c r="F16" i="100"/>
  <c r="D11" i="87"/>
  <c r="E9" i="98"/>
  <c r="D16" i="100"/>
  <c r="F67" i="30"/>
  <c r="E9" i="87"/>
  <c r="J67" i="79"/>
  <c r="D16" i="86"/>
  <c r="D17" i="86" s="1"/>
  <c r="K26" i="5"/>
  <c r="U22" i="83"/>
  <c r="J63" i="79"/>
  <c r="J64" i="79" s="1"/>
  <c r="I64" i="79"/>
  <c r="E9" i="88"/>
  <c r="F9" i="62"/>
  <c r="D12" i="87"/>
  <c r="T22" i="83"/>
  <c r="U20" i="83"/>
  <c r="C10" i="86"/>
  <c r="C17" i="86" s="1"/>
  <c r="J66" i="79"/>
  <c r="J68" i="79" s="1"/>
  <c r="E68" i="79"/>
  <c r="J70" i="79" s="1"/>
  <c r="B16" i="61"/>
  <c r="E10" i="71"/>
  <c r="B16" i="71"/>
  <c r="C69" i="5" s="1"/>
  <c r="H9" i="36"/>
  <c r="E9" i="12"/>
  <c r="F30" i="12"/>
  <c r="F12" i="87"/>
  <c r="E16" i="17"/>
  <c r="F10" i="17"/>
  <c r="N22" i="83"/>
  <c r="E9" i="32"/>
  <c r="B10" i="87"/>
  <c r="B16" i="87" s="1"/>
  <c r="E9" i="97"/>
  <c r="E10" i="61"/>
  <c r="N24" i="83"/>
  <c r="E10" i="66"/>
  <c r="E10" i="49"/>
  <c r="F11" i="49"/>
  <c r="D16" i="80"/>
  <c r="E79" i="5" s="1"/>
  <c r="F10" i="67"/>
  <c r="G10" i="67" s="1"/>
  <c r="H10" i="67" s="1"/>
  <c r="I10" i="67" s="1"/>
  <c r="E14" i="24"/>
  <c r="F9" i="67"/>
  <c r="F26" i="26"/>
  <c r="G26" i="26" s="1"/>
  <c r="H26" i="26" s="1"/>
  <c r="I26" i="26" s="1"/>
  <c r="F9" i="92"/>
  <c r="E9" i="80"/>
  <c r="E9" i="39"/>
  <c r="F16" i="4"/>
  <c r="E11" i="86"/>
  <c r="E9" i="49"/>
  <c r="E9" i="86"/>
  <c r="E10" i="97"/>
  <c r="H15" i="90"/>
  <c r="H16" i="4"/>
  <c r="I16" i="68"/>
  <c r="J66" i="5" s="1"/>
  <c r="K66" i="5"/>
  <c r="F14" i="24" l="1"/>
  <c r="E16" i="24"/>
  <c r="E15" i="4"/>
  <c r="E15" i="86"/>
  <c r="E10" i="87"/>
  <c r="E16" i="71"/>
  <c r="F10" i="71"/>
  <c r="I9" i="83"/>
  <c r="AB22" i="83"/>
  <c r="F21" i="5"/>
  <c r="K21" i="5" s="1"/>
  <c r="E18" i="22"/>
  <c r="H9" i="70"/>
  <c r="G16" i="70"/>
  <c r="H68" i="5" s="1"/>
  <c r="H14" i="19"/>
  <c r="G14" i="90"/>
  <c r="G16" i="90" s="1"/>
  <c r="H16" i="57"/>
  <c r="I54" i="5" s="1"/>
  <c r="K54" i="5" s="1"/>
  <c r="I10" i="57"/>
  <c r="I16" i="57" s="1"/>
  <c r="J54" i="5" s="1"/>
  <c r="H9" i="61"/>
  <c r="H12" i="63"/>
  <c r="G16" i="63"/>
  <c r="H60" i="5" s="1"/>
  <c r="I14" i="23"/>
  <c r="I16" i="23" s="1"/>
  <c r="J22" i="5" s="1"/>
  <c r="H16" i="23"/>
  <c r="I22" i="5" s="1"/>
  <c r="E10" i="88"/>
  <c r="E16" i="61"/>
  <c r="F10" i="61"/>
  <c r="F10" i="49"/>
  <c r="E10" i="85"/>
  <c r="E11" i="4"/>
  <c r="G10" i="17"/>
  <c r="F16" i="17"/>
  <c r="G16" i="5" s="1"/>
  <c r="G9" i="62"/>
  <c r="F16" i="62"/>
  <c r="G59" i="5" s="1"/>
  <c r="F9" i="88"/>
  <c r="D16" i="87"/>
  <c r="I13" i="100"/>
  <c r="H16" i="100"/>
  <c r="H70" i="5"/>
  <c r="G54" i="72"/>
  <c r="G9" i="92"/>
  <c r="F16" i="92"/>
  <c r="G62" i="5" s="1"/>
  <c r="F10" i="66"/>
  <c r="E16" i="66"/>
  <c r="F16" i="5"/>
  <c r="E18" i="17"/>
  <c r="F9" i="12"/>
  <c r="E16" i="12"/>
  <c r="E9" i="4"/>
  <c r="E17" i="4" s="1"/>
  <c r="C58" i="5"/>
  <c r="B18" i="61"/>
  <c r="U24" i="83"/>
  <c r="U25" i="83" s="1"/>
  <c r="AB20" i="83"/>
  <c r="E16" i="88"/>
  <c r="G67" i="30"/>
  <c r="F71" i="30"/>
  <c r="G78" i="5"/>
  <c r="C25" i="4"/>
  <c r="D18" i="4"/>
  <c r="D19" i="4" s="1"/>
  <c r="F45" i="5"/>
  <c r="K45" i="5" s="1"/>
  <c r="E18" i="46"/>
  <c r="F71" i="5"/>
  <c r="E18" i="73"/>
  <c r="G47" i="5"/>
  <c r="F40" i="50"/>
  <c r="I16" i="73"/>
  <c r="J71" i="5" s="1"/>
  <c r="I9" i="87"/>
  <c r="I70" i="5"/>
  <c r="H54" i="72"/>
  <c r="H14" i="34"/>
  <c r="G14" i="94"/>
  <c r="G16" i="94" s="1"/>
  <c r="G16" i="34"/>
  <c r="H36" i="5" s="1"/>
  <c r="I15" i="90"/>
  <c r="I16" i="4"/>
  <c r="J16" i="4" s="1"/>
  <c r="G13" i="88"/>
  <c r="H13" i="61"/>
  <c r="G14" i="4"/>
  <c r="H13" i="59"/>
  <c r="G16" i="59"/>
  <c r="H64" i="5" s="1"/>
  <c r="I9" i="90"/>
  <c r="H16" i="76"/>
  <c r="I74" i="5" s="1"/>
  <c r="K74" i="5" s="1"/>
  <c r="H13" i="101"/>
  <c r="H16" i="18"/>
  <c r="I17" i="5" s="1"/>
  <c r="K17" i="5" s="1"/>
  <c r="I16" i="51"/>
  <c r="J48" i="5" s="1"/>
  <c r="K48" i="5" s="1"/>
  <c r="I14" i="91"/>
  <c r="H10" i="13"/>
  <c r="G16" i="13"/>
  <c r="H14" i="5" s="1"/>
  <c r="F9" i="39"/>
  <c r="E16" i="39"/>
  <c r="G9" i="67"/>
  <c r="F16" i="67"/>
  <c r="G65" i="5" s="1"/>
  <c r="B9" i="24"/>
  <c r="O23" i="83"/>
  <c r="B9" i="83"/>
  <c r="F9" i="49"/>
  <c r="E9" i="85"/>
  <c r="E16" i="85" s="1"/>
  <c r="E16" i="49"/>
  <c r="E9" i="101"/>
  <c r="E16" i="101" s="1"/>
  <c r="E16" i="80"/>
  <c r="F9" i="80"/>
  <c r="F9" i="97"/>
  <c r="E16" i="97"/>
  <c r="E16" i="87"/>
  <c r="E18" i="87" s="1"/>
  <c r="H12" i="21"/>
  <c r="G12" i="89"/>
  <c r="G13" i="4"/>
  <c r="I14" i="87"/>
  <c r="I16" i="72"/>
  <c r="J70" i="5" s="1"/>
  <c r="H9" i="24"/>
  <c r="F10" i="97"/>
  <c r="G10" i="97" s="1"/>
  <c r="H10" i="97" s="1"/>
  <c r="I10" i="97" s="1"/>
  <c r="J10" i="97"/>
  <c r="F9" i="32"/>
  <c r="E16" i="32"/>
  <c r="H16" i="36"/>
  <c r="I38" i="5" s="1"/>
  <c r="I9" i="36"/>
  <c r="I16" i="36" s="1"/>
  <c r="J38" i="5" s="1"/>
  <c r="J71" i="79"/>
  <c r="H9" i="83"/>
  <c r="T25" i="83"/>
  <c r="AA22" i="83"/>
  <c r="E78" i="5"/>
  <c r="D22" i="101"/>
  <c r="D23" i="101" s="1"/>
  <c r="B18" i="71"/>
  <c r="H10" i="21"/>
  <c r="G16" i="21"/>
  <c r="H20" i="5" s="1"/>
  <c r="G10" i="89"/>
  <c r="G16" i="89" s="1"/>
  <c r="H16" i="93"/>
  <c r="I25" i="5" s="1"/>
  <c r="I9" i="93"/>
  <c r="I16" i="93" s="1"/>
  <c r="J25" i="5" s="1"/>
  <c r="I9" i="50"/>
  <c r="I16" i="50" s="1"/>
  <c r="J47" i="5" s="1"/>
  <c r="H16" i="50"/>
  <c r="H14" i="86"/>
  <c r="H14" i="4"/>
  <c r="I13" i="24"/>
  <c r="I11" i="19"/>
  <c r="G16" i="19"/>
  <c r="H18" i="5" s="1"/>
  <c r="H11" i="65"/>
  <c r="G16" i="65"/>
  <c r="H56" i="5" s="1"/>
  <c r="K22" i="5"/>
  <c r="I9" i="89"/>
  <c r="E17" i="86"/>
  <c r="G11" i="49"/>
  <c r="F11" i="85"/>
  <c r="F12" i="4"/>
  <c r="F24" i="5"/>
  <c r="F9" i="98"/>
  <c r="E16" i="98"/>
  <c r="F78" i="5"/>
  <c r="E18" i="100"/>
  <c r="E22" i="101"/>
  <c r="E23" i="101" s="1"/>
  <c r="I12" i="1"/>
  <c r="H16" i="1"/>
  <c r="I8" i="5" s="1"/>
  <c r="H13" i="4"/>
  <c r="H78" i="5"/>
  <c r="I9" i="30"/>
  <c r="I16" i="30" s="1"/>
  <c r="H16" i="30"/>
  <c r="H47" i="5"/>
  <c r="G40" i="50"/>
  <c r="I11" i="90"/>
  <c r="H12" i="61"/>
  <c r="G12" i="88"/>
  <c r="H10" i="52"/>
  <c r="G16" i="52"/>
  <c r="H49" i="5" s="1"/>
  <c r="G10" i="91"/>
  <c r="G16" i="91" s="1"/>
  <c r="I10" i="52" l="1"/>
  <c r="H16" i="52"/>
  <c r="I49" i="5" s="1"/>
  <c r="H10" i="91"/>
  <c r="H16" i="91" s="1"/>
  <c r="I18" i="30"/>
  <c r="J32" i="5"/>
  <c r="K38" i="5"/>
  <c r="I16" i="1"/>
  <c r="J8" i="5" s="1"/>
  <c r="I11" i="65"/>
  <c r="I16" i="65" s="1"/>
  <c r="J56" i="5" s="1"/>
  <c r="K56" i="5" s="1"/>
  <c r="H16" i="65"/>
  <c r="I56" i="5" s="1"/>
  <c r="I14" i="86"/>
  <c r="H10" i="86"/>
  <c r="H16" i="83"/>
  <c r="I28" i="5" s="1"/>
  <c r="H10" i="4"/>
  <c r="E18" i="32"/>
  <c r="F34" i="5"/>
  <c r="I12" i="21"/>
  <c r="I12" i="89" s="1"/>
  <c r="H12" i="89"/>
  <c r="F79" i="5"/>
  <c r="E18" i="80"/>
  <c r="G9" i="49"/>
  <c r="F9" i="85"/>
  <c r="F16" i="49"/>
  <c r="G46" i="5" s="1"/>
  <c r="K71" i="5"/>
  <c r="C26" i="4"/>
  <c r="D82" i="5"/>
  <c r="D83" i="5" s="1"/>
  <c r="G71" i="30"/>
  <c r="H67" i="30"/>
  <c r="G9" i="12"/>
  <c r="F9" i="4"/>
  <c r="F16" i="12"/>
  <c r="G13" i="5" s="1"/>
  <c r="G10" i="66"/>
  <c r="F16" i="66"/>
  <c r="G63" i="5" s="1"/>
  <c r="G10" i="49"/>
  <c r="F10" i="85"/>
  <c r="I9" i="61"/>
  <c r="I9" i="70"/>
  <c r="I16" i="70" s="1"/>
  <c r="J68" i="5" s="1"/>
  <c r="H16" i="70"/>
  <c r="I68" i="5" s="1"/>
  <c r="G14" i="24"/>
  <c r="F16" i="24"/>
  <c r="G23" i="5" s="1"/>
  <c r="F15" i="4"/>
  <c r="F15" i="86"/>
  <c r="I12" i="61"/>
  <c r="I12" i="88" s="1"/>
  <c r="H12" i="88"/>
  <c r="G24" i="5"/>
  <c r="G9" i="98"/>
  <c r="F16" i="98"/>
  <c r="F9" i="86"/>
  <c r="F17" i="86" s="1"/>
  <c r="H11" i="49"/>
  <c r="G11" i="85"/>
  <c r="G12" i="4"/>
  <c r="K25" i="5"/>
  <c r="I10" i="21"/>
  <c r="H10" i="89"/>
  <c r="H16" i="89" s="1"/>
  <c r="H16" i="21"/>
  <c r="I20" i="5" s="1"/>
  <c r="G9" i="32"/>
  <c r="F16" i="32"/>
  <c r="G34" i="5" s="1"/>
  <c r="E80" i="5"/>
  <c r="E83" i="5" s="1"/>
  <c r="E18" i="97"/>
  <c r="F51" i="5"/>
  <c r="B10" i="4"/>
  <c r="B10" i="86"/>
  <c r="B9" i="4"/>
  <c r="B16" i="83"/>
  <c r="C28" i="5" s="1"/>
  <c r="H9" i="67"/>
  <c r="G16" i="67"/>
  <c r="H65" i="5" s="1"/>
  <c r="I10" i="13"/>
  <c r="H16" i="13"/>
  <c r="I14" i="5" s="1"/>
  <c r="H13" i="88"/>
  <c r="I13" i="61"/>
  <c r="I13" i="88" s="1"/>
  <c r="K70" i="5"/>
  <c r="H10" i="17"/>
  <c r="G16" i="17"/>
  <c r="H16" i="5" s="1"/>
  <c r="G10" i="61"/>
  <c r="F16" i="61"/>
  <c r="G58" i="5" s="1"/>
  <c r="F10" i="88"/>
  <c r="F16" i="88" s="1"/>
  <c r="I10" i="4"/>
  <c r="I10" i="86"/>
  <c r="I16" i="83"/>
  <c r="J28" i="5" s="1"/>
  <c r="G9" i="97"/>
  <c r="F16" i="97"/>
  <c r="G51" i="5" s="1"/>
  <c r="F46" i="5"/>
  <c r="E18" i="49"/>
  <c r="E18" i="39"/>
  <c r="F40" i="5"/>
  <c r="K47" i="5"/>
  <c r="E25" i="4"/>
  <c r="E18" i="4"/>
  <c r="E19" i="4" s="1"/>
  <c r="H9" i="92"/>
  <c r="G16" i="92"/>
  <c r="H62" i="5" s="1"/>
  <c r="I78" i="5"/>
  <c r="F58" i="5"/>
  <c r="E18" i="61"/>
  <c r="I14" i="19"/>
  <c r="H14" i="90"/>
  <c r="H16" i="90" s="1"/>
  <c r="H16" i="19"/>
  <c r="I18" i="5" s="1"/>
  <c r="G10" i="71"/>
  <c r="F16" i="71"/>
  <c r="G69" i="5" s="1"/>
  <c r="F10" i="87"/>
  <c r="F16" i="87" s="1"/>
  <c r="I32" i="5"/>
  <c r="K32" i="5" s="1"/>
  <c r="H18" i="30"/>
  <c r="I47" i="5"/>
  <c r="H40" i="50"/>
  <c r="I9" i="24"/>
  <c r="G9" i="80"/>
  <c r="F9" i="101"/>
  <c r="F16" i="101" s="1"/>
  <c r="F16" i="80"/>
  <c r="B16" i="24"/>
  <c r="C23" i="5" s="1"/>
  <c r="C80" i="5" s="1"/>
  <c r="B9" i="86"/>
  <c r="B17" i="86" s="1"/>
  <c r="B22" i="86" s="1"/>
  <c r="G9" i="39"/>
  <c r="F16" i="39"/>
  <c r="G40" i="5" s="1"/>
  <c r="I13" i="59"/>
  <c r="I16" i="59" s="1"/>
  <c r="J64" i="5" s="1"/>
  <c r="H16" i="59"/>
  <c r="I64" i="5" s="1"/>
  <c r="K64" i="5" s="1"/>
  <c r="H14" i="94"/>
  <c r="H16" i="94" s="1"/>
  <c r="I14" i="34"/>
  <c r="H16" i="34"/>
  <c r="I36" i="5" s="1"/>
  <c r="F13" i="5"/>
  <c r="F80" i="5" s="1"/>
  <c r="F85" i="5" s="1"/>
  <c r="E18" i="12"/>
  <c r="F63" i="5"/>
  <c r="E18" i="66"/>
  <c r="I16" i="100"/>
  <c r="I13" i="101"/>
  <c r="H9" i="62"/>
  <c r="H9" i="88" s="1"/>
  <c r="G16" i="62"/>
  <c r="H59" i="5" s="1"/>
  <c r="I12" i="63"/>
  <c r="I16" i="63" s="1"/>
  <c r="J60" i="5" s="1"/>
  <c r="H16" i="63"/>
  <c r="I60" i="5" s="1"/>
  <c r="G9" i="88"/>
  <c r="K68" i="5"/>
  <c r="E18" i="71"/>
  <c r="F69" i="5"/>
  <c r="F23" i="5"/>
  <c r="E18" i="24"/>
  <c r="F11" i="4"/>
  <c r="K16" i="5" l="1"/>
  <c r="J78" i="5"/>
  <c r="K78" i="5" s="1"/>
  <c r="H9" i="39"/>
  <c r="G16" i="39"/>
  <c r="H40" i="5" s="1"/>
  <c r="H9" i="80"/>
  <c r="G16" i="80"/>
  <c r="G9" i="101"/>
  <c r="G16" i="101" s="1"/>
  <c r="H10" i="71"/>
  <c r="G16" i="71"/>
  <c r="H69" i="5" s="1"/>
  <c r="G10" i="87"/>
  <c r="G16" i="87" s="1"/>
  <c r="I14" i="90"/>
  <c r="I16" i="90" s="1"/>
  <c r="I10" i="17"/>
  <c r="I16" i="17" s="1"/>
  <c r="J16" i="5" s="1"/>
  <c r="H16" i="17"/>
  <c r="I16" i="5" s="1"/>
  <c r="H10" i="49"/>
  <c r="G10" i="85"/>
  <c r="F17" i="4"/>
  <c r="F25" i="4" s="1"/>
  <c r="K28" i="5"/>
  <c r="K8" i="5"/>
  <c r="H16" i="62"/>
  <c r="I59" i="5" s="1"/>
  <c r="I9" i="62"/>
  <c r="I16" i="62" s="1"/>
  <c r="J59" i="5" s="1"/>
  <c r="H9" i="97"/>
  <c r="G16" i="97"/>
  <c r="H51" i="5" s="1"/>
  <c r="H10" i="61"/>
  <c r="G10" i="88"/>
  <c r="G16" i="61"/>
  <c r="H58" i="5" s="1"/>
  <c r="I16" i="13"/>
  <c r="J14" i="5" s="1"/>
  <c r="B17" i="4"/>
  <c r="H9" i="32"/>
  <c r="G16" i="32"/>
  <c r="H34" i="5" s="1"/>
  <c r="I10" i="89"/>
  <c r="I16" i="89" s="1"/>
  <c r="I16" i="21"/>
  <c r="J20" i="5" s="1"/>
  <c r="K20" i="5" s="1"/>
  <c r="H9" i="98"/>
  <c r="H24" i="5"/>
  <c r="G16" i="98"/>
  <c r="G9" i="86"/>
  <c r="G17" i="86" s="1"/>
  <c r="G15" i="86"/>
  <c r="H14" i="24"/>
  <c r="G16" i="24"/>
  <c r="H23" i="5" s="1"/>
  <c r="G15" i="4"/>
  <c r="H9" i="12"/>
  <c r="G16" i="12"/>
  <c r="H13" i="5" s="1"/>
  <c r="G9" i="4"/>
  <c r="I10" i="91"/>
  <c r="I16" i="91" s="1"/>
  <c r="I16" i="52"/>
  <c r="J49" i="5" s="1"/>
  <c r="K49" i="5" s="1"/>
  <c r="G16" i="88"/>
  <c r="K60" i="5"/>
  <c r="I16" i="34"/>
  <c r="J36" i="5" s="1"/>
  <c r="K36" i="5" s="1"/>
  <c r="I14" i="94"/>
  <c r="I16" i="94" s="1"/>
  <c r="G79" i="5"/>
  <c r="F22" i="101"/>
  <c r="F23" i="101" s="1"/>
  <c r="F82" i="5"/>
  <c r="F83" i="5" s="1"/>
  <c r="E26" i="4"/>
  <c r="E29" i="4" s="1"/>
  <c r="G11" i="4"/>
  <c r="I11" i="49"/>
  <c r="H11" i="85"/>
  <c r="H12" i="4"/>
  <c r="H10" i="66"/>
  <c r="G16" i="66"/>
  <c r="H63" i="5" s="1"/>
  <c r="H71" i="30"/>
  <c r="K67" i="30"/>
  <c r="K71" i="30" s="1"/>
  <c r="F16" i="85"/>
  <c r="J10" i="4"/>
  <c r="I16" i="19"/>
  <c r="J18" i="5" s="1"/>
  <c r="K18" i="5" s="1"/>
  <c r="I9" i="92"/>
  <c r="I16" i="92" s="1"/>
  <c r="J62" i="5" s="1"/>
  <c r="H16" i="92"/>
  <c r="I62" i="5" s="1"/>
  <c r="K14" i="5"/>
  <c r="I9" i="67"/>
  <c r="I16" i="67" s="1"/>
  <c r="J65" i="5" s="1"/>
  <c r="H16" i="67"/>
  <c r="I65" i="5" s="1"/>
  <c r="K65" i="5" s="1"/>
  <c r="G80" i="5"/>
  <c r="H9" i="49"/>
  <c r="G16" i="49"/>
  <c r="H46" i="5" s="1"/>
  <c r="G9" i="85"/>
  <c r="G16" i="85" s="1"/>
  <c r="I14" i="4"/>
  <c r="J14" i="4" s="1"/>
  <c r="I13" i="4"/>
  <c r="J13" i="4" s="1"/>
  <c r="H16" i="80" l="1"/>
  <c r="H9" i="101"/>
  <c r="H16" i="101" s="1"/>
  <c r="I9" i="80"/>
  <c r="H16" i="49"/>
  <c r="I46" i="5" s="1"/>
  <c r="H9" i="85"/>
  <c r="I9" i="49"/>
  <c r="I11" i="85"/>
  <c r="I12" i="4"/>
  <c r="J12" i="4" s="1"/>
  <c r="I14" i="24"/>
  <c r="H15" i="86"/>
  <c r="H15" i="4"/>
  <c r="H16" i="24"/>
  <c r="I23" i="5" s="1"/>
  <c r="H10" i="88"/>
  <c r="H16" i="88" s="1"/>
  <c r="I10" i="61"/>
  <c r="H16" i="61"/>
  <c r="I58" i="5" s="1"/>
  <c r="K59" i="5"/>
  <c r="G82" i="5"/>
  <c r="G83" i="5" s="1"/>
  <c r="F26" i="4"/>
  <c r="F29" i="4" s="1"/>
  <c r="H11" i="4"/>
  <c r="H10" i="87"/>
  <c r="H16" i="87" s="1"/>
  <c r="H16" i="71"/>
  <c r="I69" i="5" s="1"/>
  <c r="I10" i="71"/>
  <c r="B33" i="4"/>
  <c r="B35" i="4" s="1"/>
  <c r="B25" i="4"/>
  <c r="K62" i="5"/>
  <c r="I10" i="66"/>
  <c r="I16" i="66" s="1"/>
  <c r="J63" i="5" s="1"/>
  <c r="H16" i="66"/>
  <c r="I63" i="5" s="1"/>
  <c r="K63" i="5" s="1"/>
  <c r="G17" i="4"/>
  <c r="G25" i="4" s="1"/>
  <c r="I9" i="88"/>
  <c r="I9" i="98"/>
  <c r="I24" i="5"/>
  <c r="H16" i="98"/>
  <c r="H9" i="86"/>
  <c r="H17" i="86" s="1"/>
  <c r="I9" i="32"/>
  <c r="I16" i="32" s="1"/>
  <c r="J34" i="5" s="1"/>
  <c r="H16" i="32"/>
  <c r="I34" i="5" s="1"/>
  <c r="K34" i="5" s="1"/>
  <c r="H16" i="39"/>
  <c r="I40" i="5" s="1"/>
  <c r="I9" i="39"/>
  <c r="I16" i="39" s="1"/>
  <c r="J40" i="5" s="1"/>
  <c r="I9" i="12"/>
  <c r="H16" i="12"/>
  <c r="I13" i="5" s="1"/>
  <c r="H9" i="4"/>
  <c r="H16" i="97"/>
  <c r="I9" i="97"/>
  <c r="H10" i="85"/>
  <c r="I10" i="49"/>
  <c r="H79" i="5"/>
  <c r="H80" i="5" s="1"/>
  <c r="G22" i="101"/>
  <c r="G23" i="101" s="1"/>
  <c r="I10" i="85" l="1"/>
  <c r="I11" i="4"/>
  <c r="J11" i="4" s="1"/>
  <c r="I16" i="12"/>
  <c r="J13" i="5" s="1"/>
  <c r="I9" i="4"/>
  <c r="J24" i="5"/>
  <c r="K24" i="5" s="1"/>
  <c r="I16" i="98"/>
  <c r="I9" i="86"/>
  <c r="I10" i="87"/>
  <c r="I16" i="87" s="1"/>
  <c r="I16" i="71"/>
  <c r="J69" i="5" s="1"/>
  <c r="K69" i="5" s="1"/>
  <c r="I10" i="88"/>
  <c r="I16" i="61"/>
  <c r="J58" i="5" s="1"/>
  <c r="I16" i="80"/>
  <c r="I9" i="101"/>
  <c r="I16" i="101" s="1"/>
  <c r="I16" i="97"/>
  <c r="J51" i="5" s="1"/>
  <c r="J9" i="97"/>
  <c r="I16" i="88"/>
  <c r="I15" i="86"/>
  <c r="I16" i="24"/>
  <c r="J23" i="5" s="1"/>
  <c r="K23" i="5" s="1"/>
  <c r="I15" i="4"/>
  <c r="J15" i="4" s="1"/>
  <c r="I16" i="49"/>
  <c r="J46" i="5" s="1"/>
  <c r="K46" i="5" s="1"/>
  <c r="I9" i="85"/>
  <c r="K58" i="5"/>
  <c r="I51" i="5"/>
  <c r="K51" i="5" s="1"/>
  <c r="J16" i="97"/>
  <c r="H17" i="4"/>
  <c r="H25" i="4" s="1"/>
  <c r="K40" i="5"/>
  <c r="H82" i="5"/>
  <c r="H83" i="5" s="1"/>
  <c r="G26" i="4"/>
  <c r="G29" i="4" s="1"/>
  <c r="C82" i="5"/>
  <c r="C83" i="5" s="1"/>
  <c r="B26" i="4"/>
  <c r="H16" i="85"/>
  <c r="I79" i="5"/>
  <c r="H22" i="101"/>
  <c r="H23" i="101" s="1"/>
  <c r="J79" i="5" l="1"/>
  <c r="K79" i="5" s="1"/>
  <c r="I22" i="101"/>
  <c r="I23" i="101" s="1"/>
  <c r="I24" i="101" s="1"/>
  <c r="I17" i="4"/>
  <c r="I25" i="4" s="1"/>
  <c r="J9" i="4"/>
  <c r="J17" i="4" s="1"/>
  <c r="J25" i="4" s="1"/>
  <c r="K13" i="5"/>
  <c r="K80" i="5" s="1"/>
  <c r="J80" i="5"/>
  <c r="H26" i="4"/>
  <c r="H29" i="4" s="1"/>
  <c r="I82" i="5"/>
  <c r="I16" i="85"/>
  <c r="I17" i="86"/>
  <c r="I80" i="5"/>
  <c r="I83" i="5" l="1"/>
  <c r="K82" i="5"/>
  <c r="K83" i="5" s="1"/>
  <c r="J26" i="4"/>
  <c r="J29" i="4" s="1"/>
  <c r="I26" i="4"/>
  <c r="I29" i="4" s="1"/>
  <c r="J82" i="5"/>
  <c r="J8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F773C218-1672-459B-85C2-1720C500D8A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-62,070  FB A/P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00000000-0006-0000-3400-000001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Fd Bal A/P  = 
-329,169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5E2DCE94-B058-479C-B696-91C392FA0C75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+44,500 FB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C6" authorId="0" shapeId="0" xr:uid="{00000000-0006-0000-3A00-000001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(Created in FY18)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1" authorId="0" shapeId="0" xr:uid="{C2914FE8-BC20-4541-80B8-5D9CE286D9B7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-29,467  Cl 300  FB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4EBF70FF-CE58-4BB4-9625-D1858AA841EE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+291,124  FB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AD928A02-81EB-41CA-B0DA-FD0E105A0BDF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-27,600 FB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7ECFE056-CB7F-428A-BA43-2D8E6F563DD7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+1,095,819  FB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A82F5609-E095-48CE-B034-DAA420A3C488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+146,002 FB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2AF65157-81F3-4DCC-9D7C-6DEB037E5CCB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+167,035  FB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  <author>Andrew Comia</author>
  </authors>
  <commentList>
    <comment ref="B10" authorId="0" shapeId="0" xr:uid="{046556F8-1803-41E6-AC16-CD2A4E85E3CF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+62,892  FB</t>
        </r>
      </text>
    </comment>
    <comment ref="D10" authorId="1" shapeId="0" xr:uid="{93FC2DCE-483E-4AB1-8CCE-9E0166D8B61B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reduction in debt service $7M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  <author>Andrew Comia</author>
  </authors>
  <commentList>
    <comment ref="B12" authorId="0" shapeId="0" xr:uid="{8058373E-1925-4F68-BE30-21A48DD9A286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-37,500 FB</t>
        </r>
      </text>
    </comment>
    <comment ref="B14" authorId="1" shapeId="0" xr:uid="{3D1F1AAB-E5DA-43DC-BA48-07A69687E766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+$19,934,000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1AFBC44B-108D-449C-A03F-73CCD7CEE9EA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-40,166  FB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  <author>Andrew Comia</author>
  </authors>
  <commentList>
    <comment ref="N9" authorId="0" shapeId="0" xr:uid="{B15EF18B-3A80-4540-A115-8CC535A66FC6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-111,034</t>
        </r>
      </text>
    </comment>
    <comment ref="AG9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-97,193.28
</t>
        </r>
      </text>
    </comment>
    <comment ref="N10" authorId="0" shapeId="0" xr:uid="{0933A36E-8B4B-472A-B91D-B5AFCC3BDCCB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+427,541  FB</t>
        </r>
      </text>
    </comment>
    <comment ref="AG10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187 
188  
Net = 816,864.58 
151 TO REG 32 Sheet
</t>
        </r>
      </text>
    </comment>
    <comment ref="N14" authorId="0" shapeId="0" xr:uid="{2F9C2300-891F-4E08-B5CC-0653ABE320AB}">
      <text>
        <r>
          <rPr>
            <b/>
            <sz val="9"/>
            <color rgb="FF000000"/>
            <rFont val="Tahoma"/>
            <family val="2"/>
          </rPr>
          <t>ROBERT.FITZMARTIN: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-7,478,136  FB</t>
        </r>
      </text>
    </comment>
    <comment ref="Q14" authorId="1" shapeId="0" xr:uid="{D77EDCD1-6678-4A51-B43C-6AB4E46BF1C3}">
      <text>
        <r>
          <rPr>
            <b/>
            <sz val="9"/>
            <color rgb="FF000000"/>
            <rFont val="Tahoma"/>
            <family val="2"/>
          </rPr>
          <t>Andrew Comia: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+639 rounding</t>
        </r>
      </text>
    </comment>
    <comment ref="AG14" authorId="0" shapeId="0" xr:uid="{00000000-0006-0000-1500-000006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+3,772,220
GL407 - -600,000
</t>
        </r>
      </text>
    </comment>
    <comment ref="N15" authorId="0" shapeId="0" xr:uid="{05F5E2AA-62AB-4369-BD3C-87B0C03638FE}">
      <text>
        <r>
          <rPr>
            <b/>
            <sz val="9"/>
            <color rgb="FF000000"/>
            <rFont val="Tahoma"/>
            <family val="2"/>
          </rPr>
          <t>ROBERT.FITZMARTIN: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-370,340 FB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D9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Includes $500k for potential parity raises rolled over from 19-23 Plan- currently reserved in FAMIS</t>
        </r>
      </text>
    </comment>
    <comment ref="B10" authorId="0" shapeId="0" xr:uid="{C8EEC773-5E11-4ACE-AB82-15C029274469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+39,843 FB  +1 Round 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4912507E-DC88-4221-A447-48DB26E4E0AB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+33,638  FB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+83,695  FB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F5BEAC79-673E-43EA-BDD9-54EB24CF25F3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+328,681  FB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E210EFC8-F936-4359-A10B-BF4AE587D91A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-146,471  FB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B10" authorId="0" shapeId="0" xr:uid="{EEF2CB7A-F62A-4830-8659-4043A46CD17B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-1,750  FB GL407
MOVED TO CL100</t>
        </r>
      </text>
    </comment>
  </commentList>
</comments>
</file>

<file path=xl/sharedStrings.xml><?xml version="1.0" encoding="utf-8"?>
<sst xmlns="http://schemas.openxmlformats.org/spreadsheetml/2006/main" count="4385" uniqueCount="1018">
  <si>
    <t>City of Philadelphia</t>
  </si>
  <si>
    <t>General Fund</t>
  </si>
  <si>
    <t>Master Schedule</t>
  </si>
  <si>
    <t>Expenditure Class</t>
  </si>
  <si>
    <t>Class 100 - Wages</t>
  </si>
  <si>
    <t>Class 200 - Contracts / Leases</t>
  </si>
  <si>
    <t>Class 300/400 - Supplies, Equipment</t>
  </si>
  <si>
    <t>Class 500 - Indemnities / Contributions</t>
  </si>
  <si>
    <t>Class 700 - Debt Service</t>
  </si>
  <si>
    <t>Class 800 - Payments to Other Funds</t>
  </si>
  <si>
    <t>Class 900 - Advances / Misc. Payments</t>
  </si>
  <si>
    <t>Total</t>
  </si>
  <si>
    <t>Adjustments:</t>
  </si>
  <si>
    <t>Class</t>
  </si>
  <si>
    <t>Department:</t>
  </si>
  <si>
    <t>Summary by Department</t>
  </si>
  <si>
    <t>Department Name</t>
  </si>
  <si>
    <t>#</t>
  </si>
  <si>
    <t>Atwater Kent Museum</t>
  </si>
  <si>
    <t>Auditing</t>
  </si>
  <si>
    <t>Board of Ethics</t>
  </si>
  <si>
    <t>Board of Revision of Taxes</t>
  </si>
  <si>
    <t>City Commissioners</t>
  </si>
  <si>
    <t>City Council</t>
  </si>
  <si>
    <t>01</t>
  </si>
  <si>
    <t>City Representative</t>
  </si>
  <si>
    <t>City Treasurer</t>
  </si>
  <si>
    <t>Civil Service Commission</t>
  </si>
  <si>
    <t>55L</t>
  </si>
  <si>
    <t>Commerce</t>
  </si>
  <si>
    <t>42CC</t>
  </si>
  <si>
    <t>Commerce - Convention Center Subsidy</t>
  </si>
  <si>
    <t>42ES</t>
  </si>
  <si>
    <t>Commerce - Economic Stimulus</t>
  </si>
  <si>
    <t>District Attorney</t>
  </si>
  <si>
    <t>Finance</t>
  </si>
  <si>
    <t>35CC</t>
  </si>
  <si>
    <t>Finance - Community College Subsidy</t>
  </si>
  <si>
    <t>35HA</t>
  </si>
  <si>
    <t>Finance - Hero Awards</t>
  </si>
  <si>
    <t>35SD</t>
  </si>
  <si>
    <t>Finance - School District Contribution</t>
  </si>
  <si>
    <t>35R</t>
  </si>
  <si>
    <t>Finance - Refunds</t>
  </si>
  <si>
    <t>35 IN</t>
  </si>
  <si>
    <t>Finance - Indemnities</t>
  </si>
  <si>
    <t>35WF</t>
  </si>
  <si>
    <t>Finance - Witness Fees</t>
  </si>
  <si>
    <t>Fire</t>
  </si>
  <si>
    <t>First Judicial District</t>
  </si>
  <si>
    <t>Fleet Management</t>
  </si>
  <si>
    <t>Free Library</t>
  </si>
  <si>
    <t>Human Relations Commission</t>
  </si>
  <si>
    <t>Human Services</t>
  </si>
  <si>
    <t>03</t>
  </si>
  <si>
    <t>Law</t>
  </si>
  <si>
    <t>Managing Director</t>
  </si>
  <si>
    <t>10LS</t>
  </si>
  <si>
    <t>Managing Director - Legal Services</t>
  </si>
  <si>
    <t>05</t>
  </si>
  <si>
    <t>Mayor</t>
  </si>
  <si>
    <t>05S</t>
  </si>
  <si>
    <t>Mayor - Scholarships</t>
  </si>
  <si>
    <t>08</t>
  </si>
  <si>
    <t>Mural Arts Program</t>
  </si>
  <si>
    <t>Office of Arts and Culture and the Creative Economy</t>
  </si>
  <si>
    <t>Office of Human Resources</t>
  </si>
  <si>
    <t>04</t>
  </si>
  <si>
    <t>Office of Innovation and Technology</t>
  </si>
  <si>
    <t>04 - 911</t>
  </si>
  <si>
    <t>Office of Innovation and Technology - 911</t>
  </si>
  <si>
    <t>Office of Property Assessment</t>
  </si>
  <si>
    <t>Parks and Recreation</t>
  </si>
  <si>
    <t>Police</t>
  </si>
  <si>
    <t>Prisons</t>
  </si>
  <si>
    <t>Procurement</t>
  </si>
  <si>
    <t>Public Health</t>
  </si>
  <si>
    <t>Public Property</t>
  </si>
  <si>
    <t>20SS</t>
  </si>
  <si>
    <t>Public Property - SEPTA Subsidy</t>
  </si>
  <si>
    <t>20SR</t>
  </si>
  <si>
    <t>Public Property - Space Rentals</t>
  </si>
  <si>
    <t>20U</t>
  </si>
  <si>
    <t>Public Property - Utilities</t>
  </si>
  <si>
    <t>Records</t>
  </si>
  <si>
    <t>Register of Wills</t>
  </si>
  <si>
    <t>Revenue</t>
  </si>
  <si>
    <t>Sheriff</t>
  </si>
  <si>
    <t>Sinking Fund Commission (Debt Service)</t>
  </si>
  <si>
    <t>FY20</t>
  </si>
  <si>
    <t>35EB</t>
  </si>
  <si>
    <t>35IN</t>
  </si>
  <si>
    <t>25V</t>
  </si>
  <si>
    <t>04-911</t>
  </si>
  <si>
    <t>Finance - Employee Benefits</t>
  </si>
  <si>
    <t>Fleet Management - Vehicle Lease/Purchases</t>
  </si>
  <si>
    <t>Mayor's Office of Community Empowerment and Opportunity</t>
  </si>
  <si>
    <t>Office of Behavioral Health and Intellectual disAbilities</t>
  </si>
  <si>
    <t>Office of Inspector General</t>
  </si>
  <si>
    <t>Unemployment Comp.</t>
  </si>
  <si>
    <t>Employee Disability</t>
  </si>
  <si>
    <t>Pension</t>
  </si>
  <si>
    <t>Pension Obligation Bonds</t>
  </si>
  <si>
    <t>FICA</t>
  </si>
  <si>
    <t>Health / Medical</t>
  </si>
  <si>
    <t>Group Legal</t>
  </si>
  <si>
    <t>Tool Allowance</t>
  </si>
  <si>
    <t>Flex Cash Payments</t>
  </si>
  <si>
    <t>Class 100 - Benefits</t>
  </si>
  <si>
    <t>Class 500 - Indemnities / Contributions*</t>
  </si>
  <si>
    <t>ART MUSEUM SUBSIDY</t>
  </si>
  <si>
    <t>ATWATER KENT MUSEUM</t>
  </si>
  <si>
    <t>SINKING FUND COMMISSION (DEBT SERVICE)</t>
  </si>
  <si>
    <t>SHERIFF</t>
  </si>
  <si>
    <t>REVENUE</t>
  </si>
  <si>
    <t>REGISTER OF WILLS</t>
  </si>
  <si>
    <t>RECORDS</t>
  </si>
  <si>
    <t>PUBLIC PROPERTY - UTILITIES</t>
  </si>
  <si>
    <t>PUBLIC PROPERTY - SPACE RENTALS</t>
  </si>
  <si>
    <t>PUBLIC PROPERTY - SEPTA SUBSIDY</t>
  </si>
  <si>
    <t>PUBLIC PROPERTY</t>
  </si>
  <si>
    <t>PUBLIC HEALTH</t>
  </si>
  <si>
    <t>PROCUREMENT</t>
  </si>
  <si>
    <t>PRISONS</t>
  </si>
  <si>
    <t>POLICE</t>
  </si>
  <si>
    <t>PARKS AND RECREATION</t>
  </si>
  <si>
    <t>OFFICE OF PROPERTY ASSESSMENT</t>
  </si>
  <si>
    <t>OFFICE OF THE INSPECTOR GENERAL</t>
  </si>
  <si>
    <t>OFFICE OF HUMAN RESOURCES</t>
  </si>
  <si>
    <t>OFFICE OF BEHAVIORAL HEALTH AND INTELLECTUAL DISABILITY</t>
  </si>
  <si>
    <t>OFFICE OF ARTS AND CULTURE AND THE CREATIVE ECONOMY</t>
  </si>
  <si>
    <t>MURAL ARTS PROGRAM</t>
  </si>
  <si>
    <t>MAYOR - SCHOLARSHIPS</t>
  </si>
  <si>
    <t>MAYOR</t>
  </si>
  <si>
    <t>MANAGING DIRECTOR</t>
  </si>
  <si>
    <t>L+I - BOARD OF L+I REVIEW</t>
  </si>
  <si>
    <t>L+I - BOARD OF BUILDING STANDARDS</t>
  </si>
  <si>
    <t>LICENSES AND INSPECTIONS</t>
  </si>
  <si>
    <t>LAW</t>
  </si>
  <si>
    <t>HUMAN SERVICES</t>
  </si>
  <si>
    <t>HUMAN RELATIONS COMMISSION</t>
  </si>
  <si>
    <t>FREE LIBRARY</t>
  </si>
  <si>
    <t>FLEET MANAGEMENT - VEHICLE LEASE/PURCHASE</t>
  </si>
  <si>
    <t>FLEET MANAGEMENT</t>
  </si>
  <si>
    <t>FIRST JUDICIAL DISTRICT</t>
  </si>
  <si>
    <t>FIRE</t>
  </si>
  <si>
    <t>FINANCE - WITNESS FEES</t>
  </si>
  <si>
    <t>FINANCE - SCHOOL DISTRICT CONTRIBUTION</t>
  </si>
  <si>
    <t>FINANCE - REFUNDS</t>
  </si>
  <si>
    <t>FINANCE - INDEMNITIES</t>
  </si>
  <si>
    <t>FINANCE - HERO AWARDS</t>
  </si>
  <si>
    <t>FINANCE - EMPLOYEE BENEFITS</t>
  </si>
  <si>
    <t>FINANCE - COMMUNITY COLLEGE SUBSIDY</t>
  </si>
  <si>
    <t>FINANCE</t>
  </si>
  <si>
    <t>DISTRICT ATTORNEY</t>
  </si>
  <si>
    <t>COMMERCE - ECONOMIC STIMULUS</t>
  </si>
  <si>
    <t>COMMERCE - CONVENTION CENTER SUBSIDY</t>
  </si>
  <si>
    <t>COMMERCE</t>
  </si>
  <si>
    <t>CIVIL SERVICE COMMISSION - PROVISIONS FOR FUTURE LABOR AGREEMENTS</t>
  </si>
  <si>
    <t>CIVIL SERVICE COMMISSION</t>
  </si>
  <si>
    <t>CITY TREASURER</t>
  </si>
  <si>
    <t>CITY REPRESENTATIVE</t>
  </si>
  <si>
    <t>CITY COUNCIL</t>
  </si>
  <si>
    <t>CITY COMMISSIONERS</t>
  </si>
  <si>
    <t>BOARD OF REVISION OF TAXES</t>
  </si>
  <si>
    <t>BOARD OF ETHICS</t>
  </si>
  <si>
    <t>AUDITING</t>
  </si>
  <si>
    <t>300/400</t>
  </si>
  <si>
    <t>Exog. Var-800Cl</t>
  </si>
  <si>
    <t>OFFICE OF INNOVATION AND TECHNOLOGY (Base)</t>
  </si>
  <si>
    <t>EV</t>
  </si>
  <si>
    <t>EV-Cl 205</t>
  </si>
  <si>
    <t>DEPT NAME</t>
  </si>
  <si>
    <t>DP #</t>
  </si>
  <si>
    <t>10 - ALL</t>
  </si>
  <si>
    <t>DEFENDER ASSOCIATION</t>
  </si>
  <si>
    <t>COMMUNITY LEGAL SERVICES</t>
  </si>
  <si>
    <t>By Contract:</t>
  </si>
  <si>
    <t>SUPPORT CENTER FOR CHILD ADVOCATES</t>
  </si>
  <si>
    <t>FINANCE - ALL</t>
  </si>
  <si>
    <t>35 - ALL</t>
  </si>
  <si>
    <t>20 - ALL</t>
  </si>
  <si>
    <t>PUBLIC PROPERTY -ALL</t>
  </si>
  <si>
    <t>04 - ALL</t>
  </si>
  <si>
    <t>42 - ALL</t>
  </si>
  <si>
    <t>COMMERCE - ALL</t>
  </si>
  <si>
    <t>55 - ALL</t>
  </si>
  <si>
    <t>CIVIL SERVICE COMMISSION - ALL</t>
  </si>
  <si>
    <t>MANAGING DIRECTOR - ALL</t>
  </si>
  <si>
    <t>OFFICE OF INNOVATION &amp; TECHNOLOGY - ALL</t>
  </si>
  <si>
    <t>MAYOR - ALL</t>
  </si>
  <si>
    <t>TEMPLATE</t>
  </si>
  <si>
    <t>ALL DEPARTMENTS</t>
  </si>
  <si>
    <t>Exog. Var.</t>
  </si>
  <si>
    <t>Civil Service Comm - Provision for Future Labor Obligations</t>
  </si>
  <si>
    <t>DIFFERENCE</t>
  </si>
  <si>
    <t>Exogenous Variable</t>
  </si>
  <si>
    <t>Exogenous Variables</t>
  </si>
  <si>
    <t>Difference</t>
  </si>
  <si>
    <t>OFFICE OF SUSTAINABILITY</t>
  </si>
  <si>
    <t>Office of Sustainability</t>
  </si>
  <si>
    <t>35BS</t>
  </si>
  <si>
    <t>FINANCE - BUDGET STABILIZATION RESERVE</t>
  </si>
  <si>
    <t>Group Life</t>
  </si>
  <si>
    <t>FLEET - ALL</t>
  </si>
  <si>
    <t>FY21 Estimate</t>
  </si>
  <si>
    <t>FY21</t>
  </si>
  <si>
    <t>Reconciliation Adjustments Sheet</t>
  </si>
  <si>
    <t>Mayor - Office of Chief Administrative Officer</t>
  </si>
  <si>
    <t>EXOG Var.</t>
  </si>
  <si>
    <t>Pension Relief - Sales Tax (0191)</t>
  </si>
  <si>
    <t>Unemployment Comp. (0196)</t>
  </si>
  <si>
    <t>Pension (0191)</t>
  </si>
  <si>
    <t>Pension Obligation Bonds (0190)</t>
  </si>
  <si>
    <t>FICA (0189,0192)</t>
  </si>
  <si>
    <t>Health / Medical (0193)</t>
  </si>
  <si>
    <t>Life (0194)</t>
  </si>
  <si>
    <t>Group Legal (0195)</t>
  </si>
  <si>
    <t>Tool Allowance (0197)</t>
  </si>
  <si>
    <t>Flex Cash Payments (0186)</t>
  </si>
  <si>
    <t>Pension - Plan 10 (0198)</t>
  </si>
  <si>
    <t>L&amp;I: Board of Building Standards</t>
  </si>
  <si>
    <t>L&amp;I: Board of L+I Review</t>
  </si>
  <si>
    <t xml:space="preserve">LABOR </t>
  </si>
  <si>
    <t>FY22 Estimate</t>
  </si>
  <si>
    <t>FY22</t>
  </si>
  <si>
    <t xml:space="preserve"> FY 17 Caucus Changes:</t>
  </si>
  <si>
    <t xml:space="preserve">OFFICE OF HOMELESS SERVICES </t>
  </si>
  <si>
    <t>Zero</t>
  </si>
  <si>
    <t xml:space="preserve"> </t>
  </si>
  <si>
    <t>12</t>
  </si>
  <si>
    <t>Streets</t>
  </si>
  <si>
    <t>EXOG.- Disposal -Exog. Var -(cl 0205) -Per letter 12/9/15  (less $1m Red)</t>
  </si>
  <si>
    <t>Program Based Budget Status:  FY 2018</t>
  </si>
  <si>
    <t>FY 18 Justification Requests:</t>
  </si>
  <si>
    <t>1. Increase Foster Care Admin Rate</t>
  </si>
  <si>
    <t>Office of Homeless Services</t>
  </si>
  <si>
    <t>1. Additional costs required for Presidential election</t>
  </si>
  <si>
    <t>Licenses &amp; Inspections</t>
  </si>
  <si>
    <t>FY 18 Caucus Changes/ Target Adjs After Proposed:</t>
  </si>
  <si>
    <t>1. Increase Economic Stimulus Fund - FY 20 ONLY</t>
  </si>
  <si>
    <t>FY 2019</t>
  </si>
  <si>
    <t>FY 2020</t>
  </si>
  <si>
    <t>FY 2021</t>
  </si>
  <si>
    <t>FY 2022</t>
  </si>
  <si>
    <t>Budget</t>
  </si>
  <si>
    <t>Estimate</t>
  </si>
  <si>
    <t>Planning &amp; Development</t>
  </si>
  <si>
    <t>FY23 Estimate</t>
  </si>
  <si>
    <t>FY23</t>
  </si>
  <si>
    <t>FY 19-23 Plan Adjustments:</t>
  </si>
  <si>
    <t>FY 18-22 Plan Adjustments:</t>
  </si>
  <si>
    <t>3. Pre-K Adjustments</t>
  </si>
  <si>
    <t>4. Police MDC's and Radios (Beg in FY18)</t>
  </si>
  <si>
    <t>2.Reduce Appropriations for Police Reimb.'s (Beg in FY 18)</t>
  </si>
  <si>
    <t>FY 18 Justification Requests.</t>
  </si>
  <si>
    <t>1. Commercial reassessment cons (500K-FY18-20, 250K- FY21+)</t>
  </si>
  <si>
    <t>2. Lead Poisoning prevention (Beg in FY18)</t>
  </si>
  <si>
    <t>3. Tobacco Youth/Retail Compliance (Beg in FY18)</t>
  </si>
  <si>
    <t>4. Patient Centered Medical Homes (Beg in FY18)</t>
  </si>
  <si>
    <t>FY 2023</t>
  </si>
  <si>
    <t>4. Contributions-Reduced Army-Navy Game commitment(FY19-23)</t>
  </si>
  <si>
    <t>Total Pension (0190+0191+0198)</t>
  </si>
  <si>
    <t>Exog Var</t>
  </si>
  <si>
    <t>Finance-Reg #32</t>
  </si>
  <si>
    <t>FINANCE-DISABILITY-REG #32 PAYROLL</t>
  </si>
  <si>
    <t>OFFICE OF THE CHIEF ADMINISTRATIVE OFFICER</t>
  </si>
  <si>
    <t>Program Based Budget Status:  FY 2019</t>
  </si>
  <si>
    <t>Labor</t>
  </si>
  <si>
    <t>Interfund Service Charges:</t>
  </si>
  <si>
    <t>To Water Fund</t>
  </si>
  <si>
    <t>To Capital Fund</t>
  </si>
  <si>
    <t>To Aviation Fund</t>
  </si>
  <si>
    <t>To Pension Fund</t>
  </si>
  <si>
    <t xml:space="preserve">800 CL-EV </t>
  </si>
  <si>
    <t>Employee Disability (0187,0188)</t>
  </si>
  <si>
    <t>12 - ALL</t>
  </si>
  <si>
    <t>STREETS (Excl. Disposal)</t>
  </si>
  <si>
    <t>STREETS - ALL</t>
  </si>
  <si>
    <t>Streets-Disposal</t>
  </si>
  <si>
    <t>12D</t>
  </si>
  <si>
    <t>3. Contributions-PCVB/Army-Navy Game-1.25M(partial Rev offset)</t>
  </si>
  <si>
    <t>FY 19 Justification Requests/Cuts:</t>
  </si>
  <si>
    <t>4. Additional Firefighters (30 pos) (Beg in FY18)</t>
  </si>
  <si>
    <t>5. Additional Paramedics (30 pos) (Beg in FY18)</t>
  </si>
  <si>
    <t>1. Increase Contribution</t>
  </si>
  <si>
    <t>3. Pharmacy Benefit Audit (every 5 yrs)</t>
  </si>
  <si>
    <t>6. OIT operating support for capital projects</t>
  </si>
  <si>
    <t>11. OIT SaaS costs from capital</t>
  </si>
  <si>
    <t>5. McArthur Grant Match (3 pos-FY19, 2 pos-FY20)</t>
  </si>
  <si>
    <t>4. Kronos OnePhilly upgrade</t>
  </si>
  <si>
    <t>1. Tobacco related death prevention campaign</t>
  </si>
  <si>
    <t>4. Health facility moves delay (FY18 to FY19-20)</t>
  </si>
  <si>
    <t>2. Health Center Cost growth (1 pos)</t>
  </si>
  <si>
    <t>10. Paving Realignment</t>
  </si>
  <si>
    <t>2. Increase Contribution - Wage Tax</t>
  </si>
  <si>
    <t>3. Increase Contribution - RTT</t>
  </si>
  <si>
    <t xml:space="preserve">3. Increase Contribution - RTT-Homestead Offset </t>
  </si>
  <si>
    <t>Loss from Wage Tax Reductions (Original)</t>
  </si>
  <si>
    <t>FY 19 Caucus Changes:</t>
  </si>
  <si>
    <t>FY 19 Justification Requests/Cuts/Adj's:</t>
  </si>
  <si>
    <t>1. Internal target budget adjustments (No Ord)</t>
  </si>
  <si>
    <t>24-add 80k</t>
  </si>
  <si>
    <t>1. Transfer Labor Negotiating Counsel fees-Law to Labor</t>
  </si>
  <si>
    <t>Class 900-Reserve for Possible Grant Reductions</t>
  </si>
  <si>
    <t>NET SCHOOL DISTRICT ADJUSTMENTS FROM PREV PLAN</t>
  </si>
  <si>
    <t>FY24 Estimate</t>
  </si>
  <si>
    <t>TOTAL Estimate FY2019-2024</t>
  </si>
  <si>
    <t>FY24</t>
  </si>
  <si>
    <t>FY 20-24 Plan Adjustments:</t>
  </si>
  <si>
    <t>Add 150k in FY24 and 25</t>
  </si>
  <si>
    <t>4. HR Service Improvement Project (+1Pos)(FY22 Phase out)</t>
  </si>
  <si>
    <t xml:space="preserve">1. Housing First, Respite, and Tiny Houses    (FY19-20, Reduced in FY21 </t>
  </si>
  <si>
    <t>5. Revenue eGov Upgrades and Support (FY19 $440k)</t>
  </si>
  <si>
    <t xml:space="preserve">FY 20-24 FYP </t>
  </si>
  <si>
    <t>TOTAL</t>
  </si>
  <si>
    <t>1. Exempt Employee Pay Raise (3% - 1/1/18)</t>
  </si>
  <si>
    <t>2. DC#47/NR Raises (3%-FY18,2.5%-FY19,3%-FY20)</t>
  </si>
  <si>
    <t>FY 2024</t>
  </si>
  <si>
    <t>TOTAL EST    FY19-24</t>
  </si>
  <si>
    <t xml:space="preserve">Art Museum </t>
  </si>
  <si>
    <t>35GR</t>
  </si>
  <si>
    <t>Prelim Actual</t>
  </si>
  <si>
    <t>(1 &amp; 2= -Grants Fund Amounts @ 25.9%)</t>
  </si>
  <si>
    <t>Add 31k in FY24 and 25</t>
  </si>
  <si>
    <t>Incr(Decr)</t>
  </si>
  <si>
    <t>Program Based Budget Status:  FY 2020</t>
  </si>
  <si>
    <t>3. Pre-K expansion</t>
  </si>
  <si>
    <t>2. Transfer Labor Negotiating Counsel fees-Law to Labor</t>
  </si>
  <si>
    <t>2. Internal realignment</t>
  </si>
  <si>
    <t>1. Housing initiative to alleviate homeless encampments (3yrs-FY19-21- ends FY22)</t>
  </si>
  <si>
    <t>2. Tri-Plex Contract wage increase (Adj to FY19)</t>
  </si>
  <si>
    <t>Finance-Budget Stabilization</t>
  </si>
  <si>
    <t>2. 5 New Peak time Medic Units (12 pos ) (Beg in FY18)</t>
  </si>
  <si>
    <t>SEPTA Subsidy</t>
  </si>
  <si>
    <t>Per Water Dept email 12/7/18</t>
  </si>
  <si>
    <t>Change from Prelim(Lower)</t>
  </si>
  <si>
    <t>STREETS - Disposal  (Class 0205 in Divisions 01 and 02)</t>
  </si>
  <si>
    <t>PROPOSED-CURR PLAN -(from Above)</t>
  </si>
  <si>
    <t>Plan 10</t>
  </si>
  <si>
    <t>Sales Tax</t>
  </si>
  <si>
    <t>Per email from CTO  dated 12/13/18</t>
  </si>
  <si>
    <t>PRELIMINARY  FYP</t>
  </si>
  <si>
    <t>Increase (Decrease)</t>
  </si>
  <si>
    <t>Previous Plan</t>
  </si>
  <si>
    <r>
      <t xml:space="preserve">OFFICE OF COMMUNITY EMPOWERMENT &amp; OPPORTUNITY </t>
    </r>
    <r>
      <rPr>
        <b/>
        <i/>
        <sz val="12"/>
        <color theme="1"/>
        <rFont val="Calibri"/>
        <family val="2"/>
        <scheme val="minor"/>
      </rPr>
      <t>(formerly MOCS 08)</t>
    </r>
  </si>
  <si>
    <r>
      <rPr>
        <b/>
        <u/>
        <sz val="12"/>
        <color theme="1"/>
        <rFont val="Calibri"/>
        <family val="2"/>
        <scheme val="minor"/>
      </rPr>
      <t xml:space="preserve">PLANNING &amp; DEVELOPMENT </t>
    </r>
    <r>
      <rPr>
        <b/>
        <sz val="12"/>
        <color theme="1"/>
        <rFont val="Calibri"/>
        <family val="2"/>
        <scheme val="minor"/>
      </rPr>
      <t xml:space="preserve"> </t>
    </r>
  </si>
  <si>
    <t>(OHCD(06), L&amp;I-ZBA(30), Hist. Comm.(32), City Planning Comm.(51), Mayor-P&amp;D(62) (Created in FY18)</t>
  </si>
  <si>
    <t>4. Internal Realignment</t>
  </si>
  <si>
    <t>-100k in 25</t>
  </si>
  <si>
    <t>3. Internal Transfer - Radios (2nd Ord- FY 19 &amp; 20 Only)</t>
  </si>
  <si>
    <t>2. Increase to support operations</t>
  </si>
  <si>
    <t>2. Increase to support operations (FY 19 Only)</t>
  </si>
  <si>
    <t>3. Regional ESI net</t>
  </si>
  <si>
    <t>12. IT costs for 400 N Broad (FY19-$1,638,127)</t>
  </si>
  <si>
    <t xml:space="preserve">6. 400 N. Broad St - Revised Plan </t>
  </si>
  <si>
    <t>16. SEPTA Urban Panel funds (Rev Offset)</t>
  </si>
  <si>
    <t>6. SEPTA Urban Panel funds (Rev Offset)</t>
  </si>
  <si>
    <t>FY 20 Justification Requests/Cuts:</t>
  </si>
  <si>
    <t>4. Golf Course Management Contract (2nd Ord- FY 19)Add FY20)</t>
  </si>
  <si>
    <t>1. Cut-On-Call Engineering services</t>
  </si>
  <si>
    <t>3. Cut- Reduce Zero Waste Advertising (FY20-21)</t>
  </si>
  <si>
    <t>1. Land bank Increase (FY 20 Only)</t>
  </si>
  <si>
    <t>1. Opioid Crisis Initiative (+1 pos)</t>
  </si>
  <si>
    <t>2. Gun Violence Reduction Initiative (+7 pos)</t>
  </si>
  <si>
    <t>3. Gun Violence Reduction Init-Nbhd Grants</t>
  </si>
  <si>
    <t>4. Gun Violence Reduction Init-Nbhd Res Ctr</t>
  </si>
  <si>
    <t>1. Living Wage Increases</t>
  </si>
  <si>
    <t>3. New Mechanics (4 pos-FY20, +2 pos-FY21)</t>
  </si>
  <si>
    <t>1. Increased support</t>
  </si>
  <si>
    <t>2. Facilities Study</t>
  </si>
  <si>
    <t>3. Living Wage - Increases for contractors</t>
  </si>
  <si>
    <t>3. New Tax Analyst and support (+1 pos)</t>
  </si>
  <si>
    <t>3. Increase Uniform level by 50 officers</t>
  </si>
  <si>
    <t>2. FFPSA Infrastructure</t>
  </si>
  <si>
    <t>1. Mayor's Internship Program costs</t>
  </si>
  <si>
    <t>2. Leading for Change fellowships</t>
  </si>
  <si>
    <t>3. Discover Benefits &amp; Prompt Pay Projects</t>
  </si>
  <si>
    <t>3. Contib to Atwater Kent</t>
  </si>
  <si>
    <t>3. Atwater Kent Transition</t>
  </si>
  <si>
    <t>3 Additional medic units (5) (+12Pos)</t>
  </si>
  <si>
    <t>1. Gun Violence Reduction Initiative (+22 Civ pos)</t>
  </si>
  <si>
    <t>1. Labor Neg Counsel fees - additional costs in contract yrs</t>
  </si>
  <si>
    <t>5. Incr PMA Contract for cost of one employee's Pension Cost</t>
  </si>
  <si>
    <t>4. FUSE Fellow Match</t>
  </si>
  <si>
    <t>1. Internal Transfer for IT support ( FY20-21 Only)</t>
  </si>
  <si>
    <t>2. Accelerated Body Camera Issuance  (FY 20 Only)</t>
  </si>
  <si>
    <t>7. Capital staff to Operating</t>
  </si>
  <si>
    <t>2. Underground Economy Task Force (5 Veh) (L&amp;I)</t>
  </si>
  <si>
    <t>11. Immigrant Defense Contract (FY20 Only)</t>
  </si>
  <si>
    <t>1. Utility Contract Reserve Requirement</t>
  </si>
  <si>
    <t>2. RAC Accounting Consultant / Background Checks</t>
  </si>
  <si>
    <t>1. Capital staffing to Operating (+5 pos FY20, +35 pos FY21)</t>
  </si>
  <si>
    <t>6. PollBook Maintenance (Licenses, Support, Warranty)</t>
  </si>
  <si>
    <t xml:space="preserve">1. Streets Non-Capital Vehicles </t>
  </si>
  <si>
    <t>13. Witness Intimidation  Reduction (FY 20 Only)</t>
  </si>
  <si>
    <t>4b. HR Services Impr Project- Reinstate- FY20 Only (Rollover)</t>
  </si>
  <si>
    <t>1. City Commissioners-Warehousing New Machines</t>
  </si>
  <si>
    <t>x</t>
  </si>
  <si>
    <t>3. REVMax Adjustments</t>
  </si>
  <si>
    <t>3. City Comm- Voting Machines-Owners Rep/Logistics</t>
  </si>
  <si>
    <t>Pension - City Matching Funds(0198)</t>
  </si>
  <si>
    <t>4. Inter Government Transfer</t>
  </si>
  <si>
    <t>FY 19 Target Budget Adj /  FY 20 Caucus Changes:</t>
  </si>
  <si>
    <t>FY 20 Caucus Changes:</t>
  </si>
  <si>
    <t>1. City Comm- Voting Machines-Owners Rep/Logistics Increase</t>
  </si>
  <si>
    <t>1. Gun Violence Reduction Init.- Realignment (+12 pos)</t>
  </si>
  <si>
    <t>4. Gun Violence Reduction Init.- Realign FY Spending</t>
  </si>
  <si>
    <t>2. SAFER Grant Support Costs</t>
  </si>
  <si>
    <t>Difference (Must be Zero's)</t>
  </si>
  <si>
    <t>1. Commercial Corridors (cc)(FY20 Only)</t>
  </si>
  <si>
    <t>2. North Broad Renaissance (cc)(FY20 Only)</t>
  </si>
  <si>
    <t>3. Ave of Arts (cc)(FY20 Only)</t>
  </si>
  <si>
    <t>4. Contributions-African Affairs funding  (cc-FY20 Only)</t>
  </si>
  <si>
    <t>5. Contributions-Penn State Agriculture (cc-FY20 Only)</t>
  </si>
  <si>
    <t>5. PEA-Phila Energy Assoc. (cc-FY 20 Only)</t>
  </si>
  <si>
    <t>1. Increased support (cc-FY 20 Only)</t>
  </si>
  <si>
    <t>1. Women Against Abuse (cc-FY20 Only)</t>
  </si>
  <si>
    <t>2. Family Homeless Prevention (cc-FY20 Only)</t>
  </si>
  <si>
    <t>2. Activities Fund Increase (cc-FY20 Only)</t>
  </si>
  <si>
    <t>1. PHS (cc-FY20 Only)</t>
  </si>
  <si>
    <t>1. PAL Increased Support (cc-FY20 Only)</t>
  </si>
  <si>
    <t>2. Housing Lead Remediation (cc-FY20 Only)</t>
  </si>
  <si>
    <t>6. Phila Unempl Project (cc-FY 20 Only)</t>
  </si>
  <si>
    <t>6. Contributions-Fiesta Schoolyards (cc-FY20 Only)</t>
  </si>
  <si>
    <t>7. Contributions-Philly Play (cc-FY20 Only)</t>
  </si>
  <si>
    <t>8. Contributions-City Year (cc-FY20 Only)</t>
  </si>
  <si>
    <t>9. Contributions-Fed Post-Amer Legion (cc-FY20 Only)</t>
  </si>
  <si>
    <t>10. Contributions- Phila Co-Op Association</t>
  </si>
  <si>
    <t>11. Historic / Small Streets Paving (cc-FY20 Only)</t>
  </si>
  <si>
    <t>12. Contributions-SD- 2 Pools(cc-FY20 Only)</t>
  </si>
  <si>
    <t>Difference (Increase /(Decrease)</t>
  </si>
  <si>
    <t>2. Backfill positions for new IT system (+20 pos) &amp; support</t>
  </si>
  <si>
    <t>NOTE: Correctly shown here - Recorded in Base in FY20 Ordinance</t>
  </si>
  <si>
    <t>UNAUDITED FY19 Actual</t>
  </si>
  <si>
    <t>FY20 Adopted Budget</t>
  </si>
  <si>
    <t>FY20Current Target</t>
  </si>
  <si>
    <t>FY25 Estimate</t>
  </si>
  <si>
    <t>FY25</t>
  </si>
  <si>
    <t>FY20 Current Target</t>
  </si>
  <si>
    <t>TOTAL Estimate FY2020-2025</t>
  </si>
  <si>
    <t>FY 2025</t>
  </si>
  <si>
    <t>FY 20</t>
  </si>
  <si>
    <t>FY 2021 - 2025 Five Year Financial Plan</t>
  </si>
  <si>
    <t>Carryforward from FY 20-24 Plan:</t>
  </si>
  <si>
    <t>Program Based Budget Status:  FY 2021</t>
  </si>
  <si>
    <t>2. Public Bank Feasibility Study (FY 20 Only)</t>
  </si>
  <si>
    <t>ORIGINAL ADOPTED BUDGET RESERVES -FY20-24 FYP</t>
  </si>
  <si>
    <t>* Transferred to depts at fiscal year-end</t>
  </si>
  <si>
    <t xml:space="preserve"> FY 20 Caucus Changes:</t>
  </si>
  <si>
    <t>FY 21-25 Plan Adjustments:</t>
  </si>
  <si>
    <t>FY19 Actual</t>
  </si>
  <si>
    <t>Non-Pension</t>
  </si>
  <si>
    <t>FY 20 Justification Requests</t>
  </si>
  <si>
    <t>6. African-American Museum (FY 20 Only)</t>
  </si>
  <si>
    <t>13. Net Adjustments to payment to Housing Trust Fund (FY21-24)</t>
  </si>
  <si>
    <t>ORIGINAL FY 21-25 PLAN RESERVES</t>
  </si>
  <si>
    <t>4. Fair Workweek - Required Office Renovations (FY 20 Only)</t>
  </si>
  <si>
    <t>8. Workforce Development Expansion (+4 pos) (Red in FY21)</t>
  </si>
  <si>
    <t>8. BJA Match (FY 21-22)</t>
  </si>
  <si>
    <t>6. Census (+11 pos) (FY 20-22)</t>
  </si>
  <si>
    <t>3. Salary Increases</t>
  </si>
  <si>
    <t>1. 6 Day /Yr Round Service (Beg FY21)</t>
  </si>
  <si>
    <t>FY 20-24 Plan (Preliminary FY 21-25)</t>
  </si>
  <si>
    <t>per SEPTA memo dated __________</t>
  </si>
  <si>
    <t>Per Email ____________with Contingencies)</t>
  </si>
  <si>
    <t>Carryforward from FY 20-24 Plan: (INCLUDED IN ABOVE )</t>
  </si>
  <si>
    <t>2. Remove Current Warehouse Costs - FY21-24</t>
  </si>
  <si>
    <t>FY 20-24 Plan Adjustments: (INCLUDED IN ABOVE)</t>
  </si>
  <si>
    <t>1. Voting Machine Maintenance Reinstated (FY20)</t>
  </si>
  <si>
    <t>3. Temporary increase for Fire Test costs (FY20)</t>
  </si>
  <si>
    <t>4. Replacement equipment for MEU (FY20)</t>
  </si>
  <si>
    <t>FYP COSTS  (per email _________</t>
  </si>
  <si>
    <t xml:space="preserve">Previous FYP (FY 20-24) </t>
  </si>
  <si>
    <t>1. Street Cleaning Pilot (RWA)- (cc-FY20 Only)</t>
  </si>
  <si>
    <t>2. Trash Task Force- (cc-FY20 Only)</t>
  </si>
  <si>
    <t>3. LED Street Lights (cc-FY20 Only)</t>
  </si>
  <si>
    <t>4. Phila Sweep Pilot- (cc-FY20 Only)</t>
  </si>
  <si>
    <t>6. Retaining Walls (cc-FY20 Only)</t>
  </si>
  <si>
    <t>3. ADA  Study - Increase (FY20 Only)</t>
  </si>
  <si>
    <t>1. Support for existing systems (Beg in FY18)</t>
  </si>
  <si>
    <t>2. Support for new Capital investments (Beg in FY18)</t>
  </si>
  <si>
    <t>1. United Bank Contribution (FY20 Only)</t>
  </si>
  <si>
    <t>FY19</t>
  </si>
  <si>
    <t>HTF Adj 1</t>
  </si>
  <si>
    <t>HTF Adj 2</t>
  </si>
  <si>
    <t>HTF Adj 3</t>
  </si>
  <si>
    <t>Final Actual Est</t>
  </si>
  <si>
    <t>1. Advertising invoices (FY20 Only)</t>
  </si>
  <si>
    <t>1. 501 S Broad St Move (FY 20 Only)</t>
  </si>
  <si>
    <t>2. Parking Expenses (FY20-23)</t>
  </si>
  <si>
    <t>1. Cut-Reduce Vehicle Parts (FY 20 Only)</t>
  </si>
  <si>
    <t>5. Commm Office-Empl Retention</t>
  </si>
  <si>
    <t>1. Increase Support</t>
  </si>
  <si>
    <t>FY 21-25 Plan Adjustments</t>
  </si>
  <si>
    <t>1. Increase for contract (FY20 Only)</t>
  </si>
  <si>
    <t>2. Transfer PAL Funding to Finance-Contributions</t>
  </si>
  <si>
    <t>FY20 Adopted Budget *</t>
  </si>
  <si>
    <t>Report</t>
  </si>
  <si>
    <t>Diff</t>
  </si>
  <si>
    <t>1. Pay Step Increases</t>
  </si>
  <si>
    <t>2. Exempt Raises</t>
  </si>
  <si>
    <t>1. Exempt Raises</t>
  </si>
  <si>
    <t>FY 18 Justification Request</t>
  </si>
  <si>
    <t>FY 20 Justification Request</t>
  </si>
  <si>
    <t>3. Exempt Raises</t>
  </si>
  <si>
    <t>2. Internal Transfer for Furniture (FY 20 Only)</t>
  </si>
  <si>
    <t>6. OEM - Min Staffing and COOP Prog. Mgr.</t>
  </si>
  <si>
    <t>3. Realignment - Future Track</t>
  </si>
  <si>
    <t>2. 21st Century minimum wage costs</t>
  </si>
  <si>
    <t>3. Increased security costs</t>
  </si>
  <si>
    <t>FY21-25 Plan Adjustments:</t>
  </si>
  <si>
    <t>1. Legal Consultant-PT (FY20 only)</t>
  </si>
  <si>
    <t>1. Internal Transfer- Fund for SD of Phila (FY20 only)</t>
  </si>
  <si>
    <t>1. Salary Increases</t>
  </si>
  <si>
    <t>2. IT support (FY20 only)</t>
  </si>
  <si>
    <t>1. Salary increases for Law Clerks</t>
  </si>
  <si>
    <t>2. Safety Cam Program (FY20 only)</t>
  </si>
  <si>
    <t>3. Risk insurance premiums and Curley adj. (FY20 only)</t>
  </si>
  <si>
    <t>1. Trfr PAL Funding from Police to Finance-Contrib (FY20 only)</t>
  </si>
  <si>
    <t>3. EMS supplies (FY20 only)</t>
  </si>
  <si>
    <t>4. Bunker gear (FY20 only)</t>
  </si>
  <si>
    <t>5. PhillyCounts Realignment (FY20 only)</t>
  </si>
  <si>
    <t>3. Rollover Fund for Phila contract (FY20 only)</t>
  </si>
  <si>
    <t>2. Rollover- PY contract (FY20 only)</t>
  </si>
  <si>
    <t>5. Dept-level and DR Assess and Plan (FY20 only)</t>
  </si>
  <si>
    <t>6. DR Platform 1-time Setup (AWS) (FY20 only)</t>
  </si>
  <si>
    <t>9. COOP Planning Team (FY20 only)</t>
  </si>
  <si>
    <t>11. CAMA Change Order (Training) (FY20 only)</t>
  </si>
  <si>
    <t>12. OnePhilly Staff Aug (FY20 only)</t>
  </si>
  <si>
    <t>1. Lead Removal Project-playgrounds (FY20 only)</t>
  </si>
  <si>
    <t>2. Time clocks for field sites (FY20 only)</t>
  </si>
  <si>
    <t>3. Time clock software (FY20 only)</t>
  </si>
  <si>
    <t>2. Operating Support for Land Bank (FY20 only)</t>
  </si>
  <si>
    <t>1. Hep C Treatment (FY20 only)</t>
  </si>
  <si>
    <t>1. Hep A Outbreak Response (FY20 only)</t>
  </si>
  <si>
    <t>1. Facility and maintenance support (FY20 only)</t>
  </si>
  <si>
    <t>2. Transfer from SEPTA for Fac &amp; Maint Support (FY20 only)</t>
  </si>
  <si>
    <t>1 Transfer to Base for Fac &amp; Maint Support (FY20 only)</t>
  </si>
  <si>
    <t>2. Title Registration Inc. - VisionZero, PublicWorks (FY20 only)</t>
  </si>
  <si>
    <t>4. Participatory budgeting and enhanced communications</t>
  </si>
  <si>
    <t>4. AVP-Street Lighting Upgrades (FY20 only)</t>
  </si>
  <si>
    <t>1. Internal Transfer-Forensic Lab (FY20 only)</t>
  </si>
  <si>
    <t>5. Payment to Housing Trust Fund-1st time homebuyer program</t>
  </si>
  <si>
    <t>1. Interdepartmental transfer- CLIP to MDO (-12 pos)</t>
  </si>
  <si>
    <t>4. L+I Midyear Transfer to CLIP (+12 pos)</t>
  </si>
  <si>
    <t>2. Additional support (FY20 only)</t>
  </si>
  <si>
    <t>16. ACCT-operating support (FY20 only)</t>
  </si>
  <si>
    <t>10. Cyber Insurance</t>
  </si>
  <si>
    <t>2. Realignment - Advertising</t>
  </si>
  <si>
    <t>Div</t>
  </si>
  <si>
    <t>OFFICE OF INNOVATION AND TECHNOLOGY - 911  (Div 14)</t>
  </si>
  <si>
    <t>MANAGING DIRECTOR - LEGAL SERVICES (Div 46)</t>
  </si>
  <si>
    <t>Div: 11</t>
  </si>
  <si>
    <t>Div: 12</t>
  </si>
  <si>
    <t>Div: 01</t>
  </si>
  <si>
    <t>Div: 10  0428</t>
  </si>
  <si>
    <t xml:space="preserve">Div: 03  0285 </t>
  </si>
  <si>
    <t xml:space="preserve">Div: 03-  421706  0250 </t>
  </si>
  <si>
    <t>Impromptu</t>
  </si>
  <si>
    <t>2. O365</t>
  </si>
  <si>
    <t>3. AWS</t>
  </si>
  <si>
    <t>4. VMWare's VNX8000 Support</t>
  </si>
  <si>
    <t>7. Multi-Factor Authentication (MFA) Service</t>
  </si>
  <si>
    <t>8. BOX</t>
  </si>
  <si>
    <t>13. Security cameras - additional support (FY20 only)</t>
  </si>
  <si>
    <t>1. Funding of Overtime/SAFER</t>
  </si>
  <si>
    <t>FY 21-25</t>
  </si>
  <si>
    <t>Transferred to Depts - FY 19=</t>
  </si>
  <si>
    <t>Revised FY 21-25 FYP Worksheet (above)</t>
  </si>
  <si>
    <t>1. OVP-CCIP Pilot (FY20 only)</t>
  </si>
  <si>
    <t>7. OVP-Police Assisted Diversion (FY20 only)</t>
  </si>
  <si>
    <t>8. OVP-YVRP full funding (FY20 only)</t>
  </si>
  <si>
    <t>9. OVP-Targeted Community Invest. Grants (FY20 only)</t>
  </si>
  <si>
    <t>10. OVP-Focused Deterrence (FY20 only)</t>
  </si>
  <si>
    <t>11. OVP-Mentorship Program (FY20 only)</t>
  </si>
  <si>
    <t>12. OVP- Rapid Response Team (+4 pos) (FY20 only)</t>
  </si>
  <si>
    <t>13. OVP-Program Evaluation (FY20 only)</t>
  </si>
  <si>
    <t>14. OVP-Coordinator for Rapid Response (+1 pos) (FY20 only)</t>
  </si>
  <si>
    <t>15. OVP- Workforce Development (+1 pos) (FY20 only)</t>
  </si>
  <si>
    <t>FY 21-25 FYP - Preliminary Budget</t>
  </si>
  <si>
    <t>Control Totals (FY21-25 PRELIM)</t>
  </si>
  <si>
    <t>Per Email 12/6/19</t>
  </si>
  <si>
    <t>3. Internal Realignment-cl100 to cl200</t>
  </si>
  <si>
    <t>4. Transition Payroll from Capital to General Fund (+30 pos)</t>
  </si>
  <si>
    <t>FINANCE-RECESSION RESERVE</t>
  </si>
  <si>
    <t>35RR</t>
  </si>
  <si>
    <t>Incl FB Adjs</t>
  </si>
  <si>
    <t>`</t>
  </si>
  <si>
    <t>FB</t>
  </si>
  <si>
    <t>2. Interdepartmental transfer - OCF</t>
  </si>
  <si>
    <t>1. Internal Realignment-cl100 to cl300</t>
  </si>
  <si>
    <t>OFFICE OF CHILDREN AND FAMILIES (formerly known as OFFICE OF EDUCATION)</t>
  </si>
  <si>
    <t>2. REVMax Adjustment (FY20 Only)</t>
  </si>
  <si>
    <t>2. Interdepartmental transfer - Rapid Response (+4 pos)</t>
  </si>
  <si>
    <t>17. Interdepartmental transfer - Rapid Response (-4 pos)</t>
  </si>
  <si>
    <t>FY 21 Justification Requests/Cuts:</t>
  </si>
  <si>
    <t>1. Restore: AVP-Street Lighting Upgrades</t>
  </si>
  <si>
    <t>FY 21 Justification Requests</t>
  </si>
  <si>
    <t>1. Net Adjustments to payment to Housing Trust Fund (FY25)</t>
  </si>
  <si>
    <t>9. Restore: OVP-CCIP</t>
  </si>
  <si>
    <t>3. Restore: OVP-Targeted Community Invest. Grants</t>
  </si>
  <si>
    <t>4. Restore: OVP-Focused Deterrence</t>
  </si>
  <si>
    <t>5. Restore: OVP-Mentorship Program</t>
  </si>
  <si>
    <t>6. Restore: OVP-Program Evaluation</t>
  </si>
  <si>
    <t>7. Restore: OVP-Coordinator for Rapid Response (+1 pos)</t>
  </si>
  <si>
    <t>8. Restore: OVP- Workforce Development (+1 pos)</t>
  </si>
  <si>
    <t>6. Antipoverty initiatives</t>
  </si>
  <si>
    <t>1. Increase SD contribution</t>
  </si>
  <si>
    <t>1. Increase labor reserve</t>
  </si>
  <si>
    <t>5. Adjustment Funding of Overtime</t>
  </si>
  <si>
    <t>1. Adjustments</t>
  </si>
  <si>
    <t>1. Restore: Legal Consultant-PT</t>
  </si>
  <si>
    <t>Finance - Recession/Federal Reserve</t>
  </si>
  <si>
    <t>FY 21-25 Justification Requests</t>
  </si>
  <si>
    <t>2. Add'l Staff-Office of Benefits and Wage Compliance (+3 pos)</t>
  </si>
  <si>
    <t>3. Build-out office space</t>
  </si>
  <si>
    <t>4. Purchase of new copier, paper, maint. fees</t>
  </si>
  <si>
    <t>2. Positions for Office of Education (+4 pos)</t>
  </si>
  <si>
    <t>3. Racial equity training</t>
  </si>
  <si>
    <t>4. ADA compliance (+1 pos)</t>
  </si>
  <si>
    <t>1. Public Safety Enforcement Officers (+28 pos)</t>
  </si>
  <si>
    <t>2. Body Worn Cameras License &amp; Storage</t>
  </si>
  <si>
    <t>3. Intelligence Bureau Augmentation (+20 pos)</t>
  </si>
  <si>
    <t>3. Project Management Resource Support (+9 pos)</t>
  </si>
  <si>
    <t>FY 21 Justification Requests:</t>
  </si>
  <si>
    <t>1. Full-Time Permanent HazMat Unit (+36 pos)</t>
  </si>
  <si>
    <t>2. Internal Transfer - EMS Director</t>
  </si>
  <si>
    <t>2. EMS Supplies (+1 pos)</t>
  </si>
  <si>
    <t>FY21 Justification Requests:</t>
  </si>
  <si>
    <t>1. Health center &amp; lab services-full funding</t>
  </si>
  <si>
    <t>2. Health center &amp; lab services-condo assoc dues</t>
  </si>
  <si>
    <t>3. Health center &amp; lab services-lab and deferred maintenance</t>
  </si>
  <si>
    <t>4. Opioid Response Crisis</t>
  </si>
  <si>
    <t>1. Community Service Areas (+15 pos)</t>
  </si>
  <si>
    <t>1. HVAC Preventative Maintenance</t>
  </si>
  <si>
    <t>2. Backflow and Plumbing Insp, Emerg and Repairs</t>
  </si>
  <si>
    <t>3. Additional Maintenance Sites</t>
  </si>
  <si>
    <t>FY 21 Justification Request</t>
  </si>
  <si>
    <t>1. Summer Job Wage Increase</t>
  </si>
  <si>
    <t>1. Inmate Pay Increase</t>
  </si>
  <si>
    <t>1. 21st Century Wage Increase</t>
  </si>
  <si>
    <t>5. Staff Aug-CBS and CBMS</t>
  </si>
  <si>
    <t>6. Welcome America Fundraising</t>
  </si>
  <si>
    <t>1. ITS Backfill (+4 pos)</t>
  </si>
  <si>
    <t>2. Transportation costs to cover int'l travel</t>
  </si>
  <si>
    <t>1. New staff position and raises (+1 pos)</t>
  </si>
  <si>
    <t>1. CDC support grants</t>
  </si>
  <si>
    <t>1. Solar Panels Incentive</t>
  </si>
  <si>
    <t>2. Energy Staff (+3 pos)</t>
  </si>
  <si>
    <t>3. Greenworks Expansion (+5 pos)</t>
  </si>
  <si>
    <t>1. Prison &amp; Reentry Services Librarian (+1 pos)</t>
  </si>
  <si>
    <t>2. Maintenance &amp; Security Improvements (+10 pos)</t>
  </si>
  <si>
    <t>1. Full funding of salaries</t>
  </si>
  <si>
    <t>1. Pharmacy Audit</t>
  </si>
  <si>
    <t>1. Data Collection Consultant Fees</t>
  </si>
  <si>
    <t>2. Commercial Consultants</t>
  </si>
  <si>
    <t>3. Audit Consultant</t>
  </si>
  <si>
    <t>1. Leading for Change Fellowship</t>
  </si>
  <si>
    <t>2. Service Augmentation - MEU</t>
  </si>
  <si>
    <t>3. Vendor Contract - OAR</t>
  </si>
  <si>
    <t>1. Operating Support for Land Bank</t>
  </si>
  <si>
    <t>2. Diversity Equity and Inclusion Support</t>
  </si>
  <si>
    <t>1. Restore Violence Reduction-Clean &amp; Seal (+14 pos)</t>
  </si>
  <si>
    <t>1. Act 77 and Presidential Primary</t>
  </si>
  <si>
    <t>1. IT Structural Enhancements (+8 pos)</t>
  </si>
  <si>
    <t>1. Restore: OVP-Police Assisted Diversion (+3 pos)</t>
  </si>
  <si>
    <t>10. Chemical Facility Planning and Preparedness (+5 pos)</t>
  </si>
  <si>
    <t>13. Planning/design study for the MSB Concourse</t>
  </si>
  <si>
    <t>2. Citywide Weekly Street Cleaning (+58 pos)</t>
  </si>
  <si>
    <t>3. Body Worn Cameras License &amp; Storage</t>
  </si>
  <si>
    <t>4. Implicit Bias Training</t>
  </si>
  <si>
    <t>2. Solar Panels Incentive</t>
  </si>
  <si>
    <t>14. Transitional Jobs Program (+6 pos)</t>
  </si>
  <si>
    <t>15. Opioid Comms position (+ 1 pos)</t>
  </si>
  <si>
    <t>1. Color Me Back (Same Day Wage) Program</t>
  </si>
  <si>
    <t>16. DC33 Skilled Trades Apprenticeship Program</t>
  </si>
  <si>
    <t>1. Add'l position and full funding (+1 pos)</t>
  </si>
  <si>
    <t xml:space="preserve">2. Training </t>
  </si>
  <si>
    <t>3. Armored Car Transportation Services</t>
  </si>
  <si>
    <t>5. Labor Community Grants</t>
  </si>
  <si>
    <t>3. Pilot-Business Interruption Grant</t>
  </si>
  <si>
    <t>2. Internal Transfer</t>
  </si>
  <si>
    <t>1. FOP Sexual Harassment Investigations (+5 pos)</t>
  </si>
  <si>
    <t>3. Additional capital analyst (+1 pos)</t>
  </si>
  <si>
    <t>2. Antipoverty Initiatives</t>
  </si>
  <si>
    <t>3. Internal Transfer-Contracts</t>
  </si>
  <si>
    <t>2. Advertising Invoices</t>
  </si>
  <si>
    <t>5. Internal Transfer-Capital related</t>
  </si>
  <si>
    <t>3. Grant Writing Support</t>
  </si>
  <si>
    <t>2. ODDT Transition (+1 pos)</t>
  </si>
  <si>
    <t>4. Interdepartmental Transfer-ODDT Transition (-1 pos)</t>
  </si>
  <si>
    <t>6. 500 S. Broad Delays-rollover funds into FY21</t>
  </si>
  <si>
    <t>3. Realignment- 400 N. Broad</t>
  </si>
  <si>
    <t>11. Minimum wage increase- ACCT</t>
  </si>
  <si>
    <t>12. JAC and YARP support (+19 pos)</t>
  </si>
  <si>
    <t>17. MacArthur Sustainability</t>
  </si>
  <si>
    <t>4. Loan forgiveness to Wawa Welcome America</t>
  </si>
  <si>
    <t>7. Additional Accountants (+2 pos)</t>
  </si>
  <si>
    <t>18. MacArthur Match</t>
  </si>
  <si>
    <t>5. Space Renovation</t>
  </si>
  <si>
    <t>4. Fully Support OnePhilly (+19 pos)</t>
  </si>
  <si>
    <t>5. JAC-Civilian Security (+35 pos)</t>
  </si>
  <si>
    <t>19. Opioid Cabinet-Data &amp; Analytics (+3 pos)</t>
  </si>
  <si>
    <t>20. Office of Reentry Partnerships (+3 pos)</t>
  </si>
  <si>
    <t>2. New position-Special Assistant (+1 pos)</t>
  </si>
  <si>
    <t>Office of Children and Families</t>
  </si>
  <si>
    <t>2. Additional recurring operating support</t>
  </si>
  <si>
    <t>3. One-time capital support</t>
  </si>
  <si>
    <t>4. Last-Dollar Tuition</t>
  </si>
  <si>
    <t>5. Student Stipend</t>
  </si>
  <si>
    <t>6. Administrative and Program Costs</t>
  </si>
  <si>
    <t>2. Job Incentives</t>
  </si>
  <si>
    <t>3. Relief Factor</t>
  </si>
  <si>
    <t>1. Enhancements to Capital Business Applications (+25 pos)</t>
  </si>
  <si>
    <t>2. Restore: OVP-YVRP full funding</t>
  </si>
  <si>
    <t>1. SAFER Grant - Required Adjustments</t>
  </si>
  <si>
    <t>* Not Funded directly in FY 21</t>
  </si>
  <si>
    <t>2. PHLRentAssist</t>
  </si>
  <si>
    <t>2. PHLRentAssist (+3 pos)</t>
  </si>
  <si>
    <t>2. AVP-Blight Remediation (+27 pos)  (FY20 only)</t>
  </si>
  <si>
    <t>2. Payment to Capital (FY 20 Only)</t>
  </si>
  <si>
    <t>4. PHLRentAssist (+1 pos)</t>
  </si>
  <si>
    <t>7. Add'l capital support (FY21 only)</t>
  </si>
  <si>
    <t>Per email from CTO</t>
  </si>
  <si>
    <t>1. Eliminate positions, salary reductions (-7 pos)</t>
  </si>
  <si>
    <t>2. Reduction of services</t>
  </si>
  <si>
    <t>3. Reduction of goods</t>
  </si>
  <si>
    <t>FY 21 Adjustments/Reductions</t>
  </si>
  <si>
    <t>1. Reduction of scholarships</t>
  </si>
  <si>
    <t>Previous Plan ( FY 21-25 FYP )</t>
  </si>
  <si>
    <t>Changes from Original Plan (FY21-25)</t>
  </si>
  <si>
    <t>1. Reduction</t>
  </si>
  <si>
    <t>2. School on Ryan Ave.-SDP (FY22 only)</t>
  </si>
  <si>
    <t>3. Reduce SD contribution</t>
  </si>
  <si>
    <t>2. Reduction of payment</t>
  </si>
  <si>
    <t>8. Reduction of operating support</t>
  </si>
  <si>
    <t>9. Reduction of capital support</t>
  </si>
  <si>
    <t>10. Reduction of Last-Dollar Tuition</t>
  </si>
  <si>
    <t>11. Reduction of Student Stipend</t>
  </si>
  <si>
    <t>12. Reduction of Administrative and Program Costs</t>
  </si>
  <si>
    <t>FY 21 Adjustments</t>
  </si>
  <si>
    <t>1. Inclusive recovery and growth</t>
  </si>
  <si>
    <t>1. Cut-eliminate funding</t>
  </si>
  <si>
    <t>1. Overtime Reduction</t>
  </si>
  <si>
    <t>2. Fuel savings</t>
  </si>
  <si>
    <t>FY21 Revised</t>
  </si>
  <si>
    <t>FY21 Revised:</t>
  </si>
  <si>
    <t>FY 21 Revised:</t>
  </si>
  <si>
    <t>FY21-25 Plan Adjustments</t>
  </si>
  <si>
    <t>1. Vehicle Purchase Curtailment</t>
  </si>
  <si>
    <t>1. Reduce OT and delay hiring</t>
  </si>
  <si>
    <t>2. Reduce contracts and training</t>
  </si>
  <si>
    <t>3. Reduce office supplies</t>
  </si>
  <si>
    <t>1. Eliminate positions, delay hiring (-4 pos)</t>
  </si>
  <si>
    <t>2. Reduce opioid related programs and other contracts</t>
  </si>
  <si>
    <t>2. Reduction due to lower census and attrition</t>
  </si>
  <si>
    <t>3. Reduction in purchases due to lower census</t>
  </si>
  <si>
    <t>4. Elimination of inmate pay increase</t>
  </si>
  <si>
    <t>1. Reduction in agency operations</t>
  </si>
  <si>
    <t>2. Wi-Fi tower leases, software, capital projects support, training</t>
  </si>
  <si>
    <t>3. Telecom supplies, Electrical supplies</t>
  </si>
  <si>
    <t>4. Telecom equipment and replacement Public Safety Radios</t>
  </si>
  <si>
    <t>1. Reduction of overtime</t>
  </si>
  <si>
    <t>1. Increase appropriations (offset by revenue) (FY21 only)</t>
  </si>
  <si>
    <t>2. Elimination of public health programs, grants, contract staff</t>
  </si>
  <si>
    <t>3. Reduced purchase of naloxone, vaccines for City empl.</t>
  </si>
  <si>
    <t>4. Elimination of PT/OT pilot, computer replacements</t>
  </si>
  <si>
    <t>1. Eliminate positions, overtime (-31 pos)</t>
  </si>
  <si>
    <t>2. Reduction of various contracts</t>
  </si>
  <si>
    <t>3. Reduction of Various Pool, Program and Skilled Trades Supplies</t>
  </si>
  <si>
    <t xml:space="preserve">4. Reduction of Equipment &amp; Office Furniture </t>
  </si>
  <si>
    <t>5. Reduction of Activities Fund and Legacy Tennis</t>
  </si>
  <si>
    <t>2. Reduction of profession services</t>
  </si>
  <si>
    <t>1. Reduction of rent contingency</t>
  </si>
  <si>
    <t>3. Reduction of funding allocated towards Violence Reduction</t>
  </si>
  <si>
    <t>2. Reduction of demolition funding</t>
  </si>
  <si>
    <t>1. Reduction of vacant positions and overtime (-45 pos)</t>
  </si>
  <si>
    <t>1. Delay in hiring</t>
  </si>
  <si>
    <t>2. Delay upgrades and enhancements</t>
  </si>
  <si>
    <t>3. Delay contributions to National History Day</t>
  </si>
  <si>
    <t>2. Reduction on services/purchases</t>
  </si>
  <si>
    <t>1. Eliminate vacant positions (-15 pos)</t>
  </si>
  <si>
    <t>3. Reduction in materials</t>
  </si>
  <si>
    <t>4. Reduction in equipment</t>
  </si>
  <si>
    <t>5. Reduce payment to other capital fund and HTF</t>
  </si>
  <si>
    <t>2. Reduction in professional services activities</t>
  </si>
  <si>
    <t>3. Reductions in supplies and materials</t>
  </si>
  <si>
    <t>1. Reduction in positions and personnel cost (-26 pos)</t>
  </si>
  <si>
    <t>2. Reduction in services</t>
  </si>
  <si>
    <t>1. Eliminate positions, salary reduction (-8 pos)</t>
  </si>
  <si>
    <t>2. Reduction in dues</t>
  </si>
  <si>
    <t>1. Layoffs and freezing of vacancies</t>
  </si>
  <si>
    <t>3. Reduction in contribution to DRWC</t>
  </si>
  <si>
    <t>2. Business Acceleration Team (req from MDO) (+6 pos)</t>
  </si>
  <si>
    <t>4. SEPTA Urban Panel funds (Rev Offset) adjustment</t>
  </si>
  <si>
    <t>5. Business Acceleration Team (req from MDO) (+6 pos) adjustment</t>
  </si>
  <si>
    <t>6. Loan forgiveness to Wawa Welcome America adjustment</t>
  </si>
  <si>
    <t>7. Space Renovation adjustment</t>
  </si>
  <si>
    <t>2. Reduction in supplies</t>
  </si>
  <si>
    <t>1. Reduction in staff and vacant positions (-3 pos)</t>
  </si>
  <si>
    <t>1. Eliminate vacant position, delay in hiring (-1 pos)</t>
  </si>
  <si>
    <t>1. Delay in hiring, reduction in commissioner stipends</t>
  </si>
  <si>
    <t>1. Reduction in court reporting</t>
  </si>
  <si>
    <t>2. Reduction in equipment</t>
  </si>
  <si>
    <t>3. Reduction in supplies and equipment</t>
  </si>
  <si>
    <t>4. Reduction in LandBank and PHLRentAssist</t>
  </si>
  <si>
    <t>1. Reduction to FY20 level</t>
  </si>
  <si>
    <t>2. Reduction in IT services</t>
  </si>
  <si>
    <t>1. Reduction in positions, delay in hiring</t>
  </si>
  <si>
    <t>18. Emergency-COVID</t>
  </si>
  <si>
    <t>2. Emergency COVID (FY20 only)</t>
  </si>
  <si>
    <t>2. Reopening of the economy</t>
  </si>
  <si>
    <t>4. Transfer City Rep to Mayor (+2 pos)</t>
  </si>
  <si>
    <t>1. Transfer City Rep to Mayor (-2 pos)</t>
  </si>
  <si>
    <t>2. Cut-eliminate funding</t>
  </si>
  <si>
    <t>1. Reduction in services</t>
  </si>
  <si>
    <t>5. FOP Award‐ Wage Increase (FY20‐2.5%)</t>
  </si>
  <si>
    <t>6. FOP-Bonus ($750/member)</t>
  </si>
  <si>
    <t>3. FOP Award‐ Wage Increase (FY20‐2.5%)</t>
  </si>
  <si>
    <t>4. FOP-Bonus ($750/member)</t>
  </si>
  <si>
    <t>6. IAFF Award‐ Wage Increase (FY20‐2.5%)</t>
  </si>
  <si>
    <t>14. DC47 Award‐ Wage Increase (FY20‐2%)</t>
  </si>
  <si>
    <t>19. DC47 Award‐ Wage Increase (FY20‐2%)</t>
  </si>
  <si>
    <t>1. DC47 Award‐ Wage Increase (FY20‐2%)</t>
  </si>
  <si>
    <t>5. DC47 Award‐ Wage Increase (FY20‐2%)</t>
  </si>
  <si>
    <t>7. DC47 Award‐ Wage Increase (FY20‐2%)</t>
  </si>
  <si>
    <t>3. DC47 Award‐ Wage Increase (FY20‐2%)</t>
  </si>
  <si>
    <t>4. DC47 Award- Bonus ($750/$450/member)</t>
  </si>
  <si>
    <t>4. DC47 Award‐ Wage Increase (FY20‐2%)</t>
  </si>
  <si>
    <t>2. DC47 Award‐ Wage Increase (FY20‐2%)</t>
  </si>
  <si>
    <t xml:space="preserve">FY 21-25 Plan Adjustments: </t>
  </si>
  <si>
    <t>16. Nonrep- Wage Increase (FY20-2%)</t>
  </si>
  <si>
    <t>7. Nonrep- Wage Increase (FY20-2%)</t>
  </si>
  <si>
    <t>9. Nonrep- Wage Increase (FY20-2%)</t>
  </si>
  <si>
    <t>5. Nonrep- Wage Increase (FY20-2%)</t>
  </si>
  <si>
    <t>6. Nonrep- Wage Increase (FY20-2%)</t>
  </si>
  <si>
    <t>4. Nonrep- Wage Increase (FY20-2%)</t>
  </si>
  <si>
    <t>5.Nonrep- Wage Increase (FY20-2%)</t>
  </si>
  <si>
    <t>3. Nonrep- Wage Increase (FY20-2%)</t>
  </si>
  <si>
    <t>1. Nonrep- Wage Increase (FY20-2%)</t>
  </si>
  <si>
    <t>2. Nonrep- Wage Increase (FY20-2%)</t>
  </si>
  <si>
    <t>4. Sheriff Award- Wage Increase (FY20-2.25%)</t>
  </si>
  <si>
    <t>5. Sheriff Award- Bonus ($400)</t>
  </si>
  <si>
    <t>3. Register of Wills Award- Wage Inc</t>
  </si>
  <si>
    <t>2. Register of Wills Award- Wage Increase (FY20-2%)</t>
  </si>
  <si>
    <t>10. Reduce Antiviolence</t>
  </si>
  <si>
    <t>2. Transfer labor costs to departments</t>
  </si>
  <si>
    <t>(FOP,IAFF,DC47,Local 810,Nonreps, RoW,Sheriff)</t>
  </si>
  <si>
    <t>3. Adjustment labor reserve</t>
  </si>
  <si>
    <t>3. Restore FY20 midyear transfer</t>
  </si>
  <si>
    <t>8. Natural savings-Snow Removal</t>
  </si>
  <si>
    <t>4. Reverse Internal Realignment</t>
  </si>
  <si>
    <t>4. Reverse Internal Transfer-Contracts</t>
  </si>
  <si>
    <t>10. Reverse-Body Worn Cameras License &amp; Storage</t>
  </si>
  <si>
    <t>11. Reverse-Implicit Bias Training</t>
  </si>
  <si>
    <t>4. Reverse-New position-Special Assistant (+1 pos)</t>
  </si>
  <si>
    <t>1. Reduce support staff</t>
  </si>
  <si>
    <t>3. Reduction in services</t>
  </si>
  <si>
    <t>4. Reduction in supplies</t>
  </si>
  <si>
    <t>2. Reduction in vacant positions (-30 pos)</t>
  </si>
  <si>
    <t>UPDATE  BELOW</t>
  </si>
  <si>
    <t>1. BUDGET IMPACT NOT SUBMITTED-Reduction in staffing</t>
  </si>
  <si>
    <t>2. BUDGET IMPACT NOT SUBMITTED-Reduction in services</t>
  </si>
  <si>
    <t xml:space="preserve">3. BUDGET IMPACT NOT SUBMITTED-Reduction in supplies </t>
  </si>
  <si>
    <t>7. Reduce Finance contrib. except Army Navy, Welcome America</t>
  </si>
  <si>
    <t>2. BUDGET IMPACT NOT SUBMITTED-LIBRARY</t>
  </si>
  <si>
    <t>6. BUDGET IMPACT NOT SUBMITTED-LAW</t>
  </si>
  <si>
    <t>5. BUDGET IMPACT NOT SUBMITTED-OWD</t>
  </si>
  <si>
    <t>3. BUDGET IMPACT NOT SUBMITTED</t>
  </si>
  <si>
    <t>2. BUDGET IMPACT NOT SUBMITTED-SUSTAINABILITY</t>
  </si>
  <si>
    <t>1. BUDGET IMPACT NOT SUBMITTED-SHERIFF</t>
  </si>
  <si>
    <t>2b. Opioid Crisis Response - Rollover to FY 20 Only</t>
  </si>
  <si>
    <t>3 Fire-Safer Grant Requirements</t>
  </si>
  <si>
    <t>Division: 14</t>
  </si>
  <si>
    <t>Division: 25</t>
  </si>
  <si>
    <t>Division: 29</t>
  </si>
  <si>
    <t>Division: 13 (trfrd to depts at fiscal yr-end)</t>
  </si>
  <si>
    <t>Division: 12</t>
  </si>
  <si>
    <t>Divisions: 08,20,21,22,23</t>
  </si>
  <si>
    <t>Division: 01</t>
  </si>
  <si>
    <t>Division: 10</t>
  </si>
  <si>
    <t>Division: 20</t>
  </si>
  <si>
    <t>Divisions: 01,02,05,07,32 (less BS)</t>
  </si>
  <si>
    <t>1. Commercial Corridors</t>
  </si>
  <si>
    <t>1. Overtime related to Presidential Election (FY 20 Only)</t>
  </si>
  <si>
    <t>6. Reversal-Interdepartmental transfer - Rapid Response (-4 pos)</t>
  </si>
  <si>
    <t>21. Reversal-Interdepartmental transfer - Rapid Response (+4 pos)</t>
  </si>
  <si>
    <t>8. Reverse-Transition Payroll from Capital to General Fd (-30 pos)</t>
  </si>
  <si>
    <t>1. Reduction in vacant position, delay in hiring (-1 pos)</t>
  </si>
  <si>
    <t>1. Elimin. of vacancies, attrition and reduction in OT (-154 pos)</t>
  </si>
  <si>
    <t>1. Reduction in positions, delay in hiring (-63 pos)</t>
  </si>
  <si>
    <t>1. Eliminate Mayor's Intern Program, delay in hiring (-2 pos)</t>
  </si>
  <si>
    <t>1. Transfer positions and programs to grants funds (-20 pos)</t>
  </si>
  <si>
    <t>1. Reduction of seasonal, PPT and Vacant FT Positions (-29 pos)</t>
  </si>
  <si>
    <t>1. Elimination of positions, delay in hiring (-9 pos)</t>
  </si>
  <si>
    <t>1. Reduction of funding (-154 pos)</t>
  </si>
  <si>
    <t>1. Reduction in positions (-2 pos)</t>
  </si>
  <si>
    <t>6. DC47 Award- Bonus ($750/$475)</t>
  </si>
  <si>
    <t>2. DC47 Award- Bonus ($750/$475)</t>
  </si>
  <si>
    <t>3. DC47 Award- Bonus ($750/$475)</t>
  </si>
  <si>
    <t>4. DC47 Award- Bonus ($750/$475)</t>
  </si>
  <si>
    <t>8. DC47 Award- Bonus ($750/$475)</t>
  </si>
  <si>
    <t>5. DC47 Award- Bonus ($750/$475)</t>
  </si>
  <si>
    <t>15. DC47 Award- Bonus ($750/$475)</t>
  </si>
  <si>
    <t>3. Exempt- Salary Reductions (FY21 only)</t>
  </si>
  <si>
    <t>6. Exempt- Salary Reductions (FY21 only)</t>
  </si>
  <si>
    <t>2. Exempt- Salary Reductions (FY21 only)</t>
  </si>
  <si>
    <t>1. Exempt- Salary Reductions (FY21 only)</t>
  </si>
  <si>
    <t>5. Exempt- Salary Reductions (FY21 only)</t>
  </si>
  <si>
    <t>4. Exempt- Salary Reductions (FY21 only)</t>
  </si>
  <si>
    <t>FY21 Caucus Changes:</t>
  </si>
  <si>
    <t>1. Restore: Exempt- Salary Reductions</t>
  </si>
  <si>
    <t>FY 21 Caucus Changes:</t>
  </si>
  <si>
    <t>1. Commerce-Realignment</t>
  </si>
  <si>
    <t>1. Transfer OWD to Commerce</t>
  </si>
  <si>
    <t>1. Fully fund lease for 2401 Walnut</t>
  </si>
  <si>
    <t>1. Reduction realignment</t>
  </si>
  <si>
    <t>2. Realignment - opioid data team</t>
  </si>
  <si>
    <t>1. ITS Space</t>
  </si>
  <si>
    <t>1. Budget Impact Realignment</t>
  </si>
  <si>
    <t>1. Internal Transfer- consulting srvs and private security staffing</t>
  </si>
  <si>
    <t>1. Transfer of Executive Secretary from DPP (+1 pos)</t>
  </si>
  <si>
    <t>1. Transfer of Executive Secretary to PPR (-1 pos)</t>
  </si>
  <si>
    <t>1. Additional position (+1 pos)</t>
  </si>
  <si>
    <t>1. Exempt Salary Reductions</t>
  </si>
  <si>
    <t>1. Rollover funds to FY21</t>
  </si>
  <si>
    <t>3. Rollover funds to FY21</t>
  </si>
  <si>
    <t>20. DC47 Award- Bonus ($750/$475/member)</t>
  </si>
  <si>
    <t>4. Transfer labor costs to departments (DC33, Local 159)</t>
  </si>
  <si>
    <t>DC33 Award- Bonus ($750/$475)</t>
  </si>
  <si>
    <t>17. DC33 Award‐ Wage Increase (FY20‐2%)</t>
  </si>
  <si>
    <t>18. DC33 Award- Bonus ($750/$475)</t>
  </si>
  <si>
    <t>22. DC33 Award‐ Wage Increase (FY20‐2%)</t>
  </si>
  <si>
    <t>23. DC33 Award- Bonus ($750/$475)</t>
  </si>
  <si>
    <t>12. DC33 Award‐ Wage Increase (FY20‐2%)</t>
  </si>
  <si>
    <t>12. DC33 Award- Bonus ($750/$475)</t>
  </si>
  <si>
    <t>9. DC33 Award‐ Wage Increase (FY20‐2%)</t>
  </si>
  <si>
    <t>10. DC33 Award- Bonus ($750/$475)</t>
  </si>
  <si>
    <t>10. DC33 Award‐ Wage Increase (FY20‐2%)</t>
  </si>
  <si>
    <t>11. DC33 Award- Bonus ($750/$475)</t>
  </si>
  <si>
    <t>6. DC33 Award‐ Wage Increase (FY20‐2%)</t>
  </si>
  <si>
    <t>7. DC33 Award- Bonus ($750/$475)</t>
  </si>
  <si>
    <t>7. DC33 Award‐ Wage Increase (FY20‐2%)</t>
  </si>
  <si>
    <t>8. DC33 Award- Bonus ($750/$475)</t>
  </si>
  <si>
    <t>5. DC33 Award‐ Wage Increase (FY20‐2%)</t>
  </si>
  <si>
    <t>6. DC33 Award- Bonus ($750/$475)</t>
  </si>
  <si>
    <t>4. DC33 Award‐ Wage Increase (FY20‐2%)</t>
  </si>
  <si>
    <t>5. DC33 Award- Bonus ($750/$475)</t>
  </si>
  <si>
    <t>3. DC33 Award‐ Wage Increase (FY20‐2%)</t>
  </si>
  <si>
    <t>4. DC33 Award- Bonus ($750/$475)</t>
  </si>
  <si>
    <t>11. DC33 Award‐ Wage Increase (FY20‐2%)</t>
  </si>
  <si>
    <t>6. Reversal: Advertising Invoices</t>
  </si>
  <si>
    <t>2. DC33 Award‐ Wage Increase (FY20‐2%)</t>
  </si>
  <si>
    <t>3. DC33 Award- Bonus ($750/$475)</t>
  </si>
  <si>
    <t>8. DC33 Award‐ Wage Increase (FY20‐2%)</t>
  </si>
  <si>
    <t>9. DC33 Award- Bonus ($750/$475)</t>
  </si>
  <si>
    <t>13. DC33 Award- Bonus ($750/$475)</t>
  </si>
  <si>
    <t>14. Local 159 Award‐ Wage Increase (FY20‐2.25%)</t>
  </si>
  <si>
    <t>15. Local 159 Award- Bonus ($750/$475)</t>
  </si>
  <si>
    <t>8. Local 159 Award‐ Wage Increase (FY20‐2.25%)</t>
  </si>
  <si>
    <t>9. Local 159 Award- Bonus ($750/$475)</t>
  </si>
  <si>
    <t>7. Local 159 Award‐ Wage Increase (FY20‐2.25%)</t>
  </si>
  <si>
    <t>8. Local 159 Award- Bonus ($750/$475)</t>
  </si>
  <si>
    <t>1. Deputy position (+1 pos)</t>
  </si>
  <si>
    <t>3. Lower than anticipated costs</t>
  </si>
  <si>
    <t>Updated FY20 Target 6/15/20</t>
  </si>
  <si>
    <t>Updated FY21 6/12/20</t>
  </si>
  <si>
    <t>FY 21-25 FYP  Ado</t>
  </si>
  <si>
    <t>FY 21-25 FYP  Rev</t>
  </si>
  <si>
    <t>FY18 Actual</t>
  </si>
  <si>
    <t>Updated 6/16/20</t>
  </si>
  <si>
    <t>2. Transfer SCG to MDO</t>
  </si>
  <si>
    <t>4. Transfer SCG from Police</t>
  </si>
  <si>
    <t>1. Offset to ESG funds</t>
  </si>
  <si>
    <t>6. Contribution-cultural fund</t>
  </si>
  <si>
    <t>1. Increase HTF payment</t>
  </si>
  <si>
    <t>2. Contribution-City Year</t>
  </si>
  <si>
    <t>7. Restore AAMA</t>
  </si>
  <si>
    <t>8. Restore Office of Adult Education</t>
  </si>
  <si>
    <t>9. PUP</t>
  </si>
  <si>
    <t>1. LandCare- PHS</t>
  </si>
  <si>
    <t>2. Increase OWD</t>
  </si>
  <si>
    <t>2. Increase Activities Fund</t>
  </si>
  <si>
    <t>1. Reduce to FY20 level</t>
  </si>
  <si>
    <t>10. Pennsylvania Immigrant Family Unity Project</t>
  </si>
  <si>
    <t>1. Local Progress</t>
  </si>
  <si>
    <t>FY 21 Caucus:</t>
  </si>
  <si>
    <t>11. Establish Police Oversight Commission</t>
  </si>
  <si>
    <t>3. Transfer to Council</t>
  </si>
  <si>
    <t>2. Transfer recession reserve</t>
  </si>
  <si>
    <t>1. Tacony Lab</t>
  </si>
  <si>
    <t>12. Payroll costs transferred from Police</t>
  </si>
  <si>
    <t>8. Lower than anticipated demo costs</t>
  </si>
  <si>
    <t>1. Budget Reductions</t>
  </si>
  <si>
    <t>1. Extend budget reduction thru FY23</t>
  </si>
  <si>
    <t>3. Extend budget reductions thru FY23</t>
  </si>
  <si>
    <t>2. Extend budget reductions thru FY23</t>
  </si>
  <si>
    <t>FY 21 Caucus Changes;</t>
  </si>
  <si>
    <t>1. Extend budget reductions thru FY23</t>
  </si>
  <si>
    <t>1. Realignment-reduce staff, Sunday Service, loss of temp/seasonal</t>
  </si>
  <si>
    <t>2. Realignment -reductions in maintenance of facilities</t>
  </si>
  <si>
    <t>3. Realignment-reduction in number of new materials purchased</t>
  </si>
  <si>
    <t>4. Extend budget reductions thru FY23</t>
  </si>
  <si>
    <t>2. Living Wage Audit Extension</t>
  </si>
  <si>
    <t>13. Extend budget reductions thru FY23</t>
  </si>
  <si>
    <t>1. 2 positions-communications and policy (+2 pos)</t>
  </si>
  <si>
    <t>FY 21 Caucus Changes</t>
  </si>
  <si>
    <t>3. Reverse Internal Transfer</t>
  </si>
  <si>
    <t>Updated 6/22/20</t>
  </si>
  <si>
    <t>1. Reduction of support</t>
  </si>
  <si>
    <t>3. Transfer Public Safety Officers to MDO (-28 pos)</t>
  </si>
  <si>
    <t>4. Police Equity Manager (+1 pos)</t>
  </si>
  <si>
    <t>5. Transfer public safety officers from Police (+28 pos)</t>
  </si>
  <si>
    <t>5. Extend budget reductions</t>
  </si>
  <si>
    <t>2. Extend budget reductions</t>
  </si>
  <si>
    <t>6. Reduction BWC License &amp; Storage</t>
  </si>
  <si>
    <t>FY 21-25 MAYOR'S ADOPTED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</si>
</sst>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</numFmts>
  <fonts count="1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8"/>
      <name val="Arial"/>
      <family val="2"/>
    </font>
    <font>
      <u/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lightGray"/>
    </fill>
    <fill>
      <patternFill patternType="solid">
        <fgColor rgb="FF92D050"/>
        <bgColor indexed="64"/>
      </patternFill>
    </fill>
    <fill>
      <patternFill patternType="lightGray"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4">
    <xf numFmtId="0" fontId="0" fillId="0" borderId="0"/>
    <xf numFmtId="43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118" fillId="0" borderId="0" applyNumberFormat="0" applyFill="0" applyBorder="0" applyAlignment="0" applyProtection="0"/>
  </cellStyleXfs>
  <cellXfs count="969">
    <xf numFmtId="0" fontId="0" fillId="0" borderId="0" xfId="0"/>
    <xf numFmtId="0" fontId="84" fillId="0" borderId="3" xfId="0" applyFont="1" applyBorder="1" applyAlignment="1">
      <alignment horizontal="left" wrapText="1"/>
    </xf>
    <xf numFmtId="0" fontId="84" fillId="0" borderId="4" xfId="0" applyFont="1" applyBorder="1" applyAlignment="1">
      <alignment horizontal="center" wrapText="1"/>
    </xf>
    <xf numFmtId="0" fontId="84" fillId="0" borderId="5" xfId="0" applyFont="1" applyBorder="1" applyAlignment="1">
      <alignment horizontal="center" wrapText="1"/>
    </xf>
    <xf numFmtId="0" fontId="84" fillId="0" borderId="0" xfId="0" applyFont="1" applyAlignment="1">
      <alignment horizontal="right"/>
    </xf>
    <xf numFmtId="0" fontId="84" fillId="0" borderId="0" xfId="0" applyFont="1" applyAlignment="1">
      <alignment horizontal="left"/>
    </xf>
    <xf numFmtId="0" fontId="84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164" fontId="0" fillId="2" borderId="6" xfId="1" applyNumberFormat="1" applyFont="1" applyFill="1" applyBorder="1"/>
    <xf numFmtId="164" fontId="0" fillId="0" borderId="6" xfId="1" applyNumberFormat="1" applyFont="1" applyBorder="1"/>
    <xf numFmtId="164" fontId="0" fillId="0" borderId="0" xfId="1" applyNumberFormat="1" applyFont="1"/>
    <xf numFmtId="0" fontId="0" fillId="0" borderId="0" xfId="0" applyFont="1" applyAlignment="1">
      <alignment horizontal="right"/>
    </xf>
    <xf numFmtId="0" fontId="84" fillId="0" borderId="0" xfId="0" applyFont="1" applyAlignment="1">
      <alignment horizontal="left"/>
    </xf>
    <xf numFmtId="0" fontId="87" fillId="0" borderId="0" xfId="0" applyFont="1"/>
    <xf numFmtId="0" fontId="87" fillId="0" borderId="0" xfId="0" applyFont="1" applyAlignment="1">
      <alignment horizontal="left"/>
    </xf>
    <xf numFmtId="0" fontId="87" fillId="0" borderId="0" xfId="0" applyFont="1" applyAlignment="1">
      <alignment horizontal="center" wrapText="1"/>
    </xf>
    <xf numFmtId="0" fontId="87" fillId="0" borderId="0" xfId="0" applyFont="1" applyFill="1" applyBorder="1"/>
    <xf numFmtId="0" fontId="87" fillId="0" borderId="1" xfId="0" applyFont="1" applyFill="1" applyBorder="1" applyAlignment="1">
      <alignment horizontal="left" wrapText="1"/>
    </xf>
    <xf numFmtId="0" fontId="87" fillId="0" borderId="1" xfId="0" quotePrefix="1" applyFont="1" applyFill="1" applyBorder="1" applyAlignment="1">
      <alignment horizontal="left" wrapText="1"/>
    </xf>
    <xf numFmtId="0" fontId="87" fillId="3" borderId="1" xfId="0" applyFont="1" applyFill="1" applyBorder="1" applyAlignment="1">
      <alignment horizontal="left" wrapText="1"/>
    </xf>
    <xf numFmtId="3" fontId="87" fillId="0" borderId="0" xfId="0" applyNumberFormat="1" applyFont="1"/>
    <xf numFmtId="0" fontId="84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center" wrapText="1"/>
    </xf>
    <xf numFmtId="164" fontId="0" fillId="3" borderId="6" xfId="1" applyNumberFormat="1" applyFont="1" applyFill="1" applyBorder="1"/>
    <xf numFmtId="0" fontId="0" fillId="0" borderId="2" xfId="0" applyFont="1" applyFill="1" applyBorder="1"/>
    <xf numFmtId="0" fontId="0" fillId="2" borderId="1" xfId="0" applyFill="1" applyBorder="1"/>
    <xf numFmtId="0" fontId="85" fillId="0" borderId="0" xfId="0" applyFont="1" applyAlignment="1">
      <alignment horizontal="left"/>
    </xf>
    <xf numFmtId="0" fontId="85" fillId="0" borderId="0" xfId="0" quotePrefix="1" applyFont="1" applyAlignment="1">
      <alignment horizontal="left"/>
    </xf>
    <xf numFmtId="37" fontId="0" fillId="2" borderId="6" xfId="1" applyNumberFormat="1" applyFont="1" applyFill="1" applyBorder="1" applyAlignment="1">
      <alignment horizontal="right"/>
    </xf>
    <xf numFmtId="37" fontId="0" fillId="2" borderId="7" xfId="1" applyNumberFormat="1" applyFont="1" applyFill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7" fontId="0" fillId="2" borderId="8" xfId="1" applyNumberFormat="1" applyFont="1" applyFill="1" applyBorder="1" applyAlignment="1">
      <alignment horizontal="right"/>
    </xf>
    <xf numFmtId="37" fontId="0" fillId="2" borderId="9" xfId="1" applyNumberFormat="1" applyFont="1" applyFill="1" applyBorder="1" applyAlignment="1">
      <alignment horizontal="right"/>
    </xf>
    <xf numFmtId="37" fontId="0" fillId="0" borderId="0" xfId="1" applyNumberFormat="1" applyFont="1" applyAlignment="1">
      <alignment horizontal="right"/>
    </xf>
    <xf numFmtId="3" fontId="87" fillId="0" borderId="6" xfId="1" applyNumberFormat="1" applyFont="1" applyFill="1" applyBorder="1" applyAlignment="1">
      <alignment horizontal="right" vertical="center" wrapText="1"/>
    </xf>
    <xf numFmtId="3" fontId="87" fillId="3" borderId="6" xfId="1" applyNumberFormat="1" applyFont="1" applyFill="1" applyBorder="1" applyAlignment="1">
      <alignment horizontal="right" vertical="center" wrapText="1"/>
    </xf>
    <xf numFmtId="38" fontId="0" fillId="0" borderId="6" xfId="0" applyNumberFormat="1" applyFill="1" applyBorder="1"/>
    <xf numFmtId="0" fontId="0" fillId="0" borderId="1" xfId="0" applyBorder="1"/>
    <xf numFmtId="38" fontId="0" fillId="0" borderId="0" xfId="0" applyNumberFormat="1" applyFill="1" applyBorder="1"/>
    <xf numFmtId="0" fontId="84" fillId="0" borderId="1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" xfId="0" applyFont="1" applyFill="1" applyBorder="1"/>
    <xf numFmtId="37" fontId="0" fillId="0" borderId="6" xfId="1" applyNumberFormat="1" applyFont="1" applyFill="1" applyBorder="1" applyAlignment="1">
      <alignment horizontal="right"/>
    </xf>
    <xf numFmtId="37" fontId="0" fillId="0" borderId="7" xfId="1" applyNumberFormat="1" applyFont="1" applyFill="1" applyBorder="1" applyAlignment="1">
      <alignment horizontal="right"/>
    </xf>
    <xf numFmtId="37" fontId="0" fillId="2" borderId="13" xfId="1" applyNumberFormat="1" applyFont="1" applyFill="1" applyBorder="1" applyAlignment="1">
      <alignment horizontal="right"/>
    </xf>
    <xf numFmtId="37" fontId="0" fillId="0" borderId="8" xfId="1" applyNumberFormat="1" applyFont="1" applyFill="1" applyBorder="1" applyAlignment="1">
      <alignment horizontal="right"/>
    </xf>
    <xf numFmtId="0" fontId="0" fillId="0" borderId="0" xfId="0" applyFont="1" applyBorder="1"/>
    <xf numFmtId="3" fontId="87" fillId="0" borderId="0" xfId="1" applyNumberFormat="1" applyFont="1" applyFill="1" applyBorder="1" applyAlignment="1">
      <alignment horizontal="right" vertical="center" wrapText="1"/>
    </xf>
    <xf numFmtId="38" fontId="0" fillId="0" borderId="1" xfId="0" applyNumberFormat="1" applyFill="1" applyBorder="1"/>
    <xf numFmtId="3" fontId="90" fillId="0" borderId="0" xfId="1" applyNumberFormat="1" applyFont="1" applyFill="1" applyBorder="1" applyAlignment="1">
      <alignment horizontal="right" vertical="center" wrapText="1"/>
    </xf>
    <xf numFmtId="0" fontId="90" fillId="0" borderId="0" xfId="0" applyFont="1" applyAlignment="1">
      <alignment horizontal="left" vertical="center"/>
    </xf>
    <xf numFmtId="0" fontId="90" fillId="5" borderId="0" xfId="0" applyFont="1" applyFill="1" applyAlignment="1">
      <alignment horizontal="left" vertical="center"/>
    </xf>
    <xf numFmtId="0" fontId="0" fillId="0" borderId="0" xfId="0" applyFont="1" applyFill="1"/>
    <xf numFmtId="0" fontId="84" fillId="0" borderId="10" xfId="0" applyFont="1" applyFill="1" applyBorder="1" applyAlignment="1">
      <alignment horizontal="center" vertical="center"/>
    </xf>
    <xf numFmtId="0" fontId="90" fillId="0" borderId="0" xfId="0" applyFont="1" applyAlignment="1">
      <alignment horizontal="right" vertical="center"/>
    </xf>
    <xf numFmtId="37" fontId="90" fillId="0" borderId="0" xfId="0" applyNumberFormat="1" applyFont="1" applyAlignment="1">
      <alignment horizontal="right"/>
    </xf>
    <xf numFmtId="0" fontId="90" fillId="5" borderId="0" xfId="0" applyFont="1" applyFill="1" applyAlignment="1">
      <alignment horizontal="right" vertical="center"/>
    </xf>
    <xf numFmtId="37" fontId="90" fillId="5" borderId="0" xfId="0" applyNumberFormat="1" applyFont="1" applyFill="1" applyAlignment="1">
      <alignment horizontal="right"/>
    </xf>
    <xf numFmtId="1" fontId="90" fillId="0" borderId="0" xfId="0" applyNumberFormat="1" applyFont="1" applyAlignment="1">
      <alignment horizontal="right" vertical="center"/>
    </xf>
    <xf numFmtId="1" fontId="90" fillId="5" borderId="0" xfId="0" applyNumberFormat="1" applyFont="1" applyFill="1" applyAlignment="1">
      <alignment horizontal="right" vertical="center"/>
    </xf>
    <xf numFmtId="164" fontId="87" fillId="5" borderId="0" xfId="1" applyNumberFormat="1" applyFont="1" applyFill="1" applyAlignment="1">
      <alignment horizontal="right" vertical="center"/>
    </xf>
    <xf numFmtId="1" fontId="87" fillId="5" borderId="0" xfId="1" applyNumberFormat="1" applyFont="1" applyFill="1" applyAlignment="1">
      <alignment horizontal="right" vertical="center"/>
    </xf>
    <xf numFmtId="38" fontId="87" fillId="5" borderId="0" xfId="1" applyNumberFormat="1" applyFont="1" applyFill="1" applyAlignment="1">
      <alignment horizontal="right"/>
    </xf>
    <xf numFmtId="38" fontId="87" fillId="5" borderId="0" xfId="0" applyNumberFormat="1" applyFont="1" applyFill="1" applyAlignment="1">
      <alignment horizontal="right"/>
    </xf>
    <xf numFmtId="164" fontId="87" fillId="0" borderId="0" xfId="1" applyNumberFormat="1" applyFont="1" applyFill="1" applyAlignment="1">
      <alignment horizontal="right" vertical="center"/>
    </xf>
    <xf numFmtId="1" fontId="87" fillId="0" borderId="0" xfId="1" applyNumberFormat="1" applyFont="1" applyFill="1" applyAlignment="1">
      <alignment horizontal="right" vertical="center"/>
    </xf>
    <xf numFmtId="38" fontId="87" fillId="0" borderId="0" xfId="1" applyNumberFormat="1" applyFont="1" applyFill="1" applyAlignment="1">
      <alignment horizontal="right"/>
    </xf>
    <xf numFmtId="38" fontId="87" fillId="0" borderId="0" xfId="0" applyNumberFormat="1" applyFont="1" applyFill="1" applyAlignment="1">
      <alignment horizontal="right"/>
    </xf>
    <xf numFmtId="1" fontId="87" fillId="5" borderId="0" xfId="0" applyNumberFormat="1" applyFont="1" applyFill="1" applyAlignment="1">
      <alignment horizontal="right" vertical="center"/>
    </xf>
    <xf numFmtId="1" fontId="87" fillId="0" borderId="0" xfId="0" applyNumberFormat="1" applyFont="1" applyFill="1" applyAlignment="1">
      <alignment horizontal="right" vertical="center"/>
    </xf>
    <xf numFmtId="38" fontId="87" fillId="0" borderId="16" xfId="0" applyNumberFormat="1" applyFont="1" applyFill="1" applyBorder="1" applyAlignment="1">
      <alignment horizontal="right"/>
    </xf>
    <xf numFmtId="0" fontId="87" fillId="0" borderId="0" xfId="0" applyFont="1" applyFill="1" applyAlignment="1">
      <alignment horizontal="left" vertical="center"/>
    </xf>
    <xf numFmtId="0" fontId="87" fillId="0" borderId="0" xfId="0" applyFont="1" applyFill="1" applyAlignment="1">
      <alignment horizontal="right" vertical="center"/>
    </xf>
    <xf numFmtId="0" fontId="91" fillId="0" borderId="0" xfId="0" applyFont="1" applyFill="1" applyAlignment="1">
      <alignment horizontal="left"/>
    </xf>
    <xf numFmtId="0" fontId="87" fillId="0" borderId="0" xfId="0" applyFont="1" applyFill="1" applyAlignment="1">
      <alignment horizontal="left" vertical="center" wrapText="1"/>
    </xf>
    <xf numFmtId="0" fontId="87" fillId="0" borderId="0" xfId="0" applyFont="1" applyFill="1"/>
    <xf numFmtId="38" fontId="87" fillId="0" borderId="0" xfId="0" applyNumberFormat="1" applyFont="1" applyFill="1"/>
    <xf numFmtId="0" fontId="87" fillId="5" borderId="0" xfId="0" applyFont="1" applyFill="1" applyAlignment="1">
      <alignment horizontal="left" vertical="center"/>
    </xf>
    <xf numFmtId="0" fontId="87" fillId="5" borderId="0" xfId="0" applyFont="1" applyFill="1" applyAlignment="1">
      <alignment horizontal="right" vertical="center"/>
    </xf>
    <xf numFmtId="0" fontId="93" fillId="0" borderId="0" xfId="0" applyFont="1" applyFill="1" applyAlignment="1">
      <alignment horizontal="right"/>
    </xf>
    <xf numFmtId="1" fontId="87" fillId="5" borderId="0" xfId="0" quotePrefix="1" applyNumberFormat="1" applyFont="1" applyFill="1" applyAlignment="1">
      <alignment horizontal="right" vertical="center"/>
    </xf>
    <xf numFmtId="0" fontId="0" fillId="6" borderId="0" xfId="0" applyFill="1"/>
    <xf numFmtId="1" fontId="87" fillId="0" borderId="0" xfId="0" quotePrefix="1" applyNumberFormat="1" applyFont="1" applyFill="1" applyAlignment="1">
      <alignment horizontal="right" vertical="center"/>
    </xf>
    <xf numFmtId="0" fontId="87" fillId="0" borderId="17" xfId="0" applyFont="1" applyFill="1" applyBorder="1" applyAlignment="1">
      <alignment horizontal="right" vertical="center"/>
    </xf>
    <xf numFmtId="1" fontId="87" fillId="0" borderId="17" xfId="0" applyNumberFormat="1" applyFont="1" applyFill="1" applyBorder="1" applyAlignment="1">
      <alignment horizontal="right" vertical="center"/>
    </xf>
    <xf numFmtId="38" fontId="87" fillId="0" borderId="17" xfId="0" applyNumberFormat="1" applyFont="1" applyFill="1" applyBorder="1" applyAlignment="1">
      <alignment horizontal="right"/>
    </xf>
    <xf numFmtId="0" fontId="87" fillId="0" borderId="0" xfId="0" applyFont="1" applyFill="1" applyBorder="1" applyAlignment="1">
      <alignment horizontal="right" vertical="center"/>
    </xf>
    <xf numFmtId="1" fontId="87" fillId="0" borderId="0" xfId="0" applyNumberFormat="1" applyFont="1" applyFill="1" applyBorder="1" applyAlignment="1">
      <alignment horizontal="right" vertical="center"/>
    </xf>
    <xf numFmtId="38" fontId="87" fillId="0" borderId="0" xfId="0" applyNumberFormat="1" applyFont="1" applyFill="1" applyBorder="1" applyAlignment="1">
      <alignment horizontal="right"/>
    </xf>
    <xf numFmtId="1" fontId="87" fillId="0" borderId="0" xfId="1" quotePrefix="1" applyNumberFormat="1" applyFont="1" applyFill="1" applyAlignment="1">
      <alignment horizontal="right" vertical="center"/>
    </xf>
    <xf numFmtId="0" fontId="96" fillId="0" borderId="0" xfId="0" applyFont="1"/>
    <xf numFmtId="1" fontId="87" fillId="0" borderId="17" xfId="1" applyNumberFormat="1" applyFont="1" applyFill="1" applyBorder="1" applyAlignment="1">
      <alignment horizontal="right" vertical="center"/>
    </xf>
    <xf numFmtId="38" fontId="87" fillId="0" borderId="17" xfId="1" applyNumberFormat="1" applyFont="1" applyFill="1" applyBorder="1" applyAlignment="1">
      <alignment horizontal="right"/>
    </xf>
    <xf numFmtId="164" fontId="87" fillId="0" borderId="17" xfId="1" applyNumberFormat="1" applyFont="1" applyFill="1" applyBorder="1" applyAlignment="1">
      <alignment horizontal="right" vertical="center"/>
    </xf>
    <xf numFmtId="0" fontId="93" fillId="0" borderId="0" xfId="0" applyFont="1" applyFill="1" applyAlignment="1">
      <alignment horizontal="left" indent="2"/>
    </xf>
    <xf numFmtId="164" fontId="87" fillId="0" borderId="0" xfId="1" applyNumberFormat="1" applyFont="1" applyFill="1" applyBorder="1" applyAlignment="1">
      <alignment horizontal="right" vertical="center"/>
    </xf>
    <xf numFmtId="1" fontId="87" fillId="0" borderId="0" xfId="1" applyNumberFormat="1" applyFont="1" applyFill="1" applyBorder="1" applyAlignment="1">
      <alignment horizontal="right" vertical="center"/>
    </xf>
    <xf numFmtId="38" fontId="87" fillId="0" borderId="0" xfId="1" applyNumberFormat="1" applyFont="1" applyFill="1" applyBorder="1" applyAlignment="1">
      <alignment horizontal="right"/>
    </xf>
    <xf numFmtId="0" fontId="93" fillId="0" borderId="0" xfId="0" applyFont="1" applyFill="1" applyBorder="1" applyAlignment="1">
      <alignment horizontal="left" indent="2"/>
    </xf>
    <xf numFmtId="38" fontId="87" fillId="0" borderId="0" xfId="0" applyNumberFormat="1" applyFont="1" applyFill="1" applyBorder="1"/>
    <xf numFmtId="0" fontId="84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0" fontId="99" fillId="6" borderId="0" xfId="0" applyFont="1" applyFill="1"/>
    <xf numFmtId="0" fontId="84" fillId="6" borderId="0" xfId="0" applyFont="1" applyFill="1"/>
    <xf numFmtId="0" fontId="100" fillId="0" borderId="0" xfId="0" applyFont="1" applyAlignment="1">
      <alignment horizontal="left"/>
    </xf>
    <xf numFmtId="37" fontId="0" fillId="0" borderId="9" xfId="1" applyNumberFormat="1" applyFont="1" applyFill="1" applyBorder="1" applyAlignment="1">
      <alignment horizontal="right"/>
    </xf>
    <xf numFmtId="37" fontId="0" fillId="2" borderId="24" xfId="1" applyNumberFormat="1" applyFont="1" applyFill="1" applyBorder="1" applyAlignment="1">
      <alignment horizontal="right"/>
    </xf>
    <xf numFmtId="37" fontId="0" fillId="0" borderId="25" xfId="1" applyNumberFormat="1" applyFont="1" applyFill="1" applyBorder="1" applyAlignment="1">
      <alignment horizontal="right"/>
    </xf>
    <xf numFmtId="37" fontId="0" fillId="2" borderId="25" xfId="1" applyNumberFormat="1" applyFont="1" applyFill="1" applyBorder="1" applyAlignment="1">
      <alignment horizontal="right"/>
    </xf>
    <xf numFmtId="37" fontId="0" fillId="0" borderId="26" xfId="1" applyNumberFormat="1" applyFont="1" applyFill="1" applyBorder="1" applyAlignment="1">
      <alignment horizontal="right"/>
    </xf>
    <xf numFmtId="0" fontId="0" fillId="0" borderId="1" xfId="0" applyFill="1" applyBorder="1"/>
    <xf numFmtId="37" fontId="0" fillId="3" borderId="7" xfId="1" applyNumberFormat="1" applyFont="1" applyFill="1" applyBorder="1" applyAlignment="1">
      <alignment horizontal="right"/>
    </xf>
    <xf numFmtId="0" fontId="95" fillId="0" borderId="0" xfId="0" applyFont="1" applyFill="1" applyAlignment="1">
      <alignment horizontal="left"/>
    </xf>
    <xf numFmtId="0" fontId="91" fillId="0" borderId="0" xfId="0" applyFont="1" applyFill="1" applyAlignment="1">
      <alignment horizontal="left" indent="2"/>
    </xf>
    <xf numFmtId="38" fontId="87" fillId="0" borderId="17" xfId="0" applyNumberFormat="1" applyFont="1" applyFill="1" applyBorder="1"/>
    <xf numFmtId="0" fontId="87" fillId="0" borderId="17" xfId="0" applyFont="1" applyFill="1" applyBorder="1"/>
    <xf numFmtId="0" fontId="92" fillId="0" borderId="0" xfId="0" applyFont="1" applyFill="1" applyAlignment="1">
      <alignment horizontal="left"/>
    </xf>
    <xf numFmtId="0" fontId="98" fillId="0" borderId="0" xfId="0" applyFont="1" applyFill="1" applyAlignment="1">
      <alignment horizontal="left" vertical="center" indent="2"/>
    </xf>
    <xf numFmtId="0" fontId="93" fillId="0" borderId="0" xfId="0" applyFont="1" applyFill="1" applyBorder="1" applyAlignment="1">
      <alignment horizontal="left"/>
    </xf>
    <xf numFmtId="0" fontId="93" fillId="0" borderId="0" xfId="0" applyFont="1" applyFill="1" applyAlignment="1">
      <alignment horizontal="left"/>
    </xf>
    <xf numFmtId="0" fontId="86" fillId="0" borderId="0" xfId="0" applyFont="1" applyFill="1" applyBorder="1" applyAlignment="1">
      <alignment horizontal="right" vertical="center"/>
    </xf>
    <xf numFmtId="38" fontId="86" fillId="0" borderId="0" xfId="0" applyNumberFormat="1" applyFont="1" applyFill="1" applyBorder="1" applyAlignment="1">
      <alignment horizontal="right" vertical="center"/>
    </xf>
    <xf numFmtId="0" fontId="85" fillId="0" borderId="0" xfId="0" applyFont="1" applyAlignment="1">
      <alignment horizontal="left"/>
    </xf>
    <xf numFmtId="38" fontId="87" fillId="5" borderId="0" xfId="0" applyNumberFormat="1" applyFont="1" applyFill="1"/>
    <xf numFmtId="38" fontId="87" fillId="5" borderId="0" xfId="0" applyNumberFormat="1" applyFont="1" applyFill="1" applyBorder="1"/>
    <xf numFmtId="0" fontId="87" fillId="5" borderId="0" xfId="0" applyFont="1" applyFill="1"/>
    <xf numFmtId="0" fontId="93" fillId="5" borderId="0" xfId="0" applyFont="1" applyFill="1" applyAlignment="1">
      <alignment horizontal="right"/>
    </xf>
    <xf numFmtId="38" fontId="87" fillId="5" borderId="0" xfId="1" applyNumberFormat="1" applyFont="1" applyFill="1" applyBorder="1"/>
    <xf numFmtId="0" fontId="93" fillId="5" borderId="17" xfId="0" applyFont="1" applyFill="1" applyBorder="1" applyAlignment="1">
      <alignment horizontal="left" indent="2"/>
    </xf>
    <xf numFmtId="164" fontId="87" fillId="5" borderId="17" xfId="1" applyNumberFormat="1" applyFont="1" applyFill="1" applyBorder="1" applyAlignment="1">
      <alignment horizontal="right" vertical="center"/>
    </xf>
    <xf numFmtId="1" fontId="87" fillId="5" borderId="17" xfId="1" applyNumberFormat="1" applyFont="1" applyFill="1" applyBorder="1" applyAlignment="1">
      <alignment horizontal="right" vertical="center"/>
    </xf>
    <xf numFmtId="38" fontId="87" fillId="5" borderId="17" xfId="1" applyNumberFormat="1" applyFont="1" applyFill="1" applyBorder="1" applyAlignment="1">
      <alignment horizontal="right"/>
    </xf>
    <xf numFmtId="38" fontId="87" fillId="5" borderId="17" xfId="0" applyNumberFormat="1" applyFont="1" applyFill="1" applyBorder="1" applyAlignment="1">
      <alignment horizontal="right"/>
    </xf>
    <xf numFmtId="0" fontId="87" fillId="5" borderId="17" xfId="0" applyFont="1" applyFill="1" applyBorder="1" applyAlignment="1">
      <alignment horizontal="right" vertical="center"/>
    </xf>
    <xf numFmtId="1" fontId="87" fillId="5" borderId="17" xfId="0" applyNumberFormat="1" applyFont="1" applyFill="1" applyBorder="1" applyAlignment="1">
      <alignment horizontal="right" vertical="center"/>
    </xf>
    <xf numFmtId="0" fontId="93" fillId="5" borderId="0" xfId="0" applyFont="1" applyFill="1" applyBorder="1" applyAlignment="1">
      <alignment horizontal="right"/>
    </xf>
    <xf numFmtId="0" fontId="87" fillId="5" borderId="0" xfId="0" applyFont="1" applyFill="1" applyBorder="1"/>
    <xf numFmtId="38" fontId="87" fillId="5" borderId="0" xfId="1" applyNumberFormat="1" applyFont="1" applyFill="1" applyBorder="1" applyAlignment="1">
      <alignment horizontal="right"/>
    </xf>
    <xf numFmtId="38" fontId="87" fillId="5" borderId="0" xfId="0" applyNumberFormat="1" applyFont="1" applyFill="1" applyBorder="1" applyAlignment="1">
      <alignment horizontal="right"/>
    </xf>
    <xf numFmtId="0" fontId="0" fillId="5" borderId="0" xfId="0" applyFont="1" applyFill="1"/>
    <xf numFmtId="0" fontId="98" fillId="5" borderId="18" xfId="0" applyFont="1" applyFill="1" applyBorder="1" applyAlignment="1">
      <alignment horizontal="right" vertical="center"/>
    </xf>
    <xf numFmtId="164" fontId="87" fillId="5" borderId="16" xfId="1" applyNumberFormat="1" applyFont="1" applyFill="1" applyBorder="1" applyAlignment="1">
      <alignment horizontal="right" vertical="center"/>
    </xf>
    <xf numFmtId="1" fontId="87" fillId="5" borderId="16" xfId="1" applyNumberFormat="1" applyFont="1" applyFill="1" applyBorder="1" applyAlignment="1">
      <alignment horizontal="right" vertical="center"/>
    </xf>
    <xf numFmtId="38" fontId="87" fillId="5" borderId="16" xfId="1" applyNumberFormat="1" applyFont="1" applyFill="1" applyBorder="1" applyAlignment="1">
      <alignment horizontal="right"/>
    </xf>
    <xf numFmtId="38" fontId="87" fillId="5" borderId="16" xfId="0" applyNumberFormat="1" applyFont="1" applyFill="1" applyBorder="1" applyAlignment="1">
      <alignment horizontal="right"/>
    </xf>
    <xf numFmtId="38" fontId="87" fillId="5" borderId="19" xfId="0" applyNumberFormat="1" applyFont="1" applyFill="1" applyBorder="1" applyAlignment="1">
      <alignment horizontal="right"/>
    </xf>
    <xf numFmtId="0" fontId="87" fillId="5" borderId="15" xfId="0" applyFont="1" applyFill="1" applyBorder="1" applyAlignment="1">
      <alignment horizontal="right" vertical="center"/>
    </xf>
    <xf numFmtId="0" fontId="87" fillId="5" borderId="0" xfId="0" applyFont="1" applyFill="1" applyBorder="1" applyAlignment="1">
      <alignment horizontal="right" vertical="center"/>
    </xf>
    <xf numFmtId="1" fontId="87" fillId="5" borderId="0" xfId="1" applyNumberFormat="1" applyFont="1" applyFill="1" applyBorder="1" applyAlignment="1">
      <alignment horizontal="right" vertical="center"/>
    </xf>
    <xf numFmtId="0" fontId="87" fillId="5" borderId="20" xfId="0" applyFont="1" applyFill="1" applyBorder="1" applyAlignment="1">
      <alignment horizontal="left" vertical="center"/>
    </xf>
    <xf numFmtId="38" fontId="87" fillId="5" borderId="21" xfId="0" applyNumberFormat="1" applyFont="1" applyFill="1" applyBorder="1" applyAlignment="1">
      <alignment horizontal="right"/>
    </xf>
    <xf numFmtId="38" fontId="87" fillId="5" borderId="22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01" fillId="0" borderId="0" xfId="0" applyFont="1" applyFill="1" applyAlignment="1">
      <alignment horizontal="left" vertical="center"/>
    </xf>
    <xf numFmtId="38" fontId="90" fillId="0" borderId="0" xfId="1" applyNumberFormat="1" applyFont="1" applyFill="1" applyBorder="1" applyAlignment="1">
      <alignment horizontal="right" vertical="center" wrapText="1"/>
    </xf>
    <xf numFmtId="164" fontId="0" fillId="0" borderId="6" xfId="1" applyNumberFormat="1" applyFont="1" applyFill="1" applyBorder="1"/>
    <xf numFmtId="164" fontId="0" fillId="0" borderId="0" xfId="1" applyNumberFormat="1" applyFont="1" applyFill="1"/>
    <xf numFmtId="0" fontId="96" fillId="0" borderId="0" xfId="0" quotePrefix="1" applyFont="1" applyAlignment="1">
      <alignment horizontal="left" wrapText="1"/>
    </xf>
    <xf numFmtId="37" fontId="0" fillId="3" borderId="6" xfId="1" applyNumberFormat="1" applyFont="1" applyFill="1" applyBorder="1" applyAlignment="1">
      <alignment horizontal="right"/>
    </xf>
    <xf numFmtId="0" fontId="103" fillId="0" borderId="0" xfId="0" applyFont="1"/>
    <xf numFmtId="0" fontId="98" fillId="0" borderId="0" xfId="0" applyFont="1" applyFill="1" applyAlignment="1">
      <alignment horizontal="left" vertical="center"/>
    </xf>
    <xf numFmtId="0" fontId="98" fillId="5" borderId="0" xfId="0" applyFont="1" applyFill="1" applyAlignment="1">
      <alignment horizontal="left" vertical="center"/>
    </xf>
    <xf numFmtId="0" fontId="104" fillId="0" borderId="0" xfId="0" applyFont="1" applyFill="1" applyAlignment="1">
      <alignment horizontal="left" vertical="center"/>
    </xf>
    <xf numFmtId="164" fontId="87" fillId="0" borderId="0" xfId="1" quotePrefix="1" applyNumberFormat="1" applyFont="1" applyFill="1" applyAlignment="1">
      <alignment horizontal="right" vertical="center"/>
    </xf>
    <xf numFmtId="38" fontId="87" fillId="0" borderId="0" xfId="0" applyNumberFormat="1" applyFont="1"/>
    <xf numFmtId="0" fontId="84" fillId="0" borderId="0" xfId="0" applyFont="1" applyAlignment="1">
      <alignment horizontal="left"/>
    </xf>
    <xf numFmtId="0" fontId="104" fillId="5" borderId="0" xfId="0" applyFont="1" applyFill="1" applyAlignment="1">
      <alignment horizontal="left" vertical="center"/>
    </xf>
    <xf numFmtId="0" fontId="87" fillId="0" borderId="0" xfId="0" applyFont="1" applyFill="1" applyBorder="1" applyAlignment="1">
      <alignment horizontal="left" vertical="center"/>
    </xf>
    <xf numFmtId="1" fontId="87" fillId="0" borderId="0" xfId="1" quotePrefix="1" applyNumberFormat="1" applyFont="1" applyFill="1" applyBorder="1" applyAlignment="1">
      <alignment horizontal="right" vertical="center"/>
    </xf>
    <xf numFmtId="0" fontId="87" fillId="5" borderId="17" xfId="0" applyFont="1" applyFill="1" applyBorder="1" applyAlignment="1">
      <alignment horizontal="left" vertical="center"/>
    </xf>
    <xf numFmtId="0" fontId="87" fillId="5" borderId="0" xfId="0" applyFont="1" applyFill="1" applyBorder="1" applyAlignment="1">
      <alignment horizontal="left" vertical="center"/>
    </xf>
    <xf numFmtId="0" fontId="84" fillId="6" borderId="0" xfId="0" applyFont="1" applyFill="1" applyAlignment="1">
      <alignment horizontal="right"/>
    </xf>
    <xf numFmtId="0" fontId="84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0" fontId="106" fillId="0" borderId="0" xfId="0" applyFont="1"/>
    <xf numFmtId="165" fontId="106" fillId="0" borderId="0" xfId="0" applyNumberFormat="1" applyFont="1"/>
    <xf numFmtId="0" fontId="84" fillId="0" borderId="0" xfId="0" applyFont="1" applyAlignment="1">
      <alignment horizontal="left"/>
    </xf>
    <xf numFmtId="0" fontId="97" fillId="0" borderId="0" xfId="0" applyFont="1" applyFill="1" applyAlignment="1">
      <alignment horizontal="left" vertical="center"/>
    </xf>
    <xf numFmtId="0" fontId="97" fillId="5" borderId="0" xfId="0" applyFont="1" applyFill="1" applyAlignment="1">
      <alignment horizontal="left" vertical="center"/>
    </xf>
    <xf numFmtId="1" fontId="87" fillId="5" borderId="0" xfId="0" applyNumberFormat="1" applyFont="1" applyFill="1" applyBorder="1" applyAlignment="1">
      <alignment horizontal="right" vertical="center"/>
    </xf>
    <xf numFmtId="1" fontId="87" fillId="5" borderId="17" xfId="0" quotePrefix="1" applyNumberFormat="1" applyFont="1" applyFill="1" applyBorder="1" applyAlignment="1">
      <alignment horizontal="right" vertical="center"/>
    </xf>
    <xf numFmtId="0" fontId="93" fillId="5" borderId="0" xfId="0" applyFont="1" applyFill="1" applyAlignment="1"/>
    <xf numFmtId="0" fontId="0" fillId="5" borderId="17" xfId="0" applyFont="1" applyFill="1" applyBorder="1"/>
    <xf numFmtId="37" fontId="0" fillId="6" borderId="7" xfId="1" applyNumberFormat="1" applyFont="1" applyFill="1" applyBorder="1" applyAlignment="1">
      <alignment horizontal="right"/>
    </xf>
    <xf numFmtId="38" fontId="87" fillId="6" borderId="0" xfId="1" applyNumberFormat="1" applyFont="1" applyFill="1" applyBorder="1" applyAlignment="1">
      <alignment horizontal="right"/>
    </xf>
    <xf numFmtId="37" fontId="0" fillId="0" borderId="0" xfId="0" applyNumberFormat="1" applyFont="1" applyAlignment="1">
      <alignment horizontal="center" vertical="center"/>
    </xf>
    <xf numFmtId="0" fontId="84" fillId="0" borderId="29" xfId="0" applyFont="1" applyFill="1" applyBorder="1" applyAlignment="1">
      <alignment horizontal="center" vertical="center"/>
    </xf>
    <xf numFmtId="0" fontId="105" fillId="0" borderId="0" xfId="0" applyFont="1" applyFill="1" applyAlignment="1">
      <alignment horizontal="left" vertical="center"/>
    </xf>
    <xf numFmtId="164" fontId="0" fillId="3" borderId="7" xfId="1" applyNumberFormat="1" applyFont="1" applyFill="1" applyBorder="1"/>
    <xf numFmtId="164" fontId="87" fillId="5" borderId="0" xfId="1" applyNumberFormat="1" applyFont="1" applyFill="1" applyBorder="1" applyAlignment="1">
      <alignment horizontal="right" vertical="center"/>
    </xf>
    <xf numFmtId="0" fontId="84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1" applyNumberFormat="1" applyFont="1"/>
    <xf numFmtId="0" fontId="93" fillId="5" borderId="0" xfId="0" applyFont="1" applyFill="1" applyBorder="1" applyAlignment="1"/>
    <xf numFmtId="38" fontId="97" fillId="5" borderId="0" xfId="0" applyNumberFormat="1" applyFont="1" applyFill="1" applyAlignment="1">
      <alignment horizontal="right"/>
    </xf>
    <xf numFmtId="164" fontId="0" fillId="0" borderId="7" xfId="1" applyNumberFormat="1" applyFont="1" applyFill="1" applyBorder="1"/>
    <xf numFmtId="0" fontId="0" fillId="5" borderId="0" xfId="0" applyFont="1" applyFill="1" applyBorder="1"/>
    <xf numFmtId="0" fontId="0" fillId="6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applyFont="1" applyFill="1" applyBorder="1"/>
    <xf numFmtId="0" fontId="97" fillId="0" borderId="0" xfId="0" applyFont="1" applyAlignment="1">
      <alignment horizontal="left" vertical="center"/>
    </xf>
    <xf numFmtId="0" fontId="84" fillId="0" borderId="0" xfId="0" applyFont="1" applyAlignment="1">
      <alignment horizontal="left"/>
    </xf>
    <xf numFmtId="0" fontId="105" fillId="5" borderId="0" xfId="0" applyFont="1" applyFill="1" applyBorder="1" applyAlignment="1">
      <alignment horizontal="left" vertical="center"/>
    </xf>
    <xf numFmtId="0" fontId="84" fillId="0" borderId="0" xfId="0" applyFont="1" applyBorder="1" applyAlignment="1">
      <alignment horizontal="center" vertical="center"/>
    </xf>
    <xf numFmtId="0" fontId="0" fillId="0" borderId="0" xfId="0" quotePrefix="1" applyFont="1"/>
    <xf numFmtId="37" fontId="0" fillId="0" borderId="0" xfId="0" applyNumberFormat="1" applyFont="1"/>
    <xf numFmtId="38" fontId="0" fillId="0" borderId="0" xfId="0" applyNumberFormat="1" applyFont="1"/>
    <xf numFmtId="0" fontId="0" fillId="5" borderId="1" xfId="0" applyFont="1" applyFill="1" applyBorder="1"/>
    <xf numFmtId="0" fontId="84" fillId="0" borderId="4" xfId="0" applyFont="1" applyFill="1" applyBorder="1" applyAlignment="1">
      <alignment horizontal="center" wrapText="1"/>
    </xf>
    <xf numFmtId="0" fontId="87" fillId="0" borderId="0" xfId="0" applyFont="1" applyFill="1" applyAlignment="1">
      <alignment vertical="center"/>
    </xf>
    <xf numFmtId="0" fontId="87" fillId="0" borderId="0" xfId="0" applyFont="1" applyBorder="1"/>
    <xf numFmtId="0" fontId="87" fillId="0" borderId="0" xfId="0" quotePrefix="1" applyFont="1" applyFill="1" applyAlignment="1">
      <alignment horizontal="right"/>
    </xf>
    <xf numFmtId="1" fontId="87" fillId="5" borderId="0" xfId="0" quotePrefix="1" applyNumberFormat="1" applyFont="1" applyFill="1" applyBorder="1" applyAlignment="1">
      <alignment horizontal="right" vertical="center"/>
    </xf>
    <xf numFmtId="0" fontId="0" fillId="0" borderId="17" xfId="0" applyFont="1" applyFill="1" applyBorder="1"/>
    <xf numFmtId="164" fontId="0" fillId="0" borderId="0" xfId="0" applyNumberFormat="1" applyFont="1" applyFill="1" applyBorder="1"/>
    <xf numFmtId="164" fontId="0" fillId="0" borderId="0" xfId="0" quotePrefix="1" applyNumberFormat="1" applyFont="1" applyFill="1" applyBorder="1"/>
    <xf numFmtId="0" fontId="93" fillId="0" borderId="0" xfId="0" applyFont="1" applyFill="1" applyBorder="1" applyAlignment="1"/>
    <xf numFmtId="0" fontId="87" fillId="5" borderId="17" xfId="0" applyFont="1" applyFill="1" applyBorder="1"/>
    <xf numFmtId="0" fontId="87" fillId="0" borderId="0" xfId="0" quotePrefix="1" applyFont="1"/>
    <xf numFmtId="37" fontId="0" fillId="2" borderId="15" xfId="1" applyNumberFormat="1" applyFont="1" applyFill="1" applyBorder="1" applyAlignment="1">
      <alignment horizontal="right"/>
    </xf>
    <xf numFmtId="37" fontId="0" fillId="0" borderId="15" xfId="1" applyNumberFormat="1" applyFont="1" applyFill="1" applyBorder="1" applyAlignment="1">
      <alignment horizontal="right"/>
    </xf>
    <xf numFmtId="37" fontId="0" fillId="3" borderId="15" xfId="1" applyNumberFormat="1" applyFont="1" applyFill="1" applyBorder="1" applyAlignment="1">
      <alignment horizontal="right"/>
    </xf>
    <xf numFmtId="37" fontId="0" fillId="0" borderId="15" xfId="1" applyNumberFormat="1" applyFont="1" applyBorder="1" applyAlignment="1">
      <alignment horizontal="right"/>
    </xf>
    <xf numFmtId="37" fontId="0" fillId="2" borderId="31" xfId="1" applyNumberFormat="1" applyFont="1" applyFill="1" applyBorder="1" applyAlignment="1">
      <alignment horizontal="right"/>
    </xf>
    <xf numFmtId="37" fontId="0" fillId="0" borderId="0" xfId="1" applyNumberFormat="1" applyFont="1" applyFill="1" applyBorder="1" applyAlignment="1">
      <alignment horizontal="right"/>
    </xf>
    <xf numFmtId="37" fontId="0" fillId="3" borderId="13" xfId="1" applyNumberFormat="1" applyFont="1" applyFill="1" applyBorder="1" applyAlignment="1">
      <alignment horizontal="right"/>
    </xf>
    <xf numFmtId="0" fontId="97" fillId="5" borderId="17" xfId="0" applyFont="1" applyFill="1" applyBorder="1" applyAlignment="1">
      <alignment horizontal="left" vertical="center"/>
    </xf>
    <xf numFmtId="0" fontId="93" fillId="0" borderId="0" xfId="0" applyFont="1" applyFill="1" applyAlignment="1">
      <alignment horizontal="left" vertical="center"/>
    </xf>
    <xf numFmtId="0" fontId="92" fillId="0" borderId="0" xfId="0" applyFont="1" applyAlignment="1">
      <alignment horizontal="left"/>
    </xf>
    <xf numFmtId="0" fontId="92" fillId="5" borderId="0" xfId="0" applyFont="1" applyFill="1" applyAlignment="1">
      <alignment horizontal="left"/>
    </xf>
    <xf numFmtId="37" fontId="87" fillId="0" borderId="0" xfId="1" applyNumberFormat="1" applyFont="1" applyFill="1" applyBorder="1" applyAlignment="1">
      <alignment horizontal="right"/>
    </xf>
    <xf numFmtId="0" fontId="98" fillId="5" borderId="0" xfId="0" applyFont="1" applyFill="1"/>
    <xf numFmtId="38" fontId="90" fillId="6" borderId="16" xfId="1" applyNumberFormat="1" applyFont="1" applyFill="1" applyBorder="1" applyAlignment="1">
      <alignment horizontal="right" vertical="center" wrapText="1"/>
    </xf>
    <xf numFmtId="1" fontId="97" fillId="0" borderId="0" xfId="0" applyNumberFormat="1" applyFont="1" applyAlignment="1">
      <alignment horizontal="right" vertical="center"/>
    </xf>
    <xf numFmtId="0" fontId="87" fillId="5" borderId="0" xfId="0" quotePrefix="1" applyFont="1" applyFill="1" applyAlignment="1">
      <alignment horizontal="right"/>
    </xf>
    <xf numFmtId="0" fontId="87" fillId="5" borderId="0" xfId="0" applyFont="1" applyFill="1" applyAlignment="1">
      <alignment horizontal="right"/>
    </xf>
    <xf numFmtId="164" fontId="102" fillId="3" borderId="7" xfId="1" applyNumberFormat="1" applyFont="1" applyFill="1" applyBorder="1"/>
    <xf numFmtId="164" fontId="83" fillId="0" borderId="6" xfId="1" applyNumberFormat="1" applyFont="1" applyFill="1" applyBorder="1"/>
    <xf numFmtId="164" fontId="102" fillId="0" borderId="7" xfId="1" applyNumberFormat="1" applyFont="1" applyFill="1" applyBorder="1"/>
    <xf numFmtId="164" fontId="0" fillId="5" borderId="8" xfId="1" applyNumberFormat="1" applyFont="1" applyFill="1" applyBorder="1"/>
    <xf numFmtId="164" fontId="0" fillId="5" borderId="9" xfId="1" applyNumberFormat="1" applyFont="1" applyFill="1" applyBorder="1"/>
    <xf numFmtId="1" fontId="97" fillId="7" borderId="0" xfId="0" applyNumberFormat="1" applyFont="1" applyFill="1" applyAlignment="1">
      <alignment horizontal="right" vertical="center"/>
    </xf>
    <xf numFmtId="38" fontId="97" fillId="7" borderId="0" xfId="0" applyNumberFormat="1" applyFont="1" applyFill="1" applyAlignment="1">
      <alignment horizontal="right"/>
    </xf>
    <xf numFmtId="1" fontId="97" fillId="0" borderId="0" xfId="0" applyNumberFormat="1" applyFont="1" applyFill="1" applyAlignment="1">
      <alignment horizontal="right" vertical="center"/>
    </xf>
    <xf numFmtId="38" fontId="97" fillId="0" borderId="0" xfId="0" applyNumberFormat="1" applyFont="1" applyFill="1" applyAlignment="1">
      <alignment horizontal="right"/>
    </xf>
    <xf numFmtId="164" fontId="110" fillId="6" borderId="0" xfId="0" applyNumberFormat="1" applyFont="1" applyFill="1"/>
    <xf numFmtId="164" fontId="0" fillId="0" borderId="15" xfId="1" applyNumberFormat="1" applyFont="1" applyBorder="1"/>
    <xf numFmtId="164" fontId="0" fillId="2" borderId="15" xfId="1" applyNumberFormat="1" applyFont="1" applyFill="1" applyBorder="1"/>
    <xf numFmtId="164" fontId="0" fillId="3" borderId="15" xfId="1" applyNumberFormat="1" applyFont="1" applyFill="1" applyBorder="1"/>
    <xf numFmtId="38" fontId="0" fillId="0" borderId="15" xfId="0" applyNumberFormat="1" applyFill="1" applyBorder="1"/>
    <xf numFmtId="37" fontId="0" fillId="2" borderId="30" xfId="1" applyNumberFormat="1" applyFont="1" applyFill="1" applyBorder="1"/>
    <xf numFmtId="37" fontId="0" fillId="2" borderId="0" xfId="1" applyNumberFormat="1" applyFont="1" applyFill="1" applyBorder="1"/>
    <xf numFmtId="37" fontId="0" fillId="0" borderId="6" xfId="1" applyNumberFormat="1" applyFont="1" applyBorder="1"/>
    <xf numFmtId="37" fontId="0" fillId="0" borderId="0" xfId="1" applyNumberFormat="1" applyFont="1" applyBorder="1"/>
    <xf numFmtId="37" fontId="0" fillId="2" borderId="6" xfId="1" applyNumberFormat="1" applyFont="1" applyFill="1" applyBorder="1"/>
    <xf numFmtId="37" fontId="0" fillId="2" borderId="8" xfId="1" applyNumberFormat="1" applyFont="1" applyFill="1" applyBorder="1"/>
    <xf numFmtId="37" fontId="0" fillId="2" borderId="14" xfId="1" applyNumberFormat="1" applyFont="1" applyFill="1" applyBorder="1"/>
    <xf numFmtId="37" fontId="0" fillId="2" borderId="18" xfId="0" applyNumberFormat="1" applyFont="1" applyFill="1" applyBorder="1"/>
    <xf numFmtId="37" fontId="0" fillId="2" borderId="30" xfId="0" applyNumberFormat="1" applyFont="1" applyFill="1" applyBorder="1"/>
    <xf numFmtId="37" fontId="0" fillId="0" borderId="15" xfId="0" applyNumberFormat="1" applyFont="1" applyBorder="1"/>
    <xf numFmtId="37" fontId="0" fillId="0" borderId="6" xfId="0" applyNumberFormat="1" applyFont="1" applyBorder="1"/>
    <xf numFmtId="37" fontId="0" fillId="2" borderId="15" xfId="0" applyNumberFormat="1" applyFont="1" applyFill="1" applyBorder="1"/>
    <xf numFmtId="37" fontId="0" fillId="2" borderId="6" xfId="0" applyNumberFormat="1" applyFont="1" applyFill="1" applyBorder="1"/>
    <xf numFmtId="37" fontId="0" fillId="2" borderId="31" xfId="0" applyNumberFormat="1" applyFont="1" applyFill="1" applyBorder="1"/>
    <xf numFmtId="37" fontId="0" fillId="2" borderId="8" xfId="0" applyNumberFormat="1" applyFont="1" applyFill="1" applyBorder="1"/>
    <xf numFmtId="37" fontId="0" fillId="2" borderId="7" xfId="0" applyNumberFormat="1" applyFill="1" applyBorder="1"/>
    <xf numFmtId="37" fontId="0" fillId="0" borderId="7" xfId="0" applyNumberFormat="1" applyFont="1" applyBorder="1"/>
    <xf numFmtId="37" fontId="0" fillId="2" borderId="7" xfId="0" applyNumberFormat="1" applyFont="1" applyFill="1" applyBorder="1"/>
    <xf numFmtId="37" fontId="0" fillId="2" borderId="9" xfId="0" applyNumberFormat="1" applyFont="1" applyFill="1" applyBorder="1"/>
    <xf numFmtId="37" fontId="0" fillId="0" borderId="18" xfId="0" applyNumberFormat="1" applyFont="1" applyBorder="1"/>
    <xf numFmtId="37" fontId="0" fillId="2" borderId="15" xfId="0" applyNumberFormat="1" applyFill="1" applyBorder="1"/>
    <xf numFmtId="37" fontId="0" fillId="2" borderId="0" xfId="0" applyNumberFormat="1" applyFont="1" applyFill="1" applyBorder="1"/>
    <xf numFmtId="37" fontId="0" fillId="0" borderId="0" xfId="0" applyNumberFormat="1" applyFont="1" applyBorder="1"/>
    <xf numFmtId="37" fontId="0" fillId="2" borderId="14" xfId="0" applyNumberFormat="1" applyFont="1" applyFill="1" applyBorder="1"/>
    <xf numFmtId="37" fontId="0" fillId="2" borderId="13" xfId="0" applyNumberFormat="1" applyFont="1" applyFill="1" applyBorder="1"/>
    <xf numFmtId="37" fontId="0" fillId="2" borderId="13" xfId="1" applyNumberFormat="1" applyFont="1" applyFill="1" applyBorder="1"/>
    <xf numFmtId="37" fontId="0" fillId="0" borderId="7" xfId="1" applyNumberFormat="1" applyFont="1" applyBorder="1"/>
    <xf numFmtId="37" fontId="0" fillId="2" borderId="7" xfId="1" applyNumberFormat="1" applyFont="1" applyFill="1" applyBorder="1"/>
    <xf numFmtId="37" fontId="0" fillId="2" borderId="9" xfId="1" applyNumberFormat="1" applyFont="1" applyFill="1" applyBorder="1"/>
    <xf numFmtId="164" fontId="96" fillId="0" borderId="0" xfId="1" applyNumberFormat="1" applyFont="1" applyBorder="1" applyAlignment="1">
      <alignment horizontal="right"/>
    </xf>
    <xf numFmtId="0" fontId="93" fillId="7" borderId="29" xfId="0" applyFont="1" applyFill="1" applyBorder="1" applyAlignment="1">
      <alignment wrapText="1"/>
    </xf>
    <xf numFmtId="0" fontId="93" fillId="0" borderId="0" xfId="0" applyFont="1" applyFill="1" applyBorder="1" applyAlignment="1">
      <alignment horizontal="right"/>
    </xf>
    <xf numFmtId="0" fontId="87" fillId="0" borderId="0" xfId="0" applyFont="1" applyFill="1" applyAlignment="1">
      <alignment horizontal="left" vertical="center" indent="2"/>
    </xf>
    <xf numFmtId="0" fontId="87" fillId="0" borderId="0" xfId="0" applyFont="1" applyFill="1" applyBorder="1" applyAlignment="1">
      <alignment horizontal="left" vertical="center" indent="2"/>
    </xf>
    <xf numFmtId="0" fontId="87" fillId="6" borderId="0" xfId="0" applyFont="1" applyFill="1" applyBorder="1" applyAlignment="1">
      <alignment horizontal="left" vertical="center" wrapText="1"/>
    </xf>
    <xf numFmtId="0" fontId="87" fillId="6" borderId="0" xfId="0" applyFont="1" applyFill="1" applyBorder="1" applyAlignment="1">
      <alignment horizontal="right" vertical="center" wrapText="1"/>
    </xf>
    <xf numFmtId="1" fontId="87" fillId="6" borderId="0" xfId="1" applyNumberFormat="1" applyFont="1" applyFill="1" applyBorder="1" applyAlignment="1">
      <alignment horizontal="right"/>
    </xf>
    <xf numFmtId="0" fontId="87" fillId="13" borderId="27" xfId="0" applyFont="1" applyFill="1" applyBorder="1" applyAlignment="1">
      <alignment horizontal="left" vertical="center" wrapText="1"/>
    </xf>
    <xf numFmtId="0" fontId="87" fillId="13" borderId="21" xfId="0" applyFont="1" applyFill="1" applyBorder="1" applyAlignment="1">
      <alignment horizontal="right" vertical="center" wrapText="1"/>
    </xf>
    <xf numFmtId="1" fontId="87" fillId="13" borderId="21" xfId="1" applyNumberFormat="1" applyFont="1" applyFill="1" applyBorder="1" applyAlignment="1">
      <alignment horizontal="right"/>
    </xf>
    <xf numFmtId="38" fontId="87" fillId="13" borderId="21" xfId="1" applyNumberFormat="1" applyFont="1" applyFill="1" applyBorder="1" applyAlignment="1">
      <alignment horizontal="right"/>
    </xf>
    <xf numFmtId="38" fontId="87" fillId="13" borderId="21" xfId="0" applyNumberFormat="1" applyFont="1" applyFill="1" applyBorder="1" applyAlignment="1">
      <alignment horizontal="right"/>
    </xf>
    <xf numFmtId="38" fontId="111" fillId="13" borderId="22" xfId="0" applyNumberFormat="1" applyFont="1" applyFill="1" applyBorder="1" applyAlignment="1">
      <alignment horizontal="right"/>
    </xf>
    <xf numFmtId="0" fontId="85" fillId="0" borderId="0" xfId="0" applyFont="1" applyAlignment="1">
      <alignment horizontal="center"/>
    </xf>
    <xf numFmtId="0" fontId="85" fillId="0" borderId="0" xfId="0" applyFont="1" applyAlignment="1">
      <alignment horizontal="right"/>
    </xf>
    <xf numFmtId="0" fontId="93" fillId="7" borderId="0" xfId="0" applyFont="1" applyFill="1"/>
    <xf numFmtId="0" fontId="97" fillId="7" borderId="0" xfId="0" applyFont="1" applyFill="1" applyAlignment="1">
      <alignment horizontal="right" vertical="center"/>
    </xf>
    <xf numFmtId="0" fontId="97" fillId="0" borderId="0" xfId="0" applyFont="1" applyFill="1" applyAlignment="1">
      <alignment horizontal="right" vertical="center"/>
    </xf>
    <xf numFmtId="0" fontId="93" fillId="0" borderId="0" xfId="0" applyFont="1" applyFill="1"/>
    <xf numFmtId="38" fontId="0" fillId="2" borderId="6" xfId="1" applyNumberFormat="1" applyFont="1" applyFill="1" applyBorder="1" applyAlignment="1">
      <alignment horizontal="right"/>
    </xf>
    <xf numFmtId="0" fontId="93" fillId="5" borderId="0" xfId="0" applyFont="1" applyFill="1"/>
    <xf numFmtId="0" fontId="86" fillId="0" borderId="33" xfId="0" applyFont="1" applyBorder="1" applyAlignment="1">
      <alignment horizontal="left" wrapText="1"/>
    </xf>
    <xf numFmtId="0" fontId="87" fillId="0" borderId="6" xfId="0" applyFont="1" applyFill="1" applyBorder="1" applyAlignment="1">
      <alignment wrapText="1"/>
    </xf>
    <xf numFmtId="0" fontId="87" fillId="3" borderId="6" xfId="0" applyFont="1" applyFill="1" applyBorder="1" applyAlignment="1">
      <alignment wrapText="1"/>
    </xf>
    <xf numFmtId="3" fontId="86" fillId="0" borderId="34" xfId="1" applyNumberFormat="1" applyFont="1" applyFill="1" applyBorder="1" applyAlignment="1">
      <alignment horizontal="right" vertical="center" wrapText="1"/>
    </xf>
    <xf numFmtId="0" fontId="86" fillId="0" borderId="35" xfId="0" applyFont="1" applyBorder="1" applyAlignment="1">
      <alignment horizontal="center" vertical="center"/>
    </xf>
    <xf numFmtId="0" fontId="86" fillId="0" borderId="32" xfId="0" applyFont="1" applyBorder="1"/>
    <xf numFmtId="0" fontId="86" fillId="0" borderId="32" xfId="0" applyFont="1" applyBorder="1" applyAlignment="1">
      <alignment horizontal="right"/>
    </xf>
    <xf numFmtId="0" fontId="86" fillId="0" borderId="36" xfId="0" applyFont="1" applyBorder="1" applyAlignment="1">
      <alignment horizontal="right"/>
    </xf>
    <xf numFmtId="3" fontId="87" fillId="0" borderId="28" xfId="1" applyNumberFormat="1" applyFont="1" applyFill="1" applyBorder="1" applyAlignment="1">
      <alignment horizontal="right" vertical="center" wrapText="1"/>
    </xf>
    <xf numFmtId="3" fontId="87" fillId="3" borderId="28" xfId="1" applyNumberFormat="1" applyFont="1" applyFill="1" applyBorder="1" applyAlignment="1">
      <alignment horizontal="right" vertical="center" wrapText="1"/>
    </xf>
    <xf numFmtId="3" fontId="86" fillId="0" borderId="37" xfId="1" applyNumberFormat="1" applyFont="1" applyFill="1" applyBorder="1" applyAlignment="1">
      <alignment horizontal="right" vertical="center" wrapText="1"/>
    </xf>
    <xf numFmtId="0" fontId="86" fillId="0" borderId="38" xfId="0" applyFont="1" applyBorder="1" applyAlignment="1">
      <alignment horizontal="left" wrapText="1"/>
    </xf>
    <xf numFmtId="0" fontId="86" fillId="0" borderId="36" xfId="0" applyFont="1" applyBorder="1"/>
    <xf numFmtId="0" fontId="92" fillId="0" borderId="0" xfId="0" applyFont="1"/>
    <xf numFmtId="0" fontId="92" fillId="5" borderId="0" xfId="0" applyFont="1" applyFill="1"/>
    <xf numFmtId="0" fontId="104" fillId="7" borderId="0" xfId="0" applyFont="1" applyFill="1" applyAlignment="1">
      <alignment horizontal="left" vertical="center"/>
    </xf>
    <xf numFmtId="38" fontId="97" fillId="0" borderId="17" xfId="0" applyNumberFormat="1" applyFont="1" applyFill="1" applyBorder="1" applyAlignment="1">
      <alignment horizontal="right"/>
    </xf>
    <xf numFmtId="0" fontId="93" fillId="0" borderId="0" xfId="0" applyFont="1"/>
    <xf numFmtId="38" fontId="97" fillId="0" borderId="0" xfId="0" applyNumberFormat="1" applyFont="1" applyFill="1" applyBorder="1" applyAlignment="1">
      <alignment horizontal="right"/>
    </xf>
    <xf numFmtId="0" fontId="93" fillId="0" borderId="0" xfId="0" applyFont="1" applyFill="1" applyBorder="1"/>
    <xf numFmtId="0" fontId="97" fillId="0" borderId="0" xfId="0" applyFont="1" applyFill="1" applyBorder="1" applyAlignment="1">
      <alignment horizontal="right" vertical="center"/>
    </xf>
    <xf numFmtId="0" fontId="87" fillId="0" borderId="0" xfId="0" applyFont="1" applyFill="1" applyAlignment="1">
      <alignment horizontal="right"/>
    </xf>
    <xf numFmtId="0" fontId="91" fillId="5" borderId="0" xfId="0" applyFont="1" applyFill="1"/>
    <xf numFmtId="49" fontId="87" fillId="0" borderId="0" xfId="0" applyNumberFormat="1" applyFont="1" applyFill="1" applyBorder="1"/>
    <xf numFmtId="38" fontId="87" fillId="0" borderId="0" xfId="1" applyNumberFormat="1" applyFont="1"/>
    <xf numFmtId="0" fontId="0" fillId="5" borderId="12" xfId="0" applyFont="1" applyFill="1" applyBorder="1"/>
    <xf numFmtId="164" fontId="0" fillId="5" borderId="12" xfId="0" applyNumberFormat="1" applyFont="1" applyFill="1" applyBorder="1"/>
    <xf numFmtId="164" fontId="0" fillId="5" borderId="12" xfId="0" quotePrefix="1" applyNumberFormat="1" applyFont="1" applyFill="1" applyBorder="1"/>
    <xf numFmtId="0" fontId="0" fillId="0" borderId="16" xfId="0" applyFont="1" applyBorder="1"/>
    <xf numFmtId="0" fontId="84" fillId="0" borderId="42" xfId="0" applyFont="1" applyBorder="1" applyAlignment="1">
      <alignment horizontal="center" wrapText="1"/>
    </xf>
    <xf numFmtId="37" fontId="0" fillId="0" borderId="0" xfId="1" applyNumberFormat="1" applyFont="1" applyBorder="1" applyAlignment="1">
      <alignment horizontal="right"/>
    </xf>
    <xf numFmtId="3" fontId="90" fillId="14" borderId="0" xfId="1" applyNumberFormat="1" applyFont="1" applyFill="1" applyBorder="1" applyAlignment="1">
      <alignment horizontal="right" vertical="center" wrapText="1"/>
    </xf>
    <xf numFmtId="0" fontId="93" fillId="0" borderId="0" xfId="0" applyFont="1" applyFill="1" applyAlignment="1"/>
    <xf numFmtId="38" fontId="114" fillId="0" borderId="16" xfId="0" applyNumberFormat="1" applyFont="1" applyBorder="1"/>
    <xf numFmtId="0" fontId="87" fillId="11" borderId="16" xfId="0" applyFont="1" applyFill="1" applyBorder="1"/>
    <xf numFmtId="0" fontId="84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1" fontId="87" fillId="5" borderId="0" xfId="1" quotePrefix="1" applyNumberFormat="1" applyFont="1" applyFill="1" applyAlignment="1">
      <alignment horizontal="right" vertical="center"/>
    </xf>
    <xf numFmtId="0" fontId="104" fillId="0" borderId="0" xfId="0" applyFont="1" applyFill="1" applyBorder="1" applyAlignment="1">
      <alignment horizontal="left" vertical="center"/>
    </xf>
    <xf numFmtId="1" fontId="97" fillId="0" borderId="0" xfId="0" applyNumberFormat="1" applyFont="1" applyFill="1" applyBorder="1" applyAlignment="1">
      <alignment horizontal="right" vertical="center"/>
    </xf>
    <xf numFmtId="0" fontId="97" fillId="0" borderId="0" xfId="0" applyFont="1" applyFill="1" applyBorder="1"/>
    <xf numFmtId="0" fontId="93" fillId="0" borderId="0" xfId="0" applyFont="1" applyBorder="1"/>
    <xf numFmtId="0" fontId="98" fillId="0" borderId="0" xfId="0" applyFont="1" applyFill="1" applyBorder="1" applyAlignment="1">
      <alignment horizontal="left" vertical="center"/>
    </xf>
    <xf numFmtId="164" fontId="87" fillId="5" borderId="0" xfId="1" applyNumberFormat="1" applyFont="1" applyFill="1" applyBorder="1"/>
    <xf numFmtId="0" fontId="84" fillId="0" borderId="43" xfId="0" applyFont="1" applyBorder="1" applyAlignment="1">
      <alignment horizontal="center" wrapText="1"/>
    </xf>
    <xf numFmtId="37" fontId="0" fillId="2" borderId="44" xfId="1" applyNumberFormat="1" applyFont="1" applyFill="1" applyBorder="1" applyAlignment="1">
      <alignment horizontal="right"/>
    </xf>
    <xf numFmtId="38" fontId="0" fillId="0" borderId="44" xfId="0" applyNumberFormat="1" applyFill="1" applyBorder="1"/>
    <xf numFmtId="37" fontId="0" fillId="0" borderId="44" xfId="1" applyNumberFormat="1" applyFont="1" applyBorder="1" applyAlignment="1">
      <alignment horizontal="right"/>
    </xf>
    <xf numFmtId="37" fontId="0" fillId="2" borderId="45" xfId="1" applyNumberFormat="1" applyFont="1" applyFill="1" applyBorder="1" applyAlignment="1">
      <alignment horizontal="right"/>
    </xf>
    <xf numFmtId="0" fontId="90" fillId="0" borderId="0" xfId="0" applyFont="1" applyFill="1" applyBorder="1"/>
    <xf numFmtId="0" fontId="90" fillId="0" borderId="15" xfId="0" applyFont="1" applyFill="1" applyBorder="1"/>
    <xf numFmtId="0" fontId="116" fillId="0" borderId="0" xfId="0" applyFont="1" applyFill="1" applyBorder="1"/>
    <xf numFmtId="0" fontId="97" fillId="0" borderId="0" xfId="0" applyFont="1" applyFill="1" applyBorder="1" applyAlignment="1"/>
    <xf numFmtId="37" fontId="0" fillId="0" borderId="12" xfId="1" applyNumberFormat="1" applyFont="1" applyBorder="1" applyAlignment="1">
      <alignment horizontal="right"/>
    </xf>
    <xf numFmtId="0" fontId="90" fillId="0" borderId="27" xfId="0" applyFont="1" applyFill="1" applyBorder="1"/>
    <xf numFmtId="37" fontId="0" fillId="0" borderId="0" xfId="0" applyNumberFormat="1"/>
    <xf numFmtId="37" fontId="0" fillId="0" borderId="0" xfId="0" applyNumberFormat="1" applyBorder="1"/>
    <xf numFmtId="0" fontId="98" fillId="0" borderId="0" xfId="0" applyFont="1" applyFill="1" applyBorder="1"/>
    <xf numFmtId="0" fontId="97" fillId="0" borderId="0" xfId="0" applyFont="1" applyFill="1" applyBorder="1" applyAlignment="1">
      <alignment horizontal="left" vertical="center"/>
    </xf>
    <xf numFmtId="0" fontId="92" fillId="0" borderId="0" xfId="0" applyFont="1" applyFill="1" applyBorder="1"/>
    <xf numFmtId="0" fontId="0" fillId="0" borderId="17" xfId="0" applyFont="1" applyBorder="1"/>
    <xf numFmtId="164" fontId="0" fillId="0" borderId="17" xfId="1" applyNumberFormat="1" applyFont="1" applyBorder="1"/>
    <xf numFmtId="0" fontId="0" fillId="6" borderId="17" xfId="0" applyFont="1" applyFill="1" applyBorder="1"/>
    <xf numFmtId="164" fontId="0" fillId="6" borderId="17" xfId="1" applyNumberFormat="1" applyFont="1" applyFill="1" applyBorder="1"/>
    <xf numFmtId="0" fontId="84" fillId="0" borderId="46" xfId="0" applyFont="1" applyBorder="1" applyAlignment="1">
      <alignment horizontal="center" vertical="center"/>
    </xf>
    <xf numFmtId="0" fontId="84" fillId="0" borderId="47" xfId="0" applyFont="1" applyBorder="1" applyAlignment="1">
      <alignment horizontal="center" vertical="center"/>
    </xf>
    <xf numFmtId="0" fontId="0" fillId="6" borderId="20" xfId="0" applyFont="1" applyFill="1" applyBorder="1"/>
    <xf numFmtId="164" fontId="0" fillId="6" borderId="41" xfId="1" applyNumberFormat="1" applyFont="1" applyFill="1" applyBorder="1"/>
    <xf numFmtId="0" fontId="0" fillId="0" borderId="15" xfId="0" applyFont="1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0" fontId="0" fillId="0" borderId="20" xfId="0" applyFont="1" applyBorder="1"/>
    <xf numFmtId="164" fontId="0" fillId="0" borderId="41" xfId="1" applyNumberFormat="1" applyFont="1" applyBorder="1"/>
    <xf numFmtId="0" fontId="117" fillId="0" borderId="18" xfId="0" applyFont="1" applyBorder="1"/>
    <xf numFmtId="0" fontId="119" fillId="0" borderId="1" xfId="3" applyFont="1" applyFill="1" applyBorder="1"/>
    <xf numFmtId="0" fontId="119" fillId="0" borderId="1" xfId="3" applyFont="1" applyBorder="1"/>
    <xf numFmtId="38" fontId="87" fillId="1" borderId="0" xfId="1" applyNumberFormat="1" applyFont="1" applyFill="1" applyAlignment="1">
      <alignment horizontal="right"/>
    </xf>
    <xf numFmtId="38" fontId="87" fillId="0" borderId="16" xfId="1" applyNumberFormat="1" applyFont="1" applyBorder="1"/>
    <xf numFmtId="38" fontId="87" fillId="0" borderId="17" xfId="1" applyNumberFormat="1" applyFont="1" applyBorder="1"/>
    <xf numFmtId="38" fontId="87" fillId="0" borderId="30" xfId="0" applyNumberFormat="1" applyFont="1" applyBorder="1"/>
    <xf numFmtId="0" fontId="84" fillId="0" borderId="0" xfId="0" applyFont="1" applyFill="1" applyBorder="1" applyAlignment="1">
      <alignment horizontal="center" vertical="center"/>
    </xf>
    <xf numFmtId="37" fontId="0" fillId="0" borderId="16" xfId="1" applyNumberFormat="1" applyFont="1" applyBorder="1" applyAlignment="1">
      <alignment horizontal="right"/>
    </xf>
    <xf numFmtId="38" fontId="87" fillId="0" borderId="16" xfId="1" applyNumberFormat="1" applyFont="1" applyFill="1" applyBorder="1" applyAlignment="1">
      <alignment horizontal="right"/>
    </xf>
    <xf numFmtId="0" fontId="118" fillId="0" borderId="1" xfId="3" applyBorder="1"/>
    <xf numFmtId="0" fontId="118" fillId="0" borderId="1" xfId="3" applyFill="1" applyBorder="1"/>
    <xf numFmtId="0" fontId="84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0" fontId="84" fillId="0" borderId="35" xfId="0" applyFont="1" applyBorder="1" applyAlignment="1">
      <alignment horizontal="center" vertical="center"/>
    </xf>
    <xf numFmtId="38" fontId="87" fillId="0" borderId="15" xfId="1" applyNumberFormat="1" applyFont="1" applyFill="1" applyBorder="1" applyAlignment="1">
      <alignment horizontal="right"/>
    </xf>
    <xf numFmtId="0" fontId="87" fillId="0" borderId="16" xfId="0" applyFont="1" applyFill="1" applyBorder="1" applyAlignment="1">
      <alignment horizontal="right" vertical="center"/>
    </xf>
    <xf numFmtId="1" fontId="87" fillId="0" borderId="16" xfId="1" applyNumberFormat="1" applyFont="1" applyFill="1" applyBorder="1" applyAlignment="1">
      <alignment horizontal="right" vertical="center"/>
    </xf>
    <xf numFmtId="0" fontId="93" fillId="0" borderId="17" xfId="0" applyFont="1" applyFill="1" applyBorder="1"/>
    <xf numFmtId="164" fontId="110" fillId="0" borderId="0" xfId="0" applyNumberFormat="1" applyFont="1" applyFill="1"/>
    <xf numFmtId="0" fontId="101" fillId="5" borderId="0" xfId="0" applyFont="1" applyFill="1" applyAlignment="1">
      <alignment horizontal="left" vertical="center"/>
    </xf>
    <xf numFmtId="38" fontId="0" fillId="2" borderId="15" xfId="1" applyNumberFormat="1" applyFont="1" applyFill="1" applyBorder="1" applyAlignment="1">
      <alignment horizontal="right"/>
    </xf>
    <xf numFmtId="38" fontId="0" fillId="2" borderId="7" xfId="1" applyNumberFormat="1" applyFont="1" applyFill="1" applyBorder="1" applyAlignment="1">
      <alignment horizontal="right"/>
    </xf>
    <xf numFmtId="164" fontId="110" fillId="0" borderId="0" xfId="1" applyNumberFormat="1" applyFont="1"/>
    <xf numFmtId="37" fontId="110" fillId="0" borderId="0" xfId="0" applyNumberFormat="1" applyFont="1"/>
    <xf numFmtId="37" fontId="0" fillId="0" borderId="13" xfId="0" applyNumberFormat="1" applyFont="1" applyBorder="1"/>
    <xf numFmtId="0" fontId="84" fillId="0" borderId="0" xfId="0" applyFont="1" applyFill="1" applyAlignment="1">
      <alignment horizontal="right"/>
    </xf>
    <xf numFmtId="37" fontId="0" fillId="0" borderId="31" xfId="1" applyNumberFormat="1" applyFont="1" applyFill="1" applyBorder="1" applyAlignment="1">
      <alignment horizontal="right"/>
    </xf>
    <xf numFmtId="0" fontId="84" fillId="0" borderId="48" xfId="0" applyFont="1" applyBorder="1" applyAlignment="1">
      <alignment horizontal="center" wrapText="1"/>
    </xf>
    <xf numFmtId="37" fontId="0" fillId="2" borderId="11" xfId="1" applyNumberFormat="1" applyFont="1" applyFill="1" applyBorder="1" applyAlignment="1">
      <alignment horizontal="right"/>
    </xf>
    <xf numFmtId="37" fontId="0" fillId="0" borderId="11" xfId="1" applyNumberFormat="1" applyFont="1" applyFill="1" applyBorder="1" applyAlignment="1">
      <alignment horizontal="right"/>
    </xf>
    <xf numFmtId="37" fontId="0" fillId="0" borderId="49" xfId="1" applyNumberFormat="1" applyFont="1" applyFill="1" applyBorder="1" applyAlignment="1">
      <alignment horizontal="right"/>
    </xf>
    <xf numFmtId="0" fontId="84" fillId="0" borderId="50" xfId="0" applyFont="1" applyBorder="1" applyAlignment="1">
      <alignment horizontal="center" wrapText="1"/>
    </xf>
    <xf numFmtId="37" fontId="90" fillId="0" borderId="0" xfId="0" applyNumberFormat="1" applyFont="1"/>
    <xf numFmtId="37" fontId="110" fillId="0" borderId="0" xfId="0" applyNumberFormat="1" applyFont="1" applyFill="1" applyBorder="1"/>
    <xf numFmtId="164" fontId="110" fillId="0" borderId="0" xfId="1" applyNumberFormat="1" applyFont="1" applyFill="1" applyBorder="1"/>
    <xf numFmtId="10" fontId="110" fillId="0" borderId="0" xfId="2" applyNumberFormat="1" applyFont="1" applyFill="1" applyBorder="1"/>
    <xf numFmtId="0" fontId="87" fillId="13" borderId="0" xfId="0" applyFont="1" applyFill="1" applyAlignment="1">
      <alignment horizontal="left" vertical="center"/>
    </xf>
    <xf numFmtId="0" fontId="87" fillId="13" borderId="0" xfId="0" applyFont="1" applyFill="1" applyAlignment="1">
      <alignment horizontal="right" vertical="center"/>
    </xf>
    <xf numFmtId="1" fontId="87" fillId="13" borderId="0" xfId="0" applyNumberFormat="1" applyFont="1" applyFill="1" applyAlignment="1">
      <alignment horizontal="right" vertical="center"/>
    </xf>
    <xf numFmtId="38" fontId="87" fillId="13" borderId="0" xfId="0" applyNumberFormat="1" applyFont="1" applyFill="1" applyAlignment="1">
      <alignment horizontal="right"/>
    </xf>
    <xf numFmtId="0" fontId="87" fillId="13" borderId="0" xfId="0" applyFont="1" applyFill="1"/>
    <xf numFmtId="0" fontId="0" fillId="13" borderId="0" xfId="0" applyFont="1" applyFill="1"/>
    <xf numFmtId="164" fontId="87" fillId="13" borderId="0" xfId="1" applyNumberFormat="1" applyFont="1" applyFill="1" applyAlignment="1">
      <alignment horizontal="right" vertical="center"/>
    </xf>
    <xf numFmtId="1" fontId="87" fillId="13" borderId="0" xfId="1" applyNumberFormat="1" applyFont="1" applyFill="1" applyAlignment="1">
      <alignment horizontal="right" vertical="center"/>
    </xf>
    <xf numFmtId="38" fontId="87" fillId="13" borderId="0" xfId="1" applyNumberFormat="1" applyFont="1" applyFill="1" applyAlignment="1">
      <alignment horizontal="right"/>
    </xf>
    <xf numFmtId="38" fontId="87" fillId="13" borderId="16" xfId="0" applyNumberFormat="1" applyFont="1" applyFill="1" applyBorder="1" applyAlignment="1">
      <alignment horizontal="right"/>
    </xf>
    <xf numFmtId="0" fontId="101" fillId="13" borderId="0" xfId="0" applyFont="1" applyFill="1" applyAlignment="1">
      <alignment horizontal="left" vertical="center"/>
    </xf>
    <xf numFmtId="0" fontId="0" fillId="6" borderId="27" xfId="0" applyFont="1" applyFill="1" applyBorder="1"/>
    <xf numFmtId="164" fontId="0" fillId="6" borderId="21" xfId="0" applyNumberFormat="1" applyFont="1" applyFill="1" applyBorder="1"/>
    <xf numFmtId="38" fontId="87" fillId="0" borderId="0" xfId="1" applyNumberFormat="1" applyFont="1" applyBorder="1"/>
    <xf numFmtId="38" fontId="87" fillId="0" borderId="0" xfId="1" applyNumberFormat="1" applyFont="1" applyFill="1" applyBorder="1"/>
    <xf numFmtId="38" fontId="90" fillId="0" borderId="0" xfId="0" applyNumberFormat="1" applyFont="1"/>
    <xf numFmtId="38" fontId="87" fillId="0" borderId="6" xfId="0" applyNumberFormat="1" applyFont="1" applyBorder="1"/>
    <xf numFmtId="164" fontId="87" fillId="0" borderId="16" xfId="1" applyNumberFormat="1" applyFont="1" applyFill="1" applyBorder="1" applyAlignment="1">
      <alignment horizontal="right" vertical="center"/>
    </xf>
    <xf numFmtId="0" fontId="122" fillId="0" borderId="0" xfId="0" applyFont="1" applyBorder="1" applyAlignment="1">
      <alignment horizontal="right"/>
    </xf>
    <xf numFmtId="37" fontId="122" fillId="0" borderId="0" xfId="0" applyNumberFormat="1" applyFont="1" applyFill="1" applyBorder="1" applyAlignment="1">
      <alignment horizontal="left"/>
    </xf>
    <xf numFmtId="0" fontId="84" fillId="6" borderId="39" xfId="0" applyFont="1" applyFill="1" applyBorder="1" applyAlignment="1">
      <alignment horizontal="center"/>
    </xf>
    <xf numFmtId="0" fontId="82" fillId="0" borderId="0" xfId="0" applyFont="1" applyFill="1" applyAlignment="1">
      <alignment horizontal="left" vertical="center"/>
    </xf>
    <xf numFmtId="0" fontId="82" fillId="0" borderId="0" xfId="0" applyFont="1" applyFill="1"/>
    <xf numFmtId="0" fontId="84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0" fontId="113" fillId="0" borderId="14" xfId="0" applyFont="1" applyFill="1" applyBorder="1" applyAlignment="1"/>
    <xf numFmtId="0" fontId="0" fillId="0" borderId="0" xfId="0" applyFont="1" applyAlignment="1"/>
    <xf numFmtId="0" fontId="0" fillId="0" borderId="0" xfId="0" quotePrefix="1" applyFont="1" applyAlignment="1">
      <alignment horizontal="center"/>
    </xf>
    <xf numFmtId="0" fontId="97" fillId="5" borderId="0" xfId="0" applyFont="1" applyFill="1" applyBorder="1" applyAlignment="1">
      <alignment horizontal="left" vertical="center"/>
    </xf>
    <xf numFmtId="38" fontId="87" fillId="5" borderId="0" xfId="0" applyNumberFormat="1" applyFont="1" applyFill="1" applyBorder="1" applyAlignment="1">
      <alignment horizontal="right" vertical="center"/>
    </xf>
    <xf numFmtId="38" fontId="86" fillId="5" borderId="0" xfId="0" applyNumberFormat="1" applyFont="1" applyFill="1" applyBorder="1" applyAlignment="1">
      <alignment horizontal="right" vertical="center"/>
    </xf>
    <xf numFmtId="0" fontId="98" fillId="15" borderId="0" xfId="0" applyFont="1" applyFill="1" applyAlignment="1">
      <alignment horizontal="left" vertical="center"/>
    </xf>
    <xf numFmtId="0" fontId="80" fillId="0" borderId="0" xfId="0" applyFont="1"/>
    <xf numFmtId="0" fontId="105" fillId="0" borderId="0" xfId="0" applyFont="1" applyAlignment="1">
      <alignment horizontal="left" vertical="center"/>
    </xf>
    <xf numFmtId="0" fontId="105" fillId="5" borderId="0" xfId="0" applyFont="1" applyFill="1" applyAlignment="1">
      <alignment horizontal="left" vertical="center"/>
    </xf>
    <xf numFmtId="0" fontId="91" fillId="5" borderId="0" xfId="0" applyFont="1" applyFill="1" applyBorder="1"/>
    <xf numFmtId="38" fontId="87" fillId="5" borderId="17" xfId="0" applyNumberFormat="1" applyFont="1" applyFill="1" applyBorder="1"/>
    <xf numFmtId="0" fontId="107" fillId="11" borderId="18" xfId="0" applyFont="1" applyFill="1" applyBorder="1" applyAlignment="1">
      <alignment horizontal="left"/>
    </xf>
    <xf numFmtId="0" fontId="84" fillId="11" borderId="16" xfId="0" applyFont="1" applyFill="1" applyBorder="1" applyAlignment="1">
      <alignment horizontal="center" vertical="center"/>
    </xf>
    <xf numFmtId="38" fontId="87" fillId="11" borderId="16" xfId="0" applyNumberFormat="1" applyFont="1" applyFill="1" applyBorder="1"/>
    <xf numFmtId="38" fontId="0" fillId="11" borderId="19" xfId="0" applyNumberFormat="1" applyFont="1" applyFill="1" applyBorder="1" applyAlignment="1">
      <alignment horizontal="right" vertical="center"/>
    </xf>
    <xf numFmtId="0" fontId="101" fillId="0" borderId="0" xfId="0" applyFont="1" applyFill="1" applyBorder="1" applyAlignment="1">
      <alignment horizontal="left" vertical="center"/>
    </xf>
    <xf numFmtId="0" fontId="80" fillId="0" borderId="0" xfId="0" applyFont="1" applyFill="1" applyAlignment="1">
      <alignment horizontal="left" vertical="center"/>
    </xf>
    <xf numFmtId="0" fontId="121" fillId="0" borderId="0" xfId="0" applyFont="1" applyBorder="1" applyAlignment="1">
      <alignment horizontal="right"/>
    </xf>
    <xf numFmtId="37" fontId="121" fillId="0" borderId="0" xfId="0" applyNumberFormat="1" applyFont="1" applyFill="1" applyBorder="1" applyAlignment="1">
      <alignment horizontal="center"/>
    </xf>
    <xf numFmtId="0" fontId="104" fillId="0" borderId="0" xfId="0" applyFont="1" applyAlignment="1">
      <alignment horizontal="left" vertical="center"/>
    </xf>
    <xf numFmtId="38" fontId="80" fillId="0" borderId="0" xfId="0" applyNumberFormat="1" applyFont="1" applyFill="1" applyAlignment="1">
      <alignment horizontal="right"/>
    </xf>
    <xf numFmtId="0" fontId="80" fillId="0" borderId="0" xfId="0" applyFont="1" applyFill="1"/>
    <xf numFmtId="0" fontId="80" fillId="0" borderId="0" xfId="0" applyFont="1" applyFill="1" applyAlignment="1">
      <alignment horizontal="right" vertical="center"/>
    </xf>
    <xf numFmtId="1" fontId="80" fillId="0" borderId="0" xfId="0" applyNumberFormat="1" applyFont="1" applyFill="1" applyAlignment="1">
      <alignment horizontal="right" vertical="center"/>
    </xf>
    <xf numFmtId="38" fontId="80" fillId="0" borderId="0" xfId="0" applyNumberFormat="1" applyFont="1" applyFill="1"/>
    <xf numFmtId="37" fontId="0" fillId="5" borderId="8" xfId="1" applyNumberFormat="1" applyFont="1" applyFill="1" applyBorder="1" applyAlignment="1">
      <alignment horizontal="right"/>
    </xf>
    <xf numFmtId="38" fontId="87" fillId="0" borderId="11" xfId="0" applyNumberFormat="1" applyFont="1" applyFill="1" applyBorder="1" applyAlignment="1">
      <alignment horizontal="right"/>
    </xf>
    <xf numFmtId="0" fontId="113" fillId="5" borderId="51" xfId="0" applyFont="1" applyFill="1" applyBorder="1"/>
    <xf numFmtId="164" fontId="87" fillId="5" borderId="51" xfId="1" applyNumberFormat="1" applyFont="1" applyFill="1" applyBorder="1" applyAlignment="1">
      <alignment horizontal="right" vertical="center"/>
    </xf>
    <xf numFmtId="38" fontId="87" fillId="0" borderId="12" xfId="0" applyNumberFormat="1" applyFont="1" applyFill="1" applyBorder="1" applyAlignment="1">
      <alignment horizontal="right"/>
    </xf>
    <xf numFmtId="37" fontId="0" fillId="5" borderId="31" xfId="1" applyNumberFormat="1" applyFont="1" applyFill="1" applyBorder="1" applyAlignment="1">
      <alignment horizontal="right"/>
    </xf>
    <xf numFmtId="37" fontId="0" fillId="5" borderId="9" xfId="1" applyNumberFormat="1" applyFont="1" applyFill="1" applyBorder="1" applyAlignment="1">
      <alignment horizontal="right"/>
    </xf>
    <xf numFmtId="0" fontId="81" fillId="0" borderId="0" xfId="0" applyFont="1" applyFill="1" applyAlignment="1">
      <alignment horizontal="left" vertical="center"/>
    </xf>
    <xf numFmtId="0" fontId="91" fillId="0" borderId="0" xfId="0" applyFont="1" applyFill="1"/>
    <xf numFmtId="0" fontId="0" fillId="0" borderId="0" xfId="0" applyFont="1" applyAlignment="1">
      <alignment horizontal="center"/>
    </xf>
    <xf numFmtId="0" fontId="79" fillId="0" borderId="0" xfId="0" applyFont="1"/>
    <xf numFmtId="0" fontId="91" fillId="0" borderId="0" xfId="0" applyFont="1" applyFill="1" applyBorder="1" applyAlignment="1">
      <alignment horizontal="left"/>
    </xf>
    <xf numFmtId="1" fontId="87" fillId="5" borderId="0" xfId="1" applyNumberFormat="1" applyFont="1" applyFill="1" applyAlignment="1">
      <alignment horizontal="right"/>
    </xf>
    <xf numFmtId="0" fontId="78" fillId="5" borderId="0" xfId="0" applyFont="1" applyFill="1"/>
    <xf numFmtId="0" fontId="78" fillId="0" borderId="0" xfId="0" applyFont="1" applyFill="1" applyAlignment="1">
      <alignment horizontal="left" vertical="center"/>
    </xf>
    <xf numFmtId="38" fontId="81" fillId="0" borderId="0" xfId="0" applyNumberFormat="1" applyFont="1" applyFill="1"/>
    <xf numFmtId="0" fontId="93" fillId="5" borderId="17" xfId="0" applyFont="1" applyFill="1" applyBorder="1"/>
    <xf numFmtId="0" fontId="87" fillId="5" borderId="17" xfId="0" applyFont="1" applyFill="1" applyBorder="1" applyAlignment="1">
      <alignment horizontal="right"/>
    </xf>
    <xf numFmtId="0" fontId="87" fillId="0" borderId="0" xfId="0" quotePrefix="1" applyFont="1" applyFill="1" applyBorder="1" applyAlignment="1">
      <alignment horizontal="right" vertical="center"/>
    </xf>
    <xf numFmtId="38" fontId="87" fillId="0" borderId="0" xfId="1" applyNumberFormat="1" applyFont="1" applyFill="1" applyAlignment="1">
      <alignment horizontal="right" vertical="center"/>
    </xf>
    <xf numFmtId="164" fontId="77" fillId="0" borderId="0" xfId="1" applyNumberFormat="1" applyFont="1" applyFill="1" applyAlignment="1">
      <alignment horizontal="right" vertical="center"/>
    </xf>
    <xf numFmtId="0" fontId="123" fillId="0" borderId="0" xfId="0" applyFont="1" applyFill="1" applyBorder="1"/>
    <xf numFmtId="0" fontId="124" fillId="0" borderId="0" xfId="0" applyFont="1" applyFill="1" applyBorder="1"/>
    <xf numFmtId="38" fontId="124" fillId="0" borderId="0" xfId="0" applyNumberFormat="1" applyFont="1" applyFill="1" applyBorder="1"/>
    <xf numFmtId="0" fontId="124" fillId="0" borderId="0" xfId="0" quotePrefix="1" applyFont="1" applyFill="1" applyBorder="1" applyAlignment="1">
      <alignment horizontal="right"/>
    </xf>
    <xf numFmtId="38" fontId="124" fillId="0" borderId="0" xfId="1" applyNumberFormat="1" applyFont="1" applyFill="1" applyBorder="1" applyAlignment="1">
      <alignment horizontal="right"/>
    </xf>
    <xf numFmtId="0" fontId="123" fillId="0" borderId="0" xfId="0" applyFont="1" applyFill="1" applyBorder="1" applyAlignment="1">
      <alignment horizontal="right"/>
    </xf>
    <xf numFmtId="0" fontId="108" fillId="0" borderId="14" xfId="0" applyFont="1" applyFill="1" applyBorder="1"/>
    <xf numFmtId="0" fontId="97" fillId="5" borderId="17" xfId="0" quotePrefix="1" applyFont="1" applyFill="1" applyBorder="1" applyAlignment="1">
      <alignment horizontal="left" vertical="center"/>
    </xf>
    <xf numFmtId="37" fontId="0" fillId="3" borderId="25" xfId="1" applyNumberFormat="1" applyFont="1" applyFill="1" applyBorder="1" applyAlignment="1">
      <alignment horizontal="right"/>
    </xf>
    <xf numFmtId="0" fontId="0" fillId="0" borderId="0" xfId="0" quotePrefix="1" applyFont="1" applyFill="1" applyAlignment="1">
      <alignment horizontal="center"/>
    </xf>
    <xf numFmtId="1" fontId="97" fillId="5" borderId="0" xfId="0" applyNumberFormat="1" applyFont="1" applyFill="1" applyBorder="1" applyAlignment="1">
      <alignment horizontal="right" vertical="center"/>
    </xf>
    <xf numFmtId="38" fontId="97" fillId="5" borderId="0" xfId="0" applyNumberFormat="1" applyFont="1" applyFill="1" applyBorder="1" applyAlignment="1">
      <alignment horizontal="right"/>
    </xf>
    <xf numFmtId="0" fontId="93" fillId="5" borderId="0" xfId="0" applyFont="1" applyFill="1" applyBorder="1"/>
    <xf numFmtId="38" fontId="120" fillId="5" borderId="0" xfId="0" applyNumberFormat="1" applyFont="1" applyFill="1" applyBorder="1" applyAlignment="1">
      <alignment horizontal="right"/>
    </xf>
    <xf numFmtId="0" fontId="76" fillId="0" borderId="0" xfId="0" applyFont="1"/>
    <xf numFmtId="37" fontId="0" fillId="0" borderId="1" xfId="1" applyNumberFormat="1" applyFont="1" applyBorder="1" applyAlignment="1">
      <alignment horizontal="right"/>
    </xf>
    <xf numFmtId="0" fontId="75" fillId="0" borderId="6" xfId="0" applyFont="1" applyFill="1" applyBorder="1" applyAlignment="1">
      <alignment wrapText="1"/>
    </xf>
    <xf numFmtId="0" fontId="75" fillId="3" borderId="1" xfId="0" applyFont="1" applyFill="1" applyBorder="1" applyAlignment="1">
      <alignment horizontal="left" wrapText="1"/>
    </xf>
    <xf numFmtId="0" fontId="94" fillId="6" borderId="0" xfId="0" applyFont="1" applyFill="1"/>
    <xf numFmtId="0" fontId="84" fillId="0" borderId="0" xfId="0" applyFont="1" applyAlignment="1">
      <alignment horizontal="center"/>
    </xf>
    <xf numFmtId="164" fontId="96" fillId="0" borderId="0" xfId="1" quotePrefix="1" applyNumberFormat="1" applyFont="1" applyBorder="1" applyAlignment="1">
      <alignment horizontal="right"/>
    </xf>
    <xf numFmtId="0" fontId="74" fillId="0" borderId="0" xfId="0" applyFont="1"/>
    <xf numFmtId="0" fontId="73" fillId="0" borderId="0" xfId="0" applyFont="1" applyAlignment="1">
      <alignment horizontal="center"/>
    </xf>
    <xf numFmtId="0" fontId="72" fillId="0" borderId="0" xfId="0" applyFont="1"/>
    <xf numFmtId="0" fontId="71" fillId="0" borderId="0" xfId="0" applyFont="1" applyFill="1" applyAlignment="1">
      <alignment horizontal="left" vertical="center"/>
    </xf>
    <xf numFmtId="0" fontId="124" fillId="0" borderId="0" xfId="0" applyFont="1" applyFill="1" applyBorder="1" applyAlignment="1">
      <alignment horizontal="right" vertical="center"/>
    </xf>
    <xf numFmtId="1" fontId="70" fillId="5" borderId="0" xfId="0" quotePrefix="1" applyNumberFormat="1" applyFont="1" applyFill="1" applyAlignment="1">
      <alignment horizontal="right" vertical="center"/>
    </xf>
    <xf numFmtId="1" fontId="76" fillId="5" borderId="0" xfId="0" applyNumberFormat="1" applyFont="1" applyFill="1" applyAlignment="1">
      <alignment horizontal="right" vertical="center"/>
    </xf>
    <xf numFmtId="0" fontId="69" fillId="0" borderId="0" xfId="0" applyFont="1" applyFill="1" applyAlignment="1">
      <alignment horizontal="left" vertical="center"/>
    </xf>
    <xf numFmtId="1" fontId="68" fillId="0" borderId="0" xfId="0" quotePrefix="1" applyNumberFormat="1" applyFont="1" applyFill="1" applyBorder="1" applyAlignment="1">
      <alignment horizontal="right" vertical="center"/>
    </xf>
    <xf numFmtId="38" fontId="68" fillId="0" borderId="0" xfId="0" applyNumberFormat="1" applyFont="1" applyFill="1" applyBorder="1" applyAlignment="1">
      <alignment horizontal="right"/>
    </xf>
    <xf numFmtId="0" fontId="124" fillId="5" borderId="0" xfId="0" applyFont="1" applyFill="1" applyBorder="1" applyAlignment="1">
      <alignment horizontal="right" vertical="center"/>
    </xf>
    <xf numFmtId="1" fontId="68" fillId="5" borderId="0" xfId="0" applyNumberFormat="1" applyFont="1" applyFill="1" applyBorder="1" applyAlignment="1">
      <alignment horizontal="right" vertical="center"/>
    </xf>
    <xf numFmtId="38" fontId="68" fillId="5" borderId="0" xfId="0" applyNumberFormat="1" applyFont="1" applyFill="1" applyBorder="1" applyAlignment="1">
      <alignment horizontal="right"/>
    </xf>
    <xf numFmtId="1" fontId="124" fillId="5" borderId="0" xfId="0" applyNumberFormat="1" applyFont="1" applyFill="1" applyBorder="1" applyAlignment="1">
      <alignment horizontal="right" vertical="center"/>
    </xf>
    <xf numFmtId="38" fontId="124" fillId="5" borderId="0" xfId="0" applyNumberFormat="1" applyFont="1" applyFill="1" applyBorder="1" applyAlignment="1">
      <alignment horizontal="right"/>
    </xf>
    <xf numFmtId="0" fontId="93" fillId="7" borderId="0" xfId="0" applyFont="1" applyFill="1" applyBorder="1"/>
    <xf numFmtId="0" fontId="68" fillId="5" borderId="0" xfId="0" applyFont="1" applyFill="1" applyBorder="1" applyAlignment="1">
      <alignment horizontal="center" vertical="center"/>
    </xf>
    <xf numFmtId="38" fontId="68" fillId="0" borderId="0" xfId="1" applyNumberFormat="1" applyFont="1" applyFill="1" applyBorder="1"/>
    <xf numFmtId="38" fontId="68" fillId="0" borderId="0" xfId="0" applyNumberFormat="1" applyFont="1" applyFill="1" applyAlignment="1">
      <alignment horizontal="right"/>
    </xf>
    <xf numFmtId="38" fontId="68" fillId="0" borderId="0" xfId="1" quotePrefix="1" applyNumberFormat="1" applyFont="1" applyFill="1" applyAlignment="1">
      <alignment horizontal="right"/>
    </xf>
    <xf numFmtId="38" fontId="67" fillId="0" borderId="0" xfId="0" applyNumberFormat="1" applyFont="1" applyFill="1" applyAlignment="1">
      <alignment horizontal="right"/>
    </xf>
    <xf numFmtId="38" fontId="66" fillId="0" borderId="0" xfId="0" applyNumberFormat="1" applyFont="1" applyFill="1" applyAlignment="1">
      <alignment horizontal="right"/>
    </xf>
    <xf numFmtId="0" fontId="9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84" fillId="0" borderId="4" xfId="0" applyFont="1" applyBorder="1" applyAlignment="1">
      <alignment horizontal="center" vertical="center" wrapText="1"/>
    </xf>
    <xf numFmtId="0" fontId="84" fillId="0" borderId="42" xfId="0" applyFont="1" applyBorder="1" applyAlignment="1">
      <alignment horizontal="center" vertical="center" wrapText="1"/>
    </xf>
    <xf numFmtId="0" fontId="84" fillId="0" borderId="23" xfId="0" applyFont="1" applyBorder="1" applyAlignment="1">
      <alignment horizontal="center" vertical="center" wrapText="1"/>
    </xf>
    <xf numFmtId="0" fontId="65" fillId="0" borderId="0" xfId="0" applyFont="1" applyFill="1" applyAlignment="1">
      <alignment horizontal="left" vertical="center"/>
    </xf>
    <xf numFmtId="38" fontId="65" fillId="0" borderId="0" xfId="0" applyNumberFormat="1" applyFont="1" applyFill="1" applyAlignment="1">
      <alignment horizontal="right"/>
    </xf>
    <xf numFmtId="0" fontId="64" fillId="0" borderId="0" xfId="0" applyFont="1" applyFill="1" applyAlignment="1">
      <alignment horizontal="left" vertical="center"/>
    </xf>
    <xf numFmtId="0" fontId="123" fillId="6" borderId="0" xfId="0" applyFont="1" applyFill="1"/>
    <xf numFmtId="0" fontId="62" fillId="0" borderId="0" xfId="0" applyFont="1" applyFill="1" applyAlignment="1">
      <alignment horizontal="left" vertical="center"/>
    </xf>
    <xf numFmtId="1" fontId="62" fillId="0" borderId="0" xfId="0" applyNumberFormat="1" applyFont="1" applyFill="1" applyAlignment="1">
      <alignment horizontal="right" vertical="center"/>
    </xf>
    <xf numFmtId="0" fontId="86" fillId="0" borderId="0" xfId="0" applyFont="1" applyFill="1" applyAlignment="1">
      <alignment horizontal="left" vertical="center"/>
    </xf>
    <xf numFmtId="38" fontId="87" fillId="0" borderId="0" xfId="0" applyNumberFormat="1" applyFont="1" applyFill="1" applyAlignment="1">
      <alignment horizontal="right" vertical="center"/>
    </xf>
    <xf numFmtId="38" fontId="61" fillId="0" borderId="0" xfId="1" applyNumberFormat="1" applyFont="1" applyFill="1" applyBorder="1" applyAlignment="1">
      <alignment horizontal="right"/>
    </xf>
    <xf numFmtId="37" fontId="0" fillId="0" borderId="11" xfId="1" applyNumberFormat="1" applyFont="1" applyBorder="1" applyAlignment="1">
      <alignment horizontal="right"/>
    </xf>
    <xf numFmtId="37" fontId="0" fillId="2" borderId="49" xfId="1" applyNumberFormat="1" applyFont="1" applyFill="1" applyBorder="1" applyAlignment="1">
      <alignment horizontal="right"/>
    </xf>
    <xf numFmtId="37" fontId="0" fillId="0" borderId="25" xfId="1" applyNumberFormat="1" applyFont="1" applyBorder="1" applyAlignment="1">
      <alignment horizontal="right"/>
    </xf>
    <xf numFmtId="37" fontId="0" fillId="2" borderId="26" xfId="1" applyNumberFormat="1" applyFont="1" applyFill="1" applyBorder="1" applyAlignment="1">
      <alignment horizontal="right"/>
    </xf>
    <xf numFmtId="37" fontId="0" fillId="2" borderId="18" xfId="1" applyNumberFormat="1" applyFont="1" applyFill="1" applyBorder="1"/>
    <xf numFmtId="37" fontId="0" fillId="0" borderId="15" xfId="1" applyNumberFormat="1" applyFont="1" applyBorder="1"/>
    <xf numFmtId="37" fontId="0" fillId="2" borderId="15" xfId="1" applyNumberFormat="1" applyFont="1" applyFill="1" applyBorder="1"/>
    <xf numFmtId="37" fontId="0" fillId="2" borderId="31" xfId="1" applyNumberFormat="1" applyFont="1" applyFill="1" applyBorder="1"/>
    <xf numFmtId="37" fontId="0" fillId="2" borderId="16" xfId="0" applyNumberFormat="1" applyFont="1" applyFill="1" applyBorder="1"/>
    <xf numFmtId="37" fontId="0" fillId="0" borderId="16" xfId="0" applyNumberFormat="1" applyFont="1" applyBorder="1"/>
    <xf numFmtId="37" fontId="0" fillId="2" borderId="0" xfId="0" applyNumberFormat="1" applyFill="1" applyBorder="1"/>
    <xf numFmtId="37" fontId="0" fillId="2" borderId="19" xfId="1" applyNumberFormat="1" applyFont="1" applyFill="1" applyBorder="1"/>
    <xf numFmtId="37" fontId="0" fillId="0" borderId="11" xfId="1" applyNumberFormat="1" applyFont="1" applyBorder="1"/>
    <xf numFmtId="37" fontId="0" fillId="2" borderId="11" xfId="1" applyNumberFormat="1" applyFont="1" applyFill="1" applyBorder="1"/>
    <xf numFmtId="37" fontId="0" fillId="2" borderId="49" xfId="1" applyNumberFormat="1" applyFont="1" applyFill="1" applyBorder="1"/>
    <xf numFmtId="37" fontId="0" fillId="3" borderId="11" xfId="1" applyNumberFormat="1" applyFont="1" applyFill="1" applyBorder="1" applyAlignment="1">
      <alignment horizontal="right"/>
    </xf>
    <xf numFmtId="38" fontId="0" fillId="2" borderId="11" xfId="1" applyNumberFormat="1" applyFont="1" applyFill="1" applyBorder="1" applyAlignment="1">
      <alignment horizontal="right"/>
    </xf>
    <xf numFmtId="37" fontId="0" fillId="0" borderId="25" xfId="0" applyNumberFormat="1" applyFont="1" applyBorder="1"/>
    <xf numFmtId="37" fontId="0" fillId="2" borderId="25" xfId="0" applyNumberFormat="1" applyFont="1" applyFill="1" applyBorder="1"/>
    <xf numFmtId="37" fontId="0" fillId="2" borderId="26" xfId="0" applyNumberFormat="1" applyFont="1" applyFill="1" applyBorder="1"/>
    <xf numFmtId="37" fontId="0" fillId="2" borderId="25" xfId="0" applyNumberFormat="1" applyFill="1" applyBorder="1"/>
    <xf numFmtId="37" fontId="0" fillId="0" borderId="25" xfId="1" applyNumberFormat="1" applyFont="1" applyBorder="1"/>
    <xf numFmtId="37" fontId="0" fillId="2" borderId="25" xfId="1" applyNumberFormat="1" applyFont="1" applyFill="1" applyBorder="1"/>
    <xf numFmtId="37" fontId="0" fillId="2" borderId="26" xfId="1" applyNumberFormat="1" applyFont="1" applyFill="1" applyBorder="1"/>
    <xf numFmtId="38" fontId="0" fillId="2" borderId="25" xfId="1" applyNumberFormat="1" applyFont="1" applyFill="1" applyBorder="1" applyAlignment="1">
      <alignment horizontal="right"/>
    </xf>
    <xf numFmtId="37" fontId="0" fillId="0" borderId="26" xfId="1" applyNumberFormat="1" applyFont="1" applyBorder="1" applyAlignment="1">
      <alignment horizontal="right"/>
    </xf>
    <xf numFmtId="37" fontId="0" fillId="0" borderId="39" xfId="1" applyNumberFormat="1" applyFont="1" applyBorder="1" applyAlignment="1">
      <alignment horizontal="right"/>
    </xf>
    <xf numFmtId="0" fontId="84" fillId="0" borderId="50" xfId="0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vertical="center"/>
    </xf>
    <xf numFmtId="0" fontId="84" fillId="0" borderId="3" xfId="0" applyFont="1" applyBorder="1" applyAlignment="1">
      <alignment horizontal="center" wrapText="1"/>
    </xf>
    <xf numFmtId="37" fontId="0" fillId="2" borderId="1" xfId="1" applyNumberFormat="1" applyFont="1" applyFill="1" applyBorder="1" applyAlignment="1">
      <alignment horizontal="right"/>
    </xf>
    <xf numFmtId="37" fontId="0" fillId="2" borderId="2" xfId="1" applyNumberFormat="1" applyFont="1" applyFill="1" applyBorder="1" applyAlignment="1">
      <alignment horizontal="right"/>
    </xf>
    <xf numFmtId="37" fontId="0" fillId="0" borderId="2" xfId="1" applyNumberFormat="1" applyFont="1" applyBorder="1" applyAlignment="1">
      <alignment horizontal="right"/>
    </xf>
    <xf numFmtId="0" fontId="0" fillId="0" borderId="0" xfId="0" applyFont="1" applyBorder="1" applyAlignment="1"/>
    <xf numFmtId="0" fontId="97" fillId="5" borderId="0" xfId="0" applyFont="1" applyFill="1" applyAlignment="1">
      <alignment horizontal="right" vertical="center"/>
    </xf>
    <xf numFmtId="0" fontId="109" fillId="0" borderId="0" xfId="0" applyFont="1" applyFill="1" applyAlignment="1">
      <alignment horizontal="left" vertical="center"/>
    </xf>
    <xf numFmtId="38" fontId="59" fillId="0" borderId="0" xfId="0" applyNumberFormat="1" applyFont="1" applyFill="1" applyAlignment="1">
      <alignment horizontal="right"/>
    </xf>
    <xf numFmtId="0" fontId="59" fillId="0" borderId="0" xfId="0" applyFont="1"/>
    <xf numFmtId="0" fontId="58" fillId="0" borderId="0" xfId="0" applyFont="1" applyFill="1" applyAlignment="1">
      <alignment vertical="center"/>
    </xf>
    <xf numFmtId="37" fontId="126" fillId="0" borderId="0" xfId="0" applyNumberFormat="1" applyFont="1"/>
    <xf numFmtId="0" fontId="86" fillId="6" borderId="0" xfId="0" applyFont="1" applyFill="1"/>
    <xf numFmtId="164" fontId="72" fillId="0" borderId="0" xfId="1" applyNumberFormat="1" applyFont="1" applyFill="1" applyAlignment="1">
      <alignment horizontal="right"/>
    </xf>
    <xf numFmtId="164" fontId="72" fillId="0" borderId="0" xfId="0" applyNumberFormat="1" applyFont="1" applyFill="1" applyAlignment="1">
      <alignment horizontal="right"/>
    </xf>
    <xf numFmtId="0" fontId="57" fillId="0" borderId="0" xfId="0" quotePrefix="1" applyFont="1" applyAlignment="1">
      <alignment horizontal="right"/>
    </xf>
    <xf numFmtId="0" fontId="56" fillId="0" borderId="1" xfId="0" applyFont="1" applyFill="1" applyBorder="1" applyAlignment="1">
      <alignment horizontal="left" wrapText="1"/>
    </xf>
    <xf numFmtId="0" fontId="56" fillId="0" borderId="6" xfId="0" applyFont="1" applyFill="1" applyBorder="1" applyAlignment="1">
      <alignment wrapText="1"/>
    </xf>
    <xf numFmtId="1" fontId="55" fillId="0" borderId="0" xfId="0" quotePrefix="1" applyNumberFormat="1" applyFont="1" applyFill="1" applyAlignment="1">
      <alignment horizontal="right" vertical="center"/>
    </xf>
    <xf numFmtId="0" fontId="55" fillId="0" borderId="0" xfId="0" applyFont="1" applyFill="1" applyAlignment="1">
      <alignment horizontal="left" vertical="center"/>
    </xf>
    <xf numFmtId="1" fontId="55" fillId="5" borderId="0" xfId="1" quotePrefix="1" applyNumberFormat="1" applyFont="1" applyFill="1" applyBorder="1" applyAlignment="1">
      <alignment horizontal="right" vertical="center"/>
    </xf>
    <xf numFmtId="0" fontId="54" fillId="5" borderId="0" xfId="0" applyFont="1" applyFill="1" applyBorder="1" applyAlignment="1">
      <alignment horizontal="left" vertical="center"/>
    </xf>
    <xf numFmtId="0" fontId="53" fillId="0" borderId="0" xfId="0" applyFont="1"/>
    <xf numFmtId="0" fontId="53" fillId="0" borderId="0" xfId="0" applyFont="1" applyFill="1" applyAlignment="1">
      <alignment horizontal="left" vertical="center"/>
    </xf>
    <xf numFmtId="14" fontId="0" fillId="6" borderId="0" xfId="0" applyNumberFormat="1" applyFont="1" applyFill="1" applyAlignment="1">
      <alignment horizontal="left"/>
    </xf>
    <xf numFmtId="0" fontId="53" fillId="0" borderId="0" xfId="0" applyFont="1" applyFill="1" applyBorder="1" applyAlignment="1">
      <alignment horizontal="left" vertical="center"/>
    </xf>
    <xf numFmtId="38" fontId="53" fillId="0" borderId="0" xfId="1" quotePrefix="1" applyNumberFormat="1" applyFont="1" applyFill="1" applyAlignment="1">
      <alignment horizontal="right"/>
    </xf>
    <xf numFmtId="38" fontId="53" fillId="0" borderId="0" xfId="1" applyNumberFormat="1" applyFont="1" applyFill="1" applyAlignment="1">
      <alignment horizontal="right"/>
    </xf>
    <xf numFmtId="38" fontId="53" fillId="0" borderId="0" xfId="1" quotePrefix="1" applyNumberFormat="1" applyFont="1" applyFill="1" applyBorder="1" applyAlignment="1">
      <alignment horizontal="right"/>
    </xf>
    <xf numFmtId="38" fontId="53" fillId="0" borderId="0" xfId="0" applyNumberFormat="1" applyFont="1" applyFill="1" applyAlignment="1">
      <alignment horizontal="right"/>
    </xf>
    <xf numFmtId="38" fontId="53" fillId="0" borderId="16" xfId="0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164" fontId="53" fillId="0" borderId="0" xfId="1" applyNumberFormat="1" applyFont="1"/>
    <xf numFmtId="164" fontId="53" fillId="0" borderId="16" xfId="1" applyNumberFormat="1" applyFont="1" applyBorder="1"/>
    <xf numFmtId="38" fontId="52" fillId="0" borderId="0" xfId="0" applyNumberFormat="1" applyFont="1" applyFill="1" applyAlignment="1">
      <alignment horizontal="right"/>
    </xf>
    <xf numFmtId="0" fontId="52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/>
    </xf>
    <xf numFmtId="38" fontId="51" fillId="0" borderId="0" xfId="1" quotePrefix="1" applyNumberFormat="1" applyFont="1" applyFill="1" applyAlignment="1">
      <alignment horizontal="right"/>
    </xf>
    <xf numFmtId="0" fontId="51" fillId="0" borderId="0" xfId="0" applyFont="1" applyFill="1" applyAlignment="1">
      <alignment horizontal="left" vertical="center"/>
    </xf>
    <xf numFmtId="164" fontId="50" fillId="0" borderId="0" xfId="1" applyNumberFormat="1" applyFont="1" applyFill="1" applyAlignment="1">
      <alignment horizontal="right" vertical="center"/>
    </xf>
    <xf numFmtId="0" fontId="49" fillId="0" borderId="0" xfId="0" applyFont="1" applyFill="1" applyAlignment="1">
      <alignment horizontal="left" vertical="center"/>
    </xf>
    <xf numFmtId="164" fontId="87" fillId="0" borderId="16" xfId="1" applyNumberFormat="1" applyFont="1" applyFill="1" applyBorder="1" applyAlignment="1">
      <alignment horizontal="right"/>
    </xf>
    <xf numFmtId="0" fontId="48" fillId="0" borderId="0" xfId="0" applyFont="1" applyFill="1" applyAlignment="1">
      <alignment horizontal="left" vertical="center"/>
    </xf>
    <xf numFmtId="0" fontId="47" fillId="0" borderId="0" xfId="0" quotePrefix="1" applyFont="1"/>
    <xf numFmtId="1" fontId="46" fillId="5" borderId="0" xfId="1" quotePrefix="1" applyNumberFormat="1" applyFont="1" applyFill="1" applyAlignment="1">
      <alignment horizontal="right" vertical="center"/>
    </xf>
    <xf numFmtId="38" fontId="45" fillId="0" borderId="0" xfId="1" applyNumberFormat="1" applyFont="1" applyFill="1" applyAlignment="1">
      <alignment horizontal="right"/>
    </xf>
    <xf numFmtId="0" fontId="44" fillId="5" borderId="0" xfId="0" applyFont="1" applyFill="1"/>
    <xf numFmtId="0" fontId="44" fillId="0" borderId="0" xfId="0" quotePrefix="1" applyFont="1" applyFill="1" applyAlignment="1">
      <alignment horizontal="right"/>
    </xf>
    <xf numFmtId="0" fontId="44" fillId="5" borderId="0" xfId="0" applyFont="1" applyFill="1" applyAlignment="1">
      <alignment horizontal="right"/>
    </xf>
    <xf numFmtId="38" fontId="44" fillId="5" borderId="0" xfId="1" applyNumberFormat="1" applyFont="1" applyFill="1" applyAlignment="1">
      <alignment horizontal="right"/>
    </xf>
    <xf numFmtId="38" fontId="44" fillId="0" borderId="0" xfId="1" applyNumberFormat="1" applyFont="1" applyFill="1" applyAlignment="1">
      <alignment horizontal="right"/>
    </xf>
    <xf numFmtId="0" fontId="43" fillId="0" borderId="0" xfId="0" applyFont="1" applyFill="1"/>
    <xf numFmtId="1" fontId="42" fillId="0" borderId="0" xfId="0" applyNumberFormat="1" applyFont="1" applyFill="1" applyAlignment="1">
      <alignment horizontal="right" vertical="center"/>
    </xf>
    <xf numFmtId="38" fontId="42" fillId="0" borderId="0" xfId="0" applyNumberFormat="1" applyFont="1" applyFill="1" applyAlignment="1">
      <alignment horizontal="right"/>
    </xf>
    <xf numFmtId="0" fontId="104" fillId="12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/>
    <xf numFmtId="1" fontId="41" fillId="0" borderId="0" xfId="0" quotePrefix="1" applyNumberFormat="1" applyFont="1" applyFill="1" applyAlignment="1">
      <alignment horizontal="right" vertical="center"/>
    </xf>
    <xf numFmtId="0" fontId="41" fillId="5" borderId="0" xfId="0" applyFont="1" applyFill="1" applyAlignment="1">
      <alignment horizontal="left" vertical="center"/>
    </xf>
    <xf numFmtId="0" fontId="41" fillId="5" borderId="0" xfId="0" applyFont="1" applyFill="1"/>
    <xf numFmtId="1" fontId="41" fillId="0" borderId="0" xfId="1" quotePrefix="1" applyNumberFormat="1" applyFont="1" applyFill="1" applyAlignment="1">
      <alignment horizontal="right" vertical="center"/>
    </xf>
    <xf numFmtId="38" fontId="66" fillId="5" borderId="0" xfId="0" applyNumberFormat="1" applyFont="1" applyFill="1" applyAlignment="1">
      <alignment horizontal="right"/>
    </xf>
    <xf numFmtId="1" fontId="41" fillId="5" borderId="0" xfId="0" quotePrefix="1" applyNumberFormat="1" applyFont="1" applyFill="1" applyAlignment="1">
      <alignment horizontal="right" vertical="center"/>
    </xf>
    <xf numFmtId="1" fontId="55" fillId="0" borderId="0" xfId="1" quotePrefix="1" applyNumberFormat="1" applyFont="1" applyFill="1" applyBorder="1" applyAlignment="1">
      <alignment horizontal="right" vertical="center"/>
    </xf>
    <xf numFmtId="0" fontId="40" fillId="0" borderId="0" xfId="0" applyFont="1" applyFill="1"/>
    <xf numFmtId="1" fontId="39" fillId="0" borderId="0" xfId="0" quotePrefix="1" applyNumberFormat="1" applyFont="1" applyFill="1" applyAlignment="1">
      <alignment horizontal="right" vertical="center"/>
    </xf>
    <xf numFmtId="1" fontId="39" fillId="5" borderId="0" xfId="0" quotePrefix="1" applyNumberFormat="1" applyFont="1" applyFill="1" applyAlignment="1">
      <alignment horizontal="right" vertical="center"/>
    </xf>
    <xf numFmtId="38" fontId="45" fillId="5" borderId="0" xfId="1" applyNumberFormat="1" applyFont="1" applyFill="1" applyAlignment="1">
      <alignment horizontal="right"/>
    </xf>
    <xf numFmtId="38" fontId="39" fillId="0" borderId="0" xfId="1" applyNumberFormat="1" applyFont="1" applyFill="1" applyBorder="1" applyAlignment="1">
      <alignment horizontal="right"/>
    </xf>
    <xf numFmtId="0" fontId="38" fillId="0" borderId="0" xfId="0" applyFont="1" applyFill="1"/>
    <xf numFmtId="0" fontId="38" fillId="5" borderId="0" xfId="0" applyFont="1" applyFill="1" applyAlignment="1">
      <alignment horizontal="left" vertical="center"/>
    </xf>
    <xf numFmtId="38" fontId="37" fillId="0" borderId="0" xfId="0" applyNumberFormat="1" applyFont="1" applyFill="1" applyAlignment="1">
      <alignment horizontal="right"/>
    </xf>
    <xf numFmtId="0" fontId="37" fillId="0" borderId="0" xfId="0" applyFont="1" applyFill="1" applyBorder="1" applyAlignment="1">
      <alignment horizontal="left" vertical="center"/>
    </xf>
    <xf numFmtId="0" fontId="105" fillId="7" borderId="0" xfId="0" applyFont="1" applyFill="1" applyAlignment="1">
      <alignment horizontal="left" vertical="center"/>
    </xf>
    <xf numFmtId="0" fontId="36" fillId="0" borderId="0" xfId="0" applyFont="1" applyFill="1"/>
    <xf numFmtId="1" fontId="36" fillId="5" borderId="0" xfId="1" quotePrefix="1" applyNumberFormat="1" applyFont="1" applyFill="1" applyBorder="1" applyAlignment="1">
      <alignment horizontal="right" vertical="center"/>
    </xf>
    <xf numFmtId="38" fontId="36" fillId="5" borderId="0" xfId="1" applyNumberFormat="1" applyFont="1" applyFill="1" applyBorder="1" applyAlignment="1">
      <alignment horizontal="right"/>
    </xf>
    <xf numFmtId="0" fontId="34" fillId="5" borderId="0" xfId="0" applyFont="1" applyFill="1" applyAlignment="1">
      <alignment horizontal="left" vertical="center"/>
    </xf>
    <xf numFmtId="0" fontId="41" fillId="0" borderId="0" xfId="0" quotePrefix="1" applyFont="1" applyFill="1" applyAlignment="1">
      <alignment horizontal="right"/>
    </xf>
    <xf numFmtId="1" fontId="38" fillId="5" borderId="0" xfId="0" quotePrefix="1" applyNumberFormat="1" applyFont="1" applyFill="1" applyAlignment="1">
      <alignment horizontal="right" vertical="center"/>
    </xf>
    <xf numFmtId="38" fontId="33" fillId="0" borderId="0" xfId="0" applyNumberFormat="1" applyFont="1" applyFill="1" applyAlignment="1">
      <alignment horizontal="right"/>
    </xf>
    <xf numFmtId="0" fontId="33" fillId="5" borderId="0" xfId="0" applyFont="1" applyFill="1"/>
    <xf numFmtId="0" fontId="33" fillId="5" borderId="0" xfId="0" applyFont="1" applyFill="1" applyBorder="1" applyAlignment="1">
      <alignment horizontal="left" vertical="center"/>
    </xf>
    <xf numFmtId="1" fontId="35" fillId="5" borderId="0" xfId="0" quotePrefix="1" applyNumberFormat="1" applyFont="1" applyFill="1" applyBorder="1" applyAlignment="1">
      <alignment horizontal="right" vertical="center"/>
    </xf>
    <xf numFmtId="0" fontId="32" fillId="0" borderId="0" xfId="0" applyFont="1" applyFill="1" applyBorder="1" applyAlignment="1"/>
    <xf numFmtId="0" fontId="31" fillId="0" borderId="0" xfId="0" applyFont="1" applyFill="1"/>
    <xf numFmtId="38" fontId="31" fillId="0" borderId="0" xfId="0" applyNumberFormat="1" applyFont="1" applyFill="1" applyAlignment="1">
      <alignment horizontal="right"/>
    </xf>
    <xf numFmtId="38" fontId="31" fillId="0" borderId="0" xfId="1" quotePrefix="1" applyNumberFormat="1" applyFont="1" applyFill="1" applyAlignment="1">
      <alignment horizontal="right"/>
    </xf>
    <xf numFmtId="0" fontId="30" fillId="0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38" fontId="30" fillId="5" borderId="0" xfId="1" applyNumberFormat="1" applyFont="1" applyFill="1" applyAlignment="1">
      <alignment horizontal="right"/>
    </xf>
    <xf numFmtId="0" fontId="29" fillId="5" borderId="0" xfId="0" applyFont="1" applyFill="1" applyAlignment="1">
      <alignment horizontal="left" vertical="center"/>
    </xf>
    <xf numFmtId="38" fontId="29" fillId="5" borderId="0" xfId="1" applyNumberFormat="1" applyFont="1" applyFill="1" applyAlignment="1">
      <alignment horizontal="right"/>
    </xf>
    <xf numFmtId="37" fontId="87" fillId="0" borderId="0" xfId="0" applyNumberFormat="1" applyFont="1"/>
    <xf numFmtId="0" fontId="29" fillId="0" borderId="0" xfId="0" applyFont="1" applyFill="1"/>
    <xf numFmtId="38" fontId="27" fillId="0" borderId="0" xfId="0" applyNumberFormat="1" applyFont="1" applyFill="1" applyAlignment="1">
      <alignment horizontal="right"/>
    </xf>
    <xf numFmtId="0" fontId="27" fillId="0" borderId="0" xfId="0" applyFont="1" applyFill="1" applyBorder="1"/>
    <xf numFmtId="0" fontId="25" fillId="0" borderId="0" xfId="0" quotePrefix="1" applyFont="1" applyFill="1"/>
    <xf numFmtId="0" fontId="105" fillId="0" borderId="16" xfId="0" applyFont="1" applyFill="1" applyBorder="1" applyAlignment="1">
      <alignment horizontal="left" vertical="center"/>
    </xf>
    <xf numFmtId="1" fontId="24" fillId="0" borderId="0" xfId="0" quotePrefix="1" applyNumberFormat="1" applyFont="1" applyFill="1" applyAlignment="1">
      <alignment horizontal="right" vertical="center"/>
    </xf>
    <xf numFmtId="0" fontId="105" fillId="0" borderId="0" xfId="0" applyFont="1" applyFill="1" applyBorder="1" applyAlignment="1">
      <alignment horizontal="left" vertical="center"/>
    </xf>
    <xf numFmtId="0" fontId="0" fillId="5" borderId="16" xfId="0" applyFont="1" applyFill="1" applyBorder="1"/>
    <xf numFmtId="1" fontId="87" fillId="0" borderId="16" xfId="0" applyNumberFormat="1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left" vertical="center"/>
    </xf>
    <xf numFmtId="0" fontId="22" fillId="5" borderId="0" xfId="0" applyFont="1" applyFill="1"/>
    <xf numFmtId="0" fontId="87" fillId="5" borderId="17" xfId="0" quotePrefix="1" applyFont="1" applyFill="1" applyBorder="1" applyAlignment="1">
      <alignment horizontal="right"/>
    </xf>
    <xf numFmtId="38" fontId="45" fillId="0" borderId="17" xfId="1" applyNumberFormat="1" applyFont="1" applyFill="1" applyBorder="1" applyAlignment="1">
      <alignment horizontal="right"/>
    </xf>
    <xf numFmtId="1" fontId="41" fillId="5" borderId="0" xfId="1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0" borderId="0" xfId="0" applyFont="1" applyFill="1"/>
    <xf numFmtId="0" fontId="19" fillId="5" borderId="0" xfId="0" applyFont="1" applyFill="1"/>
    <xf numFmtId="1" fontId="19" fillId="0" borderId="0" xfId="0" applyNumberFormat="1" applyFont="1" applyFill="1" applyAlignment="1">
      <alignment horizontal="right" vertical="center"/>
    </xf>
    <xf numFmtId="38" fontId="19" fillId="0" borderId="0" xfId="0" applyNumberFormat="1" applyFont="1" applyFill="1" applyAlignment="1">
      <alignment horizontal="right"/>
    </xf>
    <xf numFmtId="38" fontId="0" fillId="0" borderId="0" xfId="0" applyNumberFormat="1" applyFont="1" applyFill="1" applyBorder="1"/>
    <xf numFmtId="0" fontId="17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64" fontId="16" fillId="0" borderId="0" xfId="1" applyNumberFormat="1" applyFont="1" applyFill="1" applyAlignment="1">
      <alignment horizontal="right" vertical="center"/>
    </xf>
    <xf numFmtId="0" fontId="16" fillId="5" borderId="0" xfId="0" applyFont="1" applyFill="1" applyAlignment="1">
      <alignment horizontal="left" vertical="center"/>
    </xf>
    <xf numFmtId="0" fontId="105" fillId="12" borderId="0" xfId="0" applyFont="1" applyFill="1" applyAlignment="1">
      <alignment horizontal="left" vertical="center"/>
    </xf>
    <xf numFmtId="0" fontId="101" fillId="15" borderId="0" xfId="0" applyFont="1" applyFill="1" applyAlignment="1">
      <alignment horizontal="left" vertical="center"/>
    </xf>
    <xf numFmtId="49" fontId="59" fillId="5" borderId="0" xfId="0" applyNumberFormat="1" applyFont="1" applyFill="1" applyBorder="1"/>
    <xf numFmtId="0" fontId="127" fillId="0" borderId="0" xfId="0" quotePrefix="1" applyFont="1" applyFill="1" applyBorder="1" applyAlignment="1">
      <alignment horizontal="left" vertical="center"/>
    </xf>
    <xf numFmtId="0" fontId="128" fillId="0" borderId="0" xfId="0" applyFont="1" applyFill="1" applyAlignment="1">
      <alignment horizontal="left" vertical="center"/>
    </xf>
    <xf numFmtId="0" fontId="15" fillId="5" borderId="17" xfId="0" applyFont="1" applyFill="1" applyBorder="1" applyAlignment="1">
      <alignment horizontal="left" vertical="center"/>
    </xf>
    <xf numFmtId="0" fontId="104" fillId="5" borderId="0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1" fontId="76" fillId="0" borderId="0" xfId="0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left" vertical="center" wrapText="1"/>
    </xf>
    <xf numFmtId="0" fontId="97" fillId="5" borderId="0" xfId="0" applyFont="1" applyFill="1" applyBorder="1"/>
    <xf numFmtId="38" fontId="87" fillId="5" borderId="0" xfId="0" quotePrefix="1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left" vertical="center"/>
    </xf>
    <xf numFmtId="38" fontId="26" fillId="0" borderId="0" xfId="1" quotePrefix="1" applyNumberFormat="1" applyFont="1" applyFill="1" applyBorder="1" applyAlignment="1">
      <alignment horizontal="right"/>
    </xf>
    <xf numFmtId="0" fontId="18" fillId="0" borderId="0" xfId="0" applyFont="1" applyFill="1" applyBorder="1"/>
    <xf numFmtId="0" fontId="18" fillId="0" borderId="0" xfId="0" quotePrefix="1" applyFont="1" applyFill="1" applyBorder="1" applyAlignment="1">
      <alignment horizontal="right"/>
    </xf>
    <xf numFmtId="0" fontId="84" fillId="0" borderId="5" xfId="0" applyFont="1" applyFill="1" applyBorder="1" applyAlignment="1">
      <alignment horizontal="center" wrapText="1"/>
    </xf>
    <xf numFmtId="164" fontId="90" fillId="0" borderId="0" xfId="0" applyNumberFormat="1" applyFont="1" applyAlignment="1">
      <alignment horizontal="right"/>
    </xf>
    <xf numFmtId="38" fontId="120" fillId="0" borderId="0" xfId="0" applyNumberFormat="1" applyFont="1" applyFill="1" applyBorder="1" applyAlignment="1">
      <alignment horizontal="right"/>
    </xf>
    <xf numFmtId="0" fontId="0" fillId="0" borderId="16" xfId="0" applyFont="1" applyFill="1" applyBorder="1"/>
    <xf numFmtId="0" fontId="17" fillId="0" borderId="0" xfId="0" applyFont="1" applyFill="1" applyAlignment="1">
      <alignment horizontal="left" vertical="center"/>
    </xf>
    <xf numFmtId="1" fontId="45" fillId="0" borderId="0" xfId="1" quotePrefix="1" applyNumberFormat="1" applyFont="1" applyFill="1" applyBorder="1" applyAlignment="1">
      <alignment horizontal="right" vertical="center"/>
    </xf>
    <xf numFmtId="0" fontId="92" fillId="0" borderId="0" xfId="0" applyFont="1" applyFill="1" applyBorder="1" applyAlignment="1">
      <alignment horizontal="left"/>
    </xf>
    <xf numFmtId="38" fontId="87" fillId="0" borderId="0" xfId="0" applyNumberFormat="1" applyFont="1" applyBorder="1"/>
    <xf numFmtId="0" fontId="0" fillId="0" borderId="0" xfId="0" applyFont="1" applyFill="1" applyAlignment="1">
      <alignment horizontal="right"/>
    </xf>
    <xf numFmtId="164" fontId="0" fillId="0" borderId="0" xfId="1" quotePrefix="1" applyNumberFormat="1" applyFont="1" applyFill="1"/>
    <xf numFmtId="164" fontId="0" fillId="0" borderId="0" xfId="0" applyNumberFormat="1" applyFont="1" applyFill="1" applyAlignment="1">
      <alignment horizontal="center"/>
    </xf>
    <xf numFmtId="1" fontId="22" fillId="0" borderId="17" xfId="0" quotePrefix="1" applyNumberFormat="1" applyFont="1" applyFill="1" applyBorder="1" applyAlignment="1">
      <alignment horizontal="right" vertical="center"/>
    </xf>
    <xf numFmtId="38" fontId="19" fillId="0" borderId="17" xfId="0" applyNumberFormat="1" applyFont="1" applyFill="1" applyBorder="1" applyAlignment="1">
      <alignment horizontal="right"/>
    </xf>
    <xf numFmtId="164" fontId="87" fillId="0" borderId="0" xfId="1" applyNumberFormat="1" applyFont="1" applyFill="1" applyBorder="1"/>
    <xf numFmtId="0" fontId="60" fillId="0" borderId="0" xfId="0" applyFont="1" applyFill="1" applyBorder="1" applyAlignment="1">
      <alignment horizontal="left" vertical="center"/>
    </xf>
    <xf numFmtId="0" fontId="104" fillId="7" borderId="0" xfId="0" applyFont="1" applyFill="1" applyBorder="1" applyAlignment="1">
      <alignment horizontal="left" vertical="center"/>
    </xf>
    <xf numFmtId="0" fontId="40" fillId="0" borderId="0" xfId="0" applyFont="1" applyFill="1" applyBorder="1"/>
    <xf numFmtId="0" fontId="40" fillId="5" borderId="0" xfId="0" applyFont="1" applyFill="1" applyBorder="1"/>
    <xf numFmtId="0" fontId="104" fillId="5" borderId="16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19" fillId="5" borderId="17" xfId="0" applyFont="1" applyFill="1" applyBorder="1"/>
    <xf numFmtId="1" fontId="38" fillId="5" borderId="17" xfId="0" quotePrefix="1" applyNumberFormat="1" applyFont="1" applyFill="1" applyBorder="1" applyAlignment="1">
      <alignment horizontal="right" vertical="center"/>
    </xf>
    <xf numFmtId="38" fontId="66" fillId="5" borderId="17" xfId="0" applyNumberFormat="1" applyFont="1" applyFill="1" applyBorder="1" applyAlignment="1">
      <alignment horizontal="right"/>
    </xf>
    <xf numFmtId="0" fontId="78" fillId="0" borderId="0" xfId="0" applyFont="1" applyFill="1" applyAlignment="1">
      <alignment horizontal="left" vertical="center" wrapText="1"/>
    </xf>
    <xf numFmtId="1" fontId="87" fillId="0" borderId="0" xfId="1" applyNumberFormat="1" applyFont="1" applyFill="1" applyAlignment="1">
      <alignment horizontal="right"/>
    </xf>
    <xf numFmtId="0" fontId="59" fillId="0" borderId="0" xfId="0" applyFont="1" applyFill="1" applyAlignment="1">
      <alignment horizontal="left" vertical="center" wrapText="1"/>
    </xf>
    <xf numFmtId="1" fontId="87" fillId="0" borderId="0" xfId="0" applyNumberFormat="1" applyFont="1" applyFill="1" applyAlignment="1"/>
    <xf numFmtId="0" fontId="13" fillId="0" borderId="0" xfId="0" applyFont="1" applyFill="1" applyAlignment="1">
      <alignment horizontal="left" vertical="center"/>
    </xf>
    <xf numFmtId="38" fontId="39" fillId="5" borderId="0" xfId="0" applyNumberFormat="1" applyFont="1" applyFill="1" applyAlignment="1">
      <alignment horizontal="right"/>
    </xf>
    <xf numFmtId="0" fontId="34" fillId="5" borderId="17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87" fillId="5" borderId="14" xfId="0" applyFont="1" applyFill="1" applyBorder="1" applyAlignment="1">
      <alignment horizontal="right" vertical="center"/>
    </xf>
    <xf numFmtId="1" fontId="87" fillId="5" borderId="14" xfId="0" applyNumberFormat="1" applyFont="1" applyFill="1" applyBorder="1" applyAlignment="1">
      <alignment horizontal="right" vertical="center"/>
    </xf>
    <xf numFmtId="38" fontId="87" fillId="5" borderId="14" xfId="0" applyNumberFormat="1" applyFont="1" applyFill="1" applyBorder="1" applyAlignment="1">
      <alignment horizontal="right"/>
    </xf>
    <xf numFmtId="164" fontId="87" fillId="0" borderId="0" xfId="1" applyNumberFormat="1" applyFont="1" applyFill="1" applyBorder="1" applyAlignment="1">
      <alignment horizontal="right"/>
    </xf>
    <xf numFmtId="38" fontId="87" fillId="0" borderId="12" xfId="1" applyNumberFormat="1" applyFont="1" applyFill="1" applyBorder="1" applyAlignment="1">
      <alignment horizontal="right"/>
    </xf>
    <xf numFmtId="0" fontId="13" fillId="5" borderId="14" xfId="0" applyFont="1" applyFill="1" applyBorder="1" applyAlignment="1">
      <alignment horizontal="left" vertical="center"/>
    </xf>
    <xf numFmtId="0" fontId="33" fillId="5" borderId="14" xfId="0" applyFont="1" applyFill="1" applyBorder="1" applyAlignment="1">
      <alignment horizontal="left" vertical="center"/>
    </xf>
    <xf numFmtId="1" fontId="87" fillId="5" borderId="14" xfId="1" applyNumberFormat="1" applyFont="1" applyFill="1" applyBorder="1" applyAlignment="1">
      <alignment horizontal="right" vertical="center"/>
    </xf>
    <xf numFmtId="38" fontId="0" fillId="5" borderId="14" xfId="0" applyNumberFormat="1" applyFill="1" applyBorder="1"/>
    <xf numFmtId="37" fontId="87" fillId="5" borderId="14" xfId="1" applyNumberFormat="1" applyFont="1" applyFill="1" applyBorder="1" applyAlignment="1">
      <alignment horizontal="right"/>
    </xf>
    <xf numFmtId="0" fontId="98" fillId="5" borderId="0" xfId="0" applyFont="1" applyFill="1" applyBorder="1"/>
    <xf numFmtId="0" fontId="19" fillId="0" borderId="17" xfId="0" applyFont="1" applyFill="1" applyBorder="1"/>
    <xf numFmtId="0" fontId="13" fillId="5" borderId="17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33" fillId="0" borderId="17" xfId="0" applyFont="1" applyFill="1" applyBorder="1"/>
    <xf numFmtId="1" fontId="38" fillId="5" borderId="17" xfId="1" quotePrefix="1" applyNumberFormat="1" applyFont="1" applyFill="1" applyBorder="1" applyAlignment="1">
      <alignment horizontal="right" vertical="center"/>
    </xf>
    <xf numFmtId="0" fontId="12" fillId="5" borderId="0" xfId="0" applyFont="1" applyFill="1"/>
    <xf numFmtId="0" fontId="41" fillId="0" borderId="0" xfId="0" applyFont="1" applyFill="1" applyBorder="1"/>
    <xf numFmtId="0" fontId="11" fillId="5" borderId="0" xfId="0" applyFont="1" applyFill="1"/>
    <xf numFmtId="38" fontId="11" fillId="5" borderId="0" xfId="1" applyNumberFormat="1" applyFont="1" applyFill="1" applyAlignment="1">
      <alignment horizontal="right"/>
    </xf>
    <xf numFmtId="0" fontId="11" fillId="0" borderId="0" xfId="0" applyFont="1" applyFill="1"/>
    <xf numFmtId="38" fontId="11" fillId="0" borderId="0" xfId="1" applyNumberFormat="1" applyFont="1" applyFill="1" applyAlignment="1">
      <alignment horizontal="right"/>
    </xf>
    <xf numFmtId="38" fontId="41" fillId="5" borderId="0" xfId="1" applyNumberFormat="1" applyFont="1" applyFill="1" applyAlignment="1">
      <alignment horizontal="right"/>
    </xf>
    <xf numFmtId="0" fontId="11" fillId="0" borderId="17" xfId="0" applyFont="1" applyFill="1" applyBorder="1"/>
    <xf numFmtId="38" fontId="11" fillId="0" borderId="17" xfId="1" applyNumberFormat="1" applyFont="1" applyFill="1" applyBorder="1" applyAlignment="1">
      <alignment horizontal="right"/>
    </xf>
    <xf numFmtId="0" fontId="68" fillId="0" borderId="15" xfId="0" applyFont="1" applyFill="1" applyBorder="1" applyAlignment="1">
      <alignment horizontal="left" vertical="center"/>
    </xf>
    <xf numFmtId="38" fontId="65" fillId="0" borderId="0" xfId="0" applyNumberFormat="1" applyFont="1" applyFill="1" applyBorder="1" applyAlignment="1">
      <alignment horizontal="right"/>
    </xf>
    <xf numFmtId="38" fontId="67" fillId="0" borderId="0" xfId="0" applyNumberFormat="1" applyFont="1" applyFill="1" applyBorder="1" applyAlignment="1">
      <alignment horizontal="right"/>
    </xf>
    <xf numFmtId="38" fontId="67" fillId="0" borderId="11" xfId="0" applyNumberFormat="1" applyFont="1" applyFill="1" applyBorder="1" applyAlignment="1">
      <alignment horizontal="right"/>
    </xf>
    <xf numFmtId="1" fontId="29" fillId="5" borderId="17" xfId="1" quotePrefix="1" applyNumberFormat="1" applyFont="1" applyFill="1" applyBorder="1" applyAlignment="1">
      <alignment horizontal="right" vertical="center"/>
    </xf>
    <xf numFmtId="38" fontId="68" fillId="5" borderId="17" xfId="1" quotePrefix="1" applyNumberFormat="1" applyFont="1" applyFill="1" applyBorder="1" applyAlignment="1">
      <alignment horizontal="right"/>
    </xf>
    <xf numFmtId="0" fontId="104" fillId="0" borderId="0" xfId="0" applyFont="1" applyBorder="1" applyAlignment="1">
      <alignment horizontal="left" vertical="center"/>
    </xf>
    <xf numFmtId="0" fontId="26" fillId="5" borderId="0" xfId="0" applyFont="1" applyFill="1" applyBorder="1"/>
    <xf numFmtId="0" fontId="87" fillId="5" borderId="0" xfId="0" quotePrefix="1" applyFont="1" applyFill="1" applyBorder="1" applyAlignment="1">
      <alignment horizontal="right"/>
    </xf>
    <xf numFmtId="0" fontId="20" fillId="5" borderId="17" xfId="0" applyFont="1" applyFill="1" applyBorder="1"/>
    <xf numFmtId="0" fontId="10" fillId="0" borderId="0" xfId="0" applyFont="1" applyFill="1"/>
    <xf numFmtId="0" fontId="44" fillId="0" borderId="0" xfId="0" applyFont="1" applyFill="1"/>
    <xf numFmtId="0" fontId="10" fillId="5" borderId="0" xfId="0" applyFont="1" applyFill="1" applyAlignment="1">
      <alignment horizontal="left" vertical="center"/>
    </xf>
    <xf numFmtId="38" fontId="0" fillId="0" borderId="0" xfId="0" applyNumberFormat="1" applyFont="1" applyFill="1"/>
    <xf numFmtId="1" fontId="44" fillId="0" borderId="0" xfId="0" quotePrefix="1" applyNumberFormat="1" applyFont="1" applyFill="1" applyAlignment="1">
      <alignment horizontal="right" vertical="center"/>
    </xf>
    <xf numFmtId="1" fontId="44" fillId="0" borderId="17" xfId="0" quotePrefix="1" applyNumberFormat="1" applyFont="1" applyFill="1" applyBorder="1" applyAlignment="1">
      <alignment horizontal="right" vertical="center"/>
    </xf>
    <xf numFmtId="38" fontId="0" fillId="0" borderId="17" xfId="0" applyNumberFormat="1" applyFont="1" applyFill="1" applyBorder="1"/>
    <xf numFmtId="0" fontId="10" fillId="0" borderId="17" xfId="0" applyFont="1" applyFill="1" applyBorder="1" applyAlignment="1">
      <alignment horizontal="left" vertical="center"/>
    </xf>
    <xf numFmtId="1" fontId="55" fillId="5" borderId="17" xfId="1" quotePrefix="1" applyNumberFormat="1" applyFont="1" applyFill="1" applyBorder="1" applyAlignment="1">
      <alignment horizontal="right" vertical="center"/>
    </xf>
    <xf numFmtId="38" fontId="97" fillId="5" borderId="15" xfId="0" applyNumberFormat="1" applyFont="1" applyFill="1" applyBorder="1" applyAlignment="1">
      <alignment horizontal="right"/>
    </xf>
    <xf numFmtId="38" fontId="97" fillId="0" borderId="15" xfId="0" applyNumberFormat="1" applyFont="1" applyFill="1" applyBorder="1" applyAlignment="1">
      <alignment horizontal="right"/>
    </xf>
    <xf numFmtId="38" fontId="0" fillId="0" borderId="16" xfId="0" applyNumberFormat="1" applyFont="1" applyFill="1" applyBorder="1"/>
    <xf numFmtId="0" fontId="0" fillId="16" borderId="0" xfId="0" applyFont="1" applyFill="1" applyBorder="1"/>
    <xf numFmtId="38" fontId="0" fillId="16" borderId="16" xfId="0" applyNumberFormat="1" applyFont="1" applyFill="1" applyBorder="1"/>
    <xf numFmtId="38" fontId="0" fillId="16" borderId="18" xfId="0" applyNumberFormat="1" applyFont="1" applyFill="1" applyBorder="1"/>
    <xf numFmtId="1" fontId="87" fillId="0" borderId="17" xfId="0" quotePrefix="1" applyNumberFormat="1" applyFont="1" applyFill="1" applyBorder="1" applyAlignment="1">
      <alignment horizontal="right" vertical="center"/>
    </xf>
    <xf numFmtId="0" fontId="9" fillId="0" borderId="17" xfId="0" applyFont="1" applyFill="1" applyBorder="1" applyAlignment="1">
      <alignment horizontal="left" vertical="center"/>
    </xf>
    <xf numFmtId="0" fontId="37" fillId="0" borderId="0" xfId="0" quotePrefix="1" applyFont="1" applyFill="1" applyAlignment="1">
      <alignment horizontal="right"/>
    </xf>
    <xf numFmtId="0" fontId="21" fillId="0" borderId="0" xfId="0" applyFont="1" applyFill="1" applyAlignment="1">
      <alignment horizontal="right"/>
    </xf>
    <xf numFmtId="0" fontId="87" fillId="5" borderId="0" xfId="0" applyFont="1" applyFill="1" applyBorder="1" applyAlignment="1">
      <alignment horizontal="right"/>
    </xf>
    <xf numFmtId="0" fontId="97" fillId="0" borderId="17" xfId="0" applyFont="1" applyBorder="1"/>
    <xf numFmtId="0" fontId="9" fillId="0" borderId="17" xfId="0" applyFont="1" applyFill="1" applyBorder="1" applyAlignment="1">
      <alignment horizontal="right" vertical="center"/>
    </xf>
    <xf numFmtId="1" fontId="9" fillId="0" borderId="17" xfId="0" applyNumberFormat="1" applyFont="1" applyFill="1" applyBorder="1" applyAlignment="1">
      <alignment horizontal="right" vertical="center"/>
    </xf>
    <xf numFmtId="38" fontId="9" fillId="0" borderId="17" xfId="0" applyNumberFormat="1" applyFont="1" applyFill="1" applyBorder="1" applyAlignment="1">
      <alignment horizontal="right"/>
    </xf>
    <xf numFmtId="1" fontId="28" fillId="0" borderId="17" xfId="0" quotePrefix="1" applyNumberFormat="1" applyFont="1" applyFill="1" applyBorder="1" applyAlignment="1">
      <alignment horizontal="right" vertical="center"/>
    </xf>
    <xf numFmtId="1" fontId="41" fillId="5" borderId="17" xfId="1" quotePrefix="1" applyNumberFormat="1" applyFont="1" applyFill="1" applyBorder="1" applyAlignment="1">
      <alignment horizontal="right" vertical="center"/>
    </xf>
    <xf numFmtId="1" fontId="33" fillId="0" borderId="0" xfId="1" quotePrefix="1" applyNumberFormat="1" applyFont="1" applyFill="1" applyAlignment="1">
      <alignment horizontal="right" vertical="center"/>
    </xf>
    <xf numFmtId="1" fontId="39" fillId="5" borderId="17" xfId="0" quotePrefix="1" applyNumberFormat="1" applyFont="1" applyFill="1" applyBorder="1" applyAlignment="1">
      <alignment horizontal="right" vertical="center"/>
    </xf>
    <xf numFmtId="38" fontId="39" fillId="5" borderId="0" xfId="1" applyNumberFormat="1" applyFont="1" applyFill="1" applyBorder="1" applyAlignment="1">
      <alignment horizontal="right"/>
    </xf>
    <xf numFmtId="38" fontId="39" fillId="5" borderId="17" xfId="1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/>
    </xf>
    <xf numFmtId="1" fontId="9" fillId="5" borderId="17" xfId="0" quotePrefix="1" applyNumberFormat="1" applyFont="1" applyFill="1" applyBorder="1" applyAlignment="1">
      <alignment horizontal="right" vertical="center"/>
    </xf>
    <xf numFmtId="0" fontId="0" fillId="8" borderId="0" xfId="0" applyFont="1" applyFill="1" applyAlignment="1">
      <alignment horizontal="right" vertical="center"/>
    </xf>
    <xf numFmtId="38" fontId="90" fillId="8" borderId="0" xfId="1" applyNumberFormat="1" applyFont="1" applyFill="1" applyBorder="1" applyAlignment="1">
      <alignment horizontal="right" vertical="center" wrapText="1"/>
    </xf>
    <xf numFmtId="0" fontId="0" fillId="9" borderId="0" xfId="0" applyFont="1" applyFill="1" applyAlignment="1">
      <alignment horizontal="center" vertical="center"/>
    </xf>
    <xf numFmtId="0" fontId="0" fillId="10" borderId="16" xfId="0" applyFont="1" applyFill="1" applyBorder="1" applyAlignment="1">
      <alignment horizontal="right" vertical="center"/>
    </xf>
    <xf numFmtId="38" fontId="90" fillId="10" borderId="16" xfId="1" applyNumberFormat="1" applyFont="1" applyFill="1" applyBorder="1" applyAlignment="1">
      <alignment horizontal="right" vertical="center" wrapText="1"/>
    </xf>
    <xf numFmtId="38" fontId="90" fillId="9" borderId="16" xfId="1" applyNumberFormat="1" applyFont="1" applyFill="1" applyBorder="1" applyAlignment="1">
      <alignment horizontal="right" vertical="center" wrapText="1"/>
    </xf>
    <xf numFmtId="1" fontId="8" fillId="0" borderId="0" xfId="0" quotePrefix="1" applyNumberFormat="1" applyFont="1" applyFill="1" applyAlignment="1">
      <alignment horizontal="right" vertical="center"/>
    </xf>
    <xf numFmtId="0" fontId="8" fillId="5" borderId="0" xfId="0" applyFont="1" applyFill="1" applyBorder="1"/>
    <xf numFmtId="1" fontId="55" fillId="5" borderId="0" xfId="0" quotePrefix="1" applyNumberFormat="1" applyFont="1" applyFill="1" applyAlignment="1">
      <alignment horizontal="right" vertical="center"/>
    </xf>
    <xf numFmtId="1" fontId="19" fillId="5" borderId="0" xfId="0" applyNumberFormat="1" applyFont="1" applyFill="1" applyAlignment="1">
      <alignment horizontal="right" vertical="center"/>
    </xf>
    <xf numFmtId="38" fontId="19" fillId="5" borderId="0" xfId="0" applyNumberFormat="1" applyFont="1" applyFill="1" applyAlignment="1">
      <alignment horizontal="right"/>
    </xf>
    <xf numFmtId="37" fontId="125" fillId="5" borderId="0" xfId="0" applyNumberFormat="1" applyFont="1" applyFill="1"/>
    <xf numFmtId="0" fontId="101" fillId="5" borderId="0" xfId="0" applyFont="1" applyFill="1"/>
    <xf numFmtId="0" fontId="8" fillId="5" borderId="0" xfId="0" applyFont="1" applyFill="1" applyAlignment="1">
      <alignment horizontal="left" vertical="center"/>
    </xf>
    <xf numFmtId="0" fontId="7" fillId="0" borderId="0" xfId="0" quotePrefix="1" applyFont="1"/>
    <xf numFmtId="0" fontId="86" fillId="5" borderId="0" xfId="0" applyFont="1" applyFill="1" applyBorder="1" applyAlignment="1">
      <alignment horizontal="left" vertical="center"/>
    </xf>
    <xf numFmtId="0" fontId="86" fillId="5" borderId="0" xfId="0" quotePrefix="1" applyFont="1" applyFill="1" applyBorder="1" applyAlignment="1">
      <alignment horizontal="left" vertical="center"/>
    </xf>
    <xf numFmtId="0" fontId="0" fillId="0" borderId="0" xfId="0" quotePrefix="1" applyFont="1" applyAlignment="1">
      <alignment horizontal="right"/>
    </xf>
    <xf numFmtId="0" fontId="91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101" fillId="0" borderId="0" xfId="0" applyFont="1" applyFill="1"/>
    <xf numFmtId="0" fontId="5" fillId="0" borderId="0" xfId="0" applyFont="1" applyFill="1"/>
    <xf numFmtId="0" fontId="105" fillId="0" borderId="0" xfId="0" applyFont="1"/>
    <xf numFmtId="0" fontId="97" fillId="0" borderId="0" xfId="0" applyFont="1" applyAlignment="1">
      <alignment horizontal="right" vertical="center"/>
    </xf>
    <xf numFmtId="38" fontId="97" fillId="0" borderId="0" xfId="0" applyNumberFormat="1" applyFont="1" applyAlignment="1">
      <alignment horizontal="right"/>
    </xf>
    <xf numFmtId="0" fontId="105" fillId="5" borderId="0" xfId="0" applyFont="1" applyFill="1"/>
    <xf numFmtId="1" fontId="97" fillId="5" borderId="0" xfId="0" applyNumberFormat="1" applyFont="1" applyFill="1" applyAlignment="1">
      <alignment horizontal="right" vertical="center"/>
    </xf>
    <xf numFmtId="0" fontId="39" fillId="0" borderId="17" xfId="0" applyFont="1" applyFill="1" applyBorder="1" applyAlignment="1">
      <alignment horizontal="left" vertical="center"/>
    </xf>
    <xf numFmtId="0" fontId="105" fillId="0" borderId="0" xfId="0" applyFont="1" applyFill="1"/>
    <xf numFmtId="0" fontId="14" fillId="0" borderId="0" xfId="0" applyFont="1" applyFill="1" applyAlignment="1">
      <alignment horizontal="left" vertical="center"/>
    </xf>
    <xf numFmtId="0" fontId="105" fillId="5" borderId="17" xfId="0" applyFont="1" applyFill="1" applyBorder="1" applyAlignment="1">
      <alignment horizontal="left" vertical="center"/>
    </xf>
    <xf numFmtId="1" fontId="33" fillId="5" borderId="17" xfId="0" quotePrefix="1" applyNumberFormat="1" applyFont="1" applyFill="1" applyBorder="1" applyAlignment="1">
      <alignment horizontal="right" vertical="center"/>
    </xf>
    <xf numFmtId="38" fontId="87" fillId="5" borderId="0" xfId="1" quotePrefix="1" applyNumberFormat="1" applyFont="1" applyFill="1" applyBorder="1" applyAlignment="1">
      <alignment horizontal="right"/>
    </xf>
    <xf numFmtId="1" fontId="97" fillId="5" borderId="0" xfId="0" quotePrefix="1" applyNumberFormat="1" applyFont="1" applyFill="1" applyAlignment="1">
      <alignment horizontal="right" vertical="center"/>
    </xf>
    <xf numFmtId="0" fontId="5" fillId="5" borderId="0" xfId="0" applyFont="1" applyFill="1"/>
    <xf numFmtId="0" fontId="5" fillId="5" borderId="0" xfId="0" applyFont="1" applyFill="1" applyAlignment="1">
      <alignment horizontal="left" vertical="center"/>
    </xf>
    <xf numFmtId="1" fontId="5" fillId="5" borderId="0" xfId="1" quotePrefix="1" applyNumberFormat="1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" fontId="5" fillId="0" borderId="0" xfId="0" quotePrefix="1" applyNumberFormat="1" applyFont="1" applyFill="1" applyAlignment="1">
      <alignment horizontal="right" vertical="center"/>
    </xf>
    <xf numFmtId="0" fontId="0" fillId="0" borderId="0" xfId="0" applyFont="1" applyAlignment="1">
      <alignment horizontal="right" wrapText="1"/>
    </xf>
    <xf numFmtId="164" fontId="90" fillId="0" borderId="6" xfId="1" applyNumberFormat="1" applyFont="1" applyFill="1" applyBorder="1"/>
    <xf numFmtId="0" fontId="4" fillId="0" borderId="0" xfId="0" applyFont="1" applyFill="1" applyAlignment="1">
      <alignment horizontal="right" vertical="center"/>
    </xf>
    <xf numFmtId="164" fontId="90" fillId="0" borderId="0" xfId="1" applyNumberFormat="1" applyFont="1" applyAlignment="1">
      <alignment horizontal="right" vertical="center"/>
    </xf>
    <xf numFmtId="37" fontId="96" fillId="0" borderId="0" xfId="0" applyNumberFormat="1" applyFont="1"/>
    <xf numFmtId="37" fontId="96" fillId="0" borderId="0" xfId="0" quotePrefix="1" applyNumberFormat="1" applyFont="1"/>
    <xf numFmtId="0" fontId="4" fillId="5" borderId="0" xfId="0" applyFont="1" applyFill="1" applyBorder="1" applyAlignment="1">
      <alignment horizontal="left" vertical="center"/>
    </xf>
    <xf numFmtId="1" fontId="4" fillId="5" borderId="0" xfId="1" quotePrefix="1" applyNumberFormat="1" applyFont="1" applyFill="1" applyAlignment="1">
      <alignment horizontal="right" vertical="center"/>
    </xf>
    <xf numFmtId="164" fontId="4" fillId="0" borderId="0" xfId="1" applyNumberFormat="1" applyFont="1" applyFill="1" applyAlignment="1">
      <alignment horizontal="right" vertical="center"/>
    </xf>
    <xf numFmtId="1" fontId="4" fillId="0" borderId="0" xfId="1" applyNumberFormat="1" applyFont="1" applyFill="1" applyAlignment="1">
      <alignment horizontal="right" vertical="center"/>
    </xf>
    <xf numFmtId="38" fontId="4" fillId="1" borderId="0" xfId="1" applyNumberFormat="1" applyFont="1" applyFill="1" applyAlignment="1">
      <alignment horizontal="right"/>
    </xf>
    <xf numFmtId="38" fontId="4" fillId="0" borderId="0" xfId="1" applyNumberFormat="1" applyFont="1"/>
    <xf numFmtId="38" fontId="4" fillId="0" borderId="0" xfId="1" applyNumberFormat="1" applyFont="1" applyFill="1" applyAlignment="1">
      <alignment horizontal="right"/>
    </xf>
    <xf numFmtId="38" fontId="4" fillId="0" borderId="0" xfId="0" applyNumberFormat="1" applyFont="1"/>
    <xf numFmtId="38" fontId="4" fillId="0" borderId="16" xfId="1" applyNumberFormat="1" applyFont="1" applyBorder="1"/>
    <xf numFmtId="0" fontId="4" fillId="0" borderId="0" xfId="0" applyFont="1"/>
    <xf numFmtId="38" fontId="4" fillId="0" borderId="17" xfId="1" applyNumberFormat="1" applyFont="1" applyBorder="1"/>
    <xf numFmtId="38" fontId="4" fillId="0" borderId="17" xfId="1" applyNumberFormat="1" applyFont="1" applyFill="1" applyBorder="1" applyAlignment="1">
      <alignment horizontal="right"/>
    </xf>
    <xf numFmtId="0" fontId="91" fillId="6" borderId="0" xfId="0" applyFont="1" applyFill="1" applyAlignment="1">
      <alignment horizontal="left"/>
    </xf>
    <xf numFmtId="6" fontId="3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right" vertical="center"/>
    </xf>
    <xf numFmtId="1" fontId="3" fillId="0" borderId="0" xfId="0" applyNumberFormat="1" applyFont="1" applyFill="1" applyAlignment="1">
      <alignment horizontal="right" vertical="center"/>
    </xf>
    <xf numFmtId="38" fontId="3" fillId="0" borderId="16" xfId="0" applyNumberFormat="1" applyFont="1" applyFill="1" applyBorder="1" applyAlignment="1">
      <alignment horizontal="right"/>
    </xf>
    <xf numFmtId="38" fontId="3" fillId="5" borderId="0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vertical="center"/>
    </xf>
    <xf numFmtId="164" fontId="90" fillId="0" borderId="16" xfId="1" applyNumberFormat="1" applyFont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left" vertical="center"/>
    </xf>
    <xf numFmtId="0" fontId="2" fillId="0" borderId="0" xfId="0" applyFont="1" applyFill="1"/>
    <xf numFmtId="0" fontId="92" fillId="0" borderId="0" xfId="0" applyFont="1" applyFill="1"/>
    <xf numFmtId="0" fontId="2" fillId="5" borderId="0" xfId="0" quotePrefix="1" applyFont="1" applyFill="1" applyAlignment="1">
      <alignment horizontal="right"/>
    </xf>
    <xf numFmtId="0" fontId="11" fillId="5" borderId="0" xfId="0" applyFont="1" applyFill="1" applyAlignment="1">
      <alignment horizontal="right"/>
    </xf>
    <xf numFmtId="38" fontId="2" fillId="5" borderId="0" xfId="1" applyNumberFormat="1" applyFont="1" applyFill="1" applyAlignment="1">
      <alignment horizontal="right"/>
    </xf>
    <xf numFmtId="49" fontId="2" fillId="5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0" fontId="101" fillId="5" borderId="0" xfId="0" applyFont="1" applyFill="1" applyBorder="1" applyAlignment="1">
      <alignment horizontal="left" vertical="center"/>
    </xf>
    <xf numFmtId="0" fontId="1" fillId="5" borderId="0" xfId="0" applyFont="1" applyFill="1"/>
    <xf numFmtId="0" fontId="1" fillId="3" borderId="6" xfId="0" applyFont="1" applyFill="1" applyBorder="1" applyAlignment="1">
      <alignment wrapText="1"/>
    </xf>
    <xf numFmtId="0" fontId="1" fillId="0" borderId="0" xfId="0" applyFont="1" applyFill="1" applyAlignment="1">
      <alignment horizontal="left" vertical="center"/>
    </xf>
    <xf numFmtId="1" fontId="1" fillId="0" borderId="0" xfId="1" quotePrefix="1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Border="1" applyAlignment="1">
      <alignment horizontal="left" vertical="center"/>
    </xf>
    <xf numFmtId="1" fontId="1" fillId="5" borderId="0" xfId="0" quotePrefix="1" applyNumberFormat="1" applyFont="1" applyFill="1" applyAlignment="1">
      <alignment horizontal="right" vertical="center"/>
    </xf>
    <xf numFmtId="0" fontId="1" fillId="0" borderId="0" xfId="0" applyFont="1" applyFill="1"/>
    <xf numFmtId="38" fontId="1" fillId="0" borderId="0" xfId="0" applyNumberFormat="1" applyFont="1" applyFill="1"/>
    <xf numFmtId="0" fontId="1" fillId="5" borderId="0" xfId="0" applyFont="1" applyFill="1" applyAlignment="1">
      <alignment horizontal="left" vertical="center"/>
    </xf>
    <xf numFmtId="1" fontId="1" fillId="0" borderId="0" xfId="0" quotePrefix="1" applyNumberFormat="1" applyFont="1" applyFill="1" applyAlignment="1">
      <alignment horizontal="right" vertical="center"/>
    </xf>
    <xf numFmtId="1" fontId="97" fillId="0" borderId="0" xfId="0" quotePrefix="1" applyNumberFormat="1" applyFont="1" applyFill="1" applyAlignment="1">
      <alignment horizontal="right" vertical="center"/>
    </xf>
    <xf numFmtId="0" fontId="92" fillId="7" borderId="0" xfId="0" applyFont="1" applyFill="1"/>
    <xf numFmtId="0" fontId="97" fillId="7" borderId="0" xfId="0" applyFont="1" applyFill="1" applyAlignment="1">
      <alignment horizontal="left" vertical="center"/>
    </xf>
    <xf numFmtId="38" fontId="0" fillId="0" borderId="25" xfId="1" applyNumberFormat="1" applyFont="1" applyFill="1" applyBorder="1" applyAlignment="1">
      <alignment horizontal="right"/>
    </xf>
    <xf numFmtId="38" fontId="0" fillId="0" borderId="11" xfId="0" applyNumberFormat="1" applyFill="1" applyBorder="1"/>
    <xf numFmtId="38" fontId="0" fillId="0" borderId="0" xfId="0" applyNumberFormat="1" applyFill="1"/>
    <xf numFmtId="38" fontId="0" fillId="0" borderId="15" xfId="1" applyNumberFormat="1" applyFont="1" applyFill="1" applyBorder="1" applyAlignment="1">
      <alignment horizontal="right"/>
    </xf>
    <xf numFmtId="38" fontId="0" fillId="0" borderId="7" xfId="1" applyNumberFormat="1" applyFont="1" applyFill="1" applyBorder="1" applyAlignment="1">
      <alignment horizontal="right"/>
    </xf>
    <xf numFmtId="0" fontId="93" fillId="0" borderId="0" xfId="0" applyFont="1" applyAlignment="1">
      <alignment horizontal="left"/>
    </xf>
    <xf numFmtId="0" fontId="1" fillId="0" borderId="6" xfId="0" applyFont="1" applyFill="1" applyBorder="1" applyAlignment="1">
      <alignment wrapText="1"/>
    </xf>
    <xf numFmtId="0" fontId="1" fillId="5" borderId="0" xfId="0" applyFont="1" applyFill="1" applyBorder="1"/>
    <xf numFmtId="38" fontId="1" fillId="5" borderId="0" xfId="0" applyNumberFormat="1" applyFont="1" applyFill="1" applyAlignment="1">
      <alignment horizontal="right"/>
    </xf>
    <xf numFmtId="0" fontId="86" fillId="0" borderId="36" xfId="0" applyFont="1" applyFill="1" applyBorder="1" applyAlignment="1">
      <alignment horizontal="right"/>
    </xf>
    <xf numFmtId="0" fontId="86" fillId="0" borderId="32" xfId="0" applyFont="1" applyFill="1" applyBorder="1" applyAlignment="1">
      <alignment horizontal="right"/>
    </xf>
    <xf numFmtId="0" fontId="1" fillId="5" borderId="0" xfId="0" quotePrefix="1" applyFont="1" applyFill="1" applyAlignment="1">
      <alignment horizontal="left" vertical="center"/>
    </xf>
    <xf numFmtId="0" fontId="91" fillId="0" borderId="0" xfId="0" applyFont="1"/>
    <xf numFmtId="0" fontId="1" fillId="5" borderId="0" xfId="0" applyFont="1" applyFill="1" applyAlignment="1">
      <alignment horizontal="right" vertical="center"/>
    </xf>
    <xf numFmtId="1" fontId="1" fillId="5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right" vertical="center"/>
    </xf>
    <xf numFmtId="38" fontId="1" fillId="0" borderId="0" xfId="0" applyNumberFormat="1" applyFont="1" applyFill="1" applyAlignment="1">
      <alignment horizontal="right"/>
    </xf>
    <xf numFmtId="0" fontId="92" fillId="5" borderId="0" xfId="0" applyFont="1" applyFill="1" applyBorder="1"/>
    <xf numFmtId="0" fontId="1" fillId="15" borderId="0" xfId="0" applyFont="1" applyFill="1" applyAlignment="1">
      <alignment horizontal="left" vertical="center"/>
    </xf>
    <xf numFmtId="0" fontId="1" fillId="5" borderId="0" xfId="0" quotePrefix="1" applyFont="1" applyFill="1" applyAlignment="1">
      <alignment horizontal="right" vertical="center"/>
    </xf>
    <xf numFmtId="38" fontId="1" fillId="0" borderId="0" xfId="0" applyNumberFormat="1" applyFont="1"/>
    <xf numFmtId="38" fontId="1" fillId="0" borderId="0" xfId="1" applyNumberFormat="1" applyFont="1"/>
    <xf numFmtId="49" fontId="1" fillId="0" borderId="0" xfId="0" applyNumberFormat="1" applyFont="1"/>
    <xf numFmtId="0" fontId="105" fillId="0" borderId="16" xfId="0" quotePrefix="1" applyFont="1" applyFill="1" applyBorder="1" applyAlignment="1">
      <alignment horizontal="left" vertical="center"/>
    </xf>
    <xf numFmtId="49" fontId="101" fillId="0" borderId="0" xfId="0" applyNumberFormat="1" applyFont="1"/>
    <xf numFmtId="0" fontId="97" fillId="0" borderId="0" xfId="0" applyFont="1"/>
    <xf numFmtId="0" fontId="93" fillId="5" borderId="0" xfId="0" applyFont="1" applyFill="1" applyAlignment="1">
      <alignment horizontal="left" indent="1"/>
    </xf>
    <xf numFmtId="0" fontId="105" fillId="0" borderId="0" xfId="0" quotePrefix="1" applyFont="1" applyFill="1" applyBorder="1" applyAlignment="1">
      <alignment horizontal="left" vertical="center"/>
    </xf>
    <xf numFmtId="38" fontId="1" fillId="0" borderId="17" xfId="1" applyNumberFormat="1" applyFont="1" applyBorder="1"/>
    <xf numFmtId="0" fontId="94" fillId="5" borderId="0" xfId="0" applyFont="1" applyFill="1" applyBorder="1"/>
    <xf numFmtId="1" fontId="124" fillId="5" borderId="0" xfId="1" applyNumberFormat="1" applyFont="1" applyFill="1" applyBorder="1" applyAlignment="1">
      <alignment horizontal="right" vertical="center"/>
    </xf>
    <xf numFmtId="38" fontId="124" fillId="5" borderId="0" xfId="1" applyNumberFormat="1" applyFont="1" applyFill="1" applyBorder="1" applyAlignment="1">
      <alignment horizontal="right"/>
    </xf>
    <xf numFmtId="0" fontId="63" fillId="5" borderId="0" xfId="0" quotePrefix="1" applyFont="1" applyFill="1" applyBorder="1" applyAlignment="1">
      <alignment horizontal="left" vertical="center"/>
    </xf>
    <xf numFmtId="38" fontId="63" fillId="5" borderId="0" xfId="1" applyNumberFormat="1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37" fontId="121" fillId="0" borderId="0" xfId="0" applyNumberFormat="1" applyFont="1"/>
    <xf numFmtId="0" fontId="1" fillId="0" borderId="17" xfId="0" applyFont="1" applyFill="1" applyBorder="1" applyAlignment="1">
      <alignment horizontal="left" vertical="center"/>
    </xf>
    <xf numFmtId="0" fontId="1" fillId="0" borderId="0" xfId="0" applyFont="1"/>
    <xf numFmtId="1" fontId="1" fillId="0" borderId="0" xfId="1" applyNumberFormat="1" applyFont="1" applyFill="1" applyAlignment="1">
      <alignment horizontal="right" vertical="center"/>
    </xf>
    <xf numFmtId="0" fontId="92" fillId="0" borderId="0" xfId="0" applyFont="1" applyFill="1" applyBorder="1" applyAlignment="1"/>
    <xf numFmtId="1" fontId="97" fillId="7" borderId="0" xfId="0" quotePrefix="1" applyNumberFormat="1" applyFont="1" applyFill="1" applyAlignment="1">
      <alignment horizontal="right" vertical="center"/>
    </xf>
    <xf numFmtId="49" fontId="1" fillId="5" borderId="0" xfId="0" applyNumberFormat="1" applyFont="1" applyFill="1" applyBorder="1"/>
    <xf numFmtId="1" fontId="1" fillId="5" borderId="0" xfId="0" quotePrefix="1" applyNumberFormat="1" applyFont="1" applyFill="1" applyBorder="1" applyAlignment="1">
      <alignment horizontal="right" vertical="center"/>
    </xf>
    <xf numFmtId="164" fontId="1" fillId="0" borderId="0" xfId="1" applyNumberFormat="1" applyFont="1" applyFill="1" applyAlignment="1">
      <alignment horizontal="right" vertical="center"/>
    </xf>
    <xf numFmtId="10" fontId="0" fillId="0" borderId="0" xfId="2" applyNumberFormat="1" applyFont="1"/>
    <xf numFmtId="0" fontId="91" fillId="0" borderId="0" xfId="0" applyFont="1" applyFill="1" applyBorder="1"/>
    <xf numFmtId="1" fontId="1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Fill="1" applyBorder="1"/>
    <xf numFmtId="0" fontId="101" fillId="0" borderId="0" xfId="0" applyFont="1" applyFill="1" applyBorder="1" applyAlignment="1"/>
    <xf numFmtId="0" fontId="1" fillId="0" borderId="0" xfId="0" applyFont="1" applyFill="1" applyAlignment="1">
      <alignment horizontal="right"/>
    </xf>
    <xf numFmtId="1" fontId="1" fillId="5" borderId="0" xfId="1" quotePrefix="1" applyNumberFormat="1" applyFont="1" applyFill="1" applyAlignment="1">
      <alignment horizontal="right" vertical="center"/>
    </xf>
    <xf numFmtId="2" fontId="0" fillId="0" borderId="6" xfId="1" applyNumberFormat="1" applyFont="1" applyFill="1" applyBorder="1"/>
    <xf numFmtId="166" fontId="0" fillId="0" borderId="0" xfId="0" applyNumberFormat="1"/>
    <xf numFmtId="3" fontId="0" fillId="0" borderId="0" xfId="0" applyNumberFormat="1"/>
    <xf numFmtId="0" fontId="85" fillId="0" borderId="0" xfId="0" applyFont="1" applyAlignment="1">
      <alignment horizontal="center"/>
    </xf>
    <xf numFmtId="0" fontId="84" fillId="0" borderId="0" xfId="0" applyFont="1" applyAlignment="1">
      <alignment horizontal="left"/>
    </xf>
    <xf numFmtId="0" fontId="86" fillId="0" borderId="0" xfId="0" applyFont="1" applyAlignment="1">
      <alignment horizontal="center"/>
    </xf>
    <xf numFmtId="0" fontId="86" fillId="0" borderId="23" xfId="0" applyFont="1" applyBorder="1" applyAlignment="1">
      <alignment horizontal="center" wrapText="1"/>
    </xf>
    <xf numFmtId="0" fontId="86" fillId="0" borderId="40" xfId="0" applyFont="1" applyBorder="1" applyAlignment="1">
      <alignment horizontal="center" wrapText="1"/>
    </xf>
    <xf numFmtId="0" fontId="85" fillId="0" borderId="0" xfId="0" applyFont="1" applyAlignment="1">
      <alignment horizontal="left"/>
    </xf>
    <xf numFmtId="0" fontId="85" fillId="0" borderId="0" xfId="0" applyFont="1" applyAlignment="1">
      <alignment horizontal="right"/>
    </xf>
    <xf numFmtId="38" fontId="86" fillId="6" borderId="29" xfId="1" applyNumberFormat="1" applyFont="1" applyFill="1" applyBorder="1" applyAlignment="1">
      <alignment horizontal="center"/>
    </xf>
    <xf numFmtId="0" fontId="84" fillId="0" borderId="0" xfId="0" applyFont="1" applyFill="1"/>
    <xf numFmtId="0" fontId="86" fillId="0" borderId="0" xfId="0" applyFont="1" applyAlignment="1">
      <alignment horizontal="left"/>
    </xf>
    <xf numFmtId="0" fontId="85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0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8F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BUDGET/5YR2125/Revised%2005-20/FYP2125-Reconciliation-Depts_PROPOSED%20TO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ments"/>
      <sheetName val="Summary"/>
      <sheetName val="Pivot"/>
      <sheetName val="Other Funds"/>
    </sheetNames>
    <sheetDataSet>
      <sheetData sheetId="0">
        <row r="2">
          <cell r="M2">
            <v>69019088</v>
          </cell>
          <cell r="N2">
            <v>-295684865</v>
          </cell>
          <cell r="O2">
            <v>-262733004</v>
          </cell>
          <cell r="P2">
            <v>-65733882</v>
          </cell>
          <cell r="Q2">
            <v>-34419204</v>
          </cell>
          <cell r="R2">
            <v>-26306957</v>
          </cell>
          <cell r="S2">
            <v>-615858824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../../5YR1923/Exogenous/Responses/FY19-FY23%20Emp.Disb%205yr%20Projections%20FINAL%20for%20BS.xlsx" TargetMode="External"/><Relationship Id="rId3" Type="http://schemas.openxmlformats.org/officeDocument/2006/relationships/hyperlink" Target="../../FITZ/Fringes/Pension/FY%202019/FY%2019%20-%2023%20Pens%20Oblig%20Bond%20by%20Fund%20.xlsx" TargetMode="External"/><Relationship Id="rId7" Type="http://schemas.openxmlformats.org/officeDocument/2006/relationships/hyperlink" Target="../../FITZ/Fringes/Pension/FY%202019/FY%2019%20-%2023%20Pens%20Oblig%20Bond%20by%20Fund%20.xlsx" TargetMode="External"/><Relationship Id="rId2" Type="http://schemas.openxmlformats.org/officeDocument/2006/relationships/hyperlink" Target="../../FITZ/Fringes/Health-Med/FY2019/FY%2019-FY%2023%20Health%20Medical%20Projecton_basedonFY17Actual.xlsx" TargetMode="External"/><Relationship Id="rId1" Type="http://schemas.openxmlformats.org/officeDocument/2006/relationships/hyperlink" Target="../../FITZ/Fringes/FICA_Medicare/FICA%20Actuals%2099%20-17%20Projected%20FY%2018%20-%2023.xlsx" TargetMode="External"/><Relationship Id="rId6" Type="http://schemas.openxmlformats.org/officeDocument/2006/relationships/hyperlink" Target="../../FITZ/Fringes/Health-Med/FY2019/FY%2019-FY%2023%20Health%20Medical%20Projecton_basedonFY17Actual.xlsx" TargetMode="External"/><Relationship Id="rId11" Type="http://schemas.openxmlformats.org/officeDocument/2006/relationships/comments" Target="../comments3.xml"/><Relationship Id="rId5" Type="http://schemas.openxmlformats.org/officeDocument/2006/relationships/hyperlink" Target="../../FITZ/Fringes/FICA_Medicare/FICA%20Actuals%2099%20-17%20Projected%20FY%2018%20-%2023.xlsx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../../5YR1923/Exogenous/Responses/FY19-FY23%20Emp.Disb%205yr%20Projections%20FINAL%20for%20BS.xlsx" TargetMode="External"/><Relationship Id="rId9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2"/>
  <sheetViews>
    <sheetView topLeftCell="A57" zoomScaleNormal="100" zoomScaleSheetLayoutView="80" workbookViewId="0">
      <selection activeCell="A5" sqref="A5"/>
    </sheetView>
  </sheetViews>
  <sheetFormatPr baseColWidth="10" defaultColWidth="9.1640625" defaultRowHeight="15" x14ac:dyDescent="0.2"/>
  <cols>
    <col min="1" max="1" width="35.83203125" style="7" bestFit="1" customWidth="1"/>
    <col min="2" max="2" width="14.5" style="15" customWidth="1"/>
    <col min="3" max="9" width="14.5" style="7" customWidth="1"/>
    <col min="10" max="10" width="16.5" style="7" customWidth="1"/>
    <col min="11" max="11" width="9.1640625" style="7"/>
    <col min="12" max="12" width="11.83203125" style="7" bestFit="1" customWidth="1"/>
    <col min="13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x14ac:dyDescent="0.2">
      <c r="A5"/>
    </row>
    <row r="6" spans="1:10" ht="20" thickBot="1" x14ac:dyDescent="0.3">
      <c r="A6" s="111" t="s">
        <v>192</v>
      </c>
      <c r="B6" s="4"/>
      <c r="C6" s="959"/>
      <c r="D6" s="959"/>
      <c r="E6" s="959"/>
      <c r="F6" s="959"/>
      <c r="G6" s="959"/>
      <c r="H6" s="959"/>
      <c r="I6" s="959"/>
    </row>
    <row r="7" spans="1:10" ht="22" thickBot="1" x14ac:dyDescent="0.3">
      <c r="A7" s="109" t="s">
        <v>1017</v>
      </c>
      <c r="B7" s="178"/>
      <c r="C7" s="178"/>
      <c r="D7" s="178"/>
      <c r="E7" s="439" t="s">
        <v>243</v>
      </c>
      <c r="F7" s="408"/>
      <c r="G7" s="4"/>
      <c r="H7" s="4"/>
      <c r="I7" s="500"/>
    </row>
    <row r="8" spans="1:10" s="8" customFormat="1" ht="30" customHeight="1" thickBot="1" x14ac:dyDescent="0.25">
      <c r="A8" s="1" t="s">
        <v>3</v>
      </c>
      <c r="B8" s="536" t="s">
        <v>434</v>
      </c>
      <c r="C8" s="536" t="s">
        <v>435</v>
      </c>
      <c r="D8" s="537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538" t="s">
        <v>440</v>
      </c>
    </row>
    <row r="9" spans="1:10" x14ac:dyDescent="0.2">
      <c r="A9" s="9" t="s">
        <v>4</v>
      </c>
      <c r="B9" s="34">
        <f>SUM('34-Art Museum Subsidy:12-Streets'!B9)-'35EB-Finance - Benefits'!B9</f>
        <v>1749789358</v>
      </c>
      <c r="C9" s="34">
        <f>SUM('34-Art Museum Subsidy:12-Streets'!C9)-'35EB-Finance - Benefits'!C9</f>
        <v>1820084499</v>
      </c>
      <c r="D9" s="227">
        <f>SUM('34-Art Museum Subsidy:12-Streets'!D9)-'35EB-Finance - Benefits'!D9</f>
        <v>1884357055</v>
      </c>
      <c r="E9" s="115">
        <f>SUM('34-Art Museum Subsidy:12-Streets'!E9)-'35EB-Finance - Benefits'!E9</f>
        <v>1795159258.4200001</v>
      </c>
      <c r="F9" s="411">
        <f>SUM('34-Art Museum Subsidy:12-Streets'!F9)-'35EB-Finance - Benefits'!F9</f>
        <v>1810270309.4200001</v>
      </c>
      <c r="G9" s="34">
        <f>SUM('34-Art Museum Subsidy:12-Streets'!G9)-'35EB-Finance - Benefits'!G9</f>
        <v>1831769352.4200001</v>
      </c>
      <c r="H9" s="34">
        <f>SUM('34-Art Museum Subsidy:12-Streets'!H9)-'35EB-Finance - Benefits'!H9</f>
        <v>1908237522.4200001</v>
      </c>
      <c r="I9" s="51">
        <f>SUM('34-Art Museum Subsidy:12-Streets'!I9)-'35EB-Finance - Benefits'!I9</f>
        <v>1908595074.4200001</v>
      </c>
      <c r="J9" s="113">
        <f t="shared" ref="J9:J16" si="0">SUM(D9:I9)</f>
        <v>11138388572.1</v>
      </c>
    </row>
    <row r="10" spans="1:10" x14ac:dyDescent="0.2">
      <c r="A10" s="117" t="s">
        <v>108</v>
      </c>
      <c r="B10" s="49">
        <f>+'35EB-Finance - Benefits'!B9</f>
        <v>1371066396</v>
      </c>
      <c r="C10" s="49">
        <f>+'35EB-Finance - Benefits'!C9</f>
        <v>1411963002</v>
      </c>
      <c r="D10" s="228">
        <f>+'35EB-Finance - Benefits'!D9</f>
        <v>1348375045</v>
      </c>
      <c r="E10" s="114">
        <f>+'35EB-Finance - Benefits'!E9</f>
        <v>1287159003</v>
      </c>
      <c r="F10" s="412">
        <f>+'35EB-Finance - Benefits'!F9</f>
        <v>1422031076</v>
      </c>
      <c r="G10" s="49">
        <f>+'35EB-Finance - Benefits'!G9</f>
        <v>1475341633</v>
      </c>
      <c r="H10" s="49">
        <f>+'35EB-Finance - Benefits'!H9</f>
        <v>1529644986</v>
      </c>
      <c r="I10" s="50">
        <f>+'35EB-Finance - Benefits'!I9</f>
        <v>1581664744</v>
      </c>
      <c r="J10" s="114">
        <f t="shared" si="0"/>
        <v>8644216487</v>
      </c>
    </row>
    <row r="11" spans="1:10" x14ac:dyDescent="0.2">
      <c r="A11" s="9" t="s">
        <v>5</v>
      </c>
      <c r="B11" s="34">
        <f>SUM('34-Art Museum Subsidy:12-Streets'!B10)</f>
        <v>915528453</v>
      </c>
      <c r="C11" s="34">
        <f>SUM('34-Art Museum Subsidy:12-Streets'!C10)</f>
        <v>1001324495</v>
      </c>
      <c r="D11" s="227">
        <f>SUM('34-Art Museum Subsidy:12-Streets'!D10)</f>
        <v>1032109244</v>
      </c>
      <c r="E11" s="499">
        <f>SUM('34-Art Museum Subsidy:12-Streets'!E10)</f>
        <v>948562174</v>
      </c>
      <c r="F11" s="411">
        <f>SUM('34-Art Museum Subsidy:12-Streets'!F10)</f>
        <v>957185815</v>
      </c>
      <c r="G11" s="34">
        <f>SUM('34-Art Museum Subsidy:12-Streets'!G10)</f>
        <v>993884685</v>
      </c>
      <c r="H11" s="34">
        <f>SUM('34-Art Museum Subsidy:12-Streets'!H10)</f>
        <v>1082615530</v>
      </c>
      <c r="I11" s="34">
        <f>SUM('34-Art Museum Subsidy:12-Streets'!I10)</f>
        <v>1087215255</v>
      </c>
      <c r="J11" s="115">
        <f t="shared" si="0"/>
        <v>6101572703</v>
      </c>
    </row>
    <row r="12" spans="1:10" x14ac:dyDescent="0.2">
      <c r="A12" s="48" t="s">
        <v>6</v>
      </c>
      <c r="B12" s="49">
        <f>SUM('34-Art Museum Subsidy:12-Streets'!B11)</f>
        <v>113266308</v>
      </c>
      <c r="C12" s="49">
        <f>SUM('34-Art Museum Subsidy:12-Streets'!C11)</f>
        <v>123681775</v>
      </c>
      <c r="D12" s="228">
        <f>SUM('34-Art Museum Subsidy:12-Streets'!D11)</f>
        <v>166576179</v>
      </c>
      <c r="E12" s="114">
        <f>SUM('34-Art Museum Subsidy:12-Streets'!E11)</f>
        <v>117303678</v>
      </c>
      <c r="F12" s="412">
        <f>SUM('34-Art Museum Subsidy:12-Streets'!F11)</f>
        <v>97531988</v>
      </c>
      <c r="G12" s="49">
        <f>SUM('34-Art Museum Subsidy:12-Streets'!G11)</f>
        <v>97163261</v>
      </c>
      <c r="H12" s="49">
        <f>SUM('34-Art Museum Subsidy:12-Streets'!H11)</f>
        <v>126963463</v>
      </c>
      <c r="I12" s="50">
        <f>SUM('34-Art Museum Subsidy:12-Streets'!I11)</f>
        <v>113899404</v>
      </c>
      <c r="J12" s="114">
        <f t="shared" si="0"/>
        <v>719437973</v>
      </c>
    </row>
    <row r="13" spans="1:10" x14ac:dyDescent="0.2">
      <c r="A13" s="9" t="s">
        <v>7</v>
      </c>
      <c r="B13" s="165">
        <f>SUM('34-Art Museum Subsidy:12-Streets'!B12)</f>
        <v>279769358</v>
      </c>
      <c r="C13" s="34">
        <f>SUM('34-Art Museum Subsidy:12-Streets'!C12)</f>
        <v>322432210</v>
      </c>
      <c r="D13" s="227">
        <f>SUM('34-Art Museum Subsidy:12-Streets'!D12)</f>
        <v>341732210</v>
      </c>
      <c r="E13" s="115">
        <f>SUM('34-Art Museum Subsidy:12-Streets'!E12)</f>
        <v>378737166</v>
      </c>
      <c r="F13" s="411">
        <f>SUM('34-Art Museum Subsidy:12-Streets'!F12)</f>
        <v>374829725</v>
      </c>
      <c r="G13" s="34">
        <f>SUM('34-Art Museum Subsidy:12-Streets'!G12)</f>
        <v>389857692</v>
      </c>
      <c r="H13" s="34">
        <f>SUM('34-Art Museum Subsidy:12-Streets'!H12)</f>
        <v>407066910</v>
      </c>
      <c r="I13" s="118">
        <f>SUM('34-Art Museum Subsidy:12-Streets'!I12)</f>
        <v>406964612</v>
      </c>
      <c r="J13" s="115">
        <f t="shared" si="0"/>
        <v>2299188315</v>
      </c>
    </row>
    <row r="14" spans="1:10" x14ac:dyDescent="0.2">
      <c r="A14" s="48" t="s">
        <v>8</v>
      </c>
      <c r="B14" s="49">
        <f>SUM('34-Art Museum Subsidy:12-Streets'!B13)</f>
        <v>159786966</v>
      </c>
      <c r="C14" s="49">
        <f>SUM('34-Art Museum Subsidy:12-Streets'!C13)</f>
        <v>187482819</v>
      </c>
      <c r="D14" s="228">
        <f>SUM('34-Art Museum Subsidy:12-Streets'!D13)</f>
        <v>187482819</v>
      </c>
      <c r="E14" s="114">
        <f>SUM('34-Art Museum Subsidy:12-Streets'!E13)</f>
        <v>185714117</v>
      </c>
      <c r="F14" s="412">
        <f>SUM('34-Art Museum Subsidy:12-Streets'!F13)</f>
        <v>203916919</v>
      </c>
      <c r="G14" s="49">
        <f>SUM('34-Art Museum Subsidy:12-Streets'!G13)</f>
        <v>216115419</v>
      </c>
      <c r="H14" s="49">
        <f>SUM('34-Art Museum Subsidy:12-Streets'!H13)</f>
        <v>235167513</v>
      </c>
      <c r="I14" s="50">
        <f>SUM('34-Art Museum Subsidy:12-Streets'!I13)</f>
        <v>245495557</v>
      </c>
      <c r="J14" s="114">
        <f t="shared" si="0"/>
        <v>1273892344</v>
      </c>
    </row>
    <row r="15" spans="1:10" x14ac:dyDescent="0.2">
      <c r="A15" s="9" t="s">
        <v>9</v>
      </c>
      <c r="B15" s="34">
        <f>SUM('34-Art Museum Subsidy:12-Streets'!B14)</f>
        <v>183181730</v>
      </c>
      <c r="C15" s="34">
        <f>SUM('34-Art Museum Subsidy:12-Streets'!C14)</f>
        <v>103189100</v>
      </c>
      <c r="D15" s="227">
        <f>SUM('34-Art Museum Subsidy:12-Streets'!D14)</f>
        <v>108189100</v>
      </c>
      <c r="E15" s="115">
        <f>SUM('34-Art Museum Subsidy:12-Streets'!E14)</f>
        <v>67215504</v>
      </c>
      <c r="F15" s="411">
        <f>SUM('34-Art Museum Subsidy:12-Streets'!F14)</f>
        <v>55774504</v>
      </c>
      <c r="G15" s="34">
        <f>SUM('34-Art Museum Subsidy:12-Streets'!G14)</f>
        <v>60181504</v>
      </c>
      <c r="H15" s="34">
        <f>SUM('34-Art Museum Subsidy:12-Streets'!H14)</f>
        <v>69421504</v>
      </c>
      <c r="I15" s="118">
        <f>SUM('34-Art Museum Subsidy:12-Streets'!I14)</f>
        <v>108058504</v>
      </c>
      <c r="J15" s="115">
        <f t="shared" si="0"/>
        <v>468840620</v>
      </c>
    </row>
    <row r="16" spans="1:10" ht="16" thickBot="1" x14ac:dyDescent="0.25">
      <c r="A16" s="30" t="s">
        <v>10</v>
      </c>
      <c r="B16" s="52">
        <f>SUM('34-Art Museum Subsidy:12-Streets'!B15)</f>
        <v>0</v>
      </c>
      <c r="C16" s="52">
        <f>SUM('34-Art Museum Subsidy:12-Streets'!C15)</f>
        <v>55108100</v>
      </c>
      <c r="D16" s="409">
        <f>SUM('34-Art Museum Subsidy:12-Streets'!D15)</f>
        <v>18403100</v>
      </c>
      <c r="E16" s="116">
        <f>SUM('34-Art Museum Subsidy:12-Streets'!E15)</f>
        <v>25000100</v>
      </c>
      <c r="F16" s="413">
        <f>SUM('34-Art Museum Subsidy:12-Streets'!F15)</f>
        <v>80000100</v>
      </c>
      <c r="G16" s="52">
        <f>SUM('34-Art Museum Subsidy:12-Streets'!G15)</f>
        <v>75000100</v>
      </c>
      <c r="H16" s="52">
        <f>SUM('34-Art Museum Subsidy:12-Streets'!H15)</f>
        <v>90000100</v>
      </c>
      <c r="I16" s="112">
        <f>SUM('34-Art Museum Subsidy:12-Streets'!I15)</f>
        <v>90000100</v>
      </c>
      <c r="J16" s="116">
        <f t="shared" si="0"/>
        <v>378403600</v>
      </c>
    </row>
    <row r="17" spans="1:10" x14ac:dyDescent="0.2">
      <c r="A17" s="4" t="s">
        <v>11</v>
      </c>
      <c r="B17" s="40">
        <f t="shared" ref="B17:H17" si="1">SUM(B9:B16)</f>
        <v>4772388569</v>
      </c>
      <c r="C17" s="40">
        <f t="shared" si="1"/>
        <v>5025266000</v>
      </c>
      <c r="D17" s="40">
        <f t="shared" si="1"/>
        <v>5087224752</v>
      </c>
      <c r="E17" s="40">
        <f t="shared" si="1"/>
        <v>4804851000.4200001</v>
      </c>
      <c r="F17" s="40">
        <f t="shared" si="1"/>
        <v>5001540436.4200001</v>
      </c>
      <c r="G17" s="40">
        <f t="shared" si="1"/>
        <v>5139313646.4200001</v>
      </c>
      <c r="H17" s="40">
        <f t="shared" si="1"/>
        <v>5449117528.4200001</v>
      </c>
      <c r="I17" s="40">
        <f>SUM(I9:I16)</f>
        <v>5541893250.4200001</v>
      </c>
      <c r="J17" s="40">
        <f>SUM(J9:J16)</f>
        <v>31023940614.099998</v>
      </c>
    </row>
    <row r="18" spans="1:10" x14ac:dyDescent="0.2">
      <c r="A18" s="53"/>
      <c r="B18" s="511"/>
      <c r="D18" s="417">
        <f>+D17-C17</f>
        <v>61958752</v>
      </c>
      <c r="E18" s="417">
        <f>+E17-D17</f>
        <v>-282373751.57999992</v>
      </c>
      <c r="F18" s="213"/>
    </row>
    <row r="19" spans="1:10" x14ac:dyDescent="0.2">
      <c r="A19" s="53"/>
      <c r="B19" s="287"/>
      <c r="C19" s="205"/>
      <c r="D19" s="418">
        <f>+D18/C17</f>
        <v>1.2329447237220875E-2</v>
      </c>
      <c r="E19" s="418">
        <f>+E18/D17</f>
        <v>-5.5506443168052887E-2</v>
      </c>
      <c r="F19" s="418"/>
    </row>
    <row r="20" spans="1:10" ht="16" thickBot="1" x14ac:dyDescent="0.25">
      <c r="A20" s="25" t="s">
        <v>12</v>
      </c>
      <c r="B20" s="46"/>
      <c r="C20" s="25" t="s">
        <v>13</v>
      </c>
      <c r="D20" s="25" t="s">
        <v>89</v>
      </c>
      <c r="E20" s="25" t="s">
        <v>206</v>
      </c>
      <c r="F20" s="25" t="s">
        <v>225</v>
      </c>
      <c r="G20" s="25" t="s">
        <v>249</v>
      </c>
      <c r="H20" s="25" t="s">
        <v>308</v>
      </c>
      <c r="I20" s="25" t="s">
        <v>438</v>
      </c>
      <c r="J20" s="25" t="s">
        <v>11</v>
      </c>
    </row>
    <row r="21" spans="1:10" ht="16" thickTop="1" x14ac:dyDescent="0.2">
      <c r="A21" s="26"/>
      <c r="B21" s="47"/>
      <c r="C21" s="26"/>
      <c r="D21" s="26"/>
      <c r="E21" s="26"/>
      <c r="F21" s="26"/>
      <c r="G21" s="26"/>
      <c r="H21" s="26"/>
      <c r="I21" s="26"/>
      <c r="J21" s="26"/>
    </row>
    <row r="22" spans="1:10" ht="16" thickBot="1" x14ac:dyDescent="0.25">
      <c r="A22" s="26"/>
      <c r="B22" s="47"/>
      <c r="C22" s="26"/>
      <c r="D22" s="26"/>
      <c r="E22" s="26"/>
      <c r="F22" s="26"/>
      <c r="G22" s="26"/>
      <c r="H22" s="26"/>
      <c r="I22" s="26"/>
      <c r="J22" s="26"/>
    </row>
    <row r="23" spans="1:10" ht="32" x14ac:dyDescent="0.2">
      <c r="A23" s="26"/>
      <c r="B23" s="536" t="s">
        <v>434</v>
      </c>
      <c r="C23" s="2" t="s">
        <v>435</v>
      </c>
      <c r="D23" s="338" t="s">
        <v>439</v>
      </c>
      <c r="E23" s="414" t="s">
        <v>205</v>
      </c>
      <c r="F23" s="410" t="s">
        <v>224</v>
      </c>
      <c r="G23" s="2" t="s">
        <v>248</v>
      </c>
      <c r="H23" s="2" t="s">
        <v>306</v>
      </c>
      <c r="I23" s="3" t="s">
        <v>437</v>
      </c>
      <c r="J23" s="414" t="s">
        <v>440</v>
      </c>
    </row>
    <row r="24" spans="1:10" x14ac:dyDescent="0.2">
      <c r="A24" s="159" t="s">
        <v>581</v>
      </c>
      <c r="B24" s="340">
        <f>4758204503-5750034</f>
        <v>4752454469</v>
      </c>
      <c r="C24" s="56">
        <v>5025266000</v>
      </c>
      <c r="D24" s="56">
        <v>5117612693</v>
      </c>
      <c r="E24" s="56">
        <v>5125418807</v>
      </c>
      <c r="F24" s="56">
        <v>5234843660</v>
      </c>
      <c r="G24" s="56">
        <v>5345766560</v>
      </c>
      <c r="H24" s="56">
        <v>5447894058</v>
      </c>
      <c r="I24" s="56">
        <v>5463687112</v>
      </c>
      <c r="J24" s="56">
        <f>SUM(D24:I24)</f>
        <v>31735222890</v>
      </c>
    </row>
    <row r="25" spans="1:10" x14ac:dyDescent="0.2">
      <c r="A25" s="159" t="s">
        <v>338</v>
      </c>
      <c r="B25" s="56">
        <f>+B17</f>
        <v>4772388569</v>
      </c>
      <c r="C25" s="56">
        <f t="shared" ref="C25:J25" si="2">+C17</f>
        <v>5025266000</v>
      </c>
      <c r="D25" s="56">
        <f t="shared" si="2"/>
        <v>5087224752</v>
      </c>
      <c r="E25" s="56">
        <f>+E17</f>
        <v>4804851000.4200001</v>
      </c>
      <c r="F25" s="56">
        <f>+F17</f>
        <v>5001540436.4200001</v>
      </c>
      <c r="G25" s="56">
        <f t="shared" si="2"/>
        <v>5139313646.4200001</v>
      </c>
      <c r="H25" s="56">
        <f t="shared" si="2"/>
        <v>5449117528.4200001</v>
      </c>
      <c r="I25" s="56">
        <f>+I17</f>
        <v>5541893250.4200001</v>
      </c>
      <c r="J25" s="56">
        <f t="shared" si="2"/>
        <v>31023940614.099998</v>
      </c>
    </row>
    <row r="26" spans="1:10" x14ac:dyDescent="0.2">
      <c r="A26" s="159" t="s">
        <v>195</v>
      </c>
      <c r="B26" s="240">
        <f t="shared" ref="B26:J26" si="3">+B25-B24</f>
        <v>19934100</v>
      </c>
      <c r="C26" s="240">
        <f t="shared" si="3"/>
        <v>0</v>
      </c>
      <c r="D26" s="240">
        <f>+D25-D24</f>
        <v>-30387941</v>
      </c>
      <c r="E26" s="240">
        <f>+E25-E24</f>
        <v>-320567806.57999992</v>
      </c>
      <c r="F26" s="240">
        <f>+F25-F24</f>
        <v>-233303223.57999992</v>
      </c>
      <c r="G26" s="240">
        <f t="shared" si="3"/>
        <v>-206452913.57999992</v>
      </c>
      <c r="H26" s="240">
        <f t="shared" si="3"/>
        <v>1223470.4200000763</v>
      </c>
      <c r="I26" s="240">
        <f t="shared" si="3"/>
        <v>78206138.420000076</v>
      </c>
      <c r="J26" s="240">
        <f t="shared" si="3"/>
        <v>-711282275.90000153</v>
      </c>
    </row>
    <row r="27" spans="1:10" x14ac:dyDescent="0.2">
      <c r="A27" s="26"/>
      <c r="B27" s="47"/>
      <c r="C27" s="26"/>
      <c r="D27" s="161"/>
      <c r="E27" s="26"/>
      <c r="F27" s="26"/>
      <c r="G27" s="26"/>
      <c r="H27" s="26"/>
      <c r="I27" s="26"/>
      <c r="J27" s="26"/>
    </row>
    <row r="28" spans="1:10" x14ac:dyDescent="0.2">
      <c r="A28" s="26" t="s">
        <v>207</v>
      </c>
      <c r="B28" s="810"/>
      <c r="C28" s="811"/>
      <c r="D28" s="161">
        <f>+[1]Adjustments!M2</f>
        <v>69019088</v>
      </c>
      <c r="E28" s="161">
        <f>+[1]Adjustments!N2</f>
        <v>-295684865</v>
      </c>
      <c r="F28" s="161">
        <f>+[1]Adjustments!O2</f>
        <v>-262733004</v>
      </c>
      <c r="G28" s="161">
        <f>+[1]Adjustments!P2</f>
        <v>-65733882</v>
      </c>
      <c r="H28" s="161">
        <f>+[1]Adjustments!Q2</f>
        <v>-34419204</v>
      </c>
      <c r="I28" s="161">
        <f>+[1]Adjustments!R2</f>
        <v>-26306957</v>
      </c>
      <c r="J28" s="161">
        <f>+[1]Adjustments!S2</f>
        <v>-615858824</v>
      </c>
    </row>
    <row r="29" spans="1:10" x14ac:dyDescent="0.2">
      <c r="A29" s="812" t="s">
        <v>409</v>
      </c>
      <c r="B29" s="813"/>
      <c r="C29" s="814"/>
      <c r="D29" s="815">
        <f t="shared" ref="D29:J29" si="4">+D26-D28</f>
        <v>-99407029</v>
      </c>
      <c r="E29" s="815">
        <f t="shared" si="4"/>
        <v>-24882941.579999924</v>
      </c>
      <c r="F29" s="815">
        <f t="shared" si="4"/>
        <v>29429780.420000076</v>
      </c>
      <c r="G29" s="815">
        <f t="shared" si="4"/>
        <v>-140719031.57999992</v>
      </c>
      <c r="H29" s="815">
        <f t="shared" si="4"/>
        <v>35642674.420000076</v>
      </c>
      <c r="I29" s="815">
        <f t="shared" si="4"/>
        <v>104513095.42000008</v>
      </c>
      <c r="J29" s="815">
        <f t="shared" si="4"/>
        <v>-95423451.900001526</v>
      </c>
    </row>
    <row r="30" spans="1:10" x14ac:dyDescent="0.2">
      <c r="A30" s="26"/>
      <c r="B30" s="47"/>
      <c r="C30" s="161"/>
      <c r="D30" s="161"/>
      <c r="E30" s="161"/>
      <c r="F30" s="161"/>
      <c r="G30" s="161"/>
      <c r="H30" s="161"/>
      <c r="I30" s="161"/>
      <c r="J30" s="161"/>
    </row>
    <row r="31" spans="1:10" x14ac:dyDescent="0.2">
      <c r="A31" s="26"/>
      <c r="B31" s="47" t="s">
        <v>559</v>
      </c>
      <c r="C31" s="26"/>
      <c r="D31" s="26"/>
      <c r="E31" s="199"/>
      <c r="F31" s="199"/>
      <c r="G31" s="199"/>
      <c r="H31" s="199"/>
      <c r="I31" s="199"/>
      <c r="J31" s="26"/>
    </row>
    <row r="32" spans="1:10" x14ac:dyDescent="0.2">
      <c r="A32" s="26"/>
      <c r="B32" s="853">
        <f>4758204503</f>
        <v>4758204503</v>
      </c>
      <c r="C32" s="192"/>
      <c r="D32" s="192"/>
      <c r="E32" s="26"/>
      <c r="F32" s="26"/>
      <c r="G32" s="26"/>
      <c r="H32" s="26"/>
      <c r="I32" s="26"/>
      <c r="J32" s="26"/>
    </row>
    <row r="33" spans="2:5" x14ac:dyDescent="0.2">
      <c r="B33" s="853">
        <f>+B32-B17</f>
        <v>-14184066</v>
      </c>
      <c r="C33" s="7" t="s">
        <v>499</v>
      </c>
    </row>
    <row r="34" spans="2:5" x14ac:dyDescent="0.2">
      <c r="B34" s="853">
        <v>-5750034</v>
      </c>
      <c r="C34" s="7" t="s">
        <v>589</v>
      </c>
    </row>
    <row r="35" spans="2:5" x14ac:dyDescent="0.2">
      <c r="B35" s="876">
        <f>+B34+B33</f>
        <v>-19934100</v>
      </c>
    </row>
    <row r="36" spans="2:5" x14ac:dyDescent="0.2">
      <c r="B36" s="853"/>
      <c r="C36" s="59"/>
      <c r="D36" s="59"/>
      <c r="E36" s="59"/>
    </row>
    <row r="37" spans="2:5" x14ac:dyDescent="0.2">
      <c r="B37" s="719"/>
      <c r="C37" s="719"/>
      <c r="D37" s="163"/>
      <c r="E37" s="59"/>
    </row>
    <row r="38" spans="2:5" x14ac:dyDescent="0.2">
      <c r="B38" s="719"/>
      <c r="C38" s="59"/>
      <c r="D38" s="163"/>
      <c r="E38" s="59"/>
    </row>
    <row r="39" spans="2:5" x14ac:dyDescent="0.2">
      <c r="B39" s="719"/>
      <c r="C39" s="59"/>
      <c r="D39" s="163"/>
      <c r="E39" s="59"/>
    </row>
    <row r="40" spans="2:5" x14ac:dyDescent="0.2">
      <c r="B40" s="719"/>
      <c r="C40" s="719"/>
      <c r="D40" s="720"/>
      <c r="E40" s="59"/>
    </row>
    <row r="41" spans="2:5" x14ac:dyDescent="0.2">
      <c r="B41" s="719"/>
      <c r="C41" s="719"/>
      <c r="D41" s="720"/>
      <c r="E41" s="59"/>
    </row>
    <row r="42" spans="2:5" x14ac:dyDescent="0.2">
      <c r="B42" s="719"/>
      <c r="C42" s="719"/>
      <c r="D42" s="720"/>
      <c r="E42" s="59"/>
    </row>
    <row r="43" spans="2:5" x14ac:dyDescent="0.2">
      <c r="B43" s="719"/>
      <c r="C43" s="719"/>
      <c r="D43" s="163"/>
      <c r="E43" s="59"/>
    </row>
    <row r="44" spans="2:5" x14ac:dyDescent="0.2">
      <c r="B44" s="719"/>
      <c r="C44" s="719"/>
      <c r="D44" s="163"/>
      <c r="E44" s="59"/>
    </row>
    <row r="45" spans="2:5" x14ac:dyDescent="0.2">
      <c r="B45" s="719"/>
      <c r="C45" s="719"/>
      <c r="D45" s="163"/>
      <c r="E45" s="59"/>
    </row>
    <row r="46" spans="2:5" x14ac:dyDescent="0.2">
      <c r="B46" s="719"/>
      <c r="C46" s="719"/>
      <c r="D46" s="163"/>
      <c r="E46" s="59"/>
    </row>
    <row r="47" spans="2:5" x14ac:dyDescent="0.2">
      <c r="B47" s="719"/>
      <c r="C47" s="719"/>
      <c r="D47" s="163"/>
      <c r="E47" s="59"/>
    </row>
    <row r="48" spans="2:5" x14ac:dyDescent="0.2">
      <c r="B48" s="719"/>
      <c r="C48" s="719"/>
      <c r="D48" s="163"/>
      <c r="E48" s="59"/>
    </row>
    <row r="49" spans="2:5" x14ac:dyDescent="0.2">
      <c r="B49" s="719"/>
      <c r="C49" s="719"/>
      <c r="D49" s="607"/>
      <c r="E49" s="59"/>
    </row>
    <row r="50" spans="2:5" x14ac:dyDescent="0.2">
      <c r="B50" s="719"/>
      <c r="C50" s="59"/>
      <c r="D50" s="222"/>
      <c r="E50" s="59"/>
    </row>
    <row r="51" spans="2:5" x14ac:dyDescent="0.2">
      <c r="B51" s="719"/>
      <c r="C51" s="59"/>
      <c r="D51" s="721"/>
      <c r="E51" s="59"/>
    </row>
    <row r="52" spans="2:5" x14ac:dyDescent="0.2">
      <c r="B52" s="719"/>
      <c r="C52" s="59"/>
      <c r="D52" s="59"/>
      <c r="E52" s="59"/>
    </row>
  </sheetData>
  <mergeCells count="5">
    <mergeCell ref="A1:I1"/>
    <mergeCell ref="A2:I2"/>
    <mergeCell ref="A3:I3"/>
    <mergeCell ref="A4:I4"/>
    <mergeCell ref="C6:I6"/>
  </mergeCells>
  <pageMargins left="0.5" right="0.5" top="0.5" bottom="0.5" header="0.3" footer="0.3"/>
  <pageSetup scale="75" orientation="landscape" r:id="rId1"/>
  <headerFooter>
    <oddHeader>&amp;L&amp;10FY 2021-25 Preliminary Budget&amp;R&amp;D
&amp;T</oddHeader>
    <oddFooter>&amp;L
&amp;C&amp;10Page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3"/>
    <pageSetUpPr fitToPage="1"/>
  </sheetPr>
  <dimension ref="A1:K54"/>
  <sheetViews>
    <sheetView zoomScaleNormal="100" zoomScaleSheetLayoutView="90" workbookViewId="0">
      <selection activeCell="A14" sqref="A14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41</v>
      </c>
      <c r="C6" s="963" t="s">
        <v>161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714833</v>
      </c>
      <c r="C9" s="34">
        <v>795916</v>
      </c>
      <c r="D9" s="227">
        <f>+C9+D21</f>
        <v>830942</v>
      </c>
      <c r="E9" s="115">
        <f>+D9+E23+E26+E29</f>
        <v>0</v>
      </c>
      <c r="F9" s="411">
        <f>+E9</f>
        <v>0</v>
      </c>
      <c r="G9" s="34">
        <f>+F9</f>
        <v>0</v>
      </c>
      <c r="H9" s="227">
        <f t="shared" ref="F9:I15" si="0">+G9</f>
        <v>0</v>
      </c>
      <c r="I9" s="51">
        <f t="shared" si="0"/>
        <v>0</v>
      </c>
      <c r="K9" s="7">
        <v>100</v>
      </c>
    </row>
    <row r="10" spans="1:11" x14ac:dyDescent="0.2">
      <c r="A10" s="10" t="s">
        <v>5</v>
      </c>
      <c r="B10" s="36">
        <v>306555</v>
      </c>
      <c r="C10" s="36">
        <v>399779</v>
      </c>
      <c r="D10" s="230">
        <f t="shared" ref="D10:D15" si="1">+C10</f>
        <v>399779</v>
      </c>
      <c r="E10" s="550">
        <f>+D10+E24+E27+E30</f>
        <v>0</v>
      </c>
      <c r="F10" s="548">
        <f>+E10+F24+F30</f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  <c r="K10" s="7">
        <v>200</v>
      </c>
    </row>
    <row r="11" spans="1:11" x14ac:dyDescent="0.2">
      <c r="A11" s="9" t="s">
        <v>6</v>
      </c>
      <c r="B11" s="34">
        <v>12712</v>
      </c>
      <c r="C11" s="34">
        <v>54000</v>
      </c>
      <c r="D11" s="227">
        <f t="shared" si="1"/>
        <v>54000</v>
      </c>
      <c r="E11" s="115">
        <f>+D11+E28+E31</f>
        <v>0</v>
      </c>
      <c r="F11" s="411">
        <f t="shared" ref="F11" si="2">+E11</f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ref="E12:E15" si="3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3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3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3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1034100</v>
      </c>
      <c r="C16" s="40">
        <f t="shared" ref="C16:I16" si="4">SUM(C9:C15)</f>
        <v>1249695</v>
      </c>
      <c r="D16" s="40">
        <f t="shared" si="4"/>
        <v>1284721</v>
      </c>
      <c r="E16" s="573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</row>
    <row r="18" spans="1:10" x14ac:dyDescent="0.2">
      <c r="E18" s="416">
        <f>+E16-D16</f>
        <v>-1284721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33" t="s">
        <v>494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308" t="s">
        <v>502</v>
      </c>
      <c r="B21" s="154"/>
      <c r="C21" s="186">
        <v>100</v>
      </c>
      <c r="D21" s="144">
        <v>35026</v>
      </c>
      <c r="E21" s="144"/>
      <c r="F21" s="144"/>
      <c r="G21" s="144"/>
      <c r="H21" s="145"/>
      <c r="I21" s="145"/>
      <c r="J21" s="17"/>
    </row>
    <row r="22" spans="1:10" ht="13" customHeight="1" x14ac:dyDescent="0.2">
      <c r="A22" s="833" t="s">
        <v>625</v>
      </c>
      <c r="B22" s="79"/>
      <c r="C22" s="76"/>
      <c r="D22" s="73"/>
      <c r="E22" s="83"/>
      <c r="F22" s="73"/>
      <c r="G22" s="73"/>
      <c r="H22" s="74"/>
      <c r="I22" s="74"/>
      <c r="J22" s="17"/>
    </row>
    <row r="23" spans="1:10" ht="13" customHeight="1" x14ac:dyDescent="0.2">
      <c r="A23" s="308" t="s">
        <v>646</v>
      </c>
      <c r="B23" s="154"/>
      <c r="C23" s="186">
        <v>100</v>
      </c>
      <c r="D23" s="144"/>
      <c r="E23" s="131">
        <v>56456</v>
      </c>
      <c r="F23" s="144"/>
      <c r="G23" s="144"/>
      <c r="H23" s="145"/>
      <c r="I23" s="145"/>
      <c r="J23" s="218"/>
    </row>
    <row r="24" spans="1:10" ht="13" customHeight="1" x14ac:dyDescent="0.2">
      <c r="A24" s="326" t="s">
        <v>645</v>
      </c>
      <c r="B24" s="79"/>
      <c r="C24" s="76">
        <v>200</v>
      </c>
      <c r="D24" s="73"/>
      <c r="E24" s="83">
        <v>16000</v>
      </c>
      <c r="F24" s="73">
        <v>-16000</v>
      </c>
      <c r="G24" s="73"/>
      <c r="H24" s="74"/>
      <c r="I24" s="74"/>
      <c r="J24" s="17"/>
    </row>
    <row r="25" spans="1:10" ht="13" customHeight="1" x14ac:dyDescent="0.2">
      <c r="A25" s="323" t="s">
        <v>748</v>
      </c>
      <c r="B25" s="146"/>
      <c r="C25" s="518"/>
      <c r="D25" s="70"/>
      <c r="E25" s="70"/>
      <c r="F25" s="69"/>
      <c r="G25" s="69"/>
      <c r="H25" s="70"/>
      <c r="I25" s="70"/>
      <c r="J25" s="17"/>
    </row>
    <row r="26" spans="1:10" ht="13" customHeight="1" x14ac:dyDescent="0.2">
      <c r="A26" s="326" t="s">
        <v>814</v>
      </c>
      <c r="B26" s="79"/>
      <c r="C26" s="76">
        <v>100</v>
      </c>
      <c r="D26" s="73"/>
      <c r="E26" s="83">
        <v>-319950</v>
      </c>
      <c r="F26" s="73"/>
      <c r="G26" s="73"/>
      <c r="H26" s="74"/>
      <c r="I26" s="74"/>
      <c r="J26" s="17"/>
    </row>
    <row r="27" spans="1:10" ht="13" customHeight="1" x14ac:dyDescent="0.2">
      <c r="A27" s="308"/>
      <c r="B27" s="146"/>
      <c r="C27" s="518">
        <v>200</v>
      </c>
      <c r="D27" s="70"/>
      <c r="E27" s="70">
        <v>-25000</v>
      </c>
      <c r="F27" s="69"/>
      <c r="G27" s="69"/>
      <c r="H27" s="70"/>
      <c r="I27" s="70"/>
      <c r="J27" s="17"/>
    </row>
    <row r="28" spans="1:10" ht="13" customHeight="1" x14ac:dyDescent="0.2">
      <c r="A28" s="326"/>
      <c r="B28" s="79"/>
      <c r="C28" s="899" t="s">
        <v>167</v>
      </c>
      <c r="D28" s="73"/>
      <c r="E28" s="83">
        <v>-10000</v>
      </c>
      <c r="F28" s="73"/>
      <c r="G28" s="73"/>
      <c r="H28" s="74"/>
      <c r="I28" s="74"/>
      <c r="J28" s="17"/>
    </row>
    <row r="29" spans="1:10" ht="13" customHeight="1" x14ac:dyDescent="0.2">
      <c r="A29" s="308" t="s">
        <v>815</v>
      </c>
      <c r="B29" s="146"/>
      <c r="C29" s="518">
        <v>100</v>
      </c>
      <c r="D29" s="70"/>
      <c r="E29" s="70">
        <v>-567448</v>
      </c>
      <c r="F29" s="69"/>
      <c r="G29" s="69"/>
      <c r="H29" s="70"/>
      <c r="I29" s="70"/>
      <c r="J29" s="17"/>
    </row>
    <row r="30" spans="1:10" ht="12.75" customHeight="1" x14ac:dyDescent="0.2">
      <c r="A30" s="326"/>
      <c r="B30" s="79"/>
      <c r="C30" s="76">
        <v>200</v>
      </c>
      <c r="D30" s="73"/>
      <c r="E30" s="83">
        <v>-390779</v>
      </c>
      <c r="F30" s="73">
        <v>16000</v>
      </c>
      <c r="G30" s="73"/>
      <c r="H30" s="74"/>
      <c r="I30" s="74"/>
      <c r="J30" s="17"/>
    </row>
    <row r="31" spans="1:10" ht="12.75" customHeight="1" x14ac:dyDescent="0.2">
      <c r="A31" s="308"/>
      <c r="B31" s="146"/>
      <c r="C31" s="518" t="s">
        <v>167</v>
      </c>
      <c r="D31" s="70"/>
      <c r="E31" s="70">
        <v>-44000</v>
      </c>
      <c r="F31" s="69"/>
      <c r="G31" s="69"/>
      <c r="H31" s="70"/>
      <c r="I31" s="70"/>
      <c r="J31" s="17"/>
    </row>
    <row r="32" spans="1:10" ht="12.75" customHeight="1" x14ac:dyDescent="0.2">
      <c r="A32" s="326"/>
      <c r="B32" s="79"/>
      <c r="C32" s="76"/>
      <c r="D32" s="73"/>
      <c r="E32" s="83"/>
      <c r="F32" s="73"/>
      <c r="G32" s="73"/>
      <c r="H32" s="74"/>
      <c r="I32" s="74"/>
      <c r="J32" s="17"/>
    </row>
    <row r="33" spans="1:10" ht="12.75" customHeight="1" x14ac:dyDescent="0.2">
      <c r="A33" s="308"/>
      <c r="B33" s="146"/>
      <c r="C33" s="518"/>
      <c r="D33" s="70"/>
      <c r="E33" s="70"/>
      <c r="F33" s="69"/>
      <c r="G33" s="69"/>
      <c r="H33" s="70"/>
      <c r="I33" s="70"/>
      <c r="J33" s="17"/>
    </row>
    <row r="34" spans="1:10" ht="12.75" customHeight="1" x14ac:dyDescent="0.2">
      <c r="A34" s="326"/>
      <c r="B34" s="79"/>
      <c r="C34" s="76"/>
      <c r="D34" s="73"/>
      <c r="E34" s="83"/>
      <c r="F34" s="73"/>
      <c r="G34" s="73"/>
      <c r="H34" s="74"/>
      <c r="I34" s="74"/>
      <c r="J34" s="17"/>
    </row>
    <row r="35" spans="1:10" ht="12.75" customHeight="1" x14ac:dyDescent="0.2">
      <c r="A35" s="308"/>
      <c r="B35" s="146"/>
      <c r="C35" s="518"/>
      <c r="D35" s="70"/>
      <c r="E35" s="70"/>
      <c r="F35" s="69"/>
      <c r="G35" s="69"/>
      <c r="H35" s="70"/>
      <c r="I35" s="70"/>
      <c r="J35" s="17"/>
    </row>
    <row r="36" spans="1:10" ht="12.75" customHeight="1" x14ac:dyDescent="0.2">
      <c r="A36" s="326"/>
      <c r="B36" s="79"/>
      <c r="C36" s="76"/>
      <c r="D36" s="73"/>
      <c r="E36" s="83"/>
      <c r="F36" s="73"/>
      <c r="G36" s="73"/>
      <c r="H36" s="74"/>
      <c r="I36" s="74"/>
      <c r="J36" s="17"/>
    </row>
    <row r="37" spans="1:10" ht="12.75" customHeight="1" x14ac:dyDescent="0.2">
      <c r="A37" s="78"/>
      <c r="B37" s="79"/>
      <c r="C37" s="76"/>
      <c r="D37" s="73"/>
      <c r="E37" s="73"/>
      <c r="F37" s="73"/>
      <c r="G37" s="73"/>
      <c r="H37" s="74"/>
      <c r="I37" s="74"/>
      <c r="J37" s="17"/>
    </row>
    <row r="38" spans="1:10" ht="12.75" customHeight="1" x14ac:dyDescent="0.2">
      <c r="A38" s="78"/>
      <c r="B38" s="79"/>
      <c r="C38" s="76"/>
      <c r="D38" s="73"/>
      <c r="E38" s="73"/>
      <c r="F38" s="73"/>
      <c r="G38" s="73"/>
      <c r="H38" s="74"/>
      <c r="I38" s="74"/>
      <c r="J38" s="17"/>
    </row>
    <row r="39" spans="1:10" ht="12.75" customHeight="1" x14ac:dyDescent="0.2">
      <c r="A39" s="78"/>
      <c r="B39" s="79"/>
      <c r="C39" s="76"/>
      <c r="D39" s="73"/>
      <c r="E39" s="73"/>
      <c r="F39" s="73"/>
      <c r="G39" s="73"/>
      <c r="H39" s="74"/>
      <c r="I39" s="74"/>
      <c r="J39" s="17"/>
    </row>
    <row r="40" spans="1:10" ht="12.75" customHeight="1" x14ac:dyDescent="0.2">
      <c r="A40" s="78"/>
      <c r="B40" s="79"/>
      <c r="C40" s="76"/>
      <c r="D40" s="73"/>
      <c r="E40" s="73"/>
      <c r="F40" s="73"/>
      <c r="G40" s="73"/>
      <c r="H40" s="74"/>
      <c r="I40" s="74"/>
      <c r="J40" s="17"/>
    </row>
    <row r="41" spans="1:10" ht="12.75" customHeight="1" x14ac:dyDescent="0.2">
      <c r="A41" s="78"/>
      <c r="B41" s="79"/>
      <c r="C41" s="76"/>
      <c r="D41" s="73"/>
      <c r="E41" s="73"/>
      <c r="F41" s="73"/>
      <c r="G41" s="73"/>
      <c r="H41" s="74"/>
      <c r="I41" s="74"/>
      <c r="J41" s="17"/>
    </row>
    <row r="42" spans="1:10" ht="12.75" customHeight="1" x14ac:dyDescent="0.2">
      <c r="A42" s="78"/>
      <c r="B42" s="79"/>
      <c r="C42" s="76"/>
      <c r="D42" s="73"/>
      <c r="E42" s="73"/>
      <c r="F42" s="73"/>
      <c r="G42" s="73"/>
      <c r="H42" s="74"/>
      <c r="I42" s="74"/>
      <c r="J42" s="17"/>
    </row>
    <row r="43" spans="1:10" ht="12.75" customHeight="1" x14ac:dyDescent="0.2">
      <c r="A43" s="78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2.75" customHeight="1" x14ac:dyDescent="0.2">
      <c r="A44" s="78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2.75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2.75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2.75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2.75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2.75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82"/>
      <c r="B53" s="82"/>
      <c r="C53" s="82"/>
      <c r="D53" s="82"/>
      <c r="E53" s="82"/>
      <c r="F53" s="82"/>
      <c r="G53" s="82"/>
      <c r="H53" s="82"/>
      <c r="I53" s="82"/>
      <c r="J53" s="17"/>
    </row>
    <row r="54" spans="1:10" ht="13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3"/>
    <pageSetUpPr fitToPage="1"/>
  </sheetPr>
  <dimension ref="A1:K66"/>
  <sheetViews>
    <sheetView zoomScaleNormal="100" zoomScaleSheetLayoutView="90" workbookViewId="0">
      <selection activeCell="B18" sqref="B1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40</v>
      </c>
      <c r="C6" s="963" t="s">
        <v>160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1098380</v>
      </c>
      <c r="C9" s="34">
        <v>1262499</v>
      </c>
      <c r="D9" s="227">
        <f>+C9+D23+D24+D25+D26+D27</f>
        <v>1295117</v>
      </c>
      <c r="E9" s="115">
        <f>+D9+E29+E33+E24+E25+E35+E26+E27</f>
        <v>1368170</v>
      </c>
      <c r="F9" s="411">
        <f>+E9+F29+F35</f>
        <v>1395075</v>
      </c>
      <c r="G9" s="34">
        <f>+F9+G33+G37</f>
        <v>1395075</v>
      </c>
      <c r="H9" s="227">
        <f>+G9+H37</f>
        <v>1490075</v>
      </c>
      <c r="I9" s="51">
        <f t="shared" ref="F9:I15" si="0">+H9</f>
        <v>1490075</v>
      </c>
      <c r="K9" s="7">
        <v>100</v>
      </c>
    </row>
    <row r="10" spans="1:11" x14ac:dyDescent="0.2">
      <c r="A10" s="10" t="s">
        <v>5</v>
      </c>
      <c r="B10" s="36">
        <v>535106</v>
      </c>
      <c r="C10" s="36">
        <v>198444</v>
      </c>
      <c r="D10" s="230">
        <f>+C10</f>
        <v>198444</v>
      </c>
      <c r="E10" s="550">
        <f>+D10+E21+E30+E31+E34</f>
        <v>193544</v>
      </c>
      <c r="F10" s="548">
        <f>+E10</f>
        <v>193544</v>
      </c>
      <c r="G10" s="36">
        <f>+F10+G34+G38</f>
        <v>193544</v>
      </c>
      <c r="H10" s="230">
        <f>+G10+H38</f>
        <v>199444</v>
      </c>
      <c r="I10" s="37">
        <f t="shared" si="0"/>
        <v>199444</v>
      </c>
      <c r="K10" s="7">
        <v>200</v>
      </c>
    </row>
    <row r="11" spans="1:11" x14ac:dyDescent="0.2">
      <c r="A11" s="9" t="s">
        <v>6</v>
      </c>
      <c r="B11" s="34">
        <f>15237+3687+1</f>
        <v>18925</v>
      </c>
      <c r="C11" s="34">
        <v>22224</v>
      </c>
      <c r="D11" s="227">
        <f>+C11</f>
        <v>22224</v>
      </c>
      <c r="E11" s="115">
        <f>+D11</f>
        <v>22224</v>
      </c>
      <c r="F11" s="411">
        <f>+E11</f>
        <v>22224</v>
      </c>
      <c r="G11" s="34">
        <f t="shared" si="0"/>
        <v>22224</v>
      </c>
      <c r="H11" s="227">
        <f t="shared" si="0"/>
        <v>22224</v>
      </c>
      <c r="I11" s="35">
        <f t="shared" si="0"/>
        <v>22224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1652411</v>
      </c>
      <c r="C16" s="40">
        <f t="shared" ref="C16:I16" si="3">SUM(C9:C15)</f>
        <v>1483167</v>
      </c>
      <c r="D16" s="40">
        <f t="shared" si="3"/>
        <v>1515785</v>
      </c>
      <c r="E16" s="573">
        <f t="shared" si="3"/>
        <v>1583938</v>
      </c>
      <c r="F16" s="40">
        <f t="shared" si="3"/>
        <v>1610843</v>
      </c>
      <c r="G16" s="40">
        <f t="shared" si="3"/>
        <v>1610843</v>
      </c>
      <c r="H16" s="40">
        <f t="shared" si="3"/>
        <v>1711743</v>
      </c>
      <c r="I16" s="40">
        <f t="shared" si="3"/>
        <v>1711743</v>
      </c>
    </row>
    <row r="18" spans="1:10" x14ac:dyDescent="0.2">
      <c r="E18" s="416">
        <f>+E16-D16</f>
        <v>68153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700" t="s">
        <v>446</v>
      </c>
      <c r="B21" s="140"/>
      <c r="C21" s="141">
        <v>200</v>
      </c>
      <c r="D21" s="139"/>
      <c r="E21" s="139">
        <v>-75000</v>
      </c>
      <c r="F21" s="139"/>
      <c r="G21" s="138"/>
      <c r="H21" s="139"/>
      <c r="I21" s="139"/>
      <c r="J21" s="17"/>
    </row>
    <row r="22" spans="1:10" ht="13" customHeight="1" x14ac:dyDescent="0.2">
      <c r="A22" s="833" t="s">
        <v>494</v>
      </c>
      <c r="B22" s="834"/>
      <c r="C22" s="241"/>
      <c r="D22" s="835"/>
      <c r="E22" s="83"/>
      <c r="F22" s="73"/>
      <c r="G22" s="73"/>
      <c r="H22" s="74"/>
      <c r="I22" s="74"/>
      <c r="J22" s="17"/>
    </row>
    <row r="23" spans="1:10" ht="13" customHeight="1" x14ac:dyDescent="0.2">
      <c r="A23" s="303" t="s">
        <v>502</v>
      </c>
      <c r="B23" s="304"/>
      <c r="C23" s="249">
        <v>100</v>
      </c>
      <c r="D23" s="250">
        <v>26367</v>
      </c>
      <c r="E23" s="131"/>
      <c r="F23" s="144"/>
      <c r="G23" s="144"/>
      <c r="H23" s="145"/>
      <c r="I23" s="145"/>
      <c r="J23" s="17"/>
    </row>
    <row r="24" spans="1:10" ht="13" customHeight="1" x14ac:dyDescent="0.2">
      <c r="A24" s="926" t="s">
        <v>830</v>
      </c>
      <c r="B24" s="79"/>
      <c r="C24" s="76">
        <v>100</v>
      </c>
      <c r="D24" s="925">
        <v>1307</v>
      </c>
      <c r="E24" s="925">
        <v>7839</v>
      </c>
      <c r="F24" s="74"/>
      <c r="G24" s="74"/>
      <c r="H24" s="74"/>
      <c r="I24" s="74"/>
      <c r="J24" s="17"/>
    </row>
    <row r="25" spans="1:10" ht="13" customHeight="1" x14ac:dyDescent="0.2">
      <c r="A25" s="926" t="s">
        <v>900</v>
      </c>
      <c r="B25" s="85"/>
      <c r="C25" s="75">
        <v>100</v>
      </c>
      <c r="D25" s="925">
        <v>3450</v>
      </c>
      <c r="E25" s="925">
        <v>-3450</v>
      </c>
      <c r="F25" s="70"/>
      <c r="G25" s="70"/>
      <c r="H25" s="70"/>
      <c r="I25" s="70"/>
      <c r="J25" s="17"/>
    </row>
    <row r="26" spans="1:10" ht="13" customHeight="1" x14ac:dyDescent="0.2">
      <c r="A26" s="926" t="s">
        <v>947</v>
      </c>
      <c r="B26" s="79"/>
      <c r="C26" s="76">
        <v>100</v>
      </c>
      <c r="D26" s="925">
        <v>344</v>
      </c>
      <c r="E26" s="925">
        <v>1719</v>
      </c>
      <c r="F26" s="74"/>
      <c r="G26" s="74"/>
      <c r="H26" s="74"/>
      <c r="I26" s="74"/>
      <c r="J26" s="17"/>
    </row>
    <row r="27" spans="1:10" ht="13" customHeight="1" x14ac:dyDescent="0.2">
      <c r="A27" s="926" t="s">
        <v>948</v>
      </c>
      <c r="B27" s="85"/>
      <c r="C27" s="75">
        <v>100</v>
      </c>
      <c r="D27" s="925">
        <v>1150</v>
      </c>
      <c r="E27" s="925">
        <v>-1150</v>
      </c>
      <c r="F27" s="70"/>
      <c r="G27" s="70"/>
      <c r="H27" s="70"/>
      <c r="I27" s="70"/>
      <c r="J27" s="17"/>
    </row>
    <row r="28" spans="1:10" ht="13" customHeight="1" x14ac:dyDescent="0.2">
      <c r="A28" s="833" t="s">
        <v>625</v>
      </c>
      <c r="B28" s="79"/>
      <c r="C28" s="76"/>
      <c r="D28" s="73"/>
      <c r="E28" s="73"/>
      <c r="F28" s="73"/>
      <c r="G28" s="73"/>
      <c r="H28" s="74"/>
      <c r="I28" s="74"/>
      <c r="J28" s="17"/>
    </row>
    <row r="29" spans="1:10" ht="13" customHeight="1" x14ac:dyDescent="0.2">
      <c r="A29" s="303" t="s">
        <v>677</v>
      </c>
      <c r="B29" s="85"/>
      <c r="C29" s="75">
        <v>100</v>
      </c>
      <c r="D29" s="69"/>
      <c r="E29" s="69">
        <v>183400</v>
      </c>
      <c r="F29" s="69">
        <f>190000-E29</f>
        <v>6600</v>
      </c>
      <c r="G29" s="69"/>
      <c r="H29" s="70"/>
      <c r="I29" s="70"/>
      <c r="J29" s="17"/>
    </row>
    <row r="30" spans="1:10" ht="13" customHeight="1" x14ac:dyDescent="0.2">
      <c r="A30" s="326" t="s">
        <v>678</v>
      </c>
      <c r="B30" s="79"/>
      <c r="C30" s="76">
        <v>200</v>
      </c>
      <c r="D30" s="74"/>
      <c r="E30" s="74">
        <v>1000</v>
      </c>
      <c r="F30" s="74"/>
      <c r="G30" s="74"/>
      <c r="H30" s="74"/>
      <c r="I30" s="74"/>
      <c r="J30" s="17"/>
    </row>
    <row r="31" spans="1:10" ht="13" customHeight="1" x14ac:dyDescent="0.2">
      <c r="A31" s="902" t="s">
        <v>679</v>
      </c>
      <c r="B31" s="85"/>
      <c r="C31" s="75">
        <v>200</v>
      </c>
      <c r="D31" s="70"/>
      <c r="E31" s="70">
        <v>75000</v>
      </c>
      <c r="F31" s="70"/>
      <c r="G31" s="70"/>
      <c r="H31" s="70"/>
      <c r="I31" s="70"/>
      <c r="J31" s="17"/>
    </row>
    <row r="32" spans="1:10" ht="13" customHeight="1" x14ac:dyDescent="0.2">
      <c r="A32" s="160" t="s">
        <v>748</v>
      </c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3" customHeight="1" x14ac:dyDescent="0.2">
      <c r="A33" s="898" t="s">
        <v>778</v>
      </c>
      <c r="B33" s="85"/>
      <c r="C33" s="75">
        <v>100</v>
      </c>
      <c r="D33" s="70"/>
      <c r="E33" s="70">
        <v>-95000</v>
      </c>
      <c r="F33" s="70"/>
      <c r="G33" s="70">
        <v>95000</v>
      </c>
      <c r="H33" s="70"/>
      <c r="I33" s="70"/>
      <c r="J33" s="17"/>
    </row>
    <row r="34" spans="1:10" ht="13" customHeight="1" x14ac:dyDescent="0.2">
      <c r="A34" s="890" t="s">
        <v>791</v>
      </c>
      <c r="B34" s="79"/>
      <c r="C34" s="76">
        <v>200</v>
      </c>
      <c r="D34" s="74"/>
      <c r="E34" s="74">
        <v>-5900</v>
      </c>
      <c r="F34" s="74"/>
      <c r="G34" s="74">
        <v>5900</v>
      </c>
      <c r="H34" s="74"/>
      <c r="I34" s="74"/>
      <c r="J34" s="17"/>
    </row>
    <row r="35" spans="1:10" ht="12.75" customHeight="1" x14ac:dyDescent="0.2">
      <c r="A35" s="898" t="s">
        <v>905</v>
      </c>
      <c r="B35" s="85"/>
      <c r="C35" s="75">
        <v>100</v>
      </c>
      <c r="D35" s="70"/>
      <c r="E35" s="925">
        <v>-20305</v>
      </c>
      <c r="F35" s="70">
        <v>20305</v>
      </c>
      <c r="G35" s="70"/>
      <c r="H35" s="70"/>
      <c r="I35" s="70"/>
      <c r="J35" s="17"/>
    </row>
    <row r="36" spans="1:10" ht="13" customHeight="1" x14ac:dyDescent="0.2">
      <c r="A36" s="160" t="s">
        <v>913</v>
      </c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898" t="s">
        <v>995</v>
      </c>
      <c r="B37" s="85"/>
      <c r="C37" s="75">
        <v>100</v>
      </c>
      <c r="D37" s="70"/>
      <c r="E37" s="70"/>
      <c r="F37" s="70"/>
      <c r="G37" s="70">
        <v>-95000</v>
      </c>
      <c r="H37" s="70">
        <v>95000</v>
      </c>
      <c r="I37" s="70"/>
      <c r="J37" s="17"/>
    </row>
    <row r="38" spans="1:10" ht="13" customHeight="1" x14ac:dyDescent="0.2">
      <c r="A38" s="78"/>
      <c r="B38" s="79"/>
      <c r="C38" s="76">
        <v>200</v>
      </c>
      <c r="D38" s="74"/>
      <c r="E38" s="74"/>
      <c r="F38" s="74"/>
      <c r="G38" s="74">
        <v>-5900</v>
      </c>
      <c r="H38" s="74">
        <v>5900</v>
      </c>
      <c r="I38" s="74"/>
      <c r="J38" s="17"/>
    </row>
    <row r="39" spans="1:10" ht="13" customHeight="1" x14ac:dyDescent="0.2">
      <c r="A39" s="80"/>
      <c r="B39" s="79"/>
      <c r="C39" s="76"/>
      <c r="D39" s="73"/>
      <c r="E39" s="73"/>
      <c r="F39" s="73"/>
      <c r="G39" s="73"/>
      <c r="H39" s="74"/>
      <c r="I39" s="74"/>
      <c r="J39" s="17"/>
    </row>
    <row r="40" spans="1:10" ht="13" customHeight="1" x14ac:dyDescent="0.2">
      <c r="A40" s="81"/>
      <c r="B40" s="79"/>
      <c r="C40" s="76"/>
      <c r="D40" s="73"/>
      <c r="E40" s="73"/>
      <c r="F40" s="73"/>
      <c r="G40" s="73"/>
      <c r="H40" s="74"/>
      <c r="I40" s="74"/>
      <c r="J40" s="17"/>
    </row>
    <row r="41" spans="1:10" ht="13" customHeight="1" x14ac:dyDescent="0.2">
      <c r="A41" s="78"/>
      <c r="B41" s="79"/>
      <c r="C41" s="76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6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6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6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x14ac:dyDescent="0.2">
      <c r="A57" s="82"/>
      <c r="B57" s="82"/>
      <c r="C57" s="82"/>
      <c r="D57" s="82"/>
      <c r="E57" s="82"/>
      <c r="F57" s="82"/>
      <c r="G57" s="82"/>
      <c r="H57" s="82"/>
      <c r="I57" s="82"/>
    </row>
    <row r="58" spans="1:10" x14ac:dyDescent="0.2">
      <c r="A58" s="82"/>
      <c r="B58" s="82"/>
      <c r="C58" s="82"/>
      <c r="D58" s="82"/>
      <c r="E58" s="82"/>
      <c r="F58" s="82"/>
      <c r="G58" s="82"/>
      <c r="H58" s="82"/>
      <c r="I58" s="82"/>
    </row>
    <row r="63" spans="1:10" x14ac:dyDescent="0.2">
      <c r="B63" s="7">
        <v>985689</v>
      </c>
    </row>
    <row r="64" spans="1:10" x14ac:dyDescent="0.2">
      <c r="B64" s="7">
        <v>107442</v>
      </c>
    </row>
    <row r="65" spans="2:2" x14ac:dyDescent="0.2">
      <c r="B65" s="7">
        <v>21825</v>
      </c>
    </row>
    <row r="66" spans="2:2" x14ac:dyDescent="0.2">
      <c r="B66" s="7">
        <v>0</v>
      </c>
    </row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188" priority="5">
      <formula>MOD(ROW(),2)=1</formula>
    </cfRule>
  </conditionalFormatting>
  <conditionalFormatting sqref="D24:E25">
    <cfRule type="expression" dxfId="187" priority="4">
      <formula>MOD(ROW(),2)=1</formula>
    </cfRule>
  </conditionalFormatting>
  <conditionalFormatting sqref="E35">
    <cfRule type="expression" dxfId="186" priority="3">
      <formula>MOD(ROW(),2)=1</formula>
    </cfRule>
  </conditionalFormatting>
  <conditionalFormatting sqref="A26:A27">
    <cfRule type="expression" dxfId="185" priority="2">
      <formula>MOD(ROW(),2)=1</formula>
    </cfRule>
  </conditionalFormatting>
  <conditionalFormatting sqref="D26:E27">
    <cfRule type="expression" dxfId="184" priority="1">
      <formula>MOD(ROW(),2)=1</formula>
    </cfRule>
  </conditionalFormatting>
  <pageMargins left="0.5" right="0.5" top="0.5" bottom="0.5" header="0.3" footer="0.3"/>
  <pageSetup scale="71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pageSetUpPr fitToPage="1"/>
  </sheetPr>
  <dimension ref="A1:K56"/>
  <sheetViews>
    <sheetView zoomScaleNormal="100" zoomScaleSheetLayoutView="90" workbookViewId="0">
      <selection activeCell="B13" sqref="B1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>
        <v>55</v>
      </c>
      <c r="C6" s="963" t="s">
        <v>159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168597</v>
      </c>
      <c r="C9" s="34">
        <v>174341</v>
      </c>
      <c r="D9" s="227">
        <f>+C9+D21</f>
        <v>174742</v>
      </c>
      <c r="E9" s="115">
        <f>+D9+E21</f>
        <v>177148</v>
      </c>
      <c r="F9" s="411">
        <f>+E9</f>
        <v>177148</v>
      </c>
      <c r="G9" s="34">
        <f t="shared" ref="G9:H11" si="0">+F9</f>
        <v>177148</v>
      </c>
      <c r="H9" s="227">
        <f t="shared" si="0"/>
        <v>177148</v>
      </c>
      <c r="I9" s="51">
        <f t="shared" ref="F9:I15" si="1">+H9</f>
        <v>177148</v>
      </c>
      <c r="K9" s="7">
        <v>100</v>
      </c>
    </row>
    <row r="10" spans="1:11" x14ac:dyDescent="0.2">
      <c r="A10" s="10" t="s">
        <v>5</v>
      </c>
      <c r="B10" s="36">
        <v>29500</v>
      </c>
      <c r="C10" s="36">
        <v>29500</v>
      </c>
      <c r="D10" s="230">
        <f>+C10</f>
        <v>29500</v>
      </c>
      <c r="E10" s="550">
        <f>+D10</f>
        <v>29500</v>
      </c>
      <c r="F10" s="548">
        <f t="shared" si="1"/>
        <v>29500</v>
      </c>
      <c r="G10" s="36">
        <f t="shared" si="0"/>
        <v>29500</v>
      </c>
      <c r="H10" s="230">
        <f t="shared" si="0"/>
        <v>29500</v>
      </c>
      <c r="I10" s="37">
        <f t="shared" si="1"/>
        <v>29500</v>
      </c>
      <c r="K10" s="7">
        <v>200</v>
      </c>
    </row>
    <row r="11" spans="1:11" x14ac:dyDescent="0.2">
      <c r="A11" s="9" t="s">
        <v>6</v>
      </c>
      <c r="B11" s="34">
        <v>400</v>
      </c>
      <c r="C11" s="34">
        <v>1094</v>
      </c>
      <c r="D11" s="227">
        <f t="shared" ref="D11:D15" si="2">+C11</f>
        <v>1094</v>
      </c>
      <c r="E11" s="115">
        <f>+D11</f>
        <v>1094</v>
      </c>
      <c r="F11" s="411">
        <f t="shared" si="1"/>
        <v>1094</v>
      </c>
      <c r="G11" s="34">
        <f t="shared" si="0"/>
        <v>1094</v>
      </c>
      <c r="H11" s="227">
        <f t="shared" si="0"/>
        <v>1094</v>
      </c>
      <c r="I11" s="35">
        <f t="shared" si="1"/>
        <v>1094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2"/>
        <v>0</v>
      </c>
      <c r="E12" s="550">
        <f t="shared" ref="E12:E15" si="3">+D12</f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3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3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3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198497</v>
      </c>
      <c r="C16" s="40">
        <f t="shared" ref="C16:H16" si="4">SUM(C9:C15)</f>
        <v>204935</v>
      </c>
      <c r="D16" s="40">
        <f t="shared" si="4"/>
        <v>205336</v>
      </c>
      <c r="E16" s="573">
        <f t="shared" si="4"/>
        <v>207742</v>
      </c>
      <c r="F16" s="40">
        <f t="shared" si="4"/>
        <v>207742</v>
      </c>
      <c r="G16" s="40">
        <f t="shared" si="4"/>
        <v>207742</v>
      </c>
      <c r="H16" s="40">
        <f t="shared" si="4"/>
        <v>207742</v>
      </c>
      <c r="I16" s="40">
        <f>SUM(I9:I15)</f>
        <v>207742</v>
      </c>
    </row>
    <row r="17" spans="1:10" x14ac:dyDescent="0.2">
      <c r="B17" s="212"/>
    </row>
    <row r="18" spans="1:10" x14ac:dyDescent="0.2">
      <c r="E18" s="406">
        <f>+E16-D16</f>
        <v>2406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450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234" t="s">
        <v>840</v>
      </c>
      <c r="B21" s="140"/>
      <c r="C21" s="141">
        <v>100</v>
      </c>
      <c r="D21" s="925">
        <v>401</v>
      </c>
      <c r="E21" s="932">
        <v>2406</v>
      </c>
      <c r="F21" s="138"/>
      <c r="G21" s="138"/>
      <c r="H21" s="139"/>
      <c r="I21" s="139"/>
      <c r="J21" s="17"/>
    </row>
    <row r="22" spans="1:10" ht="13" customHeight="1" x14ac:dyDescent="0.2">
      <c r="A22" s="452"/>
      <c r="B22" s="342"/>
      <c r="C22" s="342"/>
      <c r="D22" s="342"/>
      <c r="E22" s="83"/>
      <c r="F22" s="73"/>
      <c r="G22" s="73"/>
      <c r="H22" s="74"/>
      <c r="I22" s="74"/>
      <c r="J22" s="17"/>
    </row>
    <row r="23" spans="1:10" ht="13" customHeight="1" x14ac:dyDescent="0.2">
      <c r="A23" s="308"/>
      <c r="B23" s="85"/>
      <c r="C23" s="75"/>
      <c r="D23" s="69"/>
      <c r="E23" s="130"/>
      <c r="F23" s="69"/>
      <c r="G23" s="69"/>
      <c r="H23" s="70"/>
      <c r="I23" s="70"/>
      <c r="J23" s="17"/>
    </row>
    <row r="24" spans="1:10" ht="13" customHeight="1" x14ac:dyDescent="0.2">
      <c r="A24" s="105"/>
      <c r="B24" s="93"/>
      <c r="C24" s="94"/>
      <c r="D24" s="104"/>
      <c r="E24" s="106"/>
      <c r="F24" s="104"/>
      <c r="G24" s="104"/>
      <c r="H24" s="95"/>
      <c r="I24" s="95"/>
      <c r="J24" s="17"/>
    </row>
    <row r="25" spans="1:10" ht="13" customHeight="1" x14ac:dyDescent="0.2">
      <c r="A25" s="82"/>
      <c r="B25" s="79"/>
      <c r="C25" s="76"/>
      <c r="D25" s="73"/>
      <c r="E25" s="73"/>
      <c r="F25" s="73"/>
      <c r="G25" s="73"/>
      <c r="H25" s="74"/>
      <c r="I25" s="74"/>
      <c r="J25" s="17"/>
    </row>
    <row r="26" spans="1:10" ht="13" customHeight="1" x14ac:dyDescent="0.2">
      <c r="A26" s="78"/>
      <c r="B26" s="79"/>
      <c r="C26" s="76"/>
      <c r="D26" s="73"/>
      <c r="E26" s="73"/>
      <c r="F26" s="73"/>
      <c r="G26" s="73"/>
      <c r="H26" s="74"/>
      <c r="I26" s="74"/>
      <c r="J26" s="17"/>
    </row>
    <row r="27" spans="1:10" ht="13" customHeight="1" x14ac:dyDescent="0.2">
      <c r="A27" s="78"/>
      <c r="B27" s="79"/>
      <c r="C27" s="76"/>
      <c r="D27" s="73"/>
      <c r="E27" s="73"/>
      <c r="F27" s="73"/>
      <c r="G27" s="73"/>
      <c r="H27" s="74"/>
      <c r="I27" s="74"/>
      <c r="J27" s="17"/>
    </row>
    <row r="28" spans="1:10" ht="13" customHeight="1" x14ac:dyDescent="0.2">
      <c r="A28" s="78"/>
      <c r="B28" s="79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78"/>
      <c r="B29" s="79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78"/>
      <c r="B30" s="79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9"/>
      <c r="C31" s="76"/>
      <c r="D31" s="74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80"/>
      <c r="B37" s="79"/>
      <c r="C37" s="76"/>
      <c r="D37" s="73"/>
      <c r="E37" s="73"/>
      <c r="F37" s="73"/>
      <c r="G37" s="73"/>
      <c r="H37" s="74"/>
      <c r="I37" s="74"/>
      <c r="J37" s="17"/>
    </row>
    <row r="38" spans="1:10" ht="13" customHeight="1" x14ac:dyDescent="0.2">
      <c r="A38" s="81"/>
      <c r="B38" s="79"/>
      <c r="C38" s="76"/>
      <c r="D38" s="73"/>
      <c r="E38" s="73"/>
      <c r="F38" s="73"/>
      <c r="G38" s="73"/>
      <c r="H38" s="74"/>
      <c r="I38" s="74"/>
      <c r="J38" s="17"/>
    </row>
    <row r="39" spans="1:10" ht="13" customHeight="1" x14ac:dyDescent="0.2">
      <c r="A39" s="78"/>
      <c r="B39" s="79"/>
      <c r="C39" s="76"/>
      <c r="D39" s="73"/>
      <c r="E39" s="73"/>
      <c r="F39" s="73"/>
      <c r="G39" s="73"/>
      <c r="H39" s="74"/>
      <c r="I39" s="74"/>
      <c r="J39" s="17"/>
    </row>
    <row r="40" spans="1:10" ht="13" customHeight="1" x14ac:dyDescent="0.2">
      <c r="A40" s="78"/>
      <c r="B40" s="79"/>
      <c r="C40" s="76"/>
      <c r="D40" s="73"/>
      <c r="E40" s="73"/>
      <c r="F40" s="73"/>
      <c r="G40" s="73"/>
      <c r="H40" s="74"/>
      <c r="I40" s="74"/>
      <c r="J40" s="17"/>
    </row>
    <row r="41" spans="1:10" ht="13" customHeight="1" x14ac:dyDescent="0.2">
      <c r="A41" s="78"/>
      <c r="B41" s="79"/>
      <c r="C41" s="76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6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6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17"/>
    </row>
    <row r="56" spans="1:10" ht="13" customHeight="1" x14ac:dyDescent="0.2">
      <c r="A56" s="82"/>
      <c r="B56" s="82"/>
      <c r="C56" s="82"/>
      <c r="D56" s="82"/>
      <c r="E56" s="82"/>
      <c r="F56" s="82"/>
      <c r="G56" s="82"/>
      <c r="H56" s="82"/>
      <c r="I56" s="82"/>
      <c r="J56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D21:E21">
    <cfRule type="expression" dxfId="183" priority="1">
      <formula>MOD(ROW(),2)=1</formula>
    </cfRule>
  </conditionalFormatting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K51"/>
  <sheetViews>
    <sheetView zoomScaleNormal="100" zoomScaleSheetLayoutView="90" workbookViewId="0">
      <selection activeCell="E31" sqref="E31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5.5" style="7" customWidth="1"/>
    <col min="11" max="11" width="12.5" style="7" bestFit="1" customWidth="1"/>
    <col min="12" max="12" width="9.1640625" style="7"/>
    <col min="13" max="13" width="19.5" style="7" customWidth="1"/>
    <col min="14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A5" s="204" t="s">
        <v>209</v>
      </c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2" t="s">
        <v>28</v>
      </c>
      <c r="C6" s="963" t="s">
        <v>158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581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577" t="s">
        <v>205</v>
      </c>
      <c r="F8" s="353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4" si="0">+C9</f>
        <v>0</v>
      </c>
      <c r="E9" s="578">
        <f>+D9</f>
        <v>0</v>
      </c>
      <c r="F9" s="354">
        <f t="shared" ref="E9:I14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06">
        <f t="shared" si="1"/>
        <v>0</v>
      </c>
      <c r="F10" s="356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578">
        <f t="shared" si="1"/>
        <v>0</v>
      </c>
      <c r="F11" s="354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06">
        <f t="shared" si="1"/>
        <v>0</v>
      </c>
      <c r="F12" s="356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578">
        <f t="shared" si="1"/>
        <v>0</v>
      </c>
      <c r="F13" s="354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06">
        <f t="shared" si="1"/>
        <v>0</v>
      </c>
      <c r="F14" s="356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>+C15</f>
        <v>0</v>
      </c>
      <c r="E15" s="579">
        <f>20000000+E22+E23+E26</f>
        <v>0</v>
      </c>
      <c r="F15" s="357">
        <f>30000000+F22+F25+F26</f>
        <v>25000000</v>
      </c>
      <c r="G15" s="38">
        <f>40000000+G22+G25+G26</f>
        <v>45000000</v>
      </c>
      <c r="H15" s="231">
        <f>50000000+H22+H25+H26</f>
        <v>65000000</v>
      </c>
      <c r="I15" s="39">
        <f>50000000+I22+I25+I26</f>
        <v>65000000</v>
      </c>
      <c r="J15" s="213">
        <f>SUM(D15:I15)</f>
        <v>200000000</v>
      </c>
      <c r="K15" s="7">
        <v>900</v>
      </c>
    </row>
    <row r="16" spans="1:11" ht="16" thickBot="1" x14ac:dyDescent="0.25">
      <c r="A16" s="4" t="s">
        <v>11</v>
      </c>
      <c r="B16" s="40">
        <f>SUM(B9:B15)</f>
        <v>0</v>
      </c>
      <c r="C16" s="40">
        <f>SUM(C9:C15)</f>
        <v>0</v>
      </c>
      <c r="D16" s="40">
        <f t="shared" ref="D16:I16" si="2">SUM(D9:D15)</f>
        <v>0</v>
      </c>
      <c r="E16" s="580">
        <f t="shared" si="2"/>
        <v>0</v>
      </c>
      <c r="F16" s="506">
        <f t="shared" si="2"/>
        <v>25000000</v>
      </c>
      <c r="G16" s="40">
        <f t="shared" si="2"/>
        <v>45000000</v>
      </c>
      <c r="H16" s="40">
        <f t="shared" si="2"/>
        <v>65000000</v>
      </c>
      <c r="I16" s="40">
        <f t="shared" si="2"/>
        <v>65000000</v>
      </c>
    </row>
    <row r="17" spans="1:11" x14ac:dyDescent="0.2">
      <c r="F17" s="53"/>
    </row>
    <row r="18" spans="1:11" x14ac:dyDescent="0.2">
      <c r="E18" s="416">
        <f>+E16-D16</f>
        <v>0</v>
      </c>
      <c r="F18" s="53"/>
    </row>
    <row r="19" spans="1:11" x14ac:dyDescent="0.2">
      <c r="A19" s="211" t="s">
        <v>12</v>
      </c>
      <c r="B19" s="211"/>
      <c r="C19" s="211" t="s">
        <v>13</v>
      </c>
      <c r="D19" s="211" t="s">
        <v>89</v>
      </c>
      <c r="E19" s="211" t="s">
        <v>206</v>
      </c>
      <c r="F19" s="211" t="s">
        <v>225</v>
      </c>
      <c r="G19" s="211" t="s">
        <v>249</v>
      </c>
      <c r="H19" s="211" t="s">
        <v>308</v>
      </c>
      <c r="I19" s="211" t="s">
        <v>438</v>
      </c>
      <c r="J19" s="211" t="s">
        <v>11</v>
      </c>
    </row>
    <row r="20" spans="1:11" x14ac:dyDescent="0.2">
      <c r="A20" s="456" t="s">
        <v>447</v>
      </c>
      <c r="B20" s="457"/>
      <c r="C20" s="343">
        <v>900</v>
      </c>
      <c r="D20" s="458">
        <v>0</v>
      </c>
      <c r="E20" s="458">
        <v>20000000</v>
      </c>
      <c r="F20" s="458">
        <v>30000000</v>
      </c>
      <c r="G20" s="458">
        <v>40000000</v>
      </c>
      <c r="H20" s="458">
        <v>50000000</v>
      </c>
      <c r="I20" s="458">
        <f>+H20</f>
        <v>50000000</v>
      </c>
      <c r="J20" s="459">
        <f>SUM(D20:I20)</f>
        <v>190000000</v>
      </c>
    </row>
    <row r="21" spans="1:11" x14ac:dyDescent="0.2">
      <c r="A21" s="881" t="s">
        <v>494</v>
      </c>
      <c r="B21" s="53"/>
      <c r="C21" s="53"/>
      <c r="D21" s="53"/>
      <c r="E21" s="53"/>
      <c r="F21" s="53"/>
      <c r="G21" s="53"/>
      <c r="H21" s="53"/>
      <c r="I21" s="53"/>
      <c r="J21" s="53"/>
    </row>
    <row r="22" spans="1:11" ht="12.75" customHeight="1" x14ac:dyDescent="0.2">
      <c r="A22" s="885" t="s">
        <v>609</v>
      </c>
      <c r="B22" s="143"/>
      <c r="C22" s="143">
        <v>900</v>
      </c>
      <c r="D22" s="134"/>
      <c r="E22" s="134">
        <v>20000000</v>
      </c>
      <c r="F22" s="134">
        <v>30000000</v>
      </c>
      <c r="G22" s="134">
        <v>40000000</v>
      </c>
      <c r="H22" s="134">
        <v>50000000</v>
      </c>
      <c r="I22" s="134">
        <v>50000000</v>
      </c>
      <c r="J22" s="432">
        <f>SUM(D22:I22)</f>
        <v>190000000</v>
      </c>
    </row>
    <row r="23" spans="1:11" ht="12.75" customHeight="1" x14ac:dyDescent="0.2">
      <c r="A23" s="326" t="s">
        <v>847</v>
      </c>
      <c r="B23" s="218"/>
      <c r="C23" s="218">
        <v>900</v>
      </c>
      <c r="D23" s="432"/>
      <c r="E23" s="432">
        <v>-33283051</v>
      </c>
      <c r="F23" s="432"/>
      <c r="G23" s="432"/>
      <c r="H23" s="432"/>
      <c r="I23" s="432"/>
      <c r="J23" s="432">
        <f t="shared" ref="J23:J28" si="3">SUM(D23:I23)</f>
        <v>-33283051</v>
      </c>
    </row>
    <row r="24" spans="1:11" ht="12.75" customHeight="1" x14ac:dyDescent="0.2">
      <c r="A24" s="930" t="s">
        <v>848</v>
      </c>
      <c r="B24" s="143"/>
      <c r="C24" s="143"/>
      <c r="D24" s="134"/>
      <c r="E24" s="134"/>
      <c r="F24" s="134"/>
      <c r="G24" s="134"/>
      <c r="H24" s="134"/>
      <c r="I24" s="134"/>
      <c r="J24" s="432">
        <f t="shared" si="3"/>
        <v>0</v>
      </c>
    </row>
    <row r="25" spans="1:11" ht="12.75" customHeight="1" x14ac:dyDescent="0.2">
      <c r="A25" s="326" t="s">
        <v>849</v>
      </c>
      <c r="B25" s="20"/>
      <c r="C25" s="20">
        <v>900</v>
      </c>
      <c r="D25" s="433"/>
      <c r="E25" s="529"/>
      <c r="F25" s="529">
        <f>-28122000-161051</f>
        <v>-28283051</v>
      </c>
      <c r="G25" s="529">
        <f>-28122000-161051</f>
        <v>-28283051</v>
      </c>
      <c r="H25" s="529">
        <f>-28122000-161051</f>
        <v>-28283051</v>
      </c>
      <c r="I25" s="529">
        <f>-28122000-161051</f>
        <v>-28283051</v>
      </c>
      <c r="J25" s="432">
        <f t="shared" si="3"/>
        <v>-113132204</v>
      </c>
    </row>
    <row r="26" spans="1:11" ht="12.75" customHeight="1" x14ac:dyDescent="0.2">
      <c r="A26" s="945" t="s">
        <v>929</v>
      </c>
      <c r="B26" s="143"/>
      <c r="C26" s="143">
        <v>900</v>
      </c>
      <c r="D26" s="134"/>
      <c r="E26" s="134">
        <v>-6716949</v>
      </c>
      <c r="F26" s="134">
        <v>-6716949</v>
      </c>
      <c r="G26" s="134">
        <v>-6716949</v>
      </c>
      <c r="H26" s="134">
        <v>-6716949</v>
      </c>
      <c r="I26" s="134">
        <v>-6716949</v>
      </c>
      <c r="J26" s="432">
        <f t="shared" si="3"/>
        <v>-33584745</v>
      </c>
    </row>
    <row r="27" spans="1:11" ht="12.75" customHeight="1" x14ac:dyDescent="0.2">
      <c r="A27" s="576"/>
      <c r="B27" s="218"/>
      <c r="C27" s="218"/>
      <c r="D27" s="432"/>
      <c r="E27" s="432"/>
      <c r="F27" s="432"/>
      <c r="G27" s="432"/>
      <c r="H27" s="432"/>
      <c r="I27" s="432"/>
      <c r="J27" s="432">
        <f t="shared" si="3"/>
        <v>0</v>
      </c>
    </row>
    <row r="28" spans="1:11" ht="12.75" customHeight="1" x14ac:dyDescent="0.2">
      <c r="A28" s="697"/>
      <c r="B28" s="143"/>
      <c r="C28" s="143"/>
      <c r="D28" s="134"/>
      <c r="E28" s="134"/>
      <c r="F28" s="134"/>
      <c r="G28" s="134"/>
      <c r="H28" s="134"/>
      <c r="I28" s="134"/>
      <c r="J28" s="432">
        <f t="shared" si="3"/>
        <v>0</v>
      </c>
    </row>
    <row r="29" spans="1:11" ht="12.75" customHeight="1" x14ac:dyDescent="0.2">
      <c r="A29" s="332"/>
      <c r="B29" s="20"/>
      <c r="C29" s="20"/>
      <c r="D29" s="433"/>
      <c r="E29" s="433"/>
      <c r="F29" s="433"/>
      <c r="G29" s="433"/>
      <c r="H29" s="433"/>
      <c r="I29" s="433"/>
      <c r="J29" s="433"/>
    </row>
    <row r="30" spans="1:11" ht="12.75" customHeight="1" x14ac:dyDescent="0.2">
      <c r="A30" s="332"/>
      <c r="B30" s="20"/>
      <c r="C30" s="20"/>
      <c r="D30" s="433"/>
      <c r="E30" s="433"/>
      <c r="F30" s="433"/>
      <c r="G30" s="433"/>
      <c r="H30" s="433"/>
      <c r="I30" s="433"/>
      <c r="J30" s="433"/>
      <c r="K30" s="434"/>
    </row>
    <row r="31" spans="1:11" ht="12.75" customHeight="1" x14ac:dyDescent="0.2">
      <c r="A31" s="460"/>
      <c r="B31" s="20"/>
      <c r="C31" s="20"/>
      <c r="D31" s="433"/>
      <c r="E31" s="433"/>
      <c r="F31" s="433"/>
      <c r="G31" s="433"/>
      <c r="H31" s="433"/>
      <c r="I31" s="433"/>
      <c r="J31" s="433"/>
    </row>
    <row r="32" spans="1:11" ht="12.75" customHeight="1" x14ac:dyDescent="0.2">
      <c r="A32" s="332"/>
      <c r="B32" s="20"/>
      <c r="C32" s="20"/>
      <c r="D32" s="433"/>
      <c r="E32" s="433"/>
      <c r="F32" s="433"/>
      <c r="G32" s="433"/>
      <c r="H32" s="433"/>
      <c r="I32" s="433"/>
      <c r="J32" s="433"/>
    </row>
    <row r="33" spans="1:10" ht="12.75" customHeight="1" x14ac:dyDescent="0.2">
      <c r="A33" s="218"/>
      <c r="B33" s="218"/>
      <c r="C33" s="218"/>
      <c r="D33" s="432"/>
      <c r="E33" s="432"/>
      <c r="F33" s="432"/>
      <c r="G33" s="432"/>
      <c r="H33" s="432"/>
      <c r="I33" s="432"/>
      <c r="J33" s="433"/>
    </row>
    <row r="34" spans="1:10" ht="12.75" customHeight="1" x14ac:dyDescent="0.2">
      <c r="D34" s="333"/>
      <c r="E34" s="333"/>
      <c r="F34" s="333"/>
      <c r="G34" s="333"/>
      <c r="H34" s="333"/>
      <c r="I34" s="333"/>
      <c r="J34" s="333"/>
    </row>
    <row r="35" spans="1:10" ht="12.75" customHeight="1" x14ac:dyDescent="0.2">
      <c r="D35" s="333"/>
      <c r="E35" s="333"/>
      <c r="F35" s="333"/>
      <c r="G35" s="333"/>
      <c r="H35" s="333"/>
      <c r="I35" s="333"/>
      <c r="J35" s="333"/>
    </row>
    <row r="36" spans="1:10" ht="12.75" customHeight="1" x14ac:dyDescent="0.2"/>
    <row r="37" spans="1:10" ht="12.75" customHeight="1" x14ac:dyDescent="0.2"/>
    <row r="38" spans="1:10" ht="12.75" customHeight="1" x14ac:dyDescent="0.2"/>
    <row r="39" spans="1:10" ht="12.75" customHeight="1" x14ac:dyDescent="0.2"/>
    <row r="40" spans="1:10" ht="12.75" customHeight="1" x14ac:dyDescent="0.2"/>
    <row r="41" spans="1:10" ht="12.75" customHeight="1" x14ac:dyDescent="0.2"/>
    <row r="42" spans="1:10" ht="12.75" customHeight="1" x14ac:dyDescent="0.2"/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5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3"/>
    <pageSetUpPr fitToPage="1"/>
  </sheetPr>
  <dimension ref="A1:K52"/>
  <sheetViews>
    <sheetView zoomScaleNormal="100" zoomScaleSheetLayoutView="90" workbookViewId="0">
      <selection activeCell="E9" sqref="E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42</v>
      </c>
      <c r="C6" s="963" t="s">
        <v>157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3028159</v>
      </c>
      <c r="C9" s="34">
        <v>3469881</v>
      </c>
      <c r="D9" s="227">
        <f>+C9+D28</f>
        <v>3506080</v>
      </c>
      <c r="E9" s="115">
        <f>+D9+E32+E38+E47</f>
        <v>2394341</v>
      </c>
      <c r="F9" s="411">
        <f>+E9+F32+F42</f>
        <v>2394341</v>
      </c>
      <c r="G9" s="34">
        <f>+F9</f>
        <v>2394341</v>
      </c>
      <c r="H9" s="227">
        <f t="shared" ref="F9:I15" si="0">+G9</f>
        <v>2394341</v>
      </c>
      <c r="I9" s="51">
        <f t="shared" si="0"/>
        <v>2394341</v>
      </c>
      <c r="K9" s="7">
        <v>100</v>
      </c>
    </row>
    <row r="10" spans="1:11" x14ac:dyDescent="0.2">
      <c r="A10" s="10" t="s">
        <v>5</v>
      </c>
      <c r="B10" s="36">
        <f>40036629-'42CC-Commerce Convention Ctr'!B10-'42ES-Commerce Econ Stimulus'!B10</f>
        <v>3793746</v>
      </c>
      <c r="C10" s="36">
        <v>5854826</v>
      </c>
      <c r="D10" s="230">
        <f>+C10+D29</f>
        <v>6254826</v>
      </c>
      <c r="E10" s="550">
        <f>+D10+E22+E24+E25+E26+E29+E31+E33+E34+E35+E36+E39+E48+E49</f>
        <v>1216153</v>
      </c>
      <c r="F10" s="548">
        <f>+E10+F22+F33+F35+F36+F41+F43+F44+F45</f>
        <v>1216153</v>
      </c>
      <c r="G10" s="36">
        <f>+F10+G22+G33+G41+G43</f>
        <v>1216153</v>
      </c>
      <c r="H10" s="230">
        <f>+G10+H22+H41</f>
        <v>1216153</v>
      </c>
      <c r="I10" s="37">
        <f>+H10+I39</f>
        <v>1216153</v>
      </c>
      <c r="K10" s="7">
        <v>200</v>
      </c>
    </row>
    <row r="11" spans="1:11" x14ac:dyDescent="0.2">
      <c r="A11" s="9" t="s">
        <v>6</v>
      </c>
      <c r="B11" s="34">
        <f>16576+1822</f>
        <v>18398</v>
      </c>
      <c r="C11" s="34">
        <v>26654</v>
      </c>
      <c r="D11" s="227">
        <f t="shared" ref="D11:F12" si="1">+C11</f>
        <v>26654</v>
      </c>
      <c r="E11" s="115">
        <f t="shared" si="1"/>
        <v>26654</v>
      </c>
      <c r="F11" s="411">
        <f>+E11</f>
        <v>26654</v>
      </c>
      <c r="G11" s="34">
        <f t="shared" si="0"/>
        <v>26654</v>
      </c>
      <c r="H11" s="227">
        <f t="shared" si="0"/>
        <v>26654</v>
      </c>
      <c r="I11" s="35">
        <f t="shared" si="0"/>
        <v>26654</v>
      </c>
      <c r="K11" s="7" t="s">
        <v>167</v>
      </c>
    </row>
    <row r="12" spans="1:11" x14ac:dyDescent="0.2">
      <c r="A12" s="10" t="s">
        <v>7</v>
      </c>
      <c r="B12" s="36">
        <v>500000</v>
      </c>
      <c r="C12" s="36">
        <v>500000</v>
      </c>
      <c r="D12" s="230">
        <f t="shared" si="1"/>
        <v>500000</v>
      </c>
      <c r="E12" s="550">
        <f>+D12+E40</f>
        <v>0</v>
      </c>
      <c r="F12" s="548">
        <f t="shared" si="1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2">+C13</f>
        <v>0</v>
      </c>
      <c r="E13" s="115">
        <f t="shared" ref="E13:E15" si="3">+D13</f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3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3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7340303</v>
      </c>
      <c r="C16" s="40">
        <f t="shared" ref="C16:H16" si="4">SUM(C9:C15)</f>
        <v>9851361</v>
      </c>
      <c r="D16" s="40">
        <f t="shared" si="4"/>
        <v>10287560</v>
      </c>
      <c r="E16" s="573">
        <f t="shared" si="4"/>
        <v>3637148</v>
      </c>
      <c r="F16" s="40">
        <f t="shared" si="4"/>
        <v>3637148</v>
      </c>
      <c r="G16" s="40">
        <f t="shared" si="4"/>
        <v>3637148</v>
      </c>
      <c r="H16" s="40">
        <f t="shared" si="4"/>
        <v>3637148</v>
      </c>
      <c r="I16" s="40">
        <f>SUM(I9:I15)</f>
        <v>3637148</v>
      </c>
    </row>
    <row r="17" spans="1:10" x14ac:dyDescent="0.2">
      <c r="B17" s="854">
        <f>+'42CC-Commerce Convention Ctr'!B16+'42ES-Commerce Econ Stimulus'!B16</f>
        <v>36242883</v>
      </c>
    </row>
    <row r="18" spans="1:10" x14ac:dyDescent="0.2">
      <c r="B18" s="854">
        <f>+B17+B16</f>
        <v>43583186</v>
      </c>
      <c r="E18" s="416">
        <f>+E16-D16</f>
        <v>-6650412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123" t="s">
        <v>444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701" t="s">
        <v>309</v>
      </c>
      <c r="B21" s="67"/>
      <c r="C21" s="68"/>
      <c r="D21" s="69"/>
      <c r="E21" s="69"/>
      <c r="F21" s="70"/>
      <c r="G21" s="70"/>
      <c r="H21" s="70"/>
      <c r="I21" s="70"/>
      <c r="J21" s="17"/>
    </row>
    <row r="22" spans="1:10" ht="13" customHeight="1" x14ac:dyDescent="0.2">
      <c r="A22" s="306" t="s">
        <v>357</v>
      </c>
      <c r="B22" s="59"/>
      <c r="C22" s="628">
        <v>200</v>
      </c>
      <c r="D22" s="629"/>
      <c r="E22" s="629">
        <v>8406</v>
      </c>
      <c r="F22" s="73">
        <v>8616</v>
      </c>
      <c r="G22" s="73">
        <v>8831</v>
      </c>
      <c r="H22" s="74">
        <v>9053</v>
      </c>
      <c r="I22" s="74">
        <v>0</v>
      </c>
      <c r="J22" s="17"/>
    </row>
    <row r="23" spans="1:10" ht="13" customHeight="1" x14ac:dyDescent="0.2">
      <c r="A23" s="701" t="s">
        <v>404</v>
      </c>
      <c r="B23" s="85"/>
      <c r="C23" s="75"/>
      <c r="D23" s="70"/>
      <c r="E23" s="70"/>
      <c r="F23" s="69"/>
      <c r="G23" s="69"/>
      <c r="H23" s="70"/>
      <c r="I23" s="70"/>
      <c r="J23" s="17"/>
    </row>
    <row r="24" spans="1:10" ht="13" customHeight="1" x14ac:dyDescent="0.2">
      <c r="A24" s="684" t="s">
        <v>410</v>
      </c>
      <c r="B24" s="71"/>
      <c r="C24" s="72">
        <v>200</v>
      </c>
      <c r="D24" s="73"/>
      <c r="E24" s="73">
        <v>-2000000</v>
      </c>
      <c r="F24" s="73"/>
      <c r="G24" s="73"/>
      <c r="H24" s="74"/>
      <c r="I24" s="74"/>
      <c r="J24" s="17"/>
    </row>
    <row r="25" spans="1:10" ht="13" customHeight="1" x14ac:dyDescent="0.2">
      <c r="A25" s="685" t="s">
        <v>411</v>
      </c>
      <c r="B25" s="67"/>
      <c r="C25" s="68">
        <v>200</v>
      </c>
      <c r="D25" s="69"/>
      <c r="E25" s="69">
        <v>-200000</v>
      </c>
      <c r="F25" s="203"/>
      <c r="G25" s="145"/>
      <c r="H25" s="145"/>
      <c r="I25" s="145"/>
      <c r="J25" s="17"/>
    </row>
    <row r="26" spans="1:10" ht="13" customHeight="1" x14ac:dyDescent="0.2">
      <c r="A26" s="702" t="s">
        <v>412</v>
      </c>
      <c r="B26" s="100"/>
      <c r="C26" s="98">
        <v>200</v>
      </c>
      <c r="D26" s="99"/>
      <c r="E26" s="99">
        <v>-200000</v>
      </c>
      <c r="F26" s="92"/>
      <c r="G26" s="92"/>
      <c r="H26" s="92"/>
      <c r="I26" s="92"/>
      <c r="J26" s="17"/>
    </row>
    <row r="27" spans="1:10" ht="13" customHeight="1" x14ac:dyDescent="0.2">
      <c r="A27" s="836" t="s">
        <v>494</v>
      </c>
      <c r="B27" s="582"/>
      <c r="C27" s="837"/>
      <c r="D27" s="201"/>
      <c r="E27" s="150"/>
      <c r="F27" s="151"/>
      <c r="G27" s="151"/>
      <c r="H27" s="151"/>
      <c r="I27" s="151"/>
      <c r="J27" s="17"/>
    </row>
    <row r="28" spans="1:10" ht="13" customHeight="1" x14ac:dyDescent="0.2">
      <c r="A28" s="306" t="s">
        <v>502</v>
      </c>
      <c r="B28" s="305"/>
      <c r="C28" s="251">
        <v>100</v>
      </c>
      <c r="D28" s="252">
        <v>36199</v>
      </c>
      <c r="E28" s="207"/>
      <c r="F28" s="95"/>
      <c r="G28" s="95"/>
      <c r="H28" s="95"/>
      <c r="I28" s="95"/>
      <c r="J28" s="17"/>
    </row>
    <row r="29" spans="1:10" ht="13" customHeight="1" x14ac:dyDescent="0.2">
      <c r="A29" s="503" t="s">
        <v>517</v>
      </c>
      <c r="B29" s="203"/>
      <c r="C29" s="186">
        <v>200</v>
      </c>
      <c r="D29" s="145">
        <v>400000</v>
      </c>
      <c r="E29" s="145">
        <v>-400000</v>
      </c>
      <c r="F29" s="144"/>
      <c r="G29" s="144"/>
      <c r="H29" s="145"/>
      <c r="I29" s="145"/>
      <c r="J29" s="17"/>
    </row>
    <row r="30" spans="1:10" ht="13" customHeight="1" x14ac:dyDescent="0.2">
      <c r="A30" s="833" t="s">
        <v>625</v>
      </c>
      <c r="B30" s="207"/>
      <c r="C30" s="703"/>
      <c r="D30" s="95"/>
      <c r="E30" s="95"/>
      <c r="F30" s="104"/>
      <c r="G30" s="104"/>
      <c r="H30" s="95"/>
      <c r="I30" s="95"/>
      <c r="J30" s="74"/>
    </row>
    <row r="31" spans="1:10" ht="13" customHeight="1" x14ac:dyDescent="0.2">
      <c r="A31" s="503" t="s">
        <v>647</v>
      </c>
      <c r="B31" s="203"/>
      <c r="C31" s="186">
        <v>200</v>
      </c>
      <c r="D31" s="145"/>
      <c r="E31" s="145">
        <v>500000</v>
      </c>
      <c r="F31" s="144"/>
      <c r="G31" s="144"/>
      <c r="H31" s="145"/>
      <c r="I31" s="145"/>
      <c r="J31" s="17"/>
    </row>
    <row r="32" spans="1:10" ht="12.75" customHeight="1" x14ac:dyDescent="0.2">
      <c r="A32" s="306" t="s">
        <v>794</v>
      </c>
      <c r="B32" s="305"/>
      <c r="C32" s="251">
        <v>100</v>
      </c>
      <c r="D32" s="252"/>
      <c r="E32" s="95">
        <v>415000</v>
      </c>
      <c r="F32" s="95">
        <f>487500-E32</f>
        <v>72500</v>
      </c>
      <c r="G32" s="95"/>
      <c r="H32" s="95"/>
      <c r="I32" s="95"/>
      <c r="J32" s="17"/>
    </row>
    <row r="33" spans="1:10" ht="13" customHeight="1" x14ac:dyDescent="0.2">
      <c r="A33" s="503"/>
      <c r="B33" s="203"/>
      <c r="C33" s="186">
        <v>200</v>
      </c>
      <c r="D33" s="145"/>
      <c r="E33" s="145">
        <v>75000</v>
      </c>
      <c r="F33" s="144">
        <f>10000-E33</f>
        <v>-65000</v>
      </c>
      <c r="G33" s="144">
        <v>-10000</v>
      </c>
      <c r="H33" s="145"/>
      <c r="I33" s="145"/>
      <c r="J33" s="17"/>
    </row>
    <row r="34" spans="1:10" ht="13" customHeight="1" x14ac:dyDescent="0.2">
      <c r="A34" s="306" t="s">
        <v>681</v>
      </c>
      <c r="B34" s="305"/>
      <c r="C34" s="251">
        <v>200</v>
      </c>
      <c r="D34" s="252"/>
      <c r="E34" s="95">
        <v>250000</v>
      </c>
      <c r="F34" s="95"/>
      <c r="G34" s="95"/>
      <c r="H34" s="95"/>
      <c r="I34" s="95"/>
      <c r="J34" s="17"/>
    </row>
    <row r="35" spans="1:10" ht="13" customHeight="1" x14ac:dyDescent="0.2">
      <c r="A35" s="503" t="s">
        <v>697</v>
      </c>
      <c r="B35" s="203"/>
      <c r="C35" s="186">
        <v>200</v>
      </c>
      <c r="D35" s="145"/>
      <c r="E35" s="145">
        <v>760000</v>
      </c>
      <c r="F35" s="144">
        <v>-760000</v>
      </c>
      <c r="G35" s="144"/>
      <c r="H35" s="145"/>
      <c r="I35" s="145"/>
      <c r="J35" s="17"/>
    </row>
    <row r="36" spans="1:10" ht="13" customHeight="1" x14ac:dyDescent="0.2">
      <c r="A36" s="306" t="s">
        <v>700</v>
      </c>
      <c r="B36" s="305"/>
      <c r="C36" s="251">
        <v>200</v>
      </c>
      <c r="D36" s="252"/>
      <c r="E36" s="95">
        <v>100000</v>
      </c>
      <c r="F36" s="95">
        <v>-100000</v>
      </c>
      <c r="G36" s="95"/>
      <c r="H36" s="95"/>
      <c r="I36" s="95"/>
      <c r="J36" s="17"/>
    </row>
    <row r="37" spans="1:10" ht="13" customHeight="1" x14ac:dyDescent="0.2">
      <c r="A37" s="921" t="s">
        <v>748</v>
      </c>
      <c r="B37" s="203"/>
      <c r="C37" s="186"/>
      <c r="D37" s="145"/>
      <c r="E37" s="145"/>
      <c r="F37" s="144"/>
      <c r="G37" s="144"/>
      <c r="H37" s="145"/>
      <c r="I37" s="145"/>
      <c r="J37" s="17"/>
    </row>
    <row r="38" spans="1:10" ht="13" customHeight="1" x14ac:dyDescent="0.2">
      <c r="A38" s="306" t="s">
        <v>792</v>
      </c>
      <c r="B38" s="305"/>
      <c r="C38" s="251">
        <v>100</v>
      </c>
      <c r="D38" s="95"/>
      <c r="E38" s="95">
        <f>-1728030-658559-109787</f>
        <v>-2496376</v>
      </c>
      <c r="F38" s="95"/>
      <c r="G38" s="95"/>
      <c r="H38" s="95"/>
      <c r="I38" s="95"/>
      <c r="J38" s="17"/>
    </row>
    <row r="39" spans="1:10" ht="13" customHeight="1" x14ac:dyDescent="0.2">
      <c r="A39" s="503" t="s">
        <v>789</v>
      </c>
      <c r="B39" s="203"/>
      <c r="C39" s="186">
        <v>200</v>
      </c>
      <c r="D39" s="145"/>
      <c r="E39" s="145">
        <f>-2978416-2828375+658559</f>
        <v>-5148232</v>
      </c>
      <c r="F39" s="144"/>
      <c r="G39" s="144"/>
      <c r="H39" s="145"/>
      <c r="I39" s="145"/>
      <c r="J39" s="17"/>
    </row>
    <row r="40" spans="1:10" ht="13" customHeight="1" x14ac:dyDescent="0.2">
      <c r="A40" s="306" t="s">
        <v>793</v>
      </c>
      <c r="B40" s="305"/>
      <c r="C40" s="900">
        <v>500</v>
      </c>
      <c r="D40" s="252"/>
      <c r="E40" s="95">
        <v>-500000</v>
      </c>
      <c r="F40" s="95"/>
      <c r="G40" s="95"/>
      <c r="H40" s="95"/>
      <c r="I40" s="95"/>
      <c r="J40" s="17"/>
    </row>
    <row r="41" spans="1:10" ht="13" customHeight="1" x14ac:dyDescent="0.2">
      <c r="A41" s="503" t="s">
        <v>795</v>
      </c>
      <c r="B41" s="203"/>
      <c r="C41" s="186">
        <v>200</v>
      </c>
      <c r="D41" s="145"/>
      <c r="E41" s="145"/>
      <c r="F41" s="144">
        <v>-8616</v>
      </c>
      <c r="G41" s="144">
        <v>-8831</v>
      </c>
      <c r="H41" s="145">
        <v>-9053</v>
      </c>
      <c r="I41" s="145"/>
      <c r="J41" s="17"/>
    </row>
    <row r="42" spans="1:10" ht="13" customHeight="1" x14ac:dyDescent="0.2">
      <c r="A42" s="306" t="s">
        <v>796</v>
      </c>
      <c r="B42" s="305"/>
      <c r="C42" s="900">
        <v>100</v>
      </c>
      <c r="D42" s="252"/>
      <c r="E42" s="95"/>
      <c r="F42" s="95">
        <v>-72500</v>
      </c>
      <c r="G42" s="95"/>
      <c r="H42" s="95"/>
      <c r="I42" s="95"/>
      <c r="J42" s="17"/>
    </row>
    <row r="43" spans="1:10" ht="13" customHeight="1" x14ac:dyDescent="0.2">
      <c r="A43" s="503"/>
      <c r="B43" s="203"/>
      <c r="C43" s="186">
        <v>200</v>
      </c>
      <c r="D43" s="145"/>
      <c r="E43" s="145"/>
      <c r="F43" s="144">
        <v>65000</v>
      </c>
      <c r="G43" s="144">
        <v>10000</v>
      </c>
      <c r="H43" s="145"/>
      <c r="I43" s="145"/>
      <c r="J43" s="17"/>
    </row>
    <row r="44" spans="1:10" ht="13" customHeight="1" x14ac:dyDescent="0.2">
      <c r="A44" s="306" t="s">
        <v>797</v>
      </c>
      <c r="B44" s="305"/>
      <c r="C44" s="900">
        <v>200</v>
      </c>
      <c r="D44" s="252"/>
      <c r="E44" s="95"/>
      <c r="F44" s="95">
        <v>760000</v>
      </c>
      <c r="G44" s="95"/>
      <c r="H44" s="95"/>
      <c r="I44" s="95"/>
      <c r="J44" s="17"/>
    </row>
    <row r="45" spans="1:10" ht="13" customHeight="1" x14ac:dyDescent="0.2">
      <c r="A45" s="503" t="s">
        <v>798</v>
      </c>
      <c r="B45" s="203"/>
      <c r="C45" s="186">
        <v>200</v>
      </c>
      <c r="D45" s="145"/>
      <c r="E45" s="145"/>
      <c r="F45" s="144">
        <v>100000</v>
      </c>
      <c r="G45" s="144"/>
      <c r="H45" s="145"/>
      <c r="I45" s="145"/>
      <c r="J45" s="17"/>
    </row>
    <row r="46" spans="1:10" ht="13" customHeight="1" x14ac:dyDescent="0.2">
      <c r="A46" s="881" t="s">
        <v>913</v>
      </c>
      <c r="B46" s="305"/>
      <c r="C46" s="900"/>
      <c r="D46" s="252"/>
      <c r="E46" s="95"/>
      <c r="F46" s="95"/>
      <c r="G46" s="95"/>
      <c r="H46" s="95"/>
      <c r="I46" s="95"/>
      <c r="J46" s="17"/>
    </row>
    <row r="47" spans="1:10" ht="13" customHeight="1" x14ac:dyDescent="0.2">
      <c r="A47" s="503" t="s">
        <v>914</v>
      </c>
      <c r="B47" s="203"/>
      <c r="C47" s="186">
        <v>100</v>
      </c>
      <c r="D47" s="145"/>
      <c r="E47" s="145">
        <v>969637</v>
      </c>
      <c r="F47" s="144"/>
      <c r="G47" s="144"/>
      <c r="H47" s="145"/>
      <c r="I47" s="145"/>
      <c r="J47" s="17"/>
    </row>
    <row r="48" spans="1:10" ht="13" customHeight="1" x14ac:dyDescent="0.2">
      <c r="A48" s="306"/>
      <c r="B48" s="305"/>
      <c r="C48" s="900">
        <v>200</v>
      </c>
      <c r="D48" s="252"/>
      <c r="E48" s="95">
        <v>216153</v>
      </c>
      <c r="F48" s="95"/>
      <c r="G48" s="95"/>
      <c r="H48" s="95"/>
      <c r="I48" s="95"/>
      <c r="J48" s="17"/>
    </row>
    <row r="49" spans="1:10" ht="13" customHeight="1" x14ac:dyDescent="0.2">
      <c r="A49" s="503" t="s">
        <v>982</v>
      </c>
      <c r="B49" s="203"/>
      <c r="C49" s="186">
        <v>200</v>
      </c>
      <c r="D49" s="145"/>
      <c r="E49" s="145">
        <v>1000000</v>
      </c>
      <c r="F49" s="144"/>
      <c r="G49" s="144"/>
      <c r="H49" s="145"/>
      <c r="I49" s="145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82"/>
      <c r="B51" s="82"/>
      <c r="C51" s="82"/>
      <c r="D51" s="83"/>
      <c r="E51" s="83"/>
      <c r="F51" s="83"/>
      <c r="G51" s="83"/>
      <c r="H51" s="83"/>
      <c r="I51" s="83"/>
      <c r="J51" s="17"/>
    </row>
    <row r="52" spans="1:10" ht="13" customHeight="1" x14ac:dyDescent="0.2">
      <c r="A52" s="82"/>
      <c r="B52" s="82"/>
      <c r="C52" s="82"/>
      <c r="D52" s="83"/>
      <c r="E52" s="83"/>
      <c r="F52" s="83"/>
      <c r="G52" s="83"/>
      <c r="H52" s="83"/>
      <c r="I52" s="83"/>
      <c r="J52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3"/>
    <pageSetUpPr fitToPage="1"/>
  </sheetPr>
  <dimension ref="A1:K60"/>
  <sheetViews>
    <sheetView topLeftCell="A9" zoomScaleNormal="100" zoomScaleSheetLayoutView="90" workbookViewId="0">
      <selection activeCell="A26" sqref="A2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30</v>
      </c>
      <c r="C6" s="963" t="s">
        <v>156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557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+D9+E21+E25+E27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15000000</v>
      </c>
      <c r="C10" s="36">
        <v>15000000</v>
      </c>
      <c r="D10" s="230">
        <f t="shared" si="0"/>
        <v>15000000</v>
      </c>
      <c r="E10" s="550">
        <f t="shared" si="1"/>
        <v>15000000</v>
      </c>
      <c r="F10" s="548">
        <f t="shared" si="1"/>
        <v>15000000</v>
      </c>
      <c r="G10" s="36">
        <f t="shared" si="1"/>
        <v>15000000</v>
      </c>
      <c r="H10" s="230">
        <f t="shared" si="1"/>
        <v>15000000</v>
      </c>
      <c r="I10" s="37">
        <f t="shared" si="1"/>
        <v>15000000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15000000</v>
      </c>
      <c r="C16" s="40">
        <f t="shared" ref="C16:I16" si="2">SUM(C9:C15)</f>
        <v>15000000</v>
      </c>
      <c r="D16" s="40">
        <f t="shared" si="2"/>
        <v>15000000</v>
      </c>
      <c r="E16" s="573">
        <f t="shared" si="2"/>
        <v>15000000</v>
      </c>
      <c r="F16" s="40">
        <f t="shared" si="2"/>
        <v>15000000</v>
      </c>
      <c r="G16" s="40">
        <f t="shared" si="2"/>
        <v>15000000</v>
      </c>
      <c r="H16" s="40">
        <f t="shared" si="2"/>
        <v>15000000</v>
      </c>
      <c r="I16" s="40">
        <f t="shared" si="2"/>
        <v>15000000</v>
      </c>
    </row>
    <row r="18" spans="1:10" x14ac:dyDescent="0.2">
      <c r="E18" s="415">
        <f>+E16-D16</f>
        <v>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452" t="s">
        <v>309</v>
      </c>
      <c r="B20" s="79"/>
      <c r="C20" s="72"/>
      <c r="D20" s="73"/>
      <c r="E20" s="73"/>
      <c r="F20" s="73"/>
      <c r="G20" s="73"/>
      <c r="H20" s="73"/>
      <c r="I20" s="74"/>
    </row>
    <row r="21" spans="1:10" ht="13" customHeight="1" x14ac:dyDescent="0.2">
      <c r="A21" s="81"/>
      <c r="B21" s="71"/>
      <c r="C21" s="72"/>
      <c r="D21" s="73"/>
      <c r="E21" s="73"/>
      <c r="F21" s="74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4"/>
      <c r="G22" s="74"/>
      <c r="H22" s="74"/>
      <c r="I22" s="74"/>
      <c r="J22" s="82"/>
    </row>
    <row r="23" spans="1:10" ht="13" customHeight="1" x14ac:dyDescent="0.2">
      <c r="A23" s="174"/>
      <c r="B23" s="102"/>
      <c r="C23" s="103"/>
      <c r="D23" s="104"/>
      <c r="E23" s="104"/>
      <c r="F23" s="95"/>
      <c r="G23" s="95"/>
      <c r="H23" s="95"/>
      <c r="I23" s="95"/>
      <c r="J23" s="17"/>
    </row>
    <row r="24" spans="1:10" s="59" customFormat="1" ht="13" customHeight="1" x14ac:dyDescent="0.2">
      <c r="A24" s="78"/>
      <c r="B24" s="71"/>
      <c r="C24" s="72"/>
      <c r="D24" s="73"/>
      <c r="E24" s="73"/>
      <c r="F24" s="74"/>
      <c r="G24" s="74"/>
      <c r="H24" s="74"/>
      <c r="I24" s="74"/>
      <c r="J24" s="82"/>
    </row>
    <row r="25" spans="1:10" ht="13" customHeight="1" x14ac:dyDescent="0.2">
      <c r="A25" s="78"/>
      <c r="B25" s="71"/>
      <c r="C25" s="72"/>
      <c r="D25" s="73"/>
      <c r="E25" s="73"/>
      <c r="F25" s="74"/>
      <c r="G25" s="74"/>
      <c r="H25" s="74"/>
      <c r="I25" s="74"/>
      <c r="J25" s="17"/>
    </row>
    <row r="26" spans="1:10" ht="13" customHeight="1" x14ac:dyDescent="0.2">
      <c r="A26" s="78"/>
      <c r="B26" s="71"/>
      <c r="C26" s="72"/>
      <c r="D26" s="73"/>
      <c r="E26" s="73"/>
      <c r="F26" s="74"/>
      <c r="G26" s="74"/>
      <c r="H26" s="74"/>
      <c r="I26" s="74"/>
      <c r="J26" s="17"/>
    </row>
    <row r="27" spans="1:10" ht="13" customHeight="1" x14ac:dyDescent="0.2">
      <c r="A27" s="78"/>
      <c r="B27" s="71"/>
      <c r="C27" s="72"/>
      <c r="D27" s="73"/>
      <c r="E27" s="73"/>
      <c r="F27" s="74"/>
      <c r="G27" s="74"/>
      <c r="H27" s="74"/>
      <c r="I27" s="74"/>
      <c r="J27" s="17"/>
    </row>
    <row r="28" spans="1:10" ht="13" customHeight="1" x14ac:dyDescent="0.2">
      <c r="A28" s="78"/>
      <c r="B28" s="71"/>
      <c r="C28" s="72"/>
      <c r="D28" s="73"/>
      <c r="E28" s="73"/>
      <c r="F28" s="74"/>
      <c r="G28" s="74"/>
      <c r="H28" s="74"/>
      <c r="I28" s="74"/>
      <c r="J28" s="17"/>
    </row>
    <row r="29" spans="1:10" ht="13" customHeight="1" x14ac:dyDescent="0.2">
      <c r="A29" s="78"/>
      <c r="B29" s="71"/>
      <c r="C29" s="72"/>
      <c r="D29" s="73"/>
      <c r="E29" s="73"/>
      <c r="F29" s="74"/>
      <c r="G29" s="74"/>
      <c r="H29" s="74"/>
      <c r="I29" s="74"/>
      <c r="J29" s="17"/>
    </row>
    <row r="30" spans="1:10" ht="13" customHeight="1" x14ac:dyDescent="0.2">
      <c r="A30" s="78"/>
      <c r="B30" s="71"/>
      <c r="C30" s="72"/>
      <c r="D30" s="73"/>
      <c r="E30" s="73"/>
      <c r="F30" s="74"/>
      <c r="G30" s="74"/>
      <c r="H30" s="74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81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2"/>
      <c r="D46" s="73"/>
      <c r="E46" s="73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2"/>
      <c r="D47" s="73"/>
      <c r="E47" s="73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2"/>
      <c r="D48" s="73"/>
      <c r="E48" s="73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2"/>
      <c r="D49" s="73"/>
      <c r="E49" s="73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2"/>
      <c r="D50" s="73"/>
      <c r="E50" s="73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2"/>
      <c r="D51" s="73"/>
      <c r="E51" s="73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2"/>
      <c r="D52" s="73"/>
      <c r="E52" s="73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2"/>
      <c r="D53" s="73"/>
      <c r="E53" s="73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3"/>
    <pageSetUpPr fitToPage="1"/>
  </sheetPr>
  <dimension ref="A1:K54"/>
  <sheetViews>
    <sheetView zoomScaleNormal="100" zoomScaleSheetLayoutView="90" workbookViewId="0">
      <selection activeCell="A18" sqref="A1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32</v>
      </c>
      <c r="C6" s="963" t="s">
        <v>155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558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+D9+E21+E25+E27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v>21242883</v>
      </c>
      <c r="C10" s="36">
        <v>7671624</v>
      </c>
      <c r="D10" s="230">
        <f>+C10+D26</f>
        <v>7671624</v>
      </c>
      <c r="E10" s="550">
        <f>+D10+E22+E24+E26+E31+E33</f>
        <v>3015000</v>
      </c>
      <c r="F10" s="548">
        <f>+E10+F22+F28+F30</f>
        <v>3015000</v>
      </c>
      <c r="G10" s="36">
        <f>+F10+G28+G29</f>
        <v>13015000</v>
      </c>
      <c r="H10" s="230">
        <f>+G10</f>
        <v>13015000</v>
      </c>
      <c r="I10" s="37">
        <f t="shared" si="1"/>
        <v>13015000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21242883</v>
      </c>
      <c r="C16" s="40">
        <f t="shared" ref="C16:I16" si="2">SUM(C9:C15)</f>
        <v>7671624</v>
      </c>
      <c r="D16" s="40">
        <f t="shared" si="2"/>
        <v>7671624</v>
      </c>
      <c r="E16" s="573">
        <f t="shared" si="2"/>
        <v>3015000</v>
      </c>
      <c r="F16" s="40">
        <f t="shared" si="2"/>
        <v>3015000</v>
      </c>
      <c r="G16" s="40">
        <f t="shared" si="2"/>
        <v>13015000</v>
      </c>
      <c r="H16" s="40">
        <f t="shared" si="2"/>
        <v>13015000</v>
      </c>
      <c r="I16" s="40">
        <f t="shared" si="2"/>
        <v>13015000</v>
      </c>
    </row>
    <row r="18" spans="1:10" x14ac:dyDescent="0.2">
      <c r="E18" s="416">
        <f>+E16-D16</f>
        <v>-4656624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2"/>
      <c r="D20" s="73"/>
      <c r="E20" s="73"/>
      <c r="F20" s="73"/>
      <c r="G20" s="73"/>
      <c r="H20" s="73"/>
      <c r="I20" s="74"/>
    </row>
    <row r="21" spans="1:10" ht="13" customHeight="1" x14ac:dyDescent="0.2">
      <c r="A21" s="173" t="s">
        <v>239</v>
      </c>
      <c r="B21" s="67"/>
      <c r="C21" s="68"/>
      <c r="D21" s="69"/>
      <c r="E21" s="69"/>
      <c r="F21" s="70"/>
      <c r="G21" s="70"/>
      <c r="H21" s="70"/>
      <c r="I21" s="70"/>
      <c r="J21" s="17"/>
    </row>
    <row r="22" spans="1:10" ht="13" customHeight="1" x14ac:dyDescent="0.2">
      <c r="A22" s="174" t="s">
        <v>240</v>
      </c>
      <c r="B22" s="102"/>
      <c r="C22" s="103">
        <v>200</v>
      </c>
      <c r="D22" s="104"/>
      <c r="E22" s="104">
        <v>-3000000</v>
      </c>
      <c r="F22" s="95"/>
      <c r="G22" s="95"/>
      <c r="H22" s="95"/>
      <c r="I22" s="95"/>
      <c r="J22" s="17"/>
    </row>
    <row r="23" spans="1:10" ht="13" customHeight="1" x14ac:dyDescent="0.2">
      <c r="A23" s="630" t="s">
        <v>358</v>
      </c>
      <c r="B23" s="85"/>
      <c r="C23" s="68"/>
      <c r="D23" s="69"/>
      <c r="E23" s="69"/>
      <c r="F23" s="70"/>
      <c r="G23" s="70"/>
      <c r="H23" s="70"/>
      <c r="I23" s="70"/>
      <c r="J23" s="17"/>
    </row>
    <row r="24" spans="1:10" ht="12.75" customHeight="1" x14ac:dyDescent="0.2">
      <c r="A24" s="326" t="s">
        <v>369</v>
      </c>
      <c r="B24" s="79"/>
      <c r="C24" s="72">
        <v>200</v>
      </c>
      <c r="D24" s="73"/>
      <c r="E24" s="73">
        <v>500000</v>
      </c>
      <c r="F24" s="95"/>
      <c r="G24" s="95"/>
      <c r="H24" s="95"/>
      <c r="I24" s="95"/>
      <c r="J24" s="17"/>
    </row>
    <row r="25" spans="1:10" ht="12.75" customHeight="1" x14ac:dyDescent="0.2">
      <c r="A25" s="239" t="s">
        <v>404</v>
      </c>
      <c r="B25" s="146"/>
      <c r="C25" s="146"/>
      <c r="D25" s="146"/>
      <c r="E25" s="70"/>
      <c r="F25" s="69"/>
      <c r="G25" s="69"/>
      <c r="H25" s="70"/>
      <c r="I25" s="70"/>
      <c r="J25" s="17"/>
    </row>
    <row r="26" spans="1:10" ht="12.75" customHeight="1" x14ac:dyDescent="0.2">
      <c r="A26" s="785" t="s">
        <v>482</v>
      </c>
      <c r="B26" s="90"/>
      <c r="C26" s="91">
        <v>200</v>
      </c>
      <c r="D26" s="92"/>
      <c r="E26" s="92">
        <v>-4000000</v>
      </c>
      <c r="F26" s="99"/>
      <c r="G26" s="99"/>
      <c r="H26" s="92"/>
      <c r="I26" s="92"/>
      <c r="J26" s="17"/>
    </row>
    <row r="27" spans="1:10" ht="12.75" customHeight="1" x14ac:dyDescent="0.2">
      <c r="A27" s="630" t="s">
        <v>625</v>
      </c>
      <c r="B27" s="85"/>
      <c r="C27" s="68"/>
      <c r="D27" s="69"/>
      <c r="E27" s="69"/>
      <c r="F27" s="69"/>
      <c r="G27" s="69"/>
      <c r="H27" s="70"/>
      <c r="I27" s="70"/>
      <c r="J27" s="17"/>
    </row>
    <row r="28" spans="1:10" ht="12.75" customHeight="1" x14ac:dyDescent="0.2">
      <c r="A28" s="326" t="s">
        <v>884</v>
      </c>
      <c r="B28" s="79"/>
      <c r="C28" s="72">
        <v>200</v>
      </c>
      <c r="D28" s="73"/>
      <c r="E28" s="73"/>
      <c r="F28" s="73"/>
      <c r="G28" s="73">
        <v>5000000</v>
      </c>
      <c r="H28" s="74"/>
      <c r="I28" s="74"/>
      <c r="J28" s="17"/>
    </row>
    <row r="29" spans="1:10" ht="12.75" customHeight="1" x14ac:dyDescent="0.2">
      <c r="A29" s="888" t="s">
        <v>712</v>
      </c>
      <c r="B29" s="146"/>
      <c r="C29" s="888">
        <v>200</v>
      </c>
      <c r="D29" s="146"/>
      <c r="E29" s="70"/>
      <c r="F29" s="70"/>
      <c r="G29" s="70">
        <v>5000000</v>
      </c>
      <c r="H29" s="70"/>
      <c r="I29" s="70"/>
      <c r="J29" s="17"/>
    </row>
    <row r="30" spans="1:10" ht="12.75" customHeight="1" x14ac:dyDescent="0.2">
      <c r="A30" s="915" t="s">
        <v>741</v>
      </c>
      <c r="B30" s="79"/>
      <c r="C30" s="942"/>
      <c r="D30" s="73"/>
      <c r="E30" s="73"/>
      <c r="F30" s="73"/>
      <c r="G30" s="73"/>
      <c r="H30" s="74"/>
      <c r="I30" s="74"/>
      <c r="J30" s="17"/>
    </row>
    <row r="31" spans="1:10" ht="12.75" customHeight="1" x14ac:dyDescent="0.2">
      <c r="A31" s="888" t="s">
        <v>742</v>
      </c>
      <c r="B31" s="146"/>
      <c r="C31" s="888">
        <v>200</v>
      </c>
      <c r="D31" s="146"/>
      <c r="E31" s="70">
        <v>2828376</v>
      </c>
      <c r="F31" s="70"/>
      <c r="G31" s="70"/>
      <c r="H31" s="70"/>
      <c r="I31" s="70"/>
      <c r="J31" s="17"/>
    </row>
    <row r="32" spans="1:10" ht="12.75" customHeight="1" x14ac:dyDescent="0.2">
      <c r="A32" s="915" t="s">
        <v>913</v>
      </c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2.75" customHeight="1" x14ac:dyDescent="0.2">
      <c r="A33" s="503" t="s">
        <v>914</v>
      </c>
      <c r="B33" s="146"/>
      <c r="C33" s="888">
        <v>200</v>
      </c>
      <c r="D33" s="146"/>
      <c r="E33" s="70">
        <f>-768847-216153</f>
        <v>-985000</v>
      </c>
      <c r="F33" s="70"/>
      <c r="G33" s="70"/>
      <c r="H33" s="70"/>
      <c r="I33" s="70"/>
      <c r="J33" s="17"/>
    </row>
    <row r="34" spans="1:10" ht="12.75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80"/>
      <c r="B37" s="79"/>
      <c r="C37" s="72"/>
      <c r="D37" s="73"/>
      <c r="E37" s="73"/>
      <c r="F37" s="73"/>
      <c r="G37" s="73"/>
      <c r="H37" s="74"/>
      <c r="I37" s="74"/>
      <c r="J37" s="17"/>
    </row>
    <row r="38" spans="1:10" ht="12.75" customHeight="1" x14ac:dyDescent="0.2">
      <c r="A38" s="81"/>
      <c r="B38" s="71"/>
      <c r="C38" s="72"/>
      <c r="D38" s="73"/>
      <c r="E38" s="73"/>
      <c r="F38" s="74"/>
      <c r="G38" s="74"/>
      <c r="H38" s="74"/>
      <c r="I38" s="74"/>
      <c r="J38" s="17"/>
    </row>
    <row r="39" spans="1:10" ht="12.75" customHeight="1" x14ac:dyDescent="0.2">
      <c r="A39" s="78"/>
      <c r="B39" s="71"/>
      <c r="C39" s="72"/>
      <c r="D39" s="73"/>
      <c r="E39" s="73"/>
      <c r="F39" s="74"/>
      <c r="G39" s="74"/>
      <c r="H39" s="74"/>
      <c r="I39" s="74"/>
      <c r="J39" s="17"/>
    </row>
    <row r="40" spans="1:10" ht="12.75" customHeight="1" x14ac:dyDescent="0.2">
      <c r="A40" s="78"/>
      <c r="B40" s="71"/>
      <c r="C40" s="72"/>
      <c r="D40" s="73"/>
      <c r="E40" s="73"/>
      <c r="F40" s="74"/>
      <c r="G40" s="74"/>
      <c r="H40" s="74"/>
      <c r="I40" s="74"/>
      <c r="J40" s="17"/>
    </row>
    <row r="41" spans="1:10" ht="12.75" customHeight="1" x14ac:dyDescent="0.2">
      <c r="A41" s="78"/>
      <c r="B41" s="71"/>
      <c r="C41" s="72"/>
      <c r="D41" s="73"/>
      <c r="E41" s="73"/>
      <c r="F41" s="74"/>
      <c r="G41" s="74"/>
      <c r="H41" s="74"/>
      <c r="I41" s="74"/>
      <c r="J41" s="17"/>
    </row>
    <row r="42" spans="1:10" ht="12.75" customHeight="1" x14ac:dyDescent="0.2">
      <c r="A42" s="78"/>
      <c r="B42" s="71"/>
      <c r="C42" s="72"/>
      <c r="D42" s="73"/>
      <c r="E42" s="73"/>
      <c r="F42" s="74"/>
      <c r="G42" s="74"/>
      <c r="H42" s="74"/>
      <c r="I42" s="74"/>
      <c r="J42" s="17"/>
    </row>
    <row r="43" spans="1:10" ht="12.75" customHeight="1" x14ac:dyDescent="0.2">
      <c r="A43" s="78"/>
      <c r="B43" s="71"/>
      <c r="C43" s="72"/>
      <c r="D43" s="73"/>
      <c r="E43" s="73"/>
      <c r="F43" s="74"/>
      <c r="G43" s="74"/>
      <c r="H43" s="74"/>
      <c r="I43" s="74"/>
      <c r="J43" s="17"/>
    </row>
    <row r="44" spans="1:10" ht="12.75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2.75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2.75" customHeight="1" x14ac:dyDescent="0.2">
      <c r="A46" s="78"/>
      <c r="B46" s="71"/>
      <c r="C46" s="72"/>
      <c r="D46" s="73"/>
      <c r="E46" s="73"/>
      <c r="F46" s="74"/>
      <c r="G46" s="74"/>
      <c r="H46" s="74"/>
      <c r="I46" s="74"/>
      <c r="J46" s="17"/>
    </row>
    <row r="47" spans="1:10" ht="12.75" customHeight="1" x14ac:dyDescent="0.2">
      <c r="A47" s="78"/>
      <c r="B47" s="71"/>
      <c r="C47" s="72"/>
      <c r="D47" s="73"/>
      <c r="E47" s="73"/>
      <c r="F47" s="74"/>
      <c r="G47" s="74"/>
      <c r="H47" s="74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2.75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K55"/>
  <sheetViews>
    <sheetView topLeftCell="A20" zoomScaleNormal="100" zoomScaleSheetLayoutView="90" workbookViewId="0">
      <selection activeCell="A30" sqref="A30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2">
        <v>69</v>
      </c>
      <c r="C6" s="963" t="s">
        <v>154</v>
      </c>
      <c r="D6" s="963"/>
      <c r="E6" s="963"/>
      <c r="F6" s="963"/>
      <c r="G6" s="963"/>
      <c r="H6" s="963"/>
      <c r="I6" s="963"/>
    </row>
    <row r="7" spans="1:11" ht="16" thickBot="1" x14ac:dyDescent="0.25">
      <c r="E7" s="444"/>
      <c r="F7" s="444"/>
      <c r="G7" s="444"/>
      <c r="H7" s="444"/>
      <c r="I7" s="444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34265564</v>
      </c>
      <c r="C9" s="34">
        <v>35016343</v>
      </c>
      <c r="D9" s="227">
        <f>+C9+D21+D24+D25+D26+D27+D28+D29+D30</f>
        <v>37620523</v>
      </c>
      <c r="E9" s="115">
        <f>+D9+E21+E32+E24+E25+E26+E27+E28+E29+E30</f>
        <v>30262904</v>
      </c>
      <c r="F9" s="411">
        <f t="shared" ref="F9:F11" si="0">+E9</f>
        <v>30262904</v>
      </c>
      <c r="G9" s="34">
        <f>+F9+G32+G36</f>
        <v>30262904</v>
      </c>
      <c r="H9" s="227">
        <f>+G9+H36</f>
        <v>37766173</v>
      </c>
      <c r="I9" s="51">
        <f t="shared" ref="F9:I15" si="1">+H9</f>
        <v>37766173</v>
      </c>
      <c r="K9" s="7">
        <v>100</v>
      </c>
    </row>
    <row r="10" spans="1:11" x14ac:dyDescent="0.2">
      <c r="A10" s="10" t="s">
        <v>5</v>
      </c>
      <c r="B10" s="36">
        <f>3489711-62070</f>
        <v>3427641</v>
      </c>
      <c r="C10" s="36">
        <v>3367172</v>
      </c>
      <c r="D10" s="230">
        <f t="shared" ref="D10:D11" si="2">+C10+D22</f>
        <v>3867172</v>
      </c>
      <c r="E10" s="550">
        <f>+D10+E22+E33</f>
        <v>2693738</v>
      </c>
      <c r="F10" s="548">
        <f t="shared" si="0"/>
        <v>2693738</v>
      </c>
      <c r="G10" s="36">
        <f>+F10+G33+G37</f>
        <v>2693738</v>
      </c>
      <c r="H10" s="230">
        <f>+G10+H37</f>
        <v>3367172</v>
      </c>
      <c r="I10" s="37">
        <f t="shared" si="1"/>
        <v>3367172</v>
      </c>
      <c r="K10" s="7">
        <v>200</v>
      </c>
    </row>
    <row r="11" spans="1:11" x14ac:dyDescent="0.2">
      <c r="A11" s="9" t="s">
        <v>6</v>
      </c>
      <c r="B11" s="34">
        <f>430841+1295770</f>
        <v>1726611</v>
      </c>
      <c r="C11" s="34">
        <v>525021</v>
      </c>
      <c r="D11" s="227">
        <f t="shared" si="2"/>
        <v>675021</v>
      </c>
      <c r="E11" s="115">
        <f>+D11+E23+E34</f>
        <v>420017</v>
      </c>
      <c r="F11" s="411">
        <f t="shared" si="0"/>
        <v>420017</v>
      </c>
      <c r="G11" s="34">
        <f>+F11+G34+G38</f>
        <v>420017</v>
      </c>
      <c r="H11" s="227">
        <f>+G11+H38</f>
        <v>525021</v>
      </c>
      <c r="I11" s="35">
        <f t="shared" si="1"/>
        <v>525021</v>
      </c>
      <c r="K11" s="7" t="s">
        <v>167</v>
      </c>
    </row>
    <row r="12" spans="1:11" x14ac:dyDescent="0.2">
      <c r="A12" s="10" t="s">
        <v>7</v>
      </c>
      <c r="B12" s="36">
        <v>2861279</v>
      </c>
      <c r="C12" s="36">
        <v>0</v>
      </c>
      <c r="D12" s="230">
        <f t="shared" ref="D12:E15" si="3">+C12</f>
        <v>0</v>
      </c>
      <c r="E12" s="550">
        <f t="shared" si="3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3"/>
        <v>0</v>
      </c>
      <c r="E13" s="115">
        <f t="shared" si="3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49">
        <v>0</v>
      </c>
      <c r="C14" s="36">
        <v>0</v>
      </c>
      <c r="D14" s="230">
        <f t="shared" si="3"/>
        <v>0</v>
      </c>
      <c r="E14" s="550">
        <f t="shared" si="3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3"/>
        <v>0</v>
      </c>
      <c r="E15" s="551">
        <f t="shared" si="3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42281095</v>
      </c>
      <c r="C16" s="40">
        <f t="shared" ref="C16:I16" si="4">SUM(C9:C15)</f>
        <v>38908536</v>
      </c>
      <c r="D16" s="40">
        <f t="shared" si="4"/>
        <v>42162716</v>
      </c>
      <c r="E16" s="574">
        <f t="shared" si="4"/>
        <v>33376659</v>
      </c>
      <c r="F16" s="339">
        <f t="shared" si="4"/>
        <v>33376659</v>
      </c>
      <c r="G16" s="339">
        <f t="shared" si="4"/>
        <v>33376659</v>
      </c>
      <c r="H16" s="339">
        <f t="shared" si="4"/>
        <v>41658366</v>
      </c>
      <c r="I16" s="339">
        <f t="shared" si="4"/>
        <v>41658366</v>
      </c>
    </row>
    <row r="17" spans="1:10" x14ac:dyDescent="0.2">
      <c r="B17" s="17"/>
      <c r="D17" s="462"/>
      <c r="E17" s="463"/>
      <c r="F17" s="53"/>
      <c r="G17" s="53"/>
      <c r="H17" s="53"/>
      <c r="I17" s="53"/>
    </row>
    <row r="18" spans="1:10" x14ac:dyDescent="0.2">
      <c r="D18" s="462"/>
      <c r="E18" s="463">
        <f>+E16-D16</f>
        <v>-8786057</v>
      </c>
      <c r="F18" s="53"/>
      <c r="G18" s="53"/>
      <c r="H18" s="53"/>
      <c r="I18" s="53"/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494</v>
      </c>
      <c r="B20" s="71"/>
      <c r="C20" s="72"/>
      <c r="D20" s="73"/>
      <c r="E20" s="104"/>
      <c r="F20" s="104"/>
      <c r="G20" s="95"/>
      <c r="H20" s="95"/>
      <c r="I20" s="95"/>
    </row>
    <row r="21" spans="1:10" ht="13" customHeight="1" x14ac:dyDescent="0.2">
      <c r="A21" s="846" t="s">
        <v>514</v>
      </c>
      <c r="B21" s="67"/>
      <c r="C21" s="68">
        <v>100</v>
      </c>
      <c r="D21" s="69">
        <v>2500000</v>
      </c>
      <c r="E21" s="145"/>
      <c r="F21" s="145"/>
      <c r="G21" s="145"/>
      <c r="H21" s="145"/>
      <c r="I21" s="145"/>
      <c r="J21" s="17"/>
    </row>
    <row r="22" spans="1:10" s="59" customFormat="1" ht="13" customHeight="1" x14ac:dyDescent="0.2">
      <c r="A22" s="830" t="s">
        <v>515</v>
      </c>
      <c r="B22" s="170"/>
      <c r="C22" s="72">
        <v>200</v>
      </c>
      <c r="D22" s="73">
        <v>500000</v>
      </c>
      <c r="E22" s="95">
        <v>-500000</v>
      </c>
      <c r="F22" s="95"/>
      <c r="G22" s="207"/>
      <c r="H22" s="95"/>
      <c r="I22" s="95"/>
      <c r="J22" s="82"/>
    </row>
    <row r="23" spans="1:10" ht="13" customHeight="1" x14ac:dyDescent="0.2">
      <c r="A23" s="200"/>
      <c r="B23" s="67"/>
      <c r="C23" s="847" t="s">
        <v>167</v>
      </c>
      <c r="D23" s="69">
        <v>150000</v>
      </c>
      <c r="E23" s="145">
        <v>-150000</v>
      </c>
      <c r="F23" s="145"/>
      <c r="G23" s="203"/>
      <c r="H23" s="145"/>
      <c r="I23" s="145"/>
      <c r="J23" s="17"/>
    </row>
    <row r="24" spans="1:10" ht="13" customHeight="1" x14ac:dyDescent="0.2">
      <c r="A24" s="890" t="s">
        <v>819</v>
      </c>
      <c r="B24" s="71"/>
      <c r="C24" s="72">
        <v>100</v>
      </c>
      <c r="D24" s="73">
        <v>27307</v>
      </c>
      <c r="E24" s="95">
        <v>163840</v>
      </c>
      <c r="F24" s="95"/>
      <c r="G24" s="95"/>
      <c r="H24" s="95"/>
      <c r="I24" s="95"/>
      <c r="J24" s="17"/>
    </row>
    <row r="25" spans="1:10" ht="13" customHeight="1" x14ac:dyDescent="0.2">
      <c r="A25" s="503" t="s">
        <v>820</v>
      </c>
      <c r="B25" s="67"/>
      <c r="C25" s="68">
        <v>100</v>
      </c>
      <c r="D25" s="69">
        <v>35250</v>
      </c>
      <c r="E25" s="69">
        <v>-35250</v>
      </c>
      <c r="F25" s="145"/>
      <c r="G25" s="145"/>
      <c r="H25" s="145"/>
      <c r="I25" s="145"/>
      <c r="J25" s="17"/>
    </row>
    <row r="26" spans="1:10" ht="13" customHeight="1" x14ac:dyDescent="0.2">
      <c r="A26" s="926" t="s">
        <v>825</v>
      </c>
      <c r="B26" s="71"/>
      <c r="C26" s="72">
        <v>100</v>
      </c>
      <c r="D26" s="925">
        <v>1968</v>
      </c>
      <c r="E26" s="925">
        <v>11807</v>
      </c>
      <c r="F26" s="95"/>
      <c r="G26" s="95"/>
      <c r="H26" s="95"/>
      <c r="I26" s="95"/>
      <c r="J26" s="17"/>
    </row>
    <row r="27" spans="1:10" ht="13" customHeight="1" x14ac:dyDescent="0.2">
      <c r="A27" s="926" t="s">
        <v>898</v>
      </c>
      <c r="B27" s="85"/>
      <c r="C27" s="75">
        <v>100</v>
      </c>
      <c r="D27" s="925">
        <v>6450</v>
      </c>
      <c r="E27" s="925">
        <v>-6450</v>
      </c>
      <c r="F27" s="145"/>
      <c r="G27" s="145"/>
      <c r="H27" s="145"/>
      <c r="I27" s="145"/>
      <c r="J27" s="17"/>
    </row>
    <row r="28" spans="1:10" ht="13" customHeight="1" x14ac:dyDescent="0.2">
      <c r="A28" s="926" t="s">
        <v>833</v>
      </c>
      <c r="B28" s="71"/>
      <c r="C28" s="72">
        <v>100</v>
      </c>
      <c r="D28" s="925">
        <v>478</v>
      </c>
      <c r="E28" s="925">
        <v>2869</v>
      </c>
      <c r="F28" s="95"/>
      <c r="G28" s="95"/>
      <c r="H28" s="95"/>
      <c r="I28" s="95"/>
      <c r="J28" s="17"/>
    </row>
    <row r="29" spans="1:10" ht="13" customHeight="1" x14ac:dyDescent="0.2">
      <c r="A29" s="503" t="s">
        <v>955</v>
      </c>
      <c r="B29" s="67"/>
      <c r="C29" s="68">
        <v>100</v>
      </c>
      <c r="D29" s="69">
        <v>6927</v>
      </c>
      <c r="E29" s="69">
        <v>34634</v>
      </c>
      <c r="F29" s="145"/>
      <c r="G29" s="145"/>
      <c r="H29" s="145"/>
      <c r="I29" s="145"/>
      <c r="J29" s="17"/>
    </row>
    <row r="30" spans="1:10" ht="13" customHeight="1" x14ac:dyDescent="0.2">
      <c r="A30" s="926" t="s">
        <v>956</v>
      </c>
      <c r="B30" s="71"/>
      <c r="C30" s="72">
        <v>100</v>
      </c>
      <c r="D30" s="925">
        <v>25800</v>
      </c>
      <c r="E30" s="925">
        <v>-25800</v>
      </c>
      <c r="F30" s="95"/>
      <c r="G30" s="95"/>
      <c r="H30" s="95"/>
      <c r="I30" s="95"/>
      <c r="J30" s="17"/>
    </row>
    <row r="31" spans="1:10" ht="13" customHeight="1" x14ac:dyDescent="0.2">
      <c r="A31" s="928" t="s">
        <v>748</v>
      </c>
      <c r="B31" s="85"/>
      <c r="C31" s="75"/>
      <c r="D31" s="925"/>
      <c r="E31" s="925"/>
      <c r="F31" s="145"/>
      <c r="G31" s="145"/>
      <c r="H31" s="145"/>
      <c r="I31" s="145"/>
      <c r="J31" s="17"/>
    </row>
    <row r="32" spans="1:10" ht="13" customHeight="1" x14ac:dyDescent="0.2">
      <c r="A32" s="926" t="s">
        <v>862</v>
      </c>
      <c r="B32" s="71"/>
      <c r="C32" s="72">
        <v>100</v>
      </c>
      <c r="D32" s="925"/>
      <c r="E32" s="925">
        <v>-7503269</v>
      </c>
      <c r="F32" s="95"/>
      <c r="G32" s="95">
        <v>7503269</v>
      </c>
      <c r="H32" s="95"/>
      <c r="I32" s="95"/>
      <c r="J32" s="17"/>
    </row>
    <row r="33" spans="1:10" ht="13" customHeight="1" x14ac:dyDescent="0.2">
      <c r="A33" s="926" t="s">
        <v>863</v>
      </c>
      <c r="B33" s="85"/>
      <c r="C33" s="75">
        <v>200</v>
      </c>
      <c r="D33" s="925"/>
      <c r="E33" s="925">
        <v>-673434</v>
      </c>
      <c r="F33" s="145"/>
      <c r="G33" s="145">
        <v>673434</v>
      </c>
      <c r="H33" s="145"/>
      <c r="I33" s="145"/>
      <c r="J33" s="17"/>
    </row>
    <row r="34" spans="1:10" ht="13" customHeight="1" x14ac:dyDescent="0.2">
      <c r="A34" s="926" t="s">
        <v>864</v>
      </c>
      <c r="B34" s="71"/>
      <c r="C34" s="72" t="s">
        <v>167</v>
      </c>
      <c r="D34" s="925"/>
      <c r="E34" s="925">
        <v>-105004</v>
      </c>
      <c r="F34" s="95"/>
      <c r="G34" s="95">
        <v>105004</v>
      </c>
      <c r="H34" s="95"/>
      <c r="I34" s="95"/>
      <c r="J34" s="17"/>
    </row>
    <row r="35" spans="1:10" ht="13" customHeight="1" x14ac:dyDescent="0.2">
      <c r="A35" s="928" t="s">
        <v>913</v>
      </c>
      <c r="B35" s="85"/>
      <c r="C35" s="75"/>
      <c r="D35" s="925"/>
      <c r="E35" s="925"/>
      <c r="F35" s="145"/>
      <c r="G35" s="145"/>
      <c r="H35" s="145"/>
      <c r="I35" s="145"/>
      <c r="J35" s="17"/>
    </row>
    <row r="36" spans="1:10" ht="12.75" customHeight="1" x14ac:dyDescent="0.2">
      <c r="A36" s="926" t="s">
        <v>995</v>
      </c>
      <c r="B36" s="71"/>
      <c r="C36" s="72">
        <v>100</v>
      </c>
      <c r="D36" s="925"/>
      <c r="E36" s="925"/>
      <c r="F36" s="95"/>
      <c r="G36" s="925">
        <v>-7503269</v>
      </c>
      <c r="H36" s="95">
        <v>7503269</v>
      </c>
      <c r="I36" s="95"/>
      <c r="J36" s="17"/>
    </row>
    <row r="37" spans="1:10" ht="12.75" customHeight="1" x14ac:dyDescent="0.2">
      <c r="A37" s="926"/>
      <c r="B37" s="85"/>
      <c r="C37" s="75">
        <v>200</v>
      </c>
      <c r="D37" s="925"/>
      <c r="E37" s="925"/>
      <c r="F37" s="145"/>
      <c r="G37" s="925">
        <v>-673434</v>
      </c>
      <c r="H37" s="145">
        <v>673434</v>
      </c>
      <c r="I37" s="145"/>
      <c r="J37" s="17"/>
    </row>
    <row r="38" spans="1:10" ht="12.75" customHeight="1" x14ac:dyDescent="0.2">
      <c r="A38" s="926"/>
      <c r="B38" s="71"/>
      <c r="C38" s="72" t="s">
        <v>167</v>
      </c>
      <c r="D38" s="925"/>
      <c r="E38" s="925"/>
      <c r="F38" s="95"/>
      <c r="G38" s="925">
        <v>-105004</v>
      </c>
      <c r="H38" s="95">
        <v>105004</v>
      </c>
      <c r="I38" s="95"/>
      <c r="J38" s="17"/>
    </row>
    <row r="39" spans="1:10" ht="12.75" customHeight="1" x14ac:dyDescent="0.2">
      <c r="A39" s="926"/>
      <c r="B39" s="85"/>
      <c r="C39" s="75"/>
      <c r="D39" s="925"/>
      <c r="E39" s="925"/>
      <c r="F39" s="145"/>
      <c r="G39" s="145"/>
      <c r="H39" s="145"/>
      <c r="I39" s="145"/>
      <c r="J39" s="17"/>
    </row>
    <row r="40" spans="1:10" ht="12.75" customHeight="1" x14ac:dyDescent="0.2">
      <c r="A40" s="926"/>
      <c r="B40" s="71"/>
      <c r="C40" s="72"/>
      <c r="D40" s="925"/>
      <c r="E40" s="925"/>
      <c r="F40" s="95"/>
      <c r="G40" s="95"/>
      <c r="H40" s="95"/>
      <c r="I40" s="95"/>
      <c r="J40" s="17"/>
    </row>
    <row r="41" spans="1:10" ht="12.75" customHeight="1" x14ac:dyDescent="0.2">
      <c r="A41" s="926"/>
      <c r="B41" s="85"/>
      <c r="C41" s="75"/>
      <c r="D41" s="925"/>
      <c r="E41" s="925"/>
      <c r="F41" s="145"/>
      <c r="G41" s="145"/>
      <c r="H41" s="145"/>
      <c r="I41" s="145"/>
      <c r="J41" s="17"/>
    </row>
    <row r="42" spans="1:10" ht="12.75" customHeight="1" x14ac:dyDescent="0.2">
      <c r="A42" s="926"/>
      <c r="B42" s="71"/>
      <c r="C42" s="72"/>
      <c r="D42" s="925"/>
      <c r="E42" s="925"/>
      <c r="F42" s="95"/>
      <c r="G42" s="95"/>
      <c r="H42" s="95"/>
      <c r="I42" s="95"/>
      <c r="J42" s="17"/>
    </row>
    <row r="43" spans="1:10" ht="12.75" customHeight="1" x14ac:dyDescent="0.2">
      <c r="A43" s="926"/>
      <c r="B43" s="85"/>
      <c r="C43" s="75"/>
      <c r="D43" s="925"/>
      <c r="E43" s="925"/>
      <c r="F43" s="145"/>
      <c r="G43" s="145"/>
      <c r="H43" s="145"/>
      <c r="I43" s="145"/>
      <c r="J43" s="17"/>
    </row>
    <row r="44" spans="1:10" ht="12.75" customHeight="1" x14ac:dyDescent="0.2">
      <c r="A44" s="926"/>
      <c r="B44" s="71"/>
      <c r="C44" s="72"/>
      <c r="D44" s="925"/>
      <c r="E44" s="925"/>
      <c r="F44" s="95"/>
      <c r="G44" s="95"/>
      <c r="H44" s="95"/>
      <c r="I44" s="95"/>
      <c r="J44" s="17"/>
    </row>
    <row r="45" spans="1:10" ht="12.75" customHeight="1" x14ac:dyDescent="0.2">
      <c r="A45" s="466"/>
      <c r="B45" s="466"/>
      <c r="C45" s="466"/>
      <c r="D45" s="466"/>
      <c r="E45" s="466"/>
      <c r="F45" s="465"/>
      <c r="G45" s="465"/>
      <c r="H45" s="465"/>
      <c r="I45" s="74"/>
      <c r="J45" s="17"/>
    </row>
    <row r="46" spans="1:10" ht="12.75" customHeight="1" x14ac:dyDescent="0.2">
      <c r="A46" s="461"/>
      <c r="B46" s="467"/>
      <c r="C46" s="468"/>
      <c r="D46" s="465"/>
      <c r="E46" s="465"/>
      <c r="F46" s="465"/>
      <c r="G46" s="465"/>
      <c r="H46" s="465"/>
      <c r="I46" s="74"/>
      <c r="J46" s="17"/>
    </row>
    <row r="47" spans="1:10" ht="12.75" customHeight="1" x14ac:dyDescent="0.2">
      <c r="A47" s="461"/>
      <c r="B47" s="467"/>
      <c r="C47" s="468"/>
      <c r="D47" s="465"/>
      <c r="E47" s="465"/>
      <c r="F47" s="465"/>
      <c r="G47" s="465"/>
      <c r="H47" s="465"/>
      <c r="I47" s="74"/>
    </row>
    <row r="48" spans="1:10" ht="12.75" customHeight="1" x14ac:dyDescent="0.2">
      <c r="A48" s="466"/>
      <c r="B48" s="466"/>
      <c r="C48" s="466"/>
      <c r="D48" s="469"/>
      <c r="E48" s="469"/>
      <c r="F48" s="469"/>
      <c r="G48" s="469"/>
      <c r="H48" s="469"/>
      <c r="I48" s="83"/>
    </row>
    <row r="49" spans="1:9" ht="12.75" customHeight="1" x14ac:dyDescent="0.2">
      <c r="A49" s="466"/>
      <c r="B49" s="466"/>
      <c r="C49" s="466"/>
      <c r="D49" s="466"/>
      <c r="E49" s="466"/>
      <c r="F49" s="466"/>
      <c r="G49" s="466"/>
      <c r="H49" s="466"/>
      <c r="I49" s="59"/>
    </row>
    <row r="50" spans="1:9" ht="12.75" customHeight="1" x14ac:dyDescent="0.2">
      <c r="A50" s="466"/>
      <c r="B50" s="466"/>
      <c r="C50" s="466"/>
      <c r="D50" s="466"/>
      <c r="E50" s="466"/>
      <c r="F50" s="466"/>
      <c r="G50" s="466"/>
      <c r="H50" s="466"/>
      <c r="I50" s="59"/>
    </row>
    <row r="51" spans="1:9" x14ac:dyDescent="0.2">
      <c r="A51" s="466"/>
      <c r="B51" s="466"/>
      <c r="C51" s="466"/>
      <c r="D51" s="466"/>
      <c r="E51" s="466"/>
      <c r="F51" s="466"/>
      <c r="G51" s="466"/>
      <c r="H51" s="466"/>
      <c r="I51" s="59"/>
    </row>
    <row r="52" spans="1:9" x14ac:dyDescent="0.2">
      <c r="A52" s="451"/>
      <c r="B52" s="451"/>
      <c r="C52" s="451"/>
      <c r="D52" s="451"/>
      <c r="E52" s="451"/>
      <c r="F52" s="451"/>
      <c r="G52" s="451"/>
      <c r="H52" s="451"/>
    </row>
    <row r="53" spans="1:9" x14ac:dyDescent="0.2">
      <c r="A53" s="451"/>
      <c r="B53" s="451"/>
      <c r="C53" s="451"/>
      <c r="D53" s="451"/>
      <c r="E53" s="451"/>
      <c r="F53" s="451"/>
      <c r="G53" s="451"/>
      <c r="H53" s="451"/>
    </row>
    <row r="54" spans="1:9" x14ac:dyDescent="0.2">
      <c r="A54" s="451"/>
      <c r="B54" s="451"/>
      <c r="C54" s="451"/>
      <c r="D54" s="451"/>
      <c r="E54" s="451"/>
      <c r="F54" s="451"/>
      <c r="G54" s="451"/>
      <c r="H54" s="451"/>
    </row>
    <row r="55" spans="1:9" x14ac:dyDescent="0.2">
      <c r="A55" s="451"/>
      <c r="B55" s="451"/>
      <c r="C55" s="451"/>
      <c r="D55" s="451"/>
      <c r="E55" s="451"/>
      <c r="F55" s="451"/>
      <c r="G55" s="451"/>
      <c r="H55" s="45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:A27">
    <cfRule type="expression" dxfId="182" priority="9">
      <formula>MOD(ROW(),2)=1</formula>
    </cfRule>
  </conditionalFormatting>
  <conditionalFormatting sqref="D26:E27">
    <cfRule type="expression" dxfId="181" priority="8">
      <formula>MOD(ROW(),2)=1</formula>
    </cfRule>
  </conditionalFormatting>
  <conditionalFormatting sqref="A28 A31:A44">
    <cfRule type="expression" dxfId="180" priority="5">
      <formula>MOD(ROW(),2)=1</formula>
    </cfRule>
  </conditionalFormatting>
  <conditionalFormatting sqref="D28:E28 D31:E44">
    <cfRule type="expression" dxfId="179" priority="4">
      <formula>MOD(ROW(),2)=1</formula>
    </cfRule>
  </conditionalFormatting>
  <conditionalFormatting sqref="A30">
    <cfRule type="expression" dxfId="178" priority="3">
      <formula>MOD(ROW(),2)=1</formula>
    </cfRule>
  </conditionalFormatting>
  <conditionalFormatting sqref="D30:E30">
    <cfRule type="expression" dxfId="177" priority="2">
      <formula>MOD(ROW(),2)=1</formula>
    </cfRule>
  </conditionalFormatting>
  <conditionalFormatting sqref="G36:G38">
    <cfRule type="expression" dxfId="176" priority="1">
      <formula>MOD(ROW(),2)=1</formula>
    </cfRule>
  </conditionalFormatting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theme="3"/>
  </sheetPr>
  <dimension ref="A1:K114"/>
  <sheetViews>
    <sheetView zoomScaleNormal="100" zoomScaleSheetLayoutView="90" workbookViewId="0">
      <selection activeCell="F44" sqref="F44"/>
    </sheetView>
  </sheetViews>
  <sheetFormatPr baseColWidth="10" defaultColWidth="9.1640625" defaultRowHeight="15" x14ac:dyDescent="0.2"/>
  <cols>
    <col min="1" max="1" width="37.5" style="7" customWidth="1"/>
    <col min="2" max="9" width="14.5" style="7" customWidth="1"/>
    <col min="10" max="11" width="9.1640625" style="7"/>
    <col min="12" max="12" width="39.5" style="7" bestFit="1" customWidth="1"/>
    <col min="13" max="17" width="9.1640625" style="7"/>
    <col min="18" max="18" width="10.5" style="7" bestFit="1" customWidth="1"/>
    <col min="19" max="20" width="9.1640625" style="7"/>
    <col min="21" max="21" width="10.5" style="7" bestFit="1" customWidth="1"/>
    <col min="22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35</v>
      </c>
      <c r="C6" s="963" t="s">
        <v>153</v>
      </c>
      <c r="D6" s="963"/>
      <c r="E6" s="963"/>
      <c r="F6" s="963"/>
      <c r="G6" s="963"/>
      <c r="H6" s="963"/>
      <c r="I6" s="963"/>
    </row>
    <row r="7" spans="1:11" ht="16" thickBot="1" x14ac:dyDescent="0.25">
      <c r="B7" s="510"/>
      <c r="C7" s="7" t="s">
        <v>883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f>1388768261-'35EB-Finance - Benefits'!N22-'35D-Finance Reg32'!B16-7531969</f>
        <v>7756138</v>
      </c>
      <c r="C9" s="34">
        <v>9084313</v>
      </c>
      <c r="D9" s="227">
        <f>+C9+D41+D46+D47+D48+D50+D51</f>
        <v>9266821</v>
      </c>
      <c r="E9" s="115">
        <f>+D9+E55+E56+E59+E62+E46+E47+E48+E67+E50+E51</f>
        <v>10312396</v>
      </c>
      <c r="F9" s="411">
        <f>+E9+F56+F67</f>
        <v>10351275</v>
      </c>
      <c r="G9" s="34">
        <f>+F9+G56+G62+G72</f>
        <v>10325475</v>
      </c>
      <c r="H9" s="227">
        <f>+G9+H56+H72</f>
        <v>11988548</v>
      </c>
      <c r="I9" s="51">
        <f>+H9+I56</f>
        <v>12090664</v>
      </c>
      <c r="K9" s="7">
        <v>100</v>
      </c>
    </row>
    <row r="10" spans="1:11" x14ac:dyDescent="0.2">
      <c r="A10" s="10" t="s">
        <v>5</v>
      </c>
      <c r="B10" s="36">
        <f>430623+48630+252819+1935952+160000+1</f>
        <v>2828025</v>
      </c>
      <c r="C10" s="36">
        <v>3029912</v>
      </c>
      <c r="D10" s="230">
        <f>+C10+D42+D43</f>
        <v>3284912</v>
      </c>
      <c r="E10" s="550">
        <f>+D10+E42+E57+E60+E63</f>
        <v>2626660</v>
      </c>
      <c r="F10" s="548">
        <f t="shared" ref="F10:I11" si="0">+E10</f>
        <v>2626660</v>
      </c>
      <c r="G10" s="36">
        <f>+F10+G57+G63+G73</f>
        <v>2473060</v>
      </c>
      <c r="H10" s="230">
        <f>+G10+H57+H73</f>
        <v>3169912</v>
      </c>
      <c r="I10" s="37">
        <f t="shared" si="0"/>
        <v>3169912</v>
      </c>
      <c r="K10" s="7">
        <v>200</v>
      </c>
    </row>
    <row r="11" spans="1:11" x14ac:dyDescent="0.2">
      <c r="A11" s="9" t="s">
        <v>6</v>
      </c>
      <c r="B11" s="34">
        <f>51637+22342+1</f>
        <v>73980</v>
      </c>
      <c r="C11" s="34">
        <v>103109</v>
      </c>
      <c r="D11" s="227">
        <f t="shared" ref="D11" si="1">+C11</f>
        <v>103109</v>
      </c>
      <c r="E11" s="115">
        <f>+D11+E64+E65</f>
        <v>35616</v>
      </c>
      <c r="F11" s="411">
        <f t="shared" si="0"/>
        <v>35616</v>
      </c>
      <c r="G11" s="34">
        <f>+F11+G64+G65+G74+G75</f>
        <v>35616</v>
      </c>
      <c r="H11" s="227">
        <f>+G11+H74+H75</f>
        <v>103109</v>
      </c>
      <c r="I11" s="35">
        <f t="shared" si="0"/>
        <v>103109</v>
      </c>
      <c r="K11" s="7" t="s">
        <v>167</v>
      </c>
    </row>
    <row r="12" spans="1:11" x14ac:dyDescent="0.2">
      <c r="A12" s="10" t="s">
        <v>7</v>
      </c>
      <c r="B12" s="36">
        <f>6568563+0-37500</f>
        <v>6531063</v>
      </c>
      <c r="C12" s="36">
        <v>4725000</v>
      </c>
      <c r="D12" s="230">
        <f>+C12+D40</f>
        <v>4975000</v>
      </c>
      <c r="E12" s="550">
        <f>+D12+E26+E29+E30+E31+E32+E33+E34+E35+E37+E40+E58+E68+E71</f>
        <v>1250000</v>
      </c>
      <c r="F12" s="548">
        <f>+E12+F22+F23+F68</f>
        <v>950000</v>
      </c>
      <c r="G12" s="36">
        <f>+F12+G22+G23</f>
        <v>1900000</v>
      </c>
      <c r="H12" s="228">
        <f>+G12+H28</f>
        <v>2400000</v>
      </c>
      <c r="I12" s="50">
        <f>+H12</f>
        <v>2400000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>+C13</f>
        <v>0</v>
      </c>
      <c r="E13" s="115">
        <f>+D13</f>
        <v>0</v>
      </c>
      <c r="F13" s="411">
        <f>+E13</f>
        <v>0</v>
      </c>
      <c r="G13" s="34">
        <f>+F13</f>
        <v>0</v>
      </c>
      <c r="H13" s="227">
        <f>+G13</f>
        <v>0</v>
      </c>
      <c r="I13" s="35">
        <f>+H13</f>
        <v>0</v>
      </c>
      <c r="K13" s="7">
        <v>700</v>
      </c>
    </row>
    <row r="14" spans="1:11" x14ac:dyDescent="0.2">
      <c r="A14" s="10" t="s">
        <v>9</v>
      </c>
      <c r="B14" s="36">
        <f>121259704+19934100</f>
        <v>141193804</v>
      </c>
      <c r="C14" s="36">
        <v>28285000</v>
      </c>
      <c r="D14" s="230">
        <f>C14+D44</f>
        <v>33285000</v>
      </c>
      <c r="E14" s="550">
        <f>+D14+E25+E36+E38+E44+E66+E70</f>
        <v>24500000</v>
      </c>
      <c r="F14" s="548">
        <f>+E14+F38+F66+F70</f>
        <v>14110000</v>
      </c>
      <c r="G14" s="36">
        <f>+F14+G38</f>
        <v>16022000</v>
      </c>
      <c r="H14" s="230">
        <f>+G14+H38</f>
        <v>22458000</v>
      </c>
      <c r="I14" s="37">
        <f>+H14+I53</f>
        <v>21201000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>+C15+D45+D49</f>
        <v>0</v>
      </c>
      <c r="E15" s="551">
        <f>+D15+E45+E49</f>
        <v>0</v>
      </c>
      <c r="F15" s="549">
        <f>+E15+F54</f>
        <v>0</v>
      </c>
      <c r="G15" s="38">
        <f>+F15+G54</f>
        <v>0</v>
      </c>
      <c r="H15" s="231">
        <f>+G15+H54</f>
        <v>0</v>
      </c>
      <c r="I15" s="39">
        <f>+H15+I54</f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158383010</v>
      </c>
      <c r="C16" s="40">
        <f t="shared" ref="C16:I16" si="2">SUM(C9:C15)</f>
        <v>45227334</v>
      </c>
      <c r="D16" s="40">
        <f t="shared" si="2"/>
        <v>50914842</v>
      </c>
      <c r="E16" s="573">
        <f t="shared" si="2"/>
        <v>38724672</v>
      </c>
      <c r="F16" s="40">
        <f t="shared" si="2"/>
        <v>28073551</v>
      </c>
      <c r="G16" s="40">
        <f t="shared" si="2"/>
        <v>30756151</v>
      </c>
      <c r="H16" s="40">
        <f t="shared" si="2"/>
        <v>40119569</v>
      </c>
      <c r="I16" s="40">
        <f t="shared" si="2"/>
        <v>38964685</v>
      </c>
    </row>
    <row r="17" spans="1:10" x14ac:dyDescent="0.2">
      <c r="A17" s="97" t="s">
        <v>304</v>
      </c>
      <c r="F17" s="213"/>
      <c r="G17" s="213"/>
      <c r="H17" s="213"/>
      <c r="I17" s="213"/>
    </row>
    <row r="18" spans="1:10" x14ac:dyDescent="0.2">
      <c r="E18" s="415">
        <f>+E16-D16</f>
        <v>-12190170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4"/>
      <c r="F20" s="74"/>
      <c r="G20" s="74"/>
      <c r="H20" s="74"/>
      <c r="I20" s="74"/>
    </row>
    <row r="21" spans="1:10" ht="13" customHeight="1" x14ac:dyDescent="0.2">
      <c r="A21" s="454" t="s">
        <v>250</v>
      </c>
      <c r="B21" s="503"/>
      <c r="C21" s="503"/>
      <c r="D21" s="504"/>
      <c r="E21" s="502"/>
      <c r="F21" s="502"/>
      <c r="G21" s="502"/>
      <c r="H21" s="146"/>
      <c r="I21" s="145"/>
      <c r="J21" s="17"/>
    </row>
    <row r="22" spans="1:10" ht="13" customHeight="1" x14ac:dyDescent="0.2">
      <c r="A22" s="125" t="s">
        <v>281</v>
      </c>
      <c r="B22" s="328"/>
      <c r="C22" s="328">
        <v>500</v>
      </c>
      <c r="D22" s="713"/>
      <c r="E22" s="327">
        <v>0</v>
      </c>
      <c r="F22" s="327">
        <v>-1250000</v>
      </c>
      <c r="G22" s="327">
        <v>1250000</v>
      </c>
      <c r="H22" s="207"/>
      <c r="I22" s="95"/>
      <c r="J22" s="17"/>
    </row>
    <row r="23" spans="1:10" ht="13" customHeight="1" x14ac:dyDescent="0.2">
      <c r="A23" s="503" t="s">
        <v>261</v>
      </c>
      <c r="B23" s="503"/>
      <c r="C23" s="503">
        <v>500</v>
      </c>
      <c r="D23" s="203"/>
      <c r="E23" s="502"/>
      <c r="F23" s="502">
        <v>300000</v>
      </c>
      <c r="G23" s="502">
        <v>-300000</v>
      </c>
      <c r="H23" s="203"/>
      <c r="I23" s="145"/>
      <c r="J23" s="17"/>
    </row>
    <row r="24" spans="1:10" ht="13" customHeight="1" x14ac:dyDescent="0.2">
      <c r="A24" s="949" t="s">
        <v>453</v>
      </c>
      <c r="B24" s="207"/>
      <c r="C24" s="348"/>
      <c r="D24" s="327"/>
      <c r="E24" s="207"/>
      <c r="F24" s="207"/>
      <c r="G24" s="207"/>
      <c r="H24" s="207"/>
      <c r="I24" s="95"/>
      <c r="J24" s="17"/>
    </row>
    <row r="25" spans="1:10" ht="13" customHeight="1" x14ac:dyDescent="0.2">
      <c r="A25" s="503" t="s">
        <v>721</v>
      </c>
      <c r="B25" s="203"/>
      <c r="C25" s="501">
        <v>800</v>
      </c>
      <c r="D25" s="502"/>
      <c r="E25" s="502">
        <v>-10000000</v>
      </c>
      <c r="F25" s="203"/>
      <c r="G25" s="203"/>
      <c r="H25" s="203"/>
      <c r="I25" s="145"/>
      <c r="J25" s="17"/>
    </row>
    <row r="26" spans="1:10" ht="12.75" customHeight="1" x14ac:dyDescent="0.2">
      <c r="A26" s="328" t="s">
        <v>454</v>
      </c>
      <c r="B26" s="207"/>
      <c r="C26" s="328">
        <v>500</v>
      </c>
      <c r="D26" s="207"/>
      <c r="E26" s="327">
        <v>-60000</v>
      </c>
      <c r="F26" s="327"/>
      <c r="G26" s="327"/>
      <c r="H26" s="207"/>
      <c r="I26" s="95"/>
    </row>
    <row r="27" spans="1:10" ht="12.75" customHeight="1" x14ac:dyDescent="0.2">
      <c r="A27" s="701" t="s">
        <v>404</v>
      </c>
      <c r="B27" s="203"/>
      <c r="C27" s="503"/>
      <c r="D27" s="203"/>
      <c r="E27" s="502"/>
      <c r="F27" s="502"/>
      <c r="G27" s="502"/>
      <c r="H27" s="203"/>
      <c r="I27" s="145"/>
    </row>
    <row r="28" spans="1:10" ht="12.75" customHeight="1" x14ac:dyDescent="0.2">
      <c r="A28" s="328" t="s">
        <v>378</v>
      </c>
      <c r="B28" s="328"/>
      <c r="C28" s="328">
        <v>500</v>
      </c>
      <c r="D28" s="327"/>
      <c r="E28" s="327"/>
      <c r="F28" s="327"/>
      <c r="G28" s="327"/>
      <c r="H28" s="327">
        <v>500000</v>
      </c>
      <c r="I28" s="95"/>
    </row>
    <row r="29" spans="1:10" ht="12.75" customHeight="1" x14ac:dyDescent="0.2">
      <c r="A29" s="308" t="s">
        <v>413</v>
      </c>
      <c r="B29" s="203"/>
      <c r="C29" s="503">
        <v>500</v>
      </c>
      <c r="D29" s="502"/>
      <c r="E29" s="502">
        <v>-400000</v>
      </c>
      <c r="F29" s="502"/>
      <c r="G29" s="203"/>
      <c r="H29" s="203"/>
      <c r="I29" s="203"/>
    </row>
    <row r="30" spans="1:10" ht="12.75" customHeight="1" x14ac:dyDescent="0.2">
      <c r="A30" s="306" t="s">
        <v>414</v>
      </c>
      <c r="B30" s="207"/>
      <c r="C30" s="328">
        <v>500</v>
      </c>
      <c r="D30" s="327"/>
      <c r="E30" s="327">
        <v>-50000</v>
      </c>
      <c r="F30" s="327"/>
      <c r="G30" s="327"/>
      <c r="H30" s="207"/>
      <c r="I30" s="207"/>
    </row>
    <row r="31" spans="1:10" ht="12.75" customHeight="1" x14ac:dyDescent="0.2">
      <c r="A31" s="308" t="s">
        <v>424</v>
      </c>
      <c r="B31" s="203"/>
      <c r="C31" s="503">
        <v>500</v>
      </c>
      <c r="D31" s="502"/>
      <c r="E31" s="502">
        <v>-100000</v>
      </c>
      <c r="F31" s="502"/>
      <c r="G31" s="203"/>
      <c r="H31" s="203"/>
      <c r="I31" s="203"/>
    </row>
    <row r="32" spans="1:10" ht="12.75" customHeight="1" x14ac:dyDescent="0.2">
      <c r="A32" s="306" t="s">
        <v>425</v>
      </c>
      <c r="B32" s="207"/>
      <c r="C32" s="328">
        <v>500</v>
      </c>
      <c r="D32" s="327"/>
      <c r="E32" s="327">
        <v>-30000</v>
      </c>
      <c r="F32" s="327"/>
      <c r="G32" s="207"/>
      <c r="H32" s="327"/>
      <c r="I32" s="327"/>
    </row>
    <row r="33" spans="1:9" ht="12.75" customHeight="1" x14ac:dyDescent="0.2">
      <c r="A33" s="308" t="s">
        <v>426</v>
      </c>
      <c r="B33" s="203"/>
      <c r="C33" s="503">
        <v>500</v>
      </c>
      <c r="D33" s="502"/>
      <c r="E33" s="502">
        <v>-350000</v>
      </c>
      <c r="F33" s="502"/>
      <c r="G33" s="203"/>
      <c r="H33" s="203"/>
      <c r="I33" s="203"/>
    </row>
    <row r="34" spans="1:9" ht="12.75" customHeight="1" x14ac:dyDescent="0.2">
      <c r="A34" s="306" t="s">
        <v>427</v>
      </c>
      <c r="B34" s="207"/>
      <c r="C34" s="328">
        <v>500</v>
      </c>
      <c r="D34" s="327"/>
      <c r="E34" s="327">
        <v>-100000</v>
      </c>
      <c r="F34" s="327"/>
      <c r="G34" s="207"/>
      <c r="H34" s="207"/>
      <c r="I34" s="207"/>
    </row>
    <row r="35" spans="1:9" ht="12.75" customHeight="1" x14ac:dyDescent="0.2">
      <c r="A35" s="503" t="s">
        <v>428</v>
      </c>
      <c r="B35" s="203"/>
      <c r="C35" s="503">
        <v>500</v>
      </c>
      <c r="D35" s="203"/>
      <c r="E35" s="502">
        <v>-75000</v>
      </c>
      <c r="F35" s="502"/>
      <c r="G35" s="203"/>
      <c r="H35" s="203"/>
      <c r="I35" s="203"/>
    </row>
    <row r="36" spans="1:9" ht="12.75" customHeight="1" x14ac:dyDescent="0.2">
      <c r="A36" s="328" t="s">
        <v>429</v>
      </c>
      <c r="B36" s="207"/>
      <c r="C36" s="328">
        <v>800</v>
      </c>
      <c r="D36" s="207"/>
      <c r="E36" s="327">
        <v>-500000</v>
      </c>
      <c r="F36" s="327"/>
      <c r="G36" s="207"/>
      <c r="H36" s="207"/>
      <c r="I36" s="207"/>
    </row>
    <row r="37" spans="1:9" ht="12.75" customHeight="1" x14ac:dyDescent="0.2">
      <c r="A37" s="308" t="s">
        <v>430</v>
      </c>
      <c r="B37" s="203"/>
      <c r="C37" s="503">
        <v>500</v>
      </c>
      <c r="D37" s="502"/>
      <c r="E37" s="502">
        <v>-50000</v>
      </c>
      <c r="F37" s="502"/>
      <c r="G37" s="203"/>
      <c r="H37" s="203"/>
      <c r="I37" s="203"/>
    </row>
    <row r="38" spans="1:9" ht="12.75" customHeight="1" x14ac:dyDescent="0.2">
      <c r="A38" s="400" t="s">
        <v>455</v>
      </c>
      <c r="B38" s="221"/>
      <c r="C38" s="400">
        <v>800</v>
      </c>
      <c r="D38" s="221"/>
      <c r="E38" s="121">
        <f>-717000-2445000+6520000</f>
        <v>3358000</v>
      </c>
      <c r="F38" s="121">
        <f>-858000-75000-6100000</f>
        <v>-7033000</v>
      </c>
      <c r="G38" s="121">
        <f>1226000+415000+271000</f>
        <v>1912000</v>
      </c>
      <c r="H38" s="121">
        <f>7037000-601000</f>
        <v>6436000</v>
      </c>
      <c r="I38" s="121"/>
    </row>
    <row r="39" spans="1:9" ht="12.75" customHeight="1" x14ac:dyDescent="0.2">
      <c r="A39" s="822" t="s">
        <v>494</v>
      </c>
      <c r="B39" s="203"/>
      <c r="C39" s="503"/>
      <c r="D39" s="203"/>
      <c r="E39" s="502"/>
      <c r="F39" s="203"/>
      <c r="G39" s="203"/>
      <c r="H39" s="203"/>
      <c r="I39" s="203"/>
    </row>
    <row r="40" spans="1:9" ht="12.75" customHeight="1" x14ac:dyDescent="0.2">
      <c r="A40" s="328" t="s">
        <v>519</v>
      </c>
      <c r="B40" s="207"/>
      <c r="C40" s="328">
        <v>500</v>
      </c>
      <c r="D40" s="327">
        <v>250000</v>
      </c>
      <c r="E40" s="327">
        <v>-250000</v>
      </c>
      <c r="F40" s="327"/>
      <c r="G40" s="207"/>
      <c r="H40" s="207"/>
      <c r="I40" s="207"/>
    </row>
    <row r="41" spans="1:9" ht="12.75" customHeight="1" x14ac:dyDescent="0.2">
      <c r="A41" s="503" t="s">
        <v>501</v>
      </c>
      <c r="B41" s="203"/>
      <c r="C41" s="503">
        <v>100</v>
      </c>
      <c r="D41" s="502">
        <v>132154</v>
      </c>
      <c r="E41" s="502"/>
      <c r="F41" s="502"/>
      <c r="G41" s="203"/>
      <c r="H41" s="203"/>
      <c r="I41" s="203"/>
    </row>
    <row r="42" spans="1:9" ht="12.75" customHeight="1" x14ac:dyDescent="0.2">
      <c r="A42" s="306" t="s">
        <v>518</v>
      </c>
      <c r="B42" s="207"/>
      <c r="C42" s="328">
        <v>200</v>
      </c>
      <c r="D42" s="327">
        <v>165000</v>
      </c>
      <c r="E42" s="327">
        <v>-165000</v>
      </c>
      <c r="F42" s="327"/>
      <c r="G42" s="327"/>
      <c r="H42" s="207"/>
      <c r="I42" s="207"/>
    </row>
    <row r="43" spans="1:9" ht="12.75" customHeight="1" x14ac:dyDescent="0.2">
      <c r="A43" s="308" t="s">
        <v>540</v>
      </c>
      <c r="B43" s="203"/>
      <c r="C43" s="503">
        <v>200</v>
      </c>
      <c r="D43" s="502">
        <v>90000</v>
      </c>
      <c r="E43" s="502"/>
      <c r="F43" s="502"/>
      <c r="G43" s="203"/>
      <c r="H43" s="203"/>
      <c r="I43" s="203"/>
    </row>
    <row r="44" spans="1:9" ht="12.75" customHeight="1" x14ac:dyDescent="0.2">
      <c r="A44" s="306" t="s">
        <v>543</v>
      </c>
      <c r="B44" s="207"/>
      <c r="C44" s="328">
        <v>800</v>
      </c>
      <c r="D44" s="327">
        <v>5000000</v>
      </c>
      <c r="E44" s="327">
        <v>-5000000</v>
      </c>
      <c r="F44" s="327"/>
      <c r="G44" s="207"/>
      <c r="H44" s="327"/>
      <c r="I44" s="327"/>
    </row>
    <row r="45" spans="1:9" ht="12.75" customHeight="1" x14ac:dyDescent="0.2">
      <c r="A45" s="308" t="s">
        <v>607</v>
      </c>
      <c r="B45" s="203"/>
      <c r="C45" s="503">
        <v>900</v>
      </c>
      <c r="D45" s="502">
        <v>25000000</v>
      </c>
      <c r="E45" s="502">
        <v>-25000000</v>
      </c>
      <c r="F45" s="502"/>
      <c r="G45" s="203"/>
      <c r="H45" s="203"/>
      <c r="I45" s="203"/>
    </row>
    <row r="46" spans="1:9" ht="12.75" customHeight="1" x14ac:dyDescent="0.2">
      <c r="A46" s="306" t="s">
        <v>826</v>
      </c>
      <c r="B46" s="207"/>
      <c r="C46" s="328">
        <v>100</v>
      </c>
      <c r="D46" s="327">
        <v>4295</v>
      </c>
      <c r="E46" s="327">
        <v>25807</v>
      </c>
      <c r="F46" s="327"/>
      <c r="G46" s="207"/>
      <c r="H46" s="327"/>
      <c r="I46" s="327"/>
    </row>
    <row r="47" spans="1:9" ht="12.75" customHeight="1" x14ac:dyDescent="0.2">
      <c r="A47" s="308" t="s">
        <v>902</v>
      </c>
      <c r="B47" s="203"/>
      <c r="C47" s="503">
        <v>100</v>
      </c>
      <c r="D47" s="502">
        <v>12450</v>
      </c>
      <c r="E47" s="502">
        <v>-12450</v>
      </c>
      <c r="F47" s="502"/>
      <c r="G47" s="203"/>
      <c r="H47" s="203"/>
      <c r="I47" s="203"/>
    </row>
    <row r="48" spans="1:9" ht="12.75" customHeight="1" x14ac:dyDescent="0.2">
      <c r="A48" s="306" t="s">
        <v>834</v>
      </c>
      <c r="B48" s="207"/>
      <c r="C48" s="328">
        <v>100</v>
      </c>
      <c r="D48" s="327">
        <v>8666</v>
      </c>
      <c r="E48" s="327">
        <v>51993</v>
      </c>
      <c r="F48" s="327"/>
      <c r="G48" s="207"/>
      <c r="H48" s="327"/>
      <c r="I48" s="327"/>
    </row>
    <row r="49" spans="1:9" ht="12.75" customHeight="1" x14ac:dyDescent="0.2">
      <c r="A49" s="308" t="s">
        <v>846</v>
      </c>
      <c r="B49" s="203"/>
      <c r="C49" s="503">
        <v>900</v>
      </c>
      <c r="D49" s="502">
        <v>-25000000</v>
      </c>
      <c r="E49" s="502">
        <v>25000000</v>
      </c>
      <c r="F49" s="502"/>
      <c r="G49" s="203"/>
      <c r="H49" s="203"/>
      <c r="I49" s="203"/>
    </row>
    <row r="50" spans="1:9" ht="12.75" customHeight="1" x14ac:dyDescent="0.2">
      <c r="A50" s="306" t="s">
        <v>951</v>
      </c>
      <c r="B50" s="207"/>
      <c r="C50" s="328">
        <v>100</v>
      </c>
      <c r="D50" s="327">
        <v>5593</v>
      </c>
      <c r="E50" s="327">
        <v>27965</v>
      </c>
      <c r="F50" s="327"/>
      <c r="G50" s="207"/>
      <c r="H50" s="327"/>
      <c r="I50" s="327"/>
    </row>
    <row r="51" spans="1:9" ht="12.75" customHeight="1" x14ac:dyDescent="0.2">
      <c r="A51" s="308" t="s">
        <v>936</v>
      </c>
      <c r="B51" s="203"/>
      <c r="C51" s="503">
        <v>100</v>
      </c>
      <c r="D51" s="502">
        <v>19350</v>
      </c>
      <c r="E51" s="502">
        <v>-19350</v>
      </c>
      <c r="F51" s="502"/>
      <c r="G51" s="203"/>
      <c r="H51" s="203"/>
      <c r="I51" s="203"/>
    </row>
    <row r="52" spans="1:9" ht="12.75" customHeight="1" x14ac:dyDescent="0.2">
      <c r="A52" s="881" t="s">
        <v>625</v>
      </c>
      <c r="B52" s="207"/>
      <c r="C52" s="328"/>
      <c r="D52" s="327"/>
      <c r="E52" s="327"/>
      <c r="F52" s="327"/>
      <c r="G52" s="207"/>
      <c r="H52" s="327"/>
      <c r="I52" s="327"/>
    </row>
    <row r="53" spans="1:9" ht="12.75" customHeight="1" x14ac:dyDescent="0.2">
      <c r="A53" s="308" t="s">
        <v>599</v>
      </c>
      <c r="B53" s="203"/>
      <c r="C53" s="503">
        <v>800</v>
      </c>
      <c r="D53" s="502"/>
      <c r="E53" s="502"/>
      <c r="F53" s="502"/>
      <c r="G53" s="502"/>
      <c r="H53" s="502"/>
      <c r="I53" s="502">
        <v>-1257000</v>
      </c>
    </row>
    <row r="54" spans="1:9" ht="12.75" customHeight="1" x14ac:dyDescent="0.2">
      <c r="A54" s="306" t="s">
        <v>685</v>
      </c>
      <c r="B54" s="207"/>
      <c r="C54" s="328">
        <v>900</v>
      </c>
      <c r="D54" s="327"/>
      <c r="E54" s="327"/>
      <c r="F54" s="327"/>
      <c r="G54" s="327"/>
      <c r="H54" s="327"/>
      <c r="I54" s="327"/>
    </row>
    <row r="55" spans="1:9" ht="12.75" customHeight="1" x14ac:dyDescent="0.2">
      <c r="A55" s="308" t="s">
        <v>684</v>
      </c>
      <c r="B55" s="203"/>
      <c r="C55" s="503">
        <v>100</v>
      </c>
      <c r="D55" s="502"/>
      <c r="E55" s="502">
        <v>60000</v>
      </c>
      <c r="F55" s="502"/>
      <c r="G55" s="502"/>
      <c r="H55" s="502"/>
      <c r="I55" s="502"/>
    </row>
    <row r="56" spans="1:9" ht="12.75" customHeight="1" x14ac:dyDescent="0.2">
      <c r="A56" s="306" t="s">
        <v>701</v>
      </c>
      <c r="B56" s="207"/>
      <c r="C56" s="328">
        <v>100</v>
      </c>
      <c r="D56" s="327"/>
      <c r="E56" s="327">
        <v>2492012</v>
      </c>
      <c r="F56" s="327">
        <f>2415988-E56</f>
        <v>-76024</v>
      </c>
      <c r="G56" s="327">
        <f>2390188-F56-E56</f>
        <v>-25800</v>
      </c>
      <c r="H56" s="327">
        <f>2489330-G56-F56-E56</f>
        <v>99142</v>
      </c>
      <c r="I56" s="327">
        <f>2591446-H56-G56-F56-E56</f>
        <v>102116</v>
      </c>
    </row>
    <row r="57" spans="1:9" ht="12.75" customHeight="1" x14ac:dyDescent="0.2">
      <c r="A57" s="308" t="s">
        <v>642</v>
      </c>
      <c r="B57" s="203"/>
      <c r="C57" s="503">
        <v>200</v>
      </c>
      <c r="D57" s="502"/>
      <c r="E57" s="502">
        <v>192000</v>
      </c>
      <c r="F57" s="502"/>
      <c r="G57" s="502">
        <f>38400-F57-E57</f>
        <v>-153600</v>
      </c>
      <c r="H57" s="502">
        <f>-192000+153600</f>
        <v>-38400</v>
      </c>
      <c r="I57" s="502"/>
    </row>
    <row r="58" spans="1:9" ht="12.75" customHeight="1" x14ac:dyDescent="0.2">
      <c r="A58" s="306" t="s">
        <v>643</v>
      </c>
      <c r="B58" s="207"/>
      <c r="C58" s="328">
        <v>500</v>
      </c>
      <c r="D58" s="327"/>
      <c r="E58" s="327">
        <v>85000</v>
      </c>
      <c r="F58" s="327"/>
      <c r="G58" s="327"/>
      <c r="H58" s="327"/>
      <c r="I58" s="327"/>
    </row>
    <row r="59" spans="1:9" ht="12.75" customHeight="1" x14ac:dyDescent="0.2">
      <c r="A59" s="308" t="s">
        <v>698</v>
      </c>
      <c r="B59" s="203"/>
      <c r="C59" s="503">
        <v>100</v>
      </c>
      <c r="D59" s="502"/>
      <c r="E59" s="502">
        <v>98432</v>
      </c>
      <c r="F59" s="502"/>
      <c r="G59" s="502"/>
      <c r="H59" s="502"/>
      <c r="I59" s="502"/>
    </row>
    <row r="60" spans="1:9" ht="12.75" customHeight="1" x14ac:dyDescent="0.2">
      <c r="A60" s="306"/>
      <c r="B60" s="207"/>
      <c r="C60" s="328">
        <v>200</v>
      </c>
      <c r="D60" s="327"/>
      <c r="E60" s="327">
        <v>50000</v>
      </c>
      <c r="F60" s="327"/>
      <c r="G60" s="327"/>
      <c r="H60" s="327"/>
      <c r="I60" s="327"/>
    </row>
    <row r="61" spans="1:9" ht="12.75" customHeight="1" x14ac:dyDescent="0.2">
      <c r="A61" s="323" t="s">
        <v>748</v>
      </c>
      <c r="B61" s="203"/>
      <c r="C61" s="503"/>
      <c r="D61" s="502"/>
      <c r="E61" s="502"/>
      <c r="F61" s="502"/>
      <c r="G61" s="203"/>
      <c r="H61" s="203"/>
      <c r="I61" s="203"/>
    </row>
    <row r="62" spans="1:9" ht="12.75" customHeight="1" x14ac:dyDescent="0.2">
      <c r="A62" s="306" t="s">
        <v>782</v>
      </c>
      <c r="B62" s="207"/>
      <c r="C62" s="328">
        <v>100</v>
      </c>
      <c r="D62" s="327"/>
      <c r="E62" s="327">
        <f>-1528315-35616</f>
        <v>-1563931</v>
      </c>
      <c r="F62" s="327"/>
      <c r="G62" s="327">
        <v>1563931</v>
      </c>
      <c r="H62" s="327"/>
      <c r="I62" s="327"/>
    </row>
    <row r="63" spans="1:9" ht="12.75" customHeight="1" x14ac:dyDescent="0.2">
      <c r="A63" s="308" t="s">
        <v>781</v>
      </c>
      <c r="B63" s="203"/>
      <c r="C63" s="503">
        <v>200</v>
      </c>
      <c r="D63" s="502"/>
      <c r="E63" s="502">
        <v>-735252</v>
      </c>
      <c r="F63" s="502"/>
      <c r="G63" s="502">
        <v>735252</v>
      </c>
      <c r="H63" s="502"/>
      <c r="I63" s="502"/>
    </row>
    <row r="64" spans="1:9" ht="12.75" customHeight="1" x14ac:dyDescent="0.2">
      <c r="A64" s="306" t="s">
        <v>783</v>
      </c>
      <c r="B64" s="207"/>
      <c r="C64" s="289" t="s">
        <v>167</v>
      </c>
      <c r="D64" s="327"/>
      <c r="E64" s="327">
        <f>-57493</f>
        <v>-57493</v>
      </c>
      <c r="F64" s="327"/>
      <c r="G64" s="327">
        <v>57493</v>
      </c>
      <c r="H64" s="327"/>
      <c r="I64" s="327"/>
    </row>
    <row r="65" spans="1:9" ht="12.75" customHeight="1" x14ac:dyDescent="0.2">
      <c r="A65" s="308" t="s">
        <v>784</v>
      </c>
      <c r="B65" s="203"/>
      <c r="C65" s="142" t="s">
        <v>167</v>
      </c>
      <c r="D65" s="502"/>
      <c r="E65" s="502">
        <v>-10000</v>
      </c>
      <c r="F65" s="502"/>
      <c r="G65" s="502">
        <v>10000</v>
      </c>
      <c r="H65" s="502"/>
      <c r="I65" s="502"/>
    </row>
    <row r="66" spans="1:9" ht="12.75" customHeight="1" x14ac:dyDescent="0.2">
      <c r="A66" s="306" t="s">
        <v>785</v>
      </c>
      <c r="B66" s="207"/>
      <c r="C66" s="328">
        <v>800</v>
      </c>
      <c r="D66" s="327"/>
      <c r="E66" s="327">
        <v>-16643000</v>
      </c>
      <c r="F66" s="327">
        <v>16643000</v>
      </c>
      <c r="G66" s="327"/>
      <c r="H66" s="327"/>
      <c r="I66" s="327"/>
    </row>
    <row r="67" spans="1:9" ht="12.75" customHeight="1" x14ac:dyDescent="0.2">
      <c r="A67" s="308" t="s">
        <v>906</v>
      </c>
      <c r="B67" s="203"/>
      <c r="C67" s="503">
        <v>100</v>
      </c>
      <c r="D67" s="502"/>
      <c r="E67" s="502">
        <v>-114903</v>
      </c>
      <c r="F67" s="502">
        <v>114903</v>
      </c>
      <c r="G67" s="502"/>
      <c r="H67" s="502"/>
      <c r="I67" s="502"/>
    </row>
    <row r="68" spans="1:9" ht="12.75" customHeight="1" x14ac:dyDescent="0.2">
      <c r="A68" s="306" t="s">
        <v>865</v>
      </c>
      <c r="B68" s="207"/>
      <c r="C68" s="328">
        <v>500</v>
      </c>
      <c r="D68" s="327"/>
      <c r="E68" s="327">
        <v>-2645000</v>
      </c>
      <c r="F68" s="327">
        <v>650000</v>
      </c>
      <c r="G68" s="327"/>
      <c r="H68" s="327"/>
      <c r="I68" s="327"/>
    </row>
    <row r="69" spans="1:9" ht="12.75" customHeight="1" x14ac:dyDescent="0.2">
      <c r="A69" s="323" t="s">
        <v>913</v>
      </c>
      <c r="B69" s="203"/>
      <c r="C69" s="503"/>
      <c r="D69" s="502"/>
      <c r="E69" s="502"/>
      <c r="F69" s="502"/>
      <c r="G69" s="502"/>
      <c r="H69" s="502"/>
      <c r="I69" s="502"/>
    </row>
    <row r="70" spans="1:9" ht="12.75" customHeight="1" x14ac:dyDescent="0.2">
      <c r="A70" s="306" t="s">
        <v>976</v>
      </c>
      <c r="B70" s="207"/>
      <c r="C70" s="328">
        <v>800</v>
      </c>
      <c r="D70" s="327"/>
      <c r="E70" s="327">
        <v>20000000</v>
      </c>
      <c r="F70" s="327">
        <v>-20000000</v>
      </c>
      <c r="G70" s="327"/>
      <c r="H70" s="327"/>
      <c r="I70" s="327"/>
    </row>
    <row r="71" spans="1:9" ht="12.75" customHeight="1" x14ac:dyDescent="0.2">
      <c r="A71" s="308" t="s">
        <v>977</v>
      </c>
      <c r="B71" s="203"/>
      <c r="C71" s="503">
        <v>500</v>
      </c>
      <c r="D71" s="502"/>
      <c r="E71" s="502">
        <v>300000</v>
      </c>
      <c r="F71" s="502"/>
      <c r="G71" s="502"/>
      <c r="H71" s="502"/>
      <c r="I71" s="502"/>
    </row>
    <row r="72" spans="1:9" ht="12.75" customHeight="1" x14ac:dyDescent="0.2">
      <c r="A72" s="306" t="s">
        <v>996</v>
      </c>
      <c r="B72" s="207"/>
      <c r="C72" s="328">
        <v>100</v>
      </c>
      <c r="D72" s="327"/>
      <c r="E72" s="327"/>
      <c r="F72" s="327"/>
      <c r="G72" s="327">
        <v>-1563931</v>
      </c>
      <c r="H72" s="327">
        <v>1563931</v>
      </c>
      <c r="I72" s="327"/>
    </row>
    <row r="73" spans="1:9" ht="12.75" customHeight="1" x14ac:dyDescent="0.2">
      <c r="A73" s="308"/>
      <c r="B73" s="308"/>
      <c r="C73" s="308">
        <v>200</v>
      </c>
      <c r="D73" s="502"/>
      <c r="E73" s="502"/>
      <c r="F73" s="502"/>
      <c r="G73" s="502">
        <v>-735252</v>
      </c>
      <c r="H73" s="502">
        <v>735252</v>
      </c>
      <c r="I73" s="502"/>
    </row>
    <row r="74" spans="1:9" ht="12.75" customHeight="1" x14ac:dyDescent="0.2">
      <c r="A74" s="306"/>
      <c r="B74" s="306"/>
      <c r="C74" s="289" t="s">
        <v>167</v>
      </c>
      <c r="D74" s="327"/>
      <c r="E74" s="327"/>
      <c r="F74" s="327"/>
      <c r="G74" s="327">
        <v>-57493</v>
      </c>
      <c r="H74" s="327">
        <v>57493</v>
      </c>
      <c r="I74" s="327"/>
    </row>
    <row r="75" spans="1:9" ht="12.75" customHeight="1" x14ac:dyDescent="0.2">
      <c r="A75" s="308"/>
      <c r="B75" s="308"/>
      <c r="C75" s="133" t="s">
        <v>167</v>
      </c>
      <c r="D75" s="502"/>
      <c r="E75" s="502"/>
      <c r="F75" s="502"/>
      <c r="G75" s="502">
        <v>-10000</v>
      </c>
      <c r="H75" s="502">
        <v>10000</v>
      </c>
      <c r="I75" s="502"/>
    </row>
    <row r="76" spans="1:9" ht="12.75" customHeight="1" x14ac:dyDescent="0.2">
      <c r="A76" s="306"/>
      <c r="B76" s="306"/>
      <c r="C76" s="306"/>
      <c r="D76" s="327"/>
      <c r="E76" s="327"/>
      <c r="F76" s="327"/>
      <c r="G76" s="327"/>
      <c r="H76" s="327"/>
      <c r="I76" s="327"/>
    </row>
    <row r="77" spans="1:9" ht="12.75" customHeight="1" x14ac:dyDescent="0.2">
      <c r="A77" s="308"/>
      <c r="B77" s="308"/>
      <c r="C77" s="308"/>
      <c r="D77" s="502"/>
      <c r="E77" s="502"/>
      <c r="F77" s="502"/>
      <c r="G77" s="502"/>
      <c r="H77" s="502"/>
      <c r="I77" s="502"/>
    </row>
    <row r="78" spans="1:9" ht="12.75" customHeight="1" x14ac:dyDescent="0.2">
      <c r="A78" s="328"/>
      <c r="B78" s="207"/>
      <c r="C78" s="328"/>
      <c r="D78" s="207"/>
      <c r="E78" s="327"/>
      <c r="F78" s="327"/>
      <c r="G78" s="207"/>
      <c r="H78" s="207"/>
      <c r="I78" s="207"/>
    </row>
    <row r="79" spans="1:9" ht="12.75" customHeight="1" thickBot="1" x14ac:dyDescent="0.25">
      <c r="A79" s="328"/>
      <c r="B79" s="207"/>
      <c r="C79" s="207"/>
      <c r="D79" s="25" t="s">
        <v>483</v>
      </c>
      <c r="E79" s="25" t="s">
        <v>89</v>
      </c>
      <c r="F79" s="396" t="s">
        <v>206</v>
      </c>
      <c r="G79" s="25" t="s">
        <v>225</v>
      </c>
      <c r="H79" s="25" t="s">
        <v>249</v>
      </c>
      <c r="I79" s="25" t="s">
        <v>308</v>
      </c>
    </row>
    <row r="80" spans="1:9" ht="12.75" customHeight="1" thickTop="1" x14ac:dyDescent="0.2">
      <c r="A80" s="328"/>
      <c r="B80" s="207"/>
      <c r="C80" s="207" t="s">
        <v>484</v>
      </c>
      <c r="D80" s="502">
        <v>19131000</v>
      </c>
      <c r="E80" s="502">
        <v>-10012000</v>
      </c>
      <c r="F80" s="787">
        <v>-717000</v>
      </c>
      <c r="G80" s="502">
        <v>-858000</v>
      </c>
      <c r="H80" s="502">
        <v>1226000</v>
      </c>
      <c r="I80" s="502">
        <v>0</v>
      </c>
    </row>
    <row r="81" spans="1:9" ht="12.75" customHeight="1" x14ac:dyDescent="0.2">
      <c r="A81" s="207"/>
      <c r="B81" s="207"/>
      <c r="C81" s="207" t="s">
        <v>485</v>
      </c>
      <c r="D81" s="327">
        <v>0</v>
      </c>
      <c r="E81" s="327">
        <v>4166000</v>
      </c>
      <c r="F81" s="788">
        <v>-2445000</v>
      </c>
      <c r="G81" s="327">
        <v>-75000</v>
      </c>
      <c r="H81" s="327">
        <v>415000</v>
      </c>
      <c r="I81" s="327">
        <v>7037000</v>
      </c>
    </row>
    <row r="82" spans="1:9" x14ac:dyDescent="0.2">
      <c r="A82" s="207"/>
      <c r="B82" s="207"/>
      <c r="C82" s="207" t="s">
        <v>486</v>
      </c>
      <c r="D82" s="789">
        <f>+D83-D81-D80</f>
        <v>0</v>
      </c>
      <c r="E82" s="789">
        <f>+E83-D83-E81-E80</f>
        <v>0</v>
      </c>
      <c r="F82" s="789">
        <f>+F83-E83-F81-F80</f>
        <v>6520000</v>
      </c>
      <c r="G82" s="789">
        <f>+G83-F83-G81-G80</f>
        <v>-6100000</v>
      </c>
      <c r="H82" s="789">
        <f t="shared" ref="H82:I82" si="3">+H83-G83-H81-H80</f>
        <v>271000</v>
      </c>
      <c r="I82" s="789">
        <f t="shared" si="3"/>
        <v>-601000</v>
      </c>
    </row>
    <row r="83" spans="1:9" x14ac:dyDescent="0.2">
      <c r="A83" s="207"/>
      <c r="B83" s="207"/>
      <c r="C83" s="790" t="s">
        <v>487</v>
      </c>
      <c r="D83" s="791">
        <v>19131000</v>
      </c>
      <c r="E83" s="791">
        <v>13285000</v>
      </c>
      <c r="F83" s="792">
        <v>16643000</v>
      </c>
      <c r="G83" s="791">
        <v>9610000</v>
      </c>
      <c r="H83" s="791">
        <v>11522000</v>
      </c>
      <c r="I83" s="791">
        <v>17958000</v>
      </c>
    </row>
    <row r="84" spans="1:9" x14ac:dyDescent="0.2">
      <c r="A84" s="207"/>
      <c r="B84" s="207"/>
      <c r="C84" s="207"/>
      <c r="D84" s="690"/>
      <c r="E84" s="690"/>
      <c r="F84" s="690"/>
      <c r="G84" s="690"/>
      <c r="H84" s="690"/>
      <c r="I84" s="690"/>
    </row>
    <row r="85" spans="1:9" x14ac:dyDescent="0.2">
      <c r="A85" s="207"/>
      <c r="B85" s="207"/>
      <c r="C85" s="207"/>
      <c r="D85" s="690"/>
      <c r="E85" s="690"/>
      <c r="F85" s="690">
        <f>+F83-E83</f>
        <v>3358000</v>
      </c>
      <c r="G85" s="690"/>
      <c r="H85" s="690"/>
      <c r="I85" s="690"/>
    </row>
    <row r="86" spans="1:9" x14ac:dyDescent="0.2">
      <c r="A86" s="207"/>
      <c r="B86" s="207"/>
      <c r="C86" s="207"/>
      <c r="D86" s="207"/>
      <c r="E86" s="207"/>
      <c r="F86" s="207"/>
      <c r="G86" s="207"/>
      <c r="H86" s="207"/>
      <c r="I86" s="207"/>
    </row>
    <row r="87" spans="1:9" x14ac:dyDescent="0.2">
      <c r="A87" s="207"/>
      <c r="B87" s="207"/>
      <c r="C87" s="207"/>
      <c r="D87" s="207"/>
      <c r="E87" s="207"/>
      <c r="F87" s="207"/>
      <c r="G87" s="207"/>
      <c r="H87" s="207"/>
      <c r="I87" s="207"/>
    </row>
    <row r="88" spans="1:9" x14ac:dyDescent="0.2">
      <c r="A88" s="207"/>
      <c r="B88" s="207"/>
      <c r="C88" s="207"/>
      <c r="D88" s="207"/>
      <c r="E88" s="207"/>
      <c r="F88" s="207"/>
      <c r="G88" s="207"/>
      <c r="H88" s="207"/>
      <c r="I88" s="207"/>
    </row>
    <row r="89" spans="1:9" x14ac:dyDescent="0.2">
      <c r="A89" s="207"/>
      <c r="B89" s="207"/>
      <c r="C89" s="207"/>
      <c r="D89" s="207"/>
      <c r="E89" s="207"/>
      <c r="F89" s="207"/>
      <c r="G89" s="207"/>
      <c r="H89" s="207"/>
      <c r="I89" s="207"/>
    </row>
    <row r="90" spans="1:9" x14ac:dyDescent="0.2">
      <c r="A90" s="207"/>
      <c r="B90" s="207"/>
      <c r="C90" s="207"/>
      <c r="D90" s="207"/>
      <c r="E90" s="207"/>
      <c r="F90" s="207"/>
      <c r="G90" s="207"/>
      <c r="H90" s="207"/>
      <c r="I90" s="207"/>
    </row>
    <row r="91" spans="1:9" x14ac:dyDescent="0.2">
      <c r="A91" s="207"/>
      <c r="B91" s="207"/>
      <c r="C91" s="207"/>
      <c r="D91" s="207"/>
      <c r="E91" s="207"/>
      <c r="F91" s="207"/>
      <c r="G91" s="207"/>
      <c r="H91" s="207"/>
      <c r="I91" s="207"/>
    </row>
    <row r="92" spans="1:9" x14ac:dyDescent="0.2">
      <c r="A92" s="207"/>
      <c r="B92" s="207"/>
      <c r="C92" s="207"/>
      <c r="D92" s="207"/>
      <c r="E92" s="207"/>
      <c r="F92" s="207"/>
      <c r="G92" s="207"/>
      <c r="H92" s="207"/>
      <c r="I92" s="207"/>
    </row>
    <row r="93" spans="1:9" x14ac:dyDescent="0.2">
      <c r="A93" s="207"/>
      <c r="B93" s="207"/>
      <c r="C93" s="207"/>
      <c r="D93" s="207"/>
      <c r="E93" s="207"/>
      <c r="F93" s="207"/>
      <c r="G93" s="207"/>
      <c r="H93" s="207"/>
      <c r="I93" s="207"/>
    </row>
    <row r="94" spans="1:9" x14ac:dyDescent="0.2">
      <c r="A94" s="53"/>
      <c r="B94" s="53"/>
      <c r="C94" s="53"/>
      <c r="D94" s="53"/>
      <c r="E94" s="53"/>
      <c r="F94" s="53"/>
      <c r="G94" s="53"/>
      <c r="H94" s="53"/>
      <c r="I94" s="53"/>
    </row>
    <row r="95" spans="1:9" x14ac:dyDescent="0.2">
      <c r="A95" s="53"/>
      <c r="B95" s="53"/>
      <c r="C95" s="53"/>
      <c r="D95" s="53"/>
      <c r="E95" s="53"/>
      <c r="F95" s="53"/>
      <c r="G95" s="53"/>
      <c r="H95" s="53"/>
      <c r="I95" s="53"/>
    </row>
    <row r="96" spans="1:9" x14ac:dyDescent="0.2">
      <c r="A96" s="53"/>
      <c r="B96" s="53"/>
      <c r="C96" s="53"/>
      <c r="D96" s="53"/>
      <c r="E96" s="53"/>
      <c r="F96" s="53"/>
      <c r="G96" s="53"/>
      <c r="H96" s="53"/>
      <c r="I96" s="53"/>
    </row>
    <row r="97" spans="1:9" x14ac:dyDescent="0.2">
      <c r="A97" s="53"/>
      <c r="B97" s="53"/>
      <c r="C97" s="53"/>
      <c r="D97" s="53"/>
      <c r="E97" s="53"/>
      <c r="F97" s="53"/>
      <c r="G97" s="53"/>
      <c r="H97" s="53"/>
      <c r="I97" s="53"/>
    </row>
    <row r="98" spans="1:9" x14ac:dyDescent="0.2">
      <c r="A98" s="53"/>
      <c r="B98" s="53"/>
      <c r="C98" s="53"/>
      <c r="D98" s="53"/>
      <c r="E98" s="53"/>
      <c r="F98" s="53"/>
      <c r="G98" s="53"/>
      <c r="H98" s="53"/>
      <c r="I98" s="53"/>
    </row>
    <row r="99" spans="1:9" x14ac:dyDescent="0.2">
      <c r="A99" s="53"/>
      <c r="B99" s="53"/>
      <c r="C99" s="53"/>
      <c r="D99" s="53"/>
      <c r="E99" s="53"/>
      <c r="F99" s="53"/>
      <c r="G99" s="53"/>
      <c r="H99" s="53"/>
      <c r="I99" s="53"/>
    </row>
    <row r="100" spans="1:9" x14ac:dyDescent="0.2">
      <c r="A100" s="53"/>
      <c r="B100" s="53"/>
      <c r="C100" s="53"/>
      <c r="D100" s="53"/>
      <c r="E100" s="53"/>
      <c r="F100" s="53"/>
      <c r="G100" s="53"/>
      <c r="H100" s="53"/>
      <c r="I100" s="53"/>
    </row>
    <row r="101" spans="1:9" x14ac:dyDescent="0.2">
      <c r="A101" s="53"/>
      <c r="B101" s="53"/>
      <c r="C101" s="53"/>
      <c r="D101" s="53"/>
      <c r="E101" s="53"/>
      <c r="F101" s="53"/>
      <c r="G101" s="53"/>
      <c r="H101" s="53"/>
      <c r="I101" s="53"/>
    </row>
    <row r="102" spans="1:9" x14ac:dyDescent="0.2">
      <c r="A102" s="53"/>
      <c r="B102" s="53"/>
      <c r="C102" s="53"/>
      <c r="D102" s="53"/>
      <c r="E102" s="53"/>
      <c r="F102" s="53"/>
      <c r="G102" s="53"/>
      <c r="H102" s="53"/>
      <c r="I102" s="53"/>
    </row>
    <row r="103" spans="1:9" x14ac:dyDescent="0.2">
      <c r="A103" s="53"/>
      <c r="B103" s="53"/>
      <c r="C103" s="53"/>
      <c r="D103" s="53"/>
      <c r="E103" s="53"/>
      <c r="F103" s="53"/>
      <c r="G103" s="53"/>
      <c r="H103" s="53"/>
      <c r="I103" s="53"/>
    </row>
    <row r="104" spans="1:9" x14ac:dyDescent="0.2">
      <c r="A104" s="53"/>
      <c r="B104" s="53"/>
      <c r="C104" s="53"/>
      <c r="D104" s="53"/>
      <c r="E104" s="53"/>
      <c r="F104" s="53"/>
      <c r="G104" s="53"/>
      <c r="H104" s="53"/>
      <c r="I104" s="53"/>
    </row>
    <row r="105" spans="1:9" x14ac:dyDescent="0.2">
      <c r="A105" s="53"/>
      <c r="B105" s="53"/>
      <c r="C105" s="53"/>
      <c r="D105" s="53"/>
      <c r="E105" s="53"/>
      <c r="F105" s="53"/>
      <c r="G105" s="53"/>
      <c r="H105" s="53"/>
      <c r="I105" s="53"/>
    </row>
    <row r="106" spans="1:9" x14ac:dyDescent="0.2">
      <c r="A106" s="53"/>
      <c r="B106" s="53"/>
      <c r="C106" s="53"/>
      <c r="D106" s="53"/>
      <c r="E106" s="53"/>
      <c r="F106" s="53"/>
      <c r="G106" s="53"/>
      <c r="H106" s="53"/>
      <c r="I106" s="53"/>
    </row>
    <row r="107" spans="1:9" x14ac:dyDescent="0.2">
      <c r="A107" s="53"/>
      <c r="B107" s="53"/>
      <c r="C107" s="53"/>
      <c r="D107" s="53"/>
      <c r="E107" s="53"/>
      <c r="F107" s="53"/>
      <c r="G107" s="53"/>
      <c r="H107" s="53"/>
      <c r="I107" s="53"/>
    </row>
    <row r="108" spans="1:9" x14ac:dyDescent="0.2">
      <c r="A108" s="53"/>
      <c r="B108" s="53"/>
      <c r="C108" s="53"/>
      <c r="D108" s="53"/>
      <c r="E108" s="53"/>
      <c r="F108" s="53"/>
      <c r="G108" s="53"/>
      <c r="H108" s="53"/>
      <c r="I108" s="53"/>
    </row>
    <row r="109" spans="1:9" x14ac:dyDescent="0.2">
      <c r="A109" s="53"/>
      <c r="B109" s="53"/>
      <c r="C109" s="53"/>
      <c r="D109" s="53"/>
      <c r="E109" s="53"/>
      <c r="F109" s="53"/>
      <c r="G109" s="53"/>
      <c r="H109" s="53"/>
      <c r="I109" s="53"/>
    </row>
    <row r="110" spans="1:9" x14ac:dyDescent="0.2">
      <c r="A110" s="53"/>
      <c r="B110" s="53"/>
      <c r="C110" s="53"/>
      <c r="D110" s="53"/>
      <c r="E110" s="53"/>
      <c r="F110" s="53"/>
      <c r="G110" s="53"/>
      <c r="H110" s="53"/>
      <c r="I110" s="53"/>
    </row>
    <row r="111" spans="1:9" x14ac:dyDescent="0.2">
      <c r="A111" s="53"/>
      <c r="B111" s="53"/>
      <c r="C111" s="53"/>
      <c r="D111" s="53"/>
      <c r="E111" s="53"/>
      <c r="F111" s="53"/>
      <c r="G111" s="53"/>
      <c r="H111" s="53"/>
      <c r="I111" s="53"/>
    </row>
    <row r="112" spans="1:9" x14ac:dyDescent="0.2">
      <c r="A112" s="53"/>
      <c r="B112" s="53"/>
      <c r="C112" s="53"/>
      <c r="D112" s="53"/>
      <c r="E112" s="53"/>
      <c r="F112" s="53"/>
      <c r="G112" s="53"/>
      <c r="H112" s="53"/>
      <c r="I112" s="53"/>
    </row>
    <row r="113" spans="1:9" x14ac:dyDescent="0.2">
      <c r="A113" s="53"/>
      <c r="B113" s="53"/>
      <c r="C113" s="53"/>
      <c r="D113" s="53"/>
      <c r="E113" s="53"/>
      <c r="F113" s="53"/>
      <c r="G113" s="53"/>
      <c r="H113" s="53"/>
      <c r="I113" s="53"/>
    </row>
    <row r="114" spans="1:9" x14ac:dyDescent="0.2">
      <c r="A114" s="53"/>
      <c r="B114" s="53"/>
      <c r="C114" s="53"/>
      <c r="D114" s="53"/>
      <c r="E114" s="53"/>
      <c r="F114" s="53"/>
      <c r="G114" s="53"/>
      <c r="H114" s="53"/>
      <c r="I114" s="53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  <pageSetUpPr fitToPage="1"/>
  </sheetPr>
  <dimension ref="A1:K52"/>
  <sheetViews>
    <sheetView topLeftCell="A10" zoomScaleNormal="100" zoomScaleSheetLayoutView="90" workbookViewId="0">
      <selection activeCell="E29" sqref="E29"/>
    </sheetView>
  </sheetViews>
  <sheetFormatPr baseColWidth="10" defaultColWidth="9.1640625" defaultRowHeight="15" x14ac:dyDescent="0.2"/>
  <cols>
    <col min="1" max="1" width="37.5" style="7" customWidth="1"/>
    <col min="2" max="9" width="14.5" style="7" customWidth="1"/>
    <col min="10" max="11" width="9.1640625" style="7"/>
    <col min="12" max="12" width="39.5" style="7" customWidth="1"/>
    <col min="13" max="17" width="9.1640625" style="7"/>
    <col min="18" max="18" width="10.5" style="7" customWidth="1"/>
    <col min="19" max="20" width="9.1640625" style="7"/>
    <col min="21" max="21" width="10.5" style="7" customWidth="1"/>
    <col min="22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A5" s="204" t="s">
        <v>209</v>
      </c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442" t="s">
        <v>14</v>
      </c>
      <c r="B6" s="443" t="s">
        <v>586</v>
      </c>
      <c r="C6" s="963" t="s">
        <v>585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880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/>
      <c r="D9" s="227"/>
      <c r="E9" s="115"/>
      <c r="F9" s="411"/>
      <c r="G9" s="34"/>
      <c r="H9" s="227"/>
      <c r="I9" s="51"/>
      <c r="K9" s="7">
        <v>100</v>
      </c>
    </row>
    <row r="10" spans="1:11" x14ac:dyDescent="0.2">
      <c r="A10" s="10" t="s">
        <v>5</v>
      </c>
      <c r="B10" s="36">
        <v>0</v>
      </c>
      <c r="C10" s="36"/>
      <c r="D10" s="230"/>
      <c r="E10" s="550"/>
      <c r="F10" s="548"/>
      <c r="G10" s="36"/>
      <c r="H10" s="230"/>
      <c r="I10" s="37"/>
      <c r="K10" s="7">
        <v>200</v>
      </c>
    </row>
    <row r="11" spans="1:11" x14ac:dyDescent="0.2">
      <c r="A11" s="9" t="s">
        <v>6</v>
      </c>
      <c r="B11" s="34">
        <v>0</v>
      </c>
      <c r="C11" s="34"/>
      <c r="D11" s="227"/>
      <c r="E11" s="115"/>
      <c r="F11" s="411"/>
      <c r="G11" s="34"/>
      <c r="H11" s="227"/>
      <c r="I11" s="35"/>
      <c r="K11" s="7" t="s">
        <v>167</v>
      </c>
    </row>
    <row r="12" spans="1:11" x14ac:dyDescent="0.2">
      <c r="A12" s="10" t="s">
        <v>7</v>
      </c>
      <c r="B12" s="36">
        <v>0</v>
      </c>
      <c r="C12" s="36"/>
      <c r="D12" s="230"/>
      <c r="E12" s="550"/>
      <c r="F12" s="548"/>
      <c r="G12" s="36"/>
      <c r="H12" s="228"/>
      <c r="I12" s="50"/>
      <c r="K12" s="7">
        <v>500</v>
      </c>
    </row>
    <row r="13" spans="1:11" x14ac:dyDescent="0.2">
      <c r="A13" s="9" t="s">
        <v>8</v>
      </c>
      <c r="B13" s="34">
        <v>0</v>
      </c>
      <c r="C13" s="34"/>
      <c r="D13" s="227"/>
      <c r="E13" s="115"/>
      <c r="F13" s="411"/>
      <c r="G13" s="34"/>
      <c r="H13" s="227"/>
      <c r="I13" s="35"/>
      <c r="K13" s="7">
        <v>700</v>
      </c>
    </row>
    <row r="14" spans="1:11" x14ac:dyDescent="0.2">
      <c r="A14" s="10" t="s">
        <v>9</v>
      </c>
      <c r="B14" s="36">
        <v>0</v>
      </c>
      <c r="C14" s="36"/>
      <c r="D14" s="230"/>
      <c r="E14" s="550"/>
      <c r="F14" s="548"/>
      <c r="G14" s="36"/>
      <c r="H14" s="230"/>
      <c r="I14" s="37"/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55108000</v>
      </c>
      <c r="D15" s="231">
        <f>+C15+D23</f>
        <v>18403000</v>
      </c>
      <c r="E15" s="551">
        <f>56705000+E23+E24+E25</f>
        <v>25000000</v>
      </c>
      <c r="F15" s="549">
        <f>58356000+F23+F24</f>
        <v>55000000</v>
      </c>
      <c r="G15" s="38">
        <f>58356000+G23+G24</f>
        <v>30000000</v>
      </c>
      <c r="H15" s="231">
        <f>58356000+H23+H24</f>
        <v>25000000</v>
      </c>
      <c r="I15" s="39">
        <f>58356000+I23+I24</f>
        <v>25000000</v>
      </c>
      <c r="K15" s="7">
        <v>900</v>
      </c>
    </row>
    <row r="16" spans="1:11" ht="16" thickBot="1" x14ac:dyDescent="0.25">
      <c r="A16" s="4" t="s">
        <v>11</v>
      </c>
      <c r="B16" s="40">
        <f>SUM(B9:B15)</f>
        <v>0</v>
      </c>
      <c r="C16" s="40">
        <f t="shared" ref="C16:I16" si="0">SUM(C9:C15)</f>
        <v>55108000</v>
      </c>
      <c r="D16" s="40">
        <f t="shared" si="0"/>
        <v>18403000</v>
      </c>
      <c r="E16" s="573">
        <f t="shared" si="0"/>
        <v>25000000</v>
      </c>
      <c r="F16" s="40">
        <f t="shared" si="0"/>
        <v>55000000</v>
      </c>
      <c r="G16" s="40">
        <f t="shared" si="0"/>
        <v>30000000</v>
      </c>
      <c r="H16" s="40">
        <f t="shared" si="0"/>
        <v>25000000</v>
      </c>
      <c r="I16" s="40">
        <f t="shared" si="0"/>
        <v>25000000</v>
      </c>
    </row>
    <row r="18" spans="1:10" x14ac:dyDescent="0.2">
      <c r="E18" s="406">
        <f>+E16-D16</f>
        <v>6597000</v>
      </c>
    </row>
    <row r="19" spans="1:10" ht="16" thickBot="1" x14ac:dyDescent="0.25">
      <c r="A19" s="25" t="s">
        <v>12</v>
      </c>
      <c r="B19" s="25"/>
      <c r="C19" s="25" t="s">
        <v>89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thickBot="1" x14ac:dyDescent="0.25">
      <c r="A20" s="472" t="s">
        <v>456</v>
      </c>
      <c r="B20" s="473"/>
      <c r="C20" s="470">
        <v>55108000</v>
      </c>
      <c r="D20" s="470">
        <v>55108000</v>
      </c>
      <c r="E20" s="470">
        <v>56705000</v>
      </c>
      <c r="F20" s="470">
        <v>58356000</v>
      </c>
      <c r="G20" s="470">
        <v>58356000</v>
      </c>
      <c r="H20" s="475">
        <f>+G20</f>
        <v>58356000</v>
      </c>
      <c r="I20" s="476">
        <f>+H20</f>
        <v>58356000</v>
      </c>
    </row>
    <row r="21" spans="1:10" ht="13" customHeight="1" x14ac:dyDescent="0.2">
      <c r="A21" s="306"/>
      <c r="B21" s="102"/>
      <c r="C21" s="94"/>
      <c r="D21" s="95"/>
      <c r="E21" s="95"/>
      <c r="F21" s="95"/>
      <c r="G21" s="95"/>
      <c r="H21" s="474"/>
      <c r="I21" s="471"/>
      <c r="J21" s="17"/>
    </row>
    <row r="22" spans="1:10" ht="13" customHeight="1" x14ac:dyDescent="0.2">
      <c r="A22" s="323" t="s">
        <v>731</v>
      </c>
      <c r="B22" s="203"/>
      <c r="C22" s="503"/>
      <c r="D22" s="502"/>
      <c r="E22" s="502"/>
      <c r="F22" s="502"/>
      <c r="G22" s="203"/>
      <c r="H22" s="203"/>
      <c r="I22" s="203"/>
      <c r="J22" s="17"/>
    </row>
    <row r="23" spans="1:10" s="59" customFormat="1" ht="13" customHeight="1" x14ac:dyDescent="0.2">
      <c r="A23" s="306" t="s">
        <v>732</v>
      </c>
      <c r="B23" s="207">
        <v>900</v>
      </c>
      <c r="C23" s="327"/>
      <c r="D23" s="327">
        <v>-36705000</v>
      </c>
      <c r="E23" s="327">
        <v>-36705000</v>
      </c>
      <c r="F23" s="327">
        <f>-36705000-15000000</f>
        <v>-51705000</v>
      </c>
      <c r="G23" s="327">
        <v>-36705000</v>
      </c>
      <c r="H23" s="327">
        <v>-36705000</v>
      </c>
      <c r="I23" s="327">
        <v>-36705000</v>
      </c>
      <c r="J23" s="82"/>
    </row>
    <row r="24" spans="1:10" s="59" customFormat="1" ht="13" customHeight="1" x14ac:dyDescent="0.2">
      <c r="A24" s="308" t="s">
        <v>812</v>
      </c>
      <c r="B24" s="203">
        <v>900</v>
      </c>
      <c r="C24" s="503"/>
      <c r="D24" s="502"/>
      <c r="E24" s="502">
        <f>30000000</f>
        <v>30000000</v>
      </c>
      <c r="F24" s="502">
        <f>40000000-21651000+30000000</f>
        <v>48349000</v>
      </c>
      <c r="G24" s="502">
        <f>30000000-21651000</f>
        <v>8349000</v>
      </c>
      <c r="H24" s="502">
        <f>25000000-21651000</f>
        <v>3349000</v>
      </c>
      <c r="I24" s="502">
        <f>25000000-21651000</f>
        <v>3349000</v>
      </c>
      <c r="J24" s="82"/>
    </row>
    <row r="25" spans="1:10" s="59" customFormat="1" ht="13" customHeight="1" x14ac:dyDescent="0.2">
      <c r="A25" s="951" t="s">
        <v>989</v>
      </c>
      <c r="B25" s="207">
        <v>900</v>
      </c>
      <c r="C25" s="20"/>
      <c r="D25" s="207"/>
      <c r="E25" s="95">
        <v>-25000000</v>
      </c>
      <c r="F25" s="95"/>
      <c r="G25" s="95"/>
      <c r="H25" s="95"/>
      <c r="I25" s="95"/>
      <c r="J25" s="82"/>
    </row>
    <row r="26" spans="1:10" s="59" customFormat="1" ht="12.75" customHeight="1" x14ac:dyDescent="0.2">
      <c r="A26" s="347"/>
      <c r="B26" s="20"/>
      <c r="C26" s="20"/>
      <c r="D26" s="20"/>
      <c r="E26" s="95"/>
      <c r="F26" s="95"/>
      <c r="G26" s="20"/>
      <c r="H26" s="20"/>
      <c r="I26" s="20"/>
    </row>
    <row r="27" spans="1:10" s="59" customFormat="1" ht="12.75" customHeight="1" x14ac:dyDescent="0.2">
      <c r="A27" s="367"/>
      <c r="B27" s="207"/>
      <c r="C27" s="20"/>
      <c r="D27" s="95"/>
      <c r="E27" s="95"/>
      <c r="F27" s="95"/>
      <c r="G27" s="95"/>
      <c r="H27" s="95"/>
      <c r="I27" s="95"/>
    </row>
    <row r="28" spans="1:10" s="59" customFormat="1" ht="12.75" customHeight="1" x14ac:dyDescent="0.2">
      <c r="A28" s="20"/>
      <c r="B28" s="207"/>
      <c r="C28" s="348"/>
      <c r="D28" s="327"/>
      <c r="E28" s="95"/>
      <c r="F28" s="95"/>
      <c r="G28" s="20"/>
      <c r="H28" s="20"/>
      <c r="I28" s="20"/>
    </row>
    <row r="29" spans="1:10" s="59" customFormat="1" ht="12.75" customHeight="1" x14ac:dyDescent="0.2">
      <c r="A29" s="347"/>
      <c r="B29" s="207"/>
      <c r="C29" s="348"/>
      <c r="D29" s="327"/>
      <c r="E29" s="207"/>
      <c r="F29" s="207"/>
      <c r="G29" s="207"/>
      <c r="H29" s="207"/>
      <c r="I29" s="207"/>
    </row>
    <row r="30" spans="1:10" s="59" customFormat="1" ht="12.75" customHeight="1" x14ac:dyDescent="0.2">
      <c r="A30" s="349"/>
      <c r="B30" s="207"/>
      <c r="C30" s="348"/>
      <c r="D30" s="327"/>
      <c r="E30" s="327"/>
      <c r="F30" s="327"/>
      <c r="G30" s="327"/>
      <c r="H30" s="327"/>
      <c r="I30" s="327"/>
    </row>
    <row r="31" spans="1:10" s="59" customFormat="1" ht="12.75" customHeight="1" x14ac:dyDescent="0.2">
      <c r="A31" s="349"/>
      <c r="B31" s="207"/>
      <c r="C31" s="348"/>
      <c r="D31" s="327"/>
      <c r="E31" s="95"/>
      <c r="F31" s="207"/>
      <c r="G31" s="207"/>
      <c r="H31" s="207"/>
      <c r="I31" s="207"/>
    </row>
    <row r="32" spans="1:10" s="59" customFormat="1" ht="12.75" customHeight="1" x14ac:dyDescent="0.2">
      <c r="A32" s="349"/>
      <c r="B32" s="207"/>
      <c r="C32" s="289"/>
      <c r="D32" s="327"/>
      <c r="E32" s="327"/>
      <c r="F32" s="327"/>
      <c r="G32" s="327"/>
      <c r="H32" s="327"/>
      <c r="I32" s="327"/>
    </row>
    <row r="33" spans="1:9" s="59" customFormat="1" ht="12.75" customHeight="1" x14ac:dyDescent="0.2">
      <c r="A33" s="349"/>
      <c r="B33" s="207"/>
      <c r="C33" s="348"/>
      <c r="D33" s="327"/>
      <c r="E33" s="95"/>
      <c r="F33" s="207"/>
      <c r="G33" s="207"/>
      <c r="H33" s="207"/>
      <c r="I33" s="207"/>
    </row>
    <row r="34" spans="1:9" s="59" customFormat="1" ht="12.75" customHeight="1" x14ac:dyDescent="0.2">
      <c r="A34" s="349"/>
      <c r="B34" s="207"/>
      <c r="C34" s="289"/>
      <c r="D34" s="327"/>
      <c r="E34" s="327"/>
      <c r="F34" s="207"/>
      <c r="G34" s="207"/>
      <c r="H34" s="207"/>
      <c r="I34" s="207"/>
    </row>
    <row r="35" spans="1:9" s="59" customFormat="1" ht="12.75" customHeight="1" x14ac:dyDescent="0.2">
      <c r="A35" s="368"/>
      <c r="B35" s="207"/>
      <c r="C35" s="207"/>
      <c r="D35" s="207"/>
      <c r="E35" s="207"/>
      <c r="F35" s="207"/>
      <c r="G35" s="207"/>
      <c r="H35" s="207"/>
      <c r="I35" s="207"/>
    </row>
    <row r="36" spans="1:9" s="59" customFormat="1" ht="12.75" customHeight="1" x14ac:dyDescent="0.2">
      <c r="A36" s="224"/>
      <c r="B36" s="207"/>
      <c r="C36" s="20"/>
      <c r="D36" s="327"/>
      <c r="E36" s="207"/>
      <c r="F36" s="207"/>
      <c r="G36" s="207"/>
      <c r="H36" s="207"/>
      <c r="I36" s="207"/>
    </row>
    <row r="37" spans="1:9" s="59" customFormat="1" ht="12.75" customHeight="1" x14ac:dyDescent="0.2">
      <c r="A37" s="328"/>
      <c r="B37" s="328"/>
      <c r="C37" s="328"/>
      <c r="D37" s="207"/>
      <c r="E37" s="327"/>
      <c r="F37" s="207"/>
      <c r="G37" s="207"/>
      <c r="H37" s="207"/>
      <c r="I37" s="207"/>
    </row>
    <row r="38" spans="1:9" s="59" customFormat="1" ht="12.75" customHeight="1" x14ac:dyDescent="0.2">
      <c r="A38" s="125"/>
      <c r="B38" s="328"/>
      <c r="C38" s="328"/>
      <c r="D38" s="207"/>
      <c r="E38" s="327"/>
      <c r="F38" s="327"/>
      <c r="G38" s="327"/>
      <c r="H38" s="327"/>
      <c r="I38" s="327"/>
    </row>
    <row r="39" spans="1:9" s="59" customFormat="1" ht="12.75" customHeight="1" x14ac:dyDescent="0.2">
      <c r="A39" s="328"/>
      <c r="B39" s="328"/>
      <c r="C39" s="328"/>
      <c r="D39" s="207"/>
      <c r="E39" s="327"/>
      <c r="F39" s="207"/>
      <c r="G39" s="207"/>
      <c r="H39" s="207"/>
      <c r="I39" s="207"/>
    </row>
    <row r="40" spans="1:9" ht="12.75" customHeight="1" x14ac:dyDescent="0.2">
      <c r="A40" s="350"/>
      <c r="B40" s="350"/>
      <c r="C40" s="350"/>
      <c r="D40" s="327"/>
      <c r="E40" s="53"/>
      <c r="F40" s="53"/>
      <c r="G40" s="53"/>
      <c r="H40" s="53"/>
      <c r="I40" s="53"/>
    </row>
    <row r="41" spans="1:9" ht="12.75" customHeight="1" x14ac:dyDescent="0.2">
      <c r="A41" s="350"/>
      <c r="B41" s="350"/>
      <c r="C41" s="350"/>
      <c r="D41" s="53"/>
      <c r="E41" s="53"/>
      <c r="F41" s="53"/>
      <c r="G41" s="53"/>
      <c r="H41" s="53"/>
      <c r="I41" s="53"/>
    </row>
    <row r="42" spans="1:9" ht="12.75" customHeight="1" x14ac:dyDescent="0.2">
      <c r="A42" s="350"/>
      <c r="B42" s="326"/>
      <c r="C42" s="326"/>
    </row>
    <row r="43" spans="1:9" ht="12.75" customHeight="1" x14ac:dyDescent="0.2">
      <c r="A43" s="350"/>
      <c r="B43" s="326"/>
      <c r="C43" s="326"/>
    </row>
    <row r="44" spans="1:9" ht="12.75" customHeight="1" x14ac:dyDescent="0.2">
      <c r="A44" s="350"/>
      <c r="B44" s="326"/>
      <c r="C44" s="326"/>
    </row>
    <row r="45" spans="1:9" ht="12.75" customHeight="1" x14ac:dyDescent="0.2">
      <c r="A45" s="350"/>
      <c r="B45" s="326"/>
      <c r="C45" s="326"/>
    </row>
    <row r="46" spans="1:9" ht="12.75" customHeight="1" x14ac:dyDescent="0.2">
      <c r="A46" s="350"/>
      <c r="B46" s="326"/>
      <c r="C46" s="326"/>
    </row>
    <row r="47" spans="1:9" ht="12.75" customHeight="1" x14ac:dyDescent="0.2">
      <c r="A47" s="326"/>
      <c r="B47" s="326"/>
      <c r="C47" s="326"/>
    </row>
    <row r="48" spans="1:9" ht="12.75" customHeight="1" x14ac:dyDescent="0.2">
      <c r="A48" s="326"/>
      <c r="B48" s="326"/>
      <c r="C48" s="326"/>
    </row>
    <row r="49" spans="1:3" ht="12.75" customHeight="1" x14ac:dyDescent="0.2">
      <c r="A49" s="326"/>
      <c r="B49" s="326"/>
      <c r="C49" s="326"/>
    </row>
    <row r="50" spans="1:3" ht="12.75" customHeight="1" x14ac:dyDescent="0.2">
      <c r="A50" s="326"/>
      <c r="B50" s="326"/>
      <c r="C50" s="326"/>
    </row>
    <row r="51" spans="1:3" x14ac:dyDescent="0.2">
      <c r="A51" s="326"/>
      <c r="B51" s="326"/>
      <c r="C51" s="326"/>
    </row>
    <row r="52" spans="1:3" x14ac:dyDescent="0.2">
      <c r="A52" s="326"/>
      <c r="B52" s="326"/>
      <c r="C52" s="326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86"/>
  <sheetViews>
    <sheetView zoomScaleNormal="100" zoomScaleSheetLayoutView="100" workbookViewId="0">
      <pane ySplit="7" topLeftCell="A67" activePane="bottomLeft" state="frozen"/>
      <selection activeCell="C5" sqref="C5:I5"/>
      <selection pane="bottomLeft" activeCell="F81" sqref="F81"/>
    </sheetView>
  </sheetViews>
  <sheetFormatPr baseColWidth="10" defaultColWidth="9.1640625" defaultRowHeight="14" x14ac:dyDescent="0.2"/>
  <cols>
    <col min="1" max="1" width="6.83203125" style="18" bestFit="1" customWidth="1"/>
    <col min="2" max="2" width="48.83203125" style="17" customWidth="1"/>
    <col min="3" max="5" width="12.83203125" style="17" hidden="1" customWidth="1"/>
    <col min="6" max="10" width="13.5" style="17" bestFit="1" customWidth="1"/>
    <col min="11" max="11" width="13.5" style="17" customWidth="1"/>
    <col min="12" max="16384" width="9.1640625" style="17"/>
  </cols>
  <sheetData>
    <row r="1" spans="1:11" x14ac:dyDescent="0.2">
      <c r="A1" s="960" t="s">
        <v>0</v>
      </c>
      <c r="B1" s="960"/>
      <c r="C1" s="960"/>
      <c r="D1" s="960"/>
      <c r="E1" s="960"/>
      <c r="F1" s="960"/>
      <c r="G1" s="960"/>
      <c r="H1" s="960"/>
      <c r="I1" s="960"/>
      <c r="J1" s="960"/>
    </row>
    <row r="2" spans="1:11" x14ac:dyDescent="0.2">
      <c r="A2" s="960" t="s">
        <v>1</v>
      </c>
      <c r="B2" s="960"/>
      <c r="C2" s="960"/>
      <c r="D2" s="960"/>
      <c r="E2" s="960"/>
      <c r="F2" s="960"/>
      <c r="G2" s="960"/>
      <c r="H2" s="960"/>
      <c r="I2" s="960"/>
      <c r="J2" s="960"/>
    </row>
    <row r="3" spans="1:11" x14ac:dyDescent="0.2">
      <c r="A3" s="960" t="s">
        <v>443</v>
      </c>
      <c r="B3" s="960"/>
      <c r="C3" s="960"/>
      <c r="D3" s="960"/>
      <c r="E3" s="960"/>
      <c r="F3" s="960"/>
      <c r="G3" s="960"/>
      <c r="H3" s="960"/>
      <c r="I3" s="960"/>
      <c r="J3" s="960"/>
    </row>
    <row r="4" spans="1:11" x14ac:dyDescent="0.2">
      <c r="A4" s="960" t="s">
        <v>15</v>
      </c>
      <c r="B4" s="960"/>
      <c r="C4" s="960"/>
      <c r="D4" s="960"/>
      <c r="E4" s="960"/>
      <c r="F4" s="960"/>
      <c r="G4" s="960"/>
      <c r="H4" s="960"/>
      <c r="I4" s="960"/>
      <c r="J4" s="960"/>
    </row>
    <row r="5" spans="1:11" ht="15" thickBot="1" x14ac:dyDescent="0.25"/>
    <row r="6" spans="1:11" s="19" customFormat="1" ht="25.5" customHeight="1" x14ac:dyDescent="0.2">
      <c r="A6" s="320"/>
      <c r="B6" s="321"/>
      <c r="C6" s="316" t="s">
        <v>241</v>
      </c>
      <c r="D6" s="316" t="s">
        <v>242</v>
      </c>
      <c r="E6" s="316" t="s">
        <v>442</v>
      </c>
      <c r="F6" s="912" t="s">
        <v>243</v>
      </c>
      <c r="G6" s="316" t="s">
        <v>244</v>
      </c>
      <c r="H6" s="316" t="s">
        <v>260</v>
      </c>
      <c r="I6" s="316" t="s">
        <v>318</v>
      </c>
      <c r="J6" s="316" t="s">
        <v>441</v>
      </c>
      <c r="K6" s="961" t="s">
        <v>319</v>
      </c>
    </row>
    <row r="7" spans="1:11" s="19" customFormat="1" ht="15" x14ac:dyDescent="0.2">
      <c r="A7" s="309" t="s">
        <v>17</v>
      </c>
      <c r="B7" s="314" t="s">
        <v>16</v>
      </c>
      <c r="C7" s="315" t="s">
        <v>322</v>
      </c>
      <c r="D7" s="315" t="s">
        <v>245</v>
      </c>
      <c r="E7" s="315" t="s">
        <v>246</v>
      </c>
      <c r="F7" s="913" t="s">
        <v>246</v>
      </c>
      <c r="G7" s="315" t="s">
        <v>246</v>
      </c>
      <c r="H7" s="315" t="s">
        <v>246</v>
      </c>
      <c r="I7" s="315" t="s">
        <v>246</v>
      </c>
      <c r="J7" s="315" t="s">
        <v>246</v>
      </c>
      <c r="K7" s="962"/>
    </row>
    <row r="8" spans="1:11" s="19" customFormat="1" ht="15" x14ac:dyDescent="0.2">
      <c r="A8" s="21">
        <v>34</v>
      </c>
      <c r="B8" s="507" t="s">
        <v>320</v>
      </c>
      <c r="C8" s="41">
        <f>+'34-Art Museum Subsidy'!B16</f>
        <v>2550000</v>
      </c>
      <c r="D8" s="41">
        <f>+'34-Art Museum Subsidy'!C16</f>
        <v>2550000</v>
      </c>
      <c r="E8" s="41">
        <f>+'34-Art Museum Subsidy'!D16</f>
        <v>2550000</v>
      </c>
      <c r="F8" s="41">
        <f>+'34-Art Museum Subsidy'!E16</f>
        <v>2040000</v>
      </c>
      <c r="G8" s="41">
        <f>+'34-Art Museum Subsidy'!F16</f>
        <v>2040000</v>
      </c>
      <c r="H8" s="41">
        <f>+'34-Art Museum Subsidy'!G16</f>
        <v>2040000</v>
      </c>
      <c r="I8" s="41">
        <f>+'34-Art Museum Subsidy'!H16</f>
        <v>2550000</v>
      </c>
      <c r="J8" s="41">
        <f>+'34-Art Museum Subsidy'!I16</f>
        <v>2550000</v>
      </c>
      <c r="K8" s="317">
        <f>SUM(E8:J8)</f>
        <v>13770000</v>
      </c>
    </row>
    <row r="9" spans="1:11" s="19" customFormat="1" ht="14.25" customHeight="1" x14ac:dyDescent="0.2">
      <c r="A9" s="23">
        <v>18</v>
      </c>
      <c r="B9" s="311" t="s">
        <v>18</v>
      </c>
      <c r="C9" s="42">
        <f>+'18-Atwater Kent Museum'!B16</f>
        <v>250000</v>
      </c>
      <c r="D9" s="42">
        <f>+'18-Atwater Kent Museum'!C16</f>
        <v>0</v>
      </c>
      <c r="E9" s="42">
        <f>+'18-Atwater Kent Museum'!D16</f>
        <v>0</v>
      </c>
      <c r="F9" s="42">
        <f>+'18-Atwater Kent Museum'!E16</f>
        <v>0</v>
      </c>
      <c r="G9" s="42">
        <f>+'18-Atwater Kent Museum'!F16</f>
        <v>0</v>
      </c>
      <c r="H9" s="42">
        <f>+'18-Atwater Kent Museum'!G16</f>
        <v>0</v>
      </c>
      <c r="I9" s="42">
        <f>+'18-Atwater Kent Museum'!H16</f>
        <v>0</v>
      </c>
      <c r="J9" s="42">
        <f>+'18-Atwater Kent Museum'!I16</f>
        <v>0</v>
      </c>
      <c r="K9" s="318">
        <f>SUM(E9:J9)</f>
        <v>0</v>
      </c>
    </row>
    <row r="10" spans="1:11" s="19" customFormat="1" ht="15" x14ac:dyDescent="0.2">
      <c r="A10" s="21">
        <v>61</v>
      </c>
      <c r="B10" s="310" t="s">
        <v>19</v>
      </c>
      <c r="C10" s="41">
        <f>'61-Auditing'!B16</f>
        <v>9051422</v>
      </c>
      <c r="D10" s="41">
        <f>'61-Auditing'!C16</f>
        <v>9384550</v>
      </c>
      <c r="E10" s="41">
        <f>'61-Auditing'!D16</f>
        <v>10044822</v>
      </c>
      <c r="F10" s="41">
        <f>'61-Auditing'!E16</f>
        <v>9568289</v>
      </c>
      <c r="G10" s="41">
        <f>'61-Auditing'!F16</f>
        <v>9568289</v>
      </c>
      <c r="H10" s="41">
        <f>'61-Auditing'!G16</f>
        <v>9568289</v>
      </c>
      <c r="I10" s="41">
        <f>'61-Auditing'!H16</f>
        <v>10140103</v>
      </c>
      <c r="J10" s="41">
        <f>'61-Auditing'!I16</f>
        <v>10140103</v>
      </c>
      <c r="K10" s="317">
        <f t="shared" ref="K10:K72" si="0">SUM(E10:J10)</f>
        <v>59029895</v>
      </c>
    </row>
    <row r="11" spans="1:11" s="19" customFormat="1" ht="15" x14ac:dyDescent="0.2">
      <c r="A11" s="23">
        <v>45</v>
      </c>
      <c r="B11" s="311" t="s">
        <v>20</v>
      </c>
      <c r="C11" s="42">
        <f>'45-Board of Ethics'!B16</f>
        <v>925638</v>
      </c>
      <c r="D11" s="42">
        <f>'45-Board of Ethics'!C16</f>
        <v>1101630</v>
      </c>
      <c r="E11" s="42">
        <f>'45-Board of Ethics'!D16</f>
        <v>1104071</v>
      </c>
      <c r="F11" s="42">
        <f>'45-Board of Ethics'!E16</f>
        <v>975196</v>
      </c>
      <c r="G11" s="42">
        <f>'45-Board of Ethics'!F16</f>
        <v>975196</v>
      </c>
      <c r="H11" s="42">
        <f>'45-Board of Ethics'!G16</f>
        <v>1105764</v>
      </c>
      <c r="I11" s="42">
        <f>'45-Board of Ethics'!H16</f>
        <v>1105764</v>
      </c>
      <c r="J11" s="42">
        <f>'45-Board of Ethics'!I16</f>
        <v>1105764</v>
      </c>
      <c r="K11" s="318">
        <f t="shared" si="0"/>
        <v>6371755</v>
      </c>
    </row>
    <row r="12" spans="1:11" s="19" customFormat="1" ht="15" x14ac:dyDescent="0.2">
      <c r="A12" s="21">
        <v>63</v>
      </c>
      <c r="B12" s="310" t="s">
        <v>21</v>
      </c>
      <c r="C12" s="41">
        <f>'63-Board of Revision of Taxes'!B16</f>
        <v>978352</v>
      </c>
      <c r="D12" s="41">
        <f>'63-Board of Revision of Taxes'!C16</f>
        <v>1060791</v>
      </c>
      <c r="E12" s="41">
        <f>'63-Board of Revision of Taxes'!D16</f>
        <v>1063086</v>
      </c>
      <c r="F12" s="41">
        <f>'63-Board of Revision of Taxes'!E16</f>
        <v>1043214</v>
      </c>
      <c r="G12" s="41">
        <f>'63-Board of Revision of Taxes'!F16</f>
        <v>1053462</v>
      </c>
      <c r="H12" s="41">
        <f>'63-Board of Revision of Taxes'!G16</f>
        <v>1053462</v>
      </c>
      <c r="I12" s="41">
        <f>'63-Board of Revision of Taxes'!H16</f>
        <v>1063462</v>
      </c>
      <c r="J12" s="41">
        <f>'63-Board of Revision of Taxes'!I16</f>
        <v>1063462</v>
      </c>
      <c r="K12" s="317">
        <f t="shared" si="0"/>
        <v>6340148</v>
      </c>
    </row>
    <row r="13" spans="1:11" s="19" customFormat="1" ht="15" x14ac:dyDescent="0.2">
      <c r="A13" s="23">
        <v>73</v>
      </c>
      <c r="B13" s="311" t="s">
        <v>22</v>
      </c>
      <c r="C13" s="42">
        <f>'73-City Commissioners'!B16</f>
        <v>16486919</v>
      </c>
      <c r="D13" s="42">
        <f>'73-City Commissioners'!C16</f>
        <v>12216911</v>
      </c>
      <c r="E13" s="42">
        <f>'73-City Commissioners'!D16</f>
        <v>12274097</v>
      </c>
      <c r="F13" s="42">
        <f>'73-City Commissioners'!E16</f>
        <v>12297852</v>
      </c>
      <c r="G13" s="42">
        <f>'73-City Commissioners'!F16</f>
        <v>12116852</v>
      </c>
      <c r="H13" s="42">
        <f>'73-City Commissioners'!G16</f>
        <v>12116852</v>
      </c>
      <c r="I13" s="42">
        <f>'73-City Commissioners'!H16</f>
        <v>22501696</v>
      </c>
      <c r="J13" s="42">
        <f>'73-City Commissioners'!I16</f>
        <v>14670810</v>
      </c>
      <c r="K13" s="318">
        <f t="shared" si="0"/>
        <v>85978159</v>
      </c>
    </row>
    <row r="14" spans="1:11" s="19" customFormat="1" ht="13.5" customHeight="1" x14ac:dyDescent="0.2">
      <c r="A14" s="22" t="s">
        <v>24</v>
      </c>
      <c r="B14" s="310" t="s">
        <v>23</v>
      </c>
      <c r="C14" s="41">
        <f>'01-City Council'!B16</f>
        <v>16537331</v>
      </c>
      <c r="D14" s="41">
        <f>'01-City Council'!C16</f>
        <v>17927973</v>
      </c>
      <c r="E14" s="41">
        <f>'01-City Council'!D16</f>
        <v>18677973</v>
      </c>
      <c r="F14" s="41">
        <f>'01-City Council'!E16</f>
        <v>42282973</v>
      </c>
      <c r="G14" s="41">
        <f>'01-City Council'!F16</f>
        <v>17282973</v>
      </c>
      <c r="H14" s="41">
        <f>'01-City Council'!G16</f>
        <v>18282973</v>
      </c>
      <c r="I14" s="41">
        <f>'01-City Council'!H16</f>
        <v>18282973</v>
      </c>
      <c r="J14" s="41">
        <f>'01-City Council'!I16</f>
        <v>18282973</v>
      </c>
      <c r="K14" s="317">
        <f t="shared" si="0"/>
        <v>133092838</v>
      </c>
    </row>
    <row r="15" spans="1:11" s="19" customFormat="1" ht="15" x14ac:dyDescent="0.2">
      <c r="A15" s="21">
        <v>41</v>
      </c>
      <c r="B15" s="310" t="s">
        <v>25</v>
      </c>
      <c r="C15" s="41">
        <f>'41-City Representative'!B16</f>
        <v>1034100</v>
      </c>
      <c r="D15" s="41">
        <f>'41-City Representative'!C16</f>
        <v>1249695</v>
      </c>
      <c r="E15" s="41">
        <f>'41-City Representative'!D16</f>
        <v>1284721</v>
      </c>
      <c r="F15" s="41">
        <f>'41-City Representative'!E16</f>
        <v>0</v>
      </c>
      <c r="G15" s="41">
        <f>'41-City Representative'!F16</f>
        <v>0</v>
      </c>
      <c r="H15" s="41">
        <f>'41-City Representative'!G16</f>
        <v>0</v>
      </c>
      <c r="I15" s="41">
        <f>'41-City Representative'!H16</f>
        <v>0</v>
      </c>
      <c r="J15" s="41">
        <f>'41-City Representative'!I16</f>
        <v>0</v>
      </c>
      <c r="K15" s="317">
        <f t="shared" si="0"/>
        <v>1284721</v>
      </c>
    </row>
    <row r="16" spans="1:11" s="19" customFormat="1" ht="15" x14ac:dyDescent="0.2">
      <c r="A16" s="23">
        <v>40</v>
      </c>
      <c r="B16" s="311" t="s">
        <v>26</v>
      </c>
      <c r="C16" s="42">
        <f>'40-City Treasurer'!B16</f>
        <v>1652411</v>
      </c>
      <c r="D16" s="42">
        <f>'40-City Treasurer'!C16</f>
        <v>1483167</v>
      </c>
      <c r="E16" s="42">
        <f>'40-City Treasurer'!D16</f>
        <v>1515785</v>
      </c>
      <c r="F16" s="42">
        <f>'40-City Treasurer'!E16</f>
        <v>1583938</v>
      </c>
      <c r="G16" s="42">
        <f>'40-City Treasurer'!F16</f>
        <v>1610843</v>
      </c>
      <c r="H16" s="42">
        <f>'40-City Treasurer'!G16</f>
        <v>1610843</v>
      </c>
      <c r="I16" s="42">
        <f>'40-City Treasurer'!H16</f>
        <v>1711743</v>
      </c>
      <c r="J16" s="42">
        <f>'40-City Treasurer'!I16</f>
        <v>1711743</v>
      </c>
      <c r="K16" s="318">
        <f t="shared" si="0"/>
        <v>9744895</v>
      </c>
    </row>
    <row r="17" spans="1:11" s="19" customFormat="1" ht="15" x14ac:dyDescent="0.2">
      <c r="A17" s="21">
        <v>55</v>
      </c>
      <c r="B17" s="310" t="s">
        <v>27</v>
      </c>
      <c r="C17" s="41">
        <f>'55-Civil Service Comm'!B16</f>
        <v>198497</v>
      </c>
      <c r="D17" s="41">
        <f>'55-Civil Service Comm'!C16</f>
        <v>204935</v>
      </c>
      <c r="E17" s="41">
        <f>'55-Civil Service Comm'!D16</f>
        <v>205336</v>
      </c>
      <c r="F17" s="41">
        <f>'55-Civil Service Comm'!E16</f>
        <v>207742</v>
      </c>
      <c r="G17" s="41">
        <f>'55-Civil Service Comm'!F16</f>
        <v>207742</v>
      </c>
      <c r="H17" s="41">
        <f>'55-Civil Service Comm'!G16</f>
        <v>207742</v>
      </c>
      <c r="I17" s="41">
        <f>'55-Civil Service Comm'!H16</f>
        <v>207742</v>
      </c>
      <c r="J17" s="41">
        <f>'55-Civil Service Comm'!I16</f>
        <v>207742</v>
      </c>
      <c r="K17" s="317">
        <f t="shared" si="0"/>
        <v>1244046</v>
      </c>
    </row>
    <row r="18" spans="1:11" s="19" customFormat="1" ht="15" x14ac:dyDescent="0.2">
      <c r="A18" s="23" t="s">
        <v>28</v>
      </c>
      <c r="B18" s="311" t="s">
        <v>194</v>
      </c>
      <c r="C18" s="42">
        <f>'55L-CivServComm-Labor Reserve'!B16</f>
        <v>0</v>
      </c>
      <c r="D18" s="42">
        <f>'55L-CivServComm-Labor Reserve'!C16</f>
        <v>0</v>
      </c>
      <c r="E18" s="42">
        <f>'55L-CivServComm-Labor Reserve'!D16</f>
        <v>0</v>
      </c>
      <c r="F18" s="42">
        <f>'55L-CivServComm-Labor Reserve'!E16</f>
        <v>0</v>
      </c>
      <c r="G18" s="42">
        <f>'55L-CivServComm-Labor Reserve'!F16</f>
        <v>25000000</v>
      </c>
      <c r="H18" s="42">
        <f>'55L-CivServComm-Labor Reserve'!G16</f>
        <v>45000000</v>
      </c>
      <c r="I18" s="42">
        <f>'55L-CivServComm-Labor Reserve'!H16</f>
        <v>65000000</v>
      </c>
      <c r="J18" s="42">
        <f>'55L-CivServComm-Labor Reserve'!I16</f>
        <v>65000000</v>
      </c>
      <c r="K18" s="318">
        <f t="shared" si="0"/>
        <v>200000000</v>
      </c>
    </row>
    <row r="19" spans="1:11" s="19" customFormat="1" ht="15" x14ac:dyDescent="0.2">
      <c r="A19" s="21">
        <v>42</v>
      </c>
      <c r="B19" s="310" t="s">
        <v>29</v>
      </c>
      <c r="C19" s="41">
        <f>'42-Commerce'!B16</f>
        <v>7340303</v>
      </c>
      <c r="D19" s="41">
        <f>'42-Commerce'!C16</f>
        <v>9851361</v>
      </c>
      <c r="E19" s="41">
        <f>'42-Commerce'!D16</f>
        <v>10287560</v>
      </c>
      <c r="F19" s="41">
        <f>'42-Commerce'!E16</f>
        <v>3637148</v>
      </c>
      <c r="G19" s="41">
        <f>'42-Commerce'!F16</f>
        <v>3637148</v>
      </c>
      <c r="H19" s="41">
        <f>'42-Commerce'!G16</f>
        <v>3637148</v>
      </c>
      <c r="I19" s="41">
        <f>'42-Commerce'!H16</f>
        <v>3637148</v>
      </c>
      <c r="J19" s="41">
        <f>'42-Commerce'!I16</f>
        <v>3637148</v>
      </c>
      <c r="K19" s="317">
        <f t="shared" si="0"/>
        <v>28473300</v>
      </c>
    </row>
    <row r="20" spans="1:11" s="19" customFormat="1" ht="15" x14ac:dyDescent="0.2">
      <c r="A20" s="23" t="s">
        <v>30</v>
      </c>
      <c r="B20" s="311" t="s">
        <v>31</v>
      </c>
      <c r="C20" s="42">
        <f>'42CC-Commerce Convention Ctr'!B16</f>
        <v>15000000</v>
      </c>
      <c r="D20" s="42">
        <f>'42CC-Commerce Convention Ctr'!C16</f>
        <v>15000000</v>
      </c>
      <c r="E20" s="42">
        <f>'42CC-Commerce Convention Ctr'!D16</f>
        <v>15000000</v>
      </c>
      <c r="F20" s="42">
        <f>'42CC-Commerce Convention Ctr'!E16</f>
        <v>15000000</v>
      </c>
      <c r="G20" s="42">
        <f>'42CC-Commerce Convention Ctr'!F16</f>
        <v>15000000</v>
      </c>
      <c r="H20" s="42">
        <f>'42CC-Commerce Convention Ctr'!G16</f>
        <v>15000000</v>
      </c>
      <c r="I20" s="42">
        <f>'42CC-Commerce Convention Ctr'!H16</f>
        <v>15000000</v>
      </c>
      <c r="J20" s="42">
        <f>'42CC-Commerce Convention Ctr'!I16</f>
        <v>15000000</v>
      </c>
      <c r="K20" s="318">
        <f t="shared" si="0"/>
        <v>90000000</v>
      </c>
    </row>
    <row r="21" spans="1:11" s="19" customFormat="1" ht="15" x14ac:dyDescent="0.2">
      <c r="A21" s="22" t="s">
        <v>32</v>
      </c>
      <c r="B21" s="310" t="s">
        <v>33</v>
      </c>
      <c r="C21" s="41">
        <f>'42ES-Commerce Econ Stimulus'!B16</f>
        <v>21242883</v>
      </c>
      <c r="D21" s="41">
        <f>'42ES-Commerce Econ Stimulus'!C16</f>
        <v>7671624</v>
      </c>
      <c r="E21" s="41">
        <f>'42ES-Commerce Econ Stimulus'!D16</f>
        <v>7671624</v>
      </c>
      <c r="F21" s="41">
        <f>'42ES-Commerce Econ Stimulus'!E16</f>
        <v>3015000</v>
      </c>
      <c r="G21" s="41">
        <f>'42ES-Commerce Econ Stimulus'!F16</f>
        <v>3015000</v>
      </c>
      <c r="H21" s="41">
        <f>'42ES-Commerce Econ Stimulus'!G16</f>
        <v>13015000</v>
      </c>
      <c r="I21" s="41">
        <f>'42ES-Commerce Econ Stimulus'!H16</f>
        <v>13015000</v>
      </c>
      <c r="J21" s="41">
        <f>'42ES-Commerce Econ Stimulus'!I16</f>
        <v>13015000</v>
      </c>
      <c r="K21" s="317">
        <f t="shared" si="0"/>
        <v>52746624</v>
      </c>
    </row>
    <row r="22" spans="1:11" s="19" customFormat="1" ht="15" x14ac:dyDescent="0.2">
      <c r="A22" s="23">
        <v>69</v>
      </c>
      <c r="B22" s="311" t="s">
        <v>34</v>
      </c>
      <c r="C22" s="42">
        <f>'69-District Attorney'!B16</f>
        <v>42281095</v>
      </c>
      <c r="D22" s="42">
        <f>'69-District Attorney'!C16</f>
        <v>38908536</v>
      </c>
      <c r="E22" s="42">
        <f>'69-District Attorney'!D16</f>
        <v>42162716</v>
      </c>
      <c r="F22" s="42">
        <f>'69-District Attorney'!E16</f>
        <v>33376659</v>
      </c>
      <c r="G22" s="42">
        <f>'69-District Attorney'!F16</f>
        <v>33376659</v>
      </c>
      <c r="H22" s="42">
        <f>'69-District Attorney'!G16</f>
        <v>33376659</v>
      </c>
      <c r="I22" s="42">
        <f>'69-District Attorney'!H16</f>
        <v>41658366</v>
      </c>
      <c r="J22" s="42">
        <f>'69-District Attorney'!I16</f>
        <v>41658366</v>
      </c>
      <c r="K22" s="318">
        <f t="shared" si="0"/>
        <v>225609425</v>
      </c>
    </row>
    <row r="23" spans="1:11" s="19" customFormat="1" ht="15" x14ac:dyDescent="0.2">
      <c r="A23" s="21">
        <v>35</v>
      </c>
      <c r="B23" s="310" t="s">
        <v>35</v>
      </c>
      <c r="C23" s="41">
        <f>'35-Finance'!B16</f>
        <v>158383010</v>
      </c>
      <c r="D23" s="41">
        <f>'35-Finance'!C16</f>
        <v>45227334</v>
      </c>
      <c r="E23" s="41">
        <f>'35-Finance'!D16</f>
        <v>50914842</v>
      </c>
      <c r="F23" s="41">
        <f>'35-Finance'!E16</f>
        <v>38724672</v>
      </c>
      <c r="G23" s="41">
        <f>'35-Finance'!F16</f>
        <v>28073551</v>
      </c>
      <c r="H23" s="41">
        <f>'35-Finance'!G16</f>
        <v>30756151</v>
      </c>
      <c r="I23" s="41">
        <f>'35-Finance'!H16</f>
        <v>40119569</v>
      </c>
      <c r="J23" s="41">
        <f>'35-Finance'!I16</f>
        <v>38964685</v>
      </c>
      <c r="K23" s="317">
        <f t="shared" si="0"/>
        <v>227553470</v>
      </c>
    </row>
    <row r="24" spans="1:11" s="19" customFormat="1" ht="15" x14ac:dyDescent="0.2">
      <c r="A24" s="23">
        <v>35</v>
      </c>
      <c r="B24" s="311" t="s">
        <v>264</v>
      </c>
      <c r="C24" s="42">
        <f>+'35D-Finance Reg32'!B9</f>
        <v>2413758</v>
      </c>
      <c r="D24" s="42">
        <f>+'35D-Finance Reg32'!C9</f>
        <v>2650000</v>
      </c>
      <c r="E24" s="42">
        <f>+'35D-Finance Reg32'!D9</f>
        <v>2650000</v>
      </c>
      <c r="F24" s="42">
        <f>+'35D-Finance Reg32'!E9</f>
        <v>2650000</v>
      </c>
      <c r="G24" s="42">
        <f>+'35D-Finance Reg32'!F9</f>
        <v>2650000</v>
      </c>
      <c r="H24" s="42">
        <f>+'35D-Finance Reg32'!G9</f>
        <v>2650000</v>
      </c>
      <c r="I24" s="42">
        <f>+'35D-Finance Reg32'!H9</f>
        <v>2650000</v>
      </c>
      <c r="J24" s="42">
        <f>+'35D-Finance Reg32'!I9</f>
        <v>2650000</v>
      </c>
      <c r="K24" s="318">
        <f t="shared" si="0"/>
        <v>15900000</v>
      </c>
    </row>
    <row r="25" spans="1:11" s="19" customFormat="1" ht="15" x14ac:dyDescent="0.2">
      <c r="A25" s="592" t="s">
        <v>201</v>
      </c>
      <c r="B25" s="593" t="s">
        <v>332</v>
      </c>
      <c r="C25" s="41">
        <f>+'35BS-Finance-BudgetStabilizat''n'!B16</f>
        <v>0</v>
      </c>
      <c r="D25" s="41">
        <f>+'35BS-Finance-BudgetStabilizat''n'!C16</f>
        <v>34276000</v>
      </c>
      <c r="E25" s="41">
        <f>+'35BS-Finance-BudgetStabilizat''n'!D16</f>
        <v>34276000</v>
      </c>
      <c r="F25" s="41">
        <f>+'35BS-Finance-BudgetStabilizat''n'!E16</f>
        <v>0</v>
      </c>
      <c r="G25" s="41">
        <f>+'35BS-Finance-BudgetStabilizat''n'!F16</f>
        <v>0</v>
      </c>
      <c r="H25" s="41">
        <f>+'35BS-Finance-BudgetStabilizat''n'!G16</f>
        <v>0</v>
      </c>
      <c r="I25" s="41">
        <f>+'35BS-Finance-BudgetStabilizat''n'!H16</f>
        <v>0</v>
      </c>
      <c r="J25" s="41">
        <f>+'35BS-Finance-BudgetStabilizat''n'!I16</f>
        <v>39894000</v>
      </c>
      <c r="K25" s="317">
        <f t="shared" si="0"/>
        <v>74170000</v>
      </c>
    </row>
    <row r="26" spans="1:11" s="19" customFormat="1" ht="15" x14ac:dyDescent="0.2">
      <c r="A26" s="508" t="s">
        <v>321</v>
      </c>
      <c r="B26" s="889" t="s">
        <v>613</v>
      </c>
      <c r="C26" s="42">
        <f>+'35R-Finance - Recession Reserve'!B16</f>
        <v>0</v>
      </c>
      <c r="D26" s="42">
        <f>+'35R-Finance - Recession Reserve'!C16</f>
        <v>55108000</v>
      </c>
      <c r="E26" s="42">
        <f>+'35R-Finance - Recession Reserve'!D16</f>
        <v>18403000</v>
      </c>
      <c r="F26" s="42">
        <f>+'35R-Finance - Recession Reserve'!E16</f>
        <v>25000000</v>
      </c>
      <c r="G26" s="42">
        <f>+'35R-Finance - Recession Reserve'!F16</f>
        <v>55000000</v>
      </c>
      <c r="H26" s="42">
        <f>+'35R-Finance - Recession Reserve'!G16</f>
        <v>30000000</v>
      </c>
      <c r="I26" s="42">
        <f>+'35R-Finance - Recession Reserve'!H16</f>
        <v>25000000</v>
      </c>
      <c r="J26" s="42">
        <f>+'35R-Finance - Recession Reserve'!I16</f>
        <v>25000000</v>
      </c>
      <c r="K26" s="318">
        <f t="shared" si="0"/>
        <v>178403000</v>
      </c>
    </row>
    <row r="27" spans="1:11" s="19" customFormat="1" ht="15" x14ac:dyDescent="0.2">
      <c r="A27" s="21" t="s">
        <v>36</v>
      </c>
      <c r="B27" s="310" t="s">
        <v>37</v>
      </c>
      <c r="C27" s="41">
        <f>'35CC-Finance - CCP'!B16</f>
        <v>32409207</v>
      </c>
      <c r="D27" s="41">
        <f>'35CC-Finance - CCP'!C16</f>
        <v>33759207</v>
      </c>
      <c r="E27" s="41">
        <f>'35CC-Finance - CCP'!D16</f>
        <v>36059207</v>
      </c>
      <c r="F27" s="41">
        <f>'35CC-Finance - CCP'!E16</f>
        <v>44110159</v>
      </c>
      <c r="G27" s="41">
        <f>'35CC-Finance - CCP'!F16</f>
        <v>48128075</v>
      </c>
      <c r="H27" s="41">
        <f>'35CC-Finance - CCP'!G16</f>
        <v>50106653</v>
      </c>
      <c r="I27" s="41">
        <f>'35CC-Finance - CCP'!H16</f>
        <v>50860996</v>
      </c>
      <c r="J27" s="41">
        <f>'35CC-Finance - CCP'!I16</f>
        <v>50758698</v>
      </c>
      <c r="K27" s="317">
        <f t="shared" si="0"/>
        <v>280023788</v>
      </c>
    </row>
    <row r="28" spans="1:11" s="19" customFormat="1" ht="15" x14ac:dyDescent="0.2">
      <c r="A28" s="23" t="s">
        <v>90</v>
      </c>
      <c r="B28" s="311" t="s">
        <v>94</v>
      </c>
      <c r="C28" s="42">
        <f>'35EB-Finance - Benefits'!B16</f>
        <v>1371066396</v>
      </c>
      <c r="D28" s="42">
        <f>'35EB-Finance - Benefits'!C16</f>
        <v>1411963002</v>
      </c>
      <c r="E28" s="42">
        <f>'35EB-Finance - Benefits'!D16</f>
        <v>1348375045</v>
      </c>
      <c r="F28" s="42">
        <f>'35EB-Finance - Benefits'!E16</f>
        <v>1287159003</v>
      </c>
      <c r="G28" s="42">
        <f>'35EB-Finance - Benefits'!F16</f>
        <v>1422031076</v>
      </c>
      <c r="H28" s="42">
        <f>'35EB-Finance - Benefits'!G16</f>
        <v>1475341633</v>
      </c>
      <c r="I28" s="42">
        <f>'35EB-Finance - Benefits'!H16</f>
        <v>1529644986</v>
      </c>
      <c r="J28" s="42">
        <f>'35EB-Finance - Benefits'!I16</f>
        <v>1581664744</v>
      </c>
      <c r="K28" s="318">
        <f t="shared" si="0"/>
        <v>8644216487</v>
      </c>
    </row>
    <row r="29" spans="1:11" s="19" customFormat="1" ht="15" x14ac:dyDescent="0.2">
      <c r="A29" s="21" t="s">
        <v>38</v>
      </c>
      <c r="B29" s="310" t="s">
        <v>39</v>
      </c>
      <c r="C29" s="41">
        <f>'35H-Finance - Hero'!B16</f>
        <v>0</v>
      </c>
      <c r="D29" s="41">
        <f>'35H-Finance - Hero'!C16</f>
        <v>25000</v>
      </c>
      <c r="E29" s="41">
        <f>'35H-Finance - Hero'!D16</f>
        <v>25000</v>
      </c>
      <c r="F29" s="41">
        <f>'35H-Finance - Hero'!E16</f>
        <v>25000</v>
      </c>
      <c r="G29" s="41">
        <f>'35H-Finance - Hero'!F16</f>
        <v>25000</v>
      </c>
      <c r="H29" s="41">
        <f>'35H-Finance - Hero'!G16</f>
        <v>25000</v>
      </c>
      <c r="I29" s="41">
        <f>'35H-Finance - Hero'!H16</f>
        <v>25000</v>
      </c>
      <c r="J29" s="41">
        <f>'35H-Finance - Hero'!I16</f>
        <v>25000</v>
      </c>
      <c r="K29" s="317">
        <f t="shared" si="0"/>
        <v>150000</v>
      </c>
    </row>
    <row r="30" spans="1:11" s="19" customFormat="1" ht="15" x14ac:dyDescent="0.2">
      <c r="A30" s="23" t="s">
        <v>91</v>
      </c>
      <c r="B30" s="311" t="s">
        <v>45</v>
      </c>
      <c r="C30" s="42">
        <f>'35I-Finance - Indemnities'!B16</f>
        <v>0</v>
      </c>
      <c r="D30" s="42">
        <f>'35I-Finance - Indemnities'!C16</f>
        <v>49246000</v>
      </c>
      <c r="E30" s="42">
        <f>'35I-Finance - Indemnities'!D16</f>
        <v>49246000</v>
      </c>
      <c r="F30" s="42">
        <f>'35I-Finance - Indemnities'!E16</f>
        <v>49246000</v>
      </c>
      <c r="G30" s="42">
        <f>'35I-Finance - Indemnities'!F16</f>
        <v>49246000</v>
      </c>
      <c r="H30" s="42">
        <f>'35I-Finance - Indemnities'!G16</f>
        <v>49246000</v>
      </c>
      <c r="I30" s="42">
        <f>'35I-Finance - Indemnities'!H16</f>
        <v>50320000</v>
      </c>
      <c r="J30" s="42">
        <f>'35I-Finance - Indemnities'!I16</f>
        <v>50320000</v>
      </c>
      <c r="K30" s="318">
        <f t="shared" si="0"/>
        <v>297624000</v>
      </c>
    </row>
    <row r="31" spans="1:11" s="19" customFormat="1" ht="15" x14ac:dyDescent="0.2">
      <c r="A31" s="21" t="s">
        <v>42</v>
      </c>
      <c r="B31" s="310" t="s">
        <v>43</v>
      </c>
      <c r="C31" s="41">
        <f>'35R-Finance - Refunds'!B16</f>
        <v>18667</v>
      </c>
      <c r="D31" s="41">
        <f>'35R-Finance - Refunds'!C16</f>
        <v>250000</v>
      </c>
      <c r="E31" s="41">
        <f>'35R-Finance - Refunds'!D16</f>
        <v>250000</v>
      </c>
      <c r="F31" s="41">
        <f>'35R-Finance - Refunds'!E16</f>
        <v>250000</v>
      </c>
      <c r="G31" s="41">
        <f>'35R-Finance - Refunds'!F16</f>
        <v>250000</v>
      </c>
      <c r="H31" s="41">
        <f>'35R-Finance - Refunds'!G16</f>
        <v>250000</v>
      </c>
      <c r="I31" s="41">
        <f>'35R-Finance - Refunds'!H16</f>
        <v>250000</v>
      </c>
      <c r="J31" s="41">
        <f>'35R-Finance - Refunds'!I16</f>
        <v>250000</v>
      </c>
      <c r="K31" s="317">
        <f t="shared" si="0"/>
        <v>1500000</v>
      </c>
    </row>
    <row r="32" spans="1:11" s="19" customFormat="1" ht="15" x14ac:dyDescent="0.2">
      <c r="A32" s="21" t="s">
        <v>40</v>
      </c>
      <c r="B32" s="310" t="s">
        <v>41</v>
      </c>
      <c r="C32" s="41">
        <f>'35SD-Finance-School District'!B16</f>
        <v>180870541</v>
      </c>
      <c r="D32" s="41">
        <f>'35SD-Finance-School District'!C16</f>
        <v>222456410</v>
      </c>
      <c r="E32" s="41">
        <f>'35SD-Finance-School District'!D16</f>
        <v>222456410</v>
      </c>
      <c r="F32" s="41">
        <f>'35SD-Finance-School District'!E16</f>
        <v>252578558</v>
      </c>
      <c r="G32" s="41">
        <f>'35SD-Finance-School District'!F16</f>
        <v>269953201</v>
      </c>
      <c r="H32" s="41">
        <f>'35SD-Finance-School District'!G16</f>
        <v>282052590</v>
      </c>
      <c r="I32" s="41">
        <f>'35SD-Finance-School District'!H16</f>
        <v>288191821</v>
      </c>
      <c r="J32" s="41">
        <f>'35SD-Finance-School District'!I16</f>
        <v>288191821</v>
      </c>
      <c r="K32" s="317">
        <f t="shared" si="0"/>
        <v>1603424401</v>
      </c>
    </row>
    <row r="33" spans="1:11" s="19" customFormat="1" ht="15" x14ac:dyDescent="0.2">
      <c r="A33" s="22" t="s">
        <v>46</v>
      </c>
      <c r="B33" s="310" t="s">
        <v>47</v>
      </c>
      <c r="C33" s="41">
        <f>'35W-Finance - Witness Fees'!B16</f>
        <v>98988</v>
      </c>
      <c r="D33" s="41">
        <f>'35W-Finance - Witness Fees'!C16</f>
        <v>171518</v>
      </c>
      <c r="E33" s="41">
        <f>'35W-Finance - Witness Fees'!D16</f>
        <v>171518</v>
      </c>
      <c r="F33" s="41">
        <f>'35W-Finance - Witness Fees'!E16</f>
        <v>171518</v>
      </c>
      <c r="G33" s="41">
        <f>'35W-Finance - Witness Fees'!F16</f>
        <v>171518</v>
      </c>
      <c r="H33" s="41">
        <f>'35W-Finance - Witness Fees'!G16</f>
        <v>171518</v>
      </c>
      <c r="I33" s="41">
        <f>'35W-Finance - Witness Fees'!H16</f>
        <v>171518</v>
      </c>
      <c r="J33" s="41">
        <f>'35W-Finance - Witness Fees'!I16</f>
        <v>171518</v>
      </c>
      <c r="K33" s="317">
        <f t="shared" si="0"/>
        <v>1029108</v>
      </c>
    </row>
    <row r="34" spans="1:11" s="19" customFormat="1" ht="15" x14ac:dyDescent="0.2">
      <c r="A34" s="21">
        <v>13</v>
      </c>
      <c r="B34" s="310" t="s">
        <v>48</v>
      </c>
      <c r="C34" s="41">
        <f>'13-Fire'!B16</f>
        <v>309671593</v>
      </c>
      <c r="D34" s="41">
        <f>'13-Fire'!C16</f>
        <v>298549278</v>
      </c>
      <c r="E34" s="41">
        <f>'13-Fire'!D16</f>
        <v>315056258</v>
      </c>
      <c r="F34" s="41">
        <f>'13-Fire'!E16</f>
        <v>315056258</v>
      </c>
      <c r="G34" s="41">
        <f>'13-Fire'!F16</f>
        <v>319356745</v>
      </c>
      <c r="H34" s="41">
        <f>'13-Fire'!G16</f>
        <v>337767349</v>
      </c>
      <c r="I34" s="41">
        <f>'13-Fire'!H16</f>
        <v>348034109</v>
      </c>
      <c r="J34" s="41">
        <f>'13-Fire'!I16</f>
        <v>348561971</v>
      </c>
      <c r="K34" s="317">
        <f t="shared" si="0"/>
        <v>1983832690</v>
      </c>
    </row>
    <row r="35" spans="1:11" s="19" customFormat="1" ht="15" x14ac:dyDescent="0.2">
      <c r="A35" s="21">
        <v>84</v>
      </c>
      <c r="B35" s="310" t="s">
        <v>49</v>
      </c>
      <c r="C35" s="41">
        <f>'84-FJD'!B16</f>
        <v>113236838</v>
      </c>
      <c r="D35" s="41">
        <f>'84-FJD'!C16</f>
        <v>115503975</v>
      </c>
      <c r="E35" s="41">
        <f>'84-FJD'!D16</f>
        <v>116322633</v>
      </c>
      <c r="F35" s="41">
        <f>'84-FJD'!E16</f>
        <v>116036029</v>
      </c>
      <c r="G35" s="41">
        <f>'84-FJD'!F16</f>
        <v>116036029</v>
      </c>
      <c r="H35" s="41">
        <f>'84-FJD'!G16</f>
        <v>116036029</v>
      </c>
      <c r="I35" s="41">
        <f>'84-FJD'!H16</f>
        <v>117799086</v>
      </c>
      <c r="J35" s="41">
        <f>'84-FJD'!I16</f>
        <v>117799086</v>
      </c>
      <c r="K35" s="317">
        <f t="shared" si="0"/>
        <v>700028892</v>
      </c>
    </row>
    <row r="36" spans="1:11" s="19" customFormat="1" ht="15" x14ac:dyDescent="0.2">
      <c r="A36" s="21">
        <v>25</v>
      </c>
      <c r="B36" s="310" t="s">
        <v>50</v>
      </c>
      <c r="C36" s="41">
        <f>'25-Fleet'!B16</f>
        <v>47005990</v>
      </c>
      <c r="D36" s="41">
        <f>'25-Fleet'!C16</f>
        <v>50114034</v>
      </c>
      <c r="E36" s="41">
        <f>'25-Fleet'!D16</f>
        <v>50296529</v>
      </c>
      <c r="F36" s="41">
        <f>'25-Fleet'!E16</f>
        <v>46803724</v>
      </c>
      <c r="G36" s="41">
        <f>'25-Fleet'!F16</f>
        <v>46868949</v>
      </c>
      <c r="H36" s="41">
        <f>'25-Fleet'!G16</f>
        <v>46916949</v>
      </c>
      <c r="I36" s="41">
        <f>'25-Fleet'!H16</f>
        <v>51752575</v>
      </c>
      <c r="J36" s="41">
        <f>'25-Fleet'!I16</f>
        <v>51752575</v>
      </c>
      <c r="K36" s="317">
        <f t="shared" si="0"/>
        <v>294391301</v>
      </c>
    </row>
    <row r="37" spans="1:11" s="19" customFormat="1" ht="15" x14ac:dyDescent="0.2">
      <c r="A37" s="21" t="s">
        <v>92</v>
      </c>
      <c r="B37" s="310" t="s">
        <v>95</v>
      </c>
      <c r="C37" s="41">
        <f>'25V-Fleet - Vehicle'!B16</f>
        <v>17297617</v>
      </c>
      <c r="D37" s="41">
        <f>'25V-Fleet - Vehicle'!C16</f>
        <v>17286549</v>
      </c>
      <c r="E37" s="41">
        <f>'25V-Fleet - Vehicle'!D16</f>
        <v>17286549</v>
      </c>
      <c r="F37" s="41">
        <f>'25V-Fleet - Vehicle'!E16</f>
        <v>9797739</v>
      </c>
      <c r="G37" s="41">
        <f>'25V-Fleet - Vehicle'!F16</f>
        <v>9797739</v>
      </c>
      <c r="H37" s="41">
        <f>'25V-Fleet - Vehicle'!G16</f>
        <v>9797739</v>
      </c>
      <c r="I37" s="41">
        <f>'25V-Fleet - Vehicle'!H16</f>
        <v>14797739</v>
      </c>
      <c r="J37" s="41">
        <f>'25V-Fleet - Vehicle'!I16</f>
        <v>14797739</v>
      </c>
      <c r="K37" s="317">
        <f t="shared" si="0"/>
        <v>76275244</v>
      </c>
    </row>
    <row r="38" spans="1:11" ht="15" x14ac:dyDescent="0.2">
      <c r="A38" s="21">
        <v>52</v>
      </c>
      <c r="B38" s="310" t="s">
        <v>51</v>
      </c>
      <c r="C38" s="41">
        <f>'52-Free Library'!B16</f>
        <v>42596496</v>
      </c>
      <c r="D38" s="41">
        <f>'52-Free Library'!C16</f>
        <v>45760383</v>
      </c>
      <c r="E38" s="41">
        <f>'52-Free Library'!D16</f>
        <v>46267613</v>
      </c>
      <c r="F38" s="41">
        <f>'52-Free Library'!E16</f>
        <v>39650733</v>
      </c>
      <c r="G38" s="41">
        <f>'52-Free Library'!F16</f>
        <v>39704073</v>
      </c>
      <c r="H38" s="41">
        <f>'52-Free Library'!G16</f>
        <v>39717251</v>
      </c>
      <c r="I38" s="41">
        <f>'52-Free Library'!H16</f>
        <v>49437489</v>
      </c>
      <c r="J38" s="41">
        <f>'52-Free Library'!I16</f>
        <v>49437489</v>
      </c>
      <c r="K38" s="317">
        <f t="shared" si="0"/>
        <v>264214648</v>
      </c>
    </row>
    <row r="39" spans="1:11" ht="15" x14ac:dyDescent="0.2">
      <c r="A39" s="21">
        <v>54</v>
      </c>
      <c r="B39" s="310" t="s">
        <v>52</v>
      </c>
      <c r="C39" s="41">
        <f>'54-Human Relations Comm'!B16</f>
        <v>2127256</v>
      </c>
      <c r="D39" s="41">
        <f>'54-Human Relations Comm'!C16</f>
        <v>2386402</v>
      </c>
      <c r="E39" s="41">
        <f>'54-Human Relations Comm'!D16</f>
        <v>2422738</v>
      </c>
      <c r="F39" s="41">
        <f>'54-Human Relations Comm'!E16</f>
        <v>2422973</v>
      </c>
      <c r="G39" s="41">
        <f>'54-Human Relations Comm'!F16</f>
        <v>2431863</v>
      </c>
      <c r="H39" s="41">
        <f>'54-Human Relations Comm'!G16</f>
        <v>2431863</v>
      </c>
      <c r="I39" s="41">
        <f>'54-Human Relations Comm'!H16</f>
        <v>2590550</v>
      </c>
      <c r="J39" s="41">
        <f>'54-Human Relations Comm'!I16</f>
        <v>2590550</v>
      </c>
      <c r="K39" s="317">
        <f t="shared" si="0"/>
        <v>14890537</v>
      </c>
    </row>
    <row r="40" spans="1:11" ht="15" x14ac:dyDescent="0.2">
      <c r="A40" s="21">
        <v>22</v>
      </c>
      <c r="B40" s="310" t="s">
        <v>53</v>
      </c>
      <c r="C40" s="41">
        <f>'22-Human Services'!B16</f>
        <v>107447455</v>
      </c>
      <c r="D40" s="41">
        <f>'22-Human Services'!C16</f>
        <v>118965013</v>
      </c>
      <c r="E40" s="41">
        <f>'22-Human Services'!D16</f>
        <v>120033439</v>
      </c>
      <c r="F40" s="41">
        <f>'22-Human Services'!E16</f>
        <v>163090633.42000002</v>
      </c>
      <c r="G40" s="41">
        <f>'22-Human Services'!F16</f>
        <v>170284032.42000002</v>
      </c>
      <c r="H40" s="41">
        <f>'22-Human Services'!G16</f>
        <v>174485790.42000002</v>
      </c>
      <c r="I40" s="41">
        <f>'22-Human Services'!H16</f>
        <v>190200850.42000002</v>
      </c>
      <c r="J40" s="41">
        <f>'22-Human Services'!I16</f>
        <v>190200850.42000002</v>
      </c>
      <c r="K40" s="317">
        <f t="shared" si="0"/>
        <v>1008295596.1000001</v>
      </c>
    </row>
    <row r="41" spans="1:11" ht="12.75" customHeight="1" x14ac:dyDescent="0.2">
      <c r="A41" s="21" t="s">
        <v>54</v>
      </c>
      <c r="B41" s="310" t="s">
        <v>268</v>
      </c>
      <c r="C41" s="41">
        <f>'03-Labor'!B16</f>
        <v>1769531</v>
      </c>
      <c r="D41" s="41">
        <f>'03-Labor'!C16</f>
        <v>2454828</v>
      </c>
      <c r="E41" s="41">
        <f>'03-Labor'!D16</f>
        <v>2510841</v>
      </c>
      <c r="F41" s="41">
        <f>'03-Labor'!E16</f>
        <v>2839104</v>
      </c>
      <c r="G41" s="41">
        <f>'03-Labor'!F16</f>
        <v>2659417</v>
      </c>
      <c r="H41" s="41">
        <f>'03-Labor'!G16</f>
        <v>2759417</v>
      </c>
      <c r="I41" s="41">
        <f>'03-Labor'!H16</f>
        <v>3071841</v>
      </c>
      <c r="J41" s="41">
        <f>'03-Labor'!I16</f>
        <v>3071841</v>
      </c>
      <c r="K41" s="317">
        <f t="shared" si="0"/>
        <v>16912461</v>
      </c>
    </row>
    <row r="42" spans="1:11" ht="15" x14ac:dyDescent="0.2">
      <c r="A42" s="21">
        <v>44</v>
      </c>
      <c r="B42" s="310" t="s">
        <v>55</v>
      </c>
      <c r="C42" s="41">
        <f>'44-Law'!B16</f>
        <v>15462819</v>
      </c>
      <c r="D42" s="41">
        <f>'44-Law'!C16</f>
        <v>16085045</v>
      </c>
      <c r="E42" s="41">
        <f>'44-Law'!D16</f>
        <v>16373388</v>
      </c>
      <c r="F42" s="41">
        <f>'44-Law'!E16</f>
        <v>15014106</v>
      </c>
      <c r="G42" s="41">
        <f>'44-Law'!F16</f>
        <v>15303342</v>
      </c>
      <c r="H42" s="41">
        <f>'44-Law'!G16</f>
        <v>15353342</v>
      </c>
      <c r="I42" s="41">
        <f>'44-Law'!H16</f>
        <v>16579949</v>
      </c>
      <c r="J42" s="41">
        <f>'44-Law'!I16</f>
        <v>16579949</v>
      </c>
      <c r="K42" s="317">
        <f t="shared" si="0"/>
        <v>95204076</v>
      </c>
    </row>
    <row r="43" spans="1:11" ht="15" x14ac:dyDescent="0.2">
      <c r="A43" s="21">
        <v>26</v>
      </c>
      <c r="B43" s="310" t="s">
        <v>238</v>
      </c>
      <c r="C43" s="41">
        <f>'26-L+I'!B16</f>
        <v>38311706</v>
      </c>
      <c r="D43" s="41">
        <f>'26-L+I'!C16</f>
        <v>41282551</v>
      </c>
      <c r="E43" s="41">
        <f>'26-L+I'!D16</f>
        <v>40380345</v>
      </c>
      <c r="F43" s="41">
        <f>'26-L+I'!E16</f>
        <v>38251694</v>
      </c>
      <c r="G43" s="41">
        <f>'26-L+I'!F16</f>
        <v>37903931</v>
      </c>
      <c r="H43" s="41">
        <f>'26-L+I'!G16</f>
        <v>37247681</v>
      </c>
      <c r="I43" s="41">
        <f>'26-L+I'!H16</f>
        <v>41415626</v>
      </c>
      <c r="J43" s="41">
        <f>'26-L+I'!I16</f>
        <v>41415626</v>
      </c>
      <c r="K43" s="317">
        <f t="shared" si="0"/>
        <v>236614903</v>
      </c>
    </row>
    <row r="44" spans="1:11" ht="15" x14ac:dyDescent="0.2">
      <c r="A44" s="21">
        <v>29</v>
      </c>
      <c r="B44" s="310" t="s">
        <v>221</v>
      </c>
      <c r="C44" s="41">
        <f>'29-L+I -Bd Bldg Standards'!B16</f>
        <v>83562</v>
      </c>
      <c r="D44" s="41">
        <f>'29-L+I -Bd Bldg Standards'!C16</f>
        <v>80366</v>
      </c>
      <c r="E44" s="41">
        <f>'29-L+I -Bd Bldg Standards'!D16</f>
        <v>80602</v>
      </c>
      <c r="F44" s="41">
        <f>'29-L+I -Bd Bldg Standards'!E16</f>
        <v>82018</v>
      </c>
      <c r="G44" s="41">
        <f>'29-L+I -Bd Bldg Standards'!F16</f>
        <v>82018</v>
      </c>
      <c r="H44" s="41">
        <f>'29-L+I -Bd Bldg Standards'!G16</f>
        <v>82018</v>
      </c>
      <c r="I44" s="41">
        <f>'29-L+I -Bd Bldg Standards'!H16</f>
        <v>82018</v>
      </c>
      <c r="J44" s="41">
        <f>'29-L+I -Bd Bldg Standards'!I16</f>
        <v>82018</v>
      </c>
      <c r="K44" s="317">
        <f t="shared" si="0"/>
        <v>490692</v>
      </c>
    </row>
    <row r="45" spans="1:11" ht="15" x14ac:dyDescent="0.2">
      <c r="A45" s="21">
        <v>27</v>
      </c>
      <c r="B45" s="310" t="s">
        <v>222</v>
      </c>
      <c r="C45" s="41">
        <f>'27-L+I -Bd LI Rev'!B16</f>
        <v>139997</v>
      </c>
      <c r="D45" s="41">
        <f>'27-L+I -Bd LI Rev'!C16</f>
        <v>173870</v>
      </c>
      <c r="E45" s="41">
        <f>'27-L+I -Bd LI Rev'!D16</f>
        <v>175611</v>
      </c>
      <c r="F45" s="41">
        <f>'27-L+I -Bd LI Rev'!E16</f>
        <v>176071</v>
      </c>
      <c r="G45" s="41">
        <f>'27-L+I -Bd LI Rev'!F16</f>
        <v>176071</v>
      </c>
      <c r="H45" s="41">
        <f>'27-L+I -Bd LI Rev'!G16</f>
        <v>176071</v>
      </c>
      <c r="I45" s="41">
        <f>'27-L+I -Bd LI Rev'!H16</f>
        <v>176071</v>
      </c>
      <c r="J45" s="41">
        <f>'27-L+I -Bd LI Rev'!I16</f>
        <v>176071</v>
      </c>
      <c r="K45" s="317">
        <f t="shared" si="0"/>
        <v>1055966</v>
      </c>
    </row>
    <row r="46" spans="1:11" ht="15" x14ac:dyDescent="0.2">
      <c r="A46" s="21">
        <v>10</v>
      </c>
      <c r="B46" s="310" t="s">
        <v>56</v>
      </c>
      <c r="C46" s="41">
        <f>'10-MDO'!B16</f>
        <v>45304925</v>
      </c>
      <c r="D46" s="41">
        <f>'10-MDO'!C16</f>
        <v>55280720</v>
      </c>
      <c r="E46" s="41">
        <f>'10-MDO'!D16</f>
        <v>160607184</v>
      </c>
      <c r="F46" s="41">
        <f>'10-MDO'!E16</f>
        <v>70615244</v>
      </c>
      <c r="G46" s="41">
        <f>'10-MDO'!F16</f>
        <v>71488139</v>
      </c>
      <c r="H46" s="41">
        <f>'10-MDO'!G16</f>
        <v>71739234</v>
      </c>
      <c r="I46" s="41">
        <f>'10-MDO'!H16</f>
        <v>86260493</v>
      </c>
      <c r="J46" s="41">
        <f>'10-MDO'!I16</f>
        <v>86297838</v>
      </c>
      <c r="K46" s="317">
        <f t="shared" si="0"/>
        <v>547008132</v>
      </c>
    </row>
    <row r="47" spans="1:11" ht="15" x14ac:dyDescent="0.2">
      <c r="A47" s="22" t="s">
        <v>57</v>
      </c>
      <c r="B47" s="310" t="s">
        <v>58</v>
      </c>
      <c r="C47" s="41">
        <f>'10LS-MDO-Legal Svcs'!B16</f>
        <v>51574391</v>
      </c>
      <c r="D47" s="41">
        <f>'10LS-MDO-Legal Svcs'!C16</f>
        <v>50938541</v>
      </c>
      <c r="E47" s="41">
        <f>'10LS-MDO-Legal Svcs'!D16</f>
        <v>50938541</v>
      </c>
      <c r="F47" s="41">
        <f>'10LS-MDO-Legal Svcs'!E16</f>
        <v>50104181</v>
      </c>
      <c r="G47" s="41">
        <f>'10LS-MDO-Legal Svcs'!F16</f>
        <v>50104181</v>
      </c>
      <c r="H47" s="41">
        <f>'10LS-MDO-Legal Svcs'!G16</f>
        <v>50104181</v>
      </c>
      <c r="I47" s="41">
        <f>'10LS-MDO-Legal Svcs'!H16</f>
        <v>52138541</v>
      </c>
      <c r="J47" s="41">
        <f>'10LS-MDO-Legal Svcs'!I16</f>
        <v>52138541</v>
      </c>
      <c r="K47" s="317">
        <f t="shared" si="0"/>
        <v>305528166</v>
      </c>
    </row>
    <row r="48" spans="1:11" ht="15" x14ac:dyDescent="0.2">
      <c r="A48" s="21" t="s">
        <v>59</v>
      </c>
      <c r="B48" s="310" t="s">
        <v>60</v>
      </c>
      <c r="C48" s="41">
        <f>'05-Mayor'!B16</f>
        <v>5435738</v>
      </c>
      <c r="D48" s="41">
        <f>'05-Mayor'!C16</f>
        <v>6113633</v>
      </c>
      <c r="E48" s="41">
        <f>'05-Mayor'!D16</f>
        <v>6298286</v>
      </c>
      <c r="F48" s="41">
        <f>'05-Mayor'!E16</f>
        <v>6463592</v>
      </c>
      <c r="G48" s="41">
        <f>'05-Mayor'!F16</f>
        <v>6580201</v>
      </c>
      <c r="H48" s="41">
        <f>'05-Mayor'!G16</f>
        <v>6530201</v>
      </c>
      <c r="I48" s="41">
        <f>'05-Mayor'!H16</f>
        <v>7209736</v>
      </c>
      <c r="J48" s="41">
        <f>'05-Mayor'!I16</f>
        <v>7209736</v>
      </c>
      <c r="K48" s="317">
        <f t="shared" si="0"/>
        <v>40291752</v>
      </c>
    </row>
    <row r="49" spans="1:11" ht="12.75" customHeight="1" x14ac:dyDescent="0.2">
      <c r="A49" s="21" t="s">
        <v>61</v>
      </c>
      <c r="B49" s="310" t="s">
        <v>62</v>
      </c>
      <c r="C49" s="41">
        <f>'05S-Mayor-Schol'!B16</f>
        <v>181000</v>
      </c>
      <c r="D49" s="41">
        <f>'05S-Mayor-Schol'!C16</f>
        <v>200000</v>
      </c>
      <c r="E49" s="41">
        <f>'05S-Mayor-Schol'!D16</f>
        <v>200000</v>
      </c>
      <c r="F49" s="41">
        <f>'05S-Mayor-Schol'!E16</f>
        <v>100000</v>
      </c>
      <c r="G49" s="41">
        <f>'05S-Mayor-Schol'!F16</f>
        <v>100000</v>
      </c>
      <c r="H49" s="41">
        <f>'05S-Mayor-Schol'!G16</f>
        <v>100000</v>
      </c>
      <c r="I49" s="41">
        <f>'05S-Mayor-Schol'!H16</f>
        <v>200000</v>
      </c>
      <c r="J49" s="41">
        <f>'05S-Mayor-Schol'!I16</f>
        <v>200000</v>
      </c>
      <c r="K49" s="317">
        <f t="shared" si="0"/>
        <v>900000</v>
      </c>
    </row>
    <row r="50" spans="1:11" ht="12.75" customHeight="1" x14ac:dyDescent="0.2">
      <c r="A50" s="21">
        <v>65</v>
      </c>
      <c r="B50" s="310" t="s">
        <v>208</v>
      </c>
      <c r="C50" s="41">
        <f>+'65-CAO'!B16</f>
        <v>5996422</v>
      </c>
      <c r="D50" s="41">
        <f>+'65-CAO'!C16</f>
        <v>7438265</v>
      </c>
      <c r="E50" s="41">
        <f>+'65-CAO'!D16</f>
        <v>7520042</v>
      </c>
      <c r="F50" s="41">
        <f>+'65-CAO'!E16</f>
        <v>6333779</v>
      </c>
      <c r="G50" s="41">
        <f>+'65-CAO'!F16</f>
        <v>5937011</v>
      </c>
      <c r="H50" s="41">
        <f>+'65-CAO'!G16</f>
        <v>5877011</v>
      </c>
      <c r="I50" s="41">
        <f>+'65-CAO'!H16</f>
        <v>7147676</v>
      </c>
      <c r="J50" s="41">
        <f>+'65-CAO'!I16</f>
        <v>7147676</v>
      </c>
      <c r="K50" s="317">
        <f t="shared" si="0"/>
        <v>39963195</v>
      </c>
    </row>
    <row r="51" spans="1:11" ht="12.75" customHeight="1" x14ac:dyDescent="0.2">
      <c r="A51" s="21">
        <v>66</v>
      </c>
      <c r="B51" s="909" t="s">
        <v>706</v>
      </c>
      <c r="C51" s="41">
        <f>+'66-OCF'!B16</f>
        <v>26141449</v>
      </c>
      <c r="D51" s="41">
        <f>+'66-OCF'!C16</f>
        <v>45350014</v>
      </c>
      <c r="E51" s="41">
        <f>+'66-OCF'!D16</f>
        <v>43950014</v>
      </c>
      <c r="F51" s="41">
        <f>+'66-OCF'!E16</f>
        <v>418820</v>
      </c>
      <c r="G51" s="41">
        <f>+'66-OCF'!F16</f>
        <v>442000</v>
      </c>
      <c r="H51" s="41">
        <f>+'66-OCF'!G16</f>
        <v>442000</v>
      </c>
      <c r="I51" s="41">
        <f>+'66-OCF'!H16</f>
        <v>442000</v>
      </c>
      <c r="J51" s="41">
        <f>+'66-OCF'!I16</f>
        <v>442000</v>
      </c>
      <c r="K51" s="317">
        <f t="shared" si="0"/>
        <v>46136834</v>
      </c>
    </row>
    <row r="52" spans="1:11" ht="15" customHeight="1" x14ac:dyDescent="0.2">
      <c r="A52" s="21" t="s">
        <v>63</v>
      </c>
      <c r="B52" s="310" t="s">
        <v>96</v>
      </c>
      <c r="C52" s="41">
        <f>'08-CEO( MOCS_08)'!B16</f>
        <v>88250</v>
      </c>
      <c r="D52" s="41">
        <f>'08-CEO( MOCS_08)'!C16</f>
        <v>90000</v>
      </c>
      <c r="E52" s="41">
        <f>'08-CEO( MOCS_08)'!D16</f>
        <v>90000</v>
      </c>
      <c r="F52" s="41">
        <f>'08-CEO( MOCS_08)'!E16</f>
        <v>45000</v>
      </c>
      <c r="G52" s="41">
        <f>'08-CEO( MOCS_08)'!F16</f>
        <v>45000</v>
      </c>
      <c r="H52" s="41">
        <f>'08-CEO( MOCS_08)'!G16</f>
        <v>45000</v>
      </c>
      <c r="I52" s="41">
        <f>'08-CEO( MOCS_08)'!H16</f>
        <v>90000</v>
      </c>
      <c r="J52" s="41">
        <f>'08-CEO( MOCS_08)'!I16</f>
        <v>90000</v>
      </c>
      <c r="K52" s="317">
        <f t="shared" si="0"/>
        <v>405000</v>
      </c>
    </row>
    <row r="53" spans="1:11" ht="15" x14ac:dyDescent="0.2">
      <c r="A53" s="21">
        <v>50</v>
      </c>
      <c r="B53" s="310" t="s">
        <v>64</v>
      </c>
      <c r="C53" s="41">
        <f>'50-Mural Arts'!B16</f>
        <v>2367227</v>
      </c>
      <c r="D53" s="41">
        <f>'50-Mural Arts'!C16</f>
        <v>2499602</v>
      </c>
      <c r="E53" s="41">
        <f>'50-Mural Arts'!D16</f>
        <v>2545184</v>
      </c>
      <c r="F53" s="41">
        <f>'50-Mural Arts'!E16</f>
        <v>2124562</v>
      </c>
      <c r="G53" s="41">
        <f>'50-Mural Arts'!F16</f>
        <v>2132179</v>
      </c>
      <c r="H53" s="41">
        <f>'50-Mural Arts'!G16</f>
        <v>2132179</v>
      </c>
      <c r="I53" s="41">
        <f>'50-Mural Arts'!H16</f>
        <v>2630184</v>
      </c>
      <c r="J53" s="41">
        <f>'50-Mural Arts'!I16</f>
        <v>2630184</v>
      </c>
      <c r="K53" s="317">
        <f t="shared" si="0"/>
        <v>14194472</v>
      </c>
    </row>
    <row r="54" spans="1:11" ht="15" x14ac:dyDescent="0.2">
      <c r="A54" s="21">
        <v>58</v>
      </c>
      <c r="B54" s="310" t="s">
        <v>65</v>
      </c>
      <c r="C54" s="41">
        <f>'58-Arts&amp;Culture'!B16</f>
        <v>4310450</v>
      </c>
      <c r="D54" s="41">
        <f>'58-Arts&amp;Culture'!C16</f>
        <v>4098002</v>
      </c>
      <c r="E54" s="41">
        <f>'58-Arts&amp;Culture'!D16</f>
        <v>4419130</v>
      </c>
      <c r="F54" s="41">
        <f>'58-Arts&amp;Culture'!E16</f>
        <v>0</v>
      </c>
      <c r="G54" s="41">
        <f>'58-Arts&amp;Culture'!F16</f>
        <v>0</v>
      </c>
      <c r="H54" s="41">
        <f>'58-Arts&amp;Culture'!G16</f>
        <v>0</v>
      </c>
      <c r="I54" s="41">
        <f>'58-Arts&amp;Culture'!H16</f>
        <v>0</v>
      </c>
      <c r="J54" s="41">
        <f>'58-Arts&amp;Culture'!I16</f>
        <v>0</v>
      </c>
      <c r="K54" s="317">
        <f t="shared" si="0"/>
        <v>4419130</v>
      </c>
    </row>
    <row r="55" spans="1:11" ht="15" x14ac:dyDescent="0.2">
      <c r="A55" s="21">
        <v>15</v>
      </c>
      <c r="B55" s="310" t="s">
        <v>97</v>
      </c>
      <c r="C55" s="41">
        <f>'15-OBH'!B16</f>
        <v>17115534</v>
      </c>
      <c r="D55" s="41">
        <f>'15-OBH'!C16</f>
        <v>15895444</v>
      </c>
      <c r="E55" s="41">
        <f>'15-OBH'!D16</f>
        <v>15917185</v>
      </c>
      <c r="F55" s="41">
        <f>'15-OBH'!E16</f>
        <v>15477402</v>
      </c>
      <c r="G55" s="41">
        <f>'15-OBH'!F16</f>
        <v>15492580</v>
      </c>
      <c r="H55" s="41">
        <f>'15-OBH'!G16</f>
        <v>15492580</v>
      </c>
      <c r="I55" s="41">
        <f>'15-OBH'!H16</f>
        <v>15492580</v>
      </c>
      <c r="J55" s="41">
        <f>'15-OBH'!I16</f>
        <v>15492580</v>
      </c>
      <c r="K55" s="317">
        <f t="shared" si="0"/>
        <v>93364907</v>
      </c>
    </row>
    <row r="56" spans="1:11" ht="15" x14ac:dyDescent="0.2">
      <c r="A56" s="21">
        <v>24</v>
      </c>
      <c r="B56" s="310" t="s">
        <v>236</v>
      </c>
      <c r="C56" s="41">
        <f>'24-OHS'!B16</f>
        <v>56769589</v>
      </c>
      <c r="D56" s="41">
        <f>'24-OHS'!C16</f>
        <v>59945719</v>
      </c>
      <c r="E56" s="41">
        <f>'24-OHS'!D16</f>
        <v>60913509</v>
      </c>
      <c r="F56" s="41">
        <f>'24-OHS'!E16</f>
        <v>44038587</v>
      </c>
      <c r="G56" s="41">
        <f>'24-OHS'!F16</f>
        <v>42539863</v>
      </c>
      <c r="H56" s="41">
        <f>'24-OHS'!G16</f>
        <v>43207136</v>
      </c>
      <c r="I56" s="41">
        <f>'24-OHS'!H16</f>
        <v>59724416</v>
      </c>
      <c r="J56" s="41">
        <f>'24-OHS'!I16</f>
        <v>59724416</v>
      </c>
      <c r="K56" s="317">
        <f>SUM(E56:J56)</f>
        <v>310147927</v>
      </c>
    </row>
    <row r="57" spans="1:11" ht="15" x14ac:dyDescent="0.2">
      <c r="A57" s="21">
        <v>56</v>
      </c>
      <c r="B57" s="310" t="s">
        <v>66</v>
      </c>
      <c r="C57" s="41">
        <f>'56-OHR'!B16</f>
        <v>5695053</v>
      </c>
      <c r="D57" s="41">
        <f>'56-OHR'!C16</f>
        <v>6874287</v>
      </c>
      <c r="E57" s="41">
        <f>'56-OHR'!D16</f>
        <v>6926881</v>
      </c>
      <c r="F57" s="41">
        <f>'56-OHR'!E16</f>
        <v>6237735</v>
      </c>
      <c r="G57" s="41">
        <f>'56-OHR'!F16</f>
        <v>6179794</v>
      </c>
      <c r="H57" s="41">
        <f>'56-OHR'!G16</f>
        <v>6179794</v>
      </c>
      <c r="I57" s="41">
        <f>'56-OHR'!H16</f>
        <v>6985340</v>
      </c>
      <c r="J57" s="41">
        <f>'56-OHR'!I16</f>
        <v>6985340</v>
      </c>
      <c r="K57" s="317">
        <f t="shared" si="0"/>
        <v>39494884</v>
      </c>
    </row>
    <row r="58" spans="1:11" ht="15" x14ac:dyDescent="0.2">
      <c r="A58" s="21" t="s">
        <v>67</v>
      </c>
      <c r="B58" s="310" t="s">
        <v>68</v>
      </c>
      <c r="C58" s="41">
        <f>'04-OIT'!B16</f>
        <v>65709411</v>
      </c>
      <c r="D58" s="41">
        <f>'04-OIT'!C16</f>
        <v>71198539</v>
      </c>
      <c r="E58" s="41">
        <f>'04-OIT'!D16</f>
        <v>76034826</v>
      </c>
      <c r="F58" s="41">
        <f>'04-OIT'!E16</f>
        <v>75795173</v>
      </c>
      <c r="G58" s="41">
        <f>'04-OIT'!F16</f>
        <v>77746637</v>
      </c>
      <c r="H58" s="41">
        <f>'04-OIT'!G16</f>
        <v>80539348</v>
      </c>
      <c r="I58" s="41">
        <f>'04-OIT'!H16</f>
        <v>88996675</v>
      </c>
      <c r="J58" s="41">
        <f>'04-OIT'!I16</f>
        <v>89035656</v>
      </c>
      <c r="K58" s="317">
        <f t="shared" si="0"/>
        <v>488148315</v>
      </c>
    </row>
    <row r="59" spans="1:11" ht="15" x14ac:dyDescent="0.2">
      <c r="A59" s="21" t="s">
        <v>93</v>
      </c>
      <c r="B59" s="310" t="s">
        <v>70</v>
      </c>
      <c r="C59" s="41">
        <f>'04-OIT-911'!B16</f>
        <v>12895463</v>
      </c>
      <c r="D59" s="41">
        <f>'04-OIT-911'!C16</f>
        <v>41235086</v>
      </c>
      <c r="E59" s="41">
        <f>'04-OIT-911'!D16</f>
        <v>41235086</v>
      </c>
      <c r="F59" s="41">
        <f>'04-OIT-911'!E16</f>
        <v>53564955</v>
      </c>
      <c r="G59" s="41">
        <f>'04-OIT-911'!F16</f>
        <v>24643267</v>
      </c>
      <c r="H59" s="41">
        <f>'04-OIT-911'!G16</f>
        <v>24643267</v>
      </c>
      <c r="I59" s="41">
        <f>'04-OIT-911'!H16</f>
        <v>24643267</v>
      </c>
      <c r="J59" s="41">
        <f>'04-OIT-911'!I16</f>
        <v>24643267</v>
      </c>
      <c r="K59" s="317">
        <f t="shared" si="0"/>
        <v>193373109</v>
      </c>
    </row>
    <row r="60" spans="1:11" ht="15" x14ac:dyDescent="0.2">
      <c r="A60" s="21">
        <v>48</v>
      </c>
      <c r="B60" s="310" t="s">
        <v>98</v>
      </c>
      <c r="C60" s="41">
        <f>'48-OIG'!B16</f>
        <v>1513853</v>
      </c>
      <c r="D60" s="41">
        <f>'48-OIG'!C16</f>
        <v>1680441</v>
      </c>
      <c r="E60" s="41">
        <f>'48-OIG'!D16</f>
        <v>1742423</v>
      </c>
      <c r="F60" s="41">
        <f>'48-OIG'!E16</f>
        <v>1575681</v>
      </c>
      <c r="G60" s="41">
        <f>'48-OIG'!F16</f>
        <v>1607423</v>
      </c>
      <c r="H60" s="41">
        <f>'48-OIG'!G16</f>
        <v>1607423</v>
      </c>
      <c r="I60" s="41">
        <f>'48-OIG'!H16</f>
        <v>1867423</v>
      </c>
      <c r="J60" s="41">
        <f>'48-OIG'!I16</f>
        <v>1867423</v>
      </c>
      <c r="K60" s="317">
        <f t="shared" si="0"/>
        <v>10267796</v>
      </c>
    </row>
    <row r="61" spans="1:11" ht="15" x14ac:dyDescent="0.2">
      <c r="A61" s="22">
        <v>59</v>
      </c>
      <c r="B61" s="310" t="s">
        <v>71</v>
      </c>
      <c r="C61" s="41">
        <f>'59-OPA'!B16</f>
        <v>13934797</v>
      </c>
      <c r="D61" s="41">
        <f>'59-OPA'!C16</f>
        <v>17318408</v>
      </c>
      <c r="E61" s="41">
        <f>'59-OPA'!D16</f>
        <v>17461840</v>
      </c>
      <c r="F61" s="41">
        <f>'59-OPA'!E16</f>
        <v>16101293</v>
      </c>
      <c r="G61" s="41">
        <f>'59-OPA'!F16</f>
        <v>15853702</v>
      </c>
      <c r="H61" s="41">
        <f>'59-OPA'!G16</f>
        <v>15753702</v>
      </c>
      <c r="I61" s="41">
        <f>'59-OPA'!H16</f>
        <v>17516470</v>
      </c>
      <c r="J61" s="41">
        <f>'59-OPA'!I16</f>
        <v>17516470</v>
      </c>
      <c r="K61" s="317">
        <f t="shared" si="0"/>
        <v>100203477</v>
      </c>
    </row>
    <row r="62" spans="1:11" ht="15" x14ac:dyDescent="0.2">
      <c r="A62" s="21">
        <v>49</v>
      </c>
      <c r="B62" s="310" t="s">
        <v>200</v>
      </c>
      <c r="C62" s="41">
        <f>+'49-Off of Sustainability'!B16</f>
        <v>955678</v>
      </c>
      <c r="D62" s="41">
        <f>+'49-Off of Sustainability'!C16</f>
        <v>1213258</v>
      </c>
      <c r="E62" s="41">
        <f>+'49-Off of Sustainability'!D16</f>
        <v>1467804</v>
      </c>
      <c r="F62" s="41">
        <f>+'49-Off of Sustainability'!E16</f>
        <v>1203180</v>
      </c>
      <c r="G62" s="41">
        <f>+'49-Off of Sustainability'!F16</f>
        <v>1245948</v>
      </c>
      <c r="H62" s="41">
        <f>+'49-Off of Sustainability'!G16</f>
        <v>1245948</v>
      </c>
      <c r="I62" s="41">
        <f>+'49-Off of Sustainability'!H16</f>
        <v>2498804</v>
      </c>
      <c r="J62" s="41">
        <f>+'49-Off of Sustainability'!I16</f>
        <v>2498804</v>
      </c>
      <c r="K62" s="317">
        <f t="shared" si="0"/>
        <v>10160488</v>
      </c>
    </row>
    <row r="63" spans="1:11" ht="15" x14ac:dyDescent="0.2">
      <c r="A63" s="21">
        <v>16</v>
      </c>
      <c r="B63" s="310" t="s">
        <v>72</v>
      </c>
      <c r="C63" s="41">
        <f>'16-Parks&amp;Rec'!B16</f>
        <v>67144275</v>
      </c>
      <c r="D63" s="41">
        <f>'16-Parks&amp;Rec'!C16</f>
        <v>65058055</v>
      </c>
      <c r="E63" s="41">
        <f>'16-Parks&amp;Rec'!D16</f>
        <v>65838407</v>
      </c>
      <c r="F63" s="41">
        <f>'16-Parks&amp;Rec'!E16</f>
        <v>54926154</v>
      </c>
      <c r="G63" s="41">
        <f>'16-Parks&amp;Rec'!F16</f>
        <v>55281307</v>
      </c>
      <c r="H63" s="41">
        <f>'16-Parks&amp;Rec'!G16</f>
        <v>55911431</v>
      </c>
      <c r="I63" s="41">
        <f>'16-Parks&amp;Rec'!H16</f>
        <v>67436119</v>
      </c>
      <c r="J63" s="41">
        <f>'16-Parks&amp;Rec'!I16</f>
        <v>67436119</v>
      </c>
      <c r="K63" s="317">
        <f t="shared" si="0"/>
        <v>366829537</v>
      </c>
    </row>
    <row r="64" spans="1:11" ht="15" x14ac:dyDescent="0.2">
      <c r="A64" s="21">
        <v>72</v>
      </c>
      <c r="B64" s="310" t="s">
        <v>247</v>
      </c>
      <c r="C64" s="41">
        <f>'72-Planning &amp; Dev (Incl OHCD)'!B16</f>
        <v>12481691</v>
      </c>
      <c r="D64" s="41">
        <f>'72-Planning &amp; Dev (Incl OHCD)'!C16</f>
        <v>11810746</v>
      </c>
      <c r="E64" s="41">
        <f>'72-Planning &amp; Dev (Incl OHCD)'!D16</f>
        <v>16850450</v>
      </c>
      <c r="F64" s="41">
        <f>'72-Planning &amp; Dev (Incl OHCD)'!E16</f>
        <v>8535183</v>
      </c>
      <c r="G64" s="41">
        <f>'72-Planning &amp; Dev (Incl OHCD)'!F16</f>
        <v>8543828</v>
      </c>
      <c r="H64" s="41">
        <f>'72-Planning &amp; Dev (Incl OHCD)'!G16</f>
        <v>8543828</v>
      </c>
      <c r="I64" s="41">
        <f>'72-Planning &amp; Dev (Incl OHCD)'!H16</f>
        <v>16634496</v>
      </c>
      <c r="J64" s="41">
        <f>'72-Planning &amp; Dev (Incl OHCD)'!I16</f>
        <v>16634496</v>
      </c>
      <c r="K64" s="317">
        <f>SUM(E64:J64)</f>
        <v>75742281</v>
      </c>
    </row>
    <row r="65" spans="1:11" ht="15" x14ac:dyDescent="0.2">
      <c r="A65" s="21">
        <v>11</v>
      </c>
      <c r="B65" s="310" t="s">
        <v>73</v>
      </c>
      <c r="C65" s="41">
        <f>'11-Police'!B16</f>
        <v>727904939</v>
      </c>
      <c r="D65" s="41">
        <f>'11-Police'!C16</f>
        <v>741165097</v>
      </c>
      <c r="E65" s="41">
        <f>'11-Police'!D16</f>
        <v>749051948</v>
      </c>
      <c r="F65" s="41">
        <f>'11-Police'!E16</f>
        <v>727007734</v>
      </c>
      <c r="G65" s="41">
        <f>'11-Police'!F16</f>
        <v>727007734</v>
      </c>
      <c r="H65" s="41">
        <f>'11-Police'!G16</f>
        <v>727007734</v>
      </c>
      <c r="I65" s="41">
        <f>'11-Police'!H16</f>
        <v>727007734</v>
      </c>
      <c r="J65" s="41">
        <f>'11-Police'!I16</f>
        <v>727007734</v>
      </c>
      <c r="K65" s="317">
        <f t="shared" si="0"/>
        <v>4384090618</v>
      </c>
    </row>
    <row r="66" spans="1:11" ht="15" x14ac:dyDescent="0.2">
      <c r="A66" s="21">
        <v>23</v>
      </c>
      <c r="B66" s="310" t="s">
        <v>74</v>
      </c>
      <c r="C66" s="41">
        <f>'23-Prisons'!B16</f>
        <v>237042656</v>
      </c>
      <c r="D66" s="41">
        <f>'23-Prisons'!C16</f>
        <v>238183523</v>
      </c>
      <c r="E66" s="41">
        <f>'23-Prisons'!D16</f>
        <v>253617185</v>
      </c>
      <c r="F66" s="41">
        <f>'23-Prisons'!E16</f>
        <v>220169920</v>
      </c>
      <c r="G66" s="41">
        <f>'23-Prisons'!F16</f>
        <v>219229662</v>
      </c>
      <c r="H66" s="41">
        <f>'23-Prisons'!G16</f>
        <v>219229662</v>
      </c>
      <c r="I66" s="41">
        <f>'23-Prisons'!H16</f>
        <v>219229662</v>
      </c>
      <c r="J66" s="41">
        <f>'23-Prisons'!I16</f>
        <v>219229662</v>
      </c>
      <c r="K66" s="317">
        <f t="shared" si="0"/>
        <v>1350705753</v>
      </c>
    </row>
    <row r="67" spans="1:11" ht="15" x14ac:dyDescent="0.2">
      <c r="A67" s="21">
        <v>38</v>
      </c>
      <c r="B67" s="310" t="s">
        <v>75</v>
      </c>
      <c r="C67" s="41">
        <f>'38-Procurement'!B16</f>
        <v>5025883</v>
      </c>
      <c r="D67" s="41">
        <f>'38-Procurement'!C16</f>
        <v>5674563</v>
      </c>
      <c r="E67" s="41">
        <f>'38-Procurement'!D16</f>
        <v>5730341</v>
      </c>
      <c r="F67" s="41">
        <f>'38-Procurement'!E16</f>
        <v>4760336</v>
      </c>
      <c r="G67" s="41">
        <f>'38-Procurement'!F16</f>
        <v>4774439</v>
      </c>
      <c r="H67" s="41">
        <f>'38-Procurement'!G16</f>
        <v>4774439</v>
      </c>
      <c r="I67" s="41">
        <f>'38-Procurement'!H16</f>
        <v>5148976</v>
      </c>
      <c r="J67" s="41">
        <f>'38-Procurement'!I16</f>
        <v>5148976</v>
      </c>
      <c r="K67" s="317">
        <f t="shared" si="0"/>
        <v>30337507</v>
      </c>
    </row>
    <row r="68" spans="1:11" ht="15" x14ac:dyDescent="0.2">
      <c r="A68" s="21">
        <v>14</v>
      </c>
      <c r="B68" s="310" t="s">
        <v>76</v>
      </c>
      <c r="C68" s="41">
        <f>'14-Public Health'!B16</f>
        <v>142683666</v>
      </c>
      <c r="D68" s="41">
        <f>'14-Public Health'!C16</f>
        <v>160572140</v>
      </c>
      <c r="E68" s="41">
        <f>'14-Public Health'!D16</f>
        <v>154667235</v>
      </c>
      <c r="F68" s="41">
        <f>'14-Public Health'!E16</f>
        <v>159352985</v>
      </c>
      <c r="G68" s="41">
        <f>'14-Public Health'!F16</f>
        <v>154896079</v>
      </c>
      <c r="H68" s="41">
        <f>'14-Public Health'!G16</f>
        <v>154782853</v>
      </c>
      <c r="I68" s="41">
        <f>'14-Public Health'!H16</f>
        <v>163674411</v>
      </c>
      <c r="J68" s="41">
        <f>'14-Public Health'!I16</f>
        <v>163713273</v>
      </c>
      <c r="K68" s="317">
        <f t="shared" si="0"/>
        <v>951086836</v>
      </c>
    </row>
    <row r="69" spans="1:11" ht="15" x14ac:dyDescent="0.2">
      <c r="A69" s="22">
        <v>20</v>
      </c>
      <c r="B69" s="310" t="s">
        <v>77</v>
      </c>
      <c r="C69" s="41">
        <f>'20-Public Property'!B16</f>
        <v>71552535</v>
      </c>
      <c r="D69" s="41">
        <f>'20-Public Property'!C16</f>
        <v>68691597</v>
      </c>
      <c r="E69" s="41">
        <f>'20-Public Property'!D16</f>
        <v>74383621</v>
      </c>
      <c r="F69" s="41">
        <f>'20-Public Property'!E16</f>
        <v>70224341</v>
      </c>
      <c r="G69" s="41">
        <f>'20-Public Property'!F16</f>
        <v>72544652</v>
      </c>
      <c r="H69" s="41">
        <f>'20-Public Property'!G16</f>
        <v>74853712</v>
      </c>
      <c r="I69" s="41">
        <f>'20-Public Property'!H16</f>
        <v>82449771</v>
      </c>
      <c r="J69" s="41">
        <f>'20-Public Property'!I16</f>
        <v>82519203</v>
      </c>
      <c r="K69" s="317">
        <f t="shared" si="0"/>
        <v>456975300</v>
      </c>
    </row>
    <row r="70" spans="1:11" ht="15" x14ac:dyDescent="0.2">
      <c r="A70" s="21" t="s">
        <v>78</v>
      </c>
      <c r="B70" s="310" t="s">
        <v>79</v>
      </c>
      <c r="C70" s="41">
        <f>'20S-Public Prop-SEPTA'!B16</f>
        <v>84608000</v>
      </c>
      <c r="D70" s="41">
        <f>'20S-Public Prop-SEPTA'!C16</f>
        <v>87556000</v>
      </c>
      <c r="E70" s="41">
        <f>'20S-Public Prop-SEPTA'!D16</f>
        <v>86356000</v>
      </c>
      <c r="F70" s="41">
        <f>'20S-Public Prop-SEPTA'!E16</f>
        <v>84608000</v>
      </c>
      <c r="G70" s="41">
        <f>'20S-Public Prop-SEPTA'!F16</f>
        <v>91629000</v>
      </c>
      <c r="H70" s="41">
        <f>'20S-Public Prop-SEPTA'!G16</f>
        <v>94816000</v>
      </c>
      <c r="I70" s="41">
        <f>'20S-Public Prop-SEPTA'!H16</f>
        <v>98117000</v>
      </c>
      <c r="J70" s="41">
        <f>'20S-Public Prop-SEPTA'!I16</f>
        <v>101532000</v>
      </c>
      <c r="K70" s="317">
        <f t="shared" si="0"/>
        <v>557058000</v>
      </c>
    </row>
    <row r="71" spans="1:11" ht="15" x14ac:dyDescent="0.2">
      <c r="A71" s="21" t="s">
        <v>80</v>
      </c>
      <c r="B71" s="310" t="s">
        <v>81</v>
      </c>
      <c r="C71" s="41">
        <f>'20SR-Public Prop-Space Rentals'!B16</f>
        <v>20912273</v>
      </c>
      <c r="D71" s="41">
        <f>'20SR-Public Prop-Space Rentals'!C16</f>
        <v>26278677</v>
      </c>
      <c r="E71" s="41">
        <f>'20SR-Public Prop-Space Rentals'!D16</f>
        <v>26278677</v>
      </c>
      <c r="F71" s="41">
        <f>'20SR-Public Prop-Space Rentals'!E16</f>
        <v>25567715</v>
      </c>
      <c r="G71" s="41">
        <f>'20SR-Public Prop-Space Rentals'!F16</f>
        <v>25473164</v>
      </c>
      <c r="H71" s="41">
        <f>'20SR-Public Prop-Space Rentals'!G16</f>
        <v>25570423</v>
      </c>
      <c r="I71" s="41">
        <f>'20SR-Public Prop-Space Rentals'!H16</f>
        <v>30230784</v>
      </c>
      <c r="J71" s="41">
        <f>'20SR-Public Prop-Space Rentals'!I16</f>
        <v>31075653</v>
      </c>
      <c r="K71" s="317">
        <f t="shared" si="0"/>
        <v>164196416</v>
      </c>
    </row>
    <row r="72" spans="1:11" ht="15" x14ac:dyDescent="0.2">
      <c r="A72" s="21" t="s">
        <v>82</v>
      </c>
      <c r="B72" s="310" t="s">
        <v>83</v>
      </c>
      <c r="C72" s="41">
        <f>'20U-Public Prop-Utilities'!B16</f>
        <v>25108810</v>
      </c>
      <c r="D72" s="41">
        <f>'20U-Public Prop-Utilities'!C16</f>
        <v>27393339</v>
      </c>
      <c r="E72" s="41">
        <f>'20U-Public Prop-Utilities'!D16</f>
        <v>27393339</v>
      </c>
      <c r="F72" s="41">
        <f>'20U-Public Prop-Utilities'!E16</f>
        <v>25447623</v>
      </c>
      <c r="G72" s="41">
        <f>'20U-Public Prop-Utilities'!F16</f>
        <v>26304495</v>
      </c>
      <c r="H72" s="41">
        <f>'20U-Public Prop-Utilities'!G16</f>
        <v>27242881</v>
      </c>
      <c r="I72" s="41">
        <f>'20U-Public Prop-Utilities'!H16</f>
        <v>28160163</v>
      </c>
      <c r="J72" s="41">
        <f>'20U-Public Prop-Utilities'!I16</f>
        <v>29108406</v>
      </c>
      <c r="K72" s="317">
        <f t="shared" si="0"/>
        <v>163656907</v>
      </c>
    </row>
    <row r="73" spans="1:11" ht="15" x14ac:dyDescent="0.2">
      <c r="A73" s="21">
        <v>31</v>
      </c>
      <c r="B73" s="310" t="s">
        <v>84</v>
      </c>
      <c r="C73" s="41">
        <f>'31-Records'!B16</f>
        <v>4381749</v>
      </c>
      <c r="D73" s="41">
        <f>'31-Records'!C16</f>
        <v>4910278</v>
      </c>
      <c r="E73" s="41">
        <f>'31-Records'!D16</f>
        <v>4979915</v>
      </c>
      <c r="F73" s="41">
        <f>'31-Records'!E16</f>
        <v>4004335</v>
      </c>
      <c r="G73" s="41">
        <f>'31-Records'!F16</f>
        <v>4013382</v>
      </c>
      <c r="H73" s="41">
        <f>'31-Records'!G16</f>
        <v>4013382</v>
      </c>
      <c r="I73" s="41">
        <f>'31-Records'!H16</f>
        <v>5001812</v>
      </c>
      <c r="J73" s="41">
        <f>'31-Records'!I16</f>
        <v>5001812</v>
      </c>
      <c r="K73" s="317">
        <f t="shared" ref="K73:K79" si="1">SUM(E73:J73)</f>
        <v>27014638</v>
      </c>
    </row>
    <row r="74" spans="1:11" ht="15" x14ac:dyDescent="0.2">
      <c r="A74" s="21">
        <v>68</v>
      </c>
      <c r="B74" s="310" t="s">
        <v>85</v>
      </c>
      <c r="C74" s="41">
        <f>'68-Register of Wills'!B16</f>
        <v>4369231</v>
      </c>
      <c r="D74" s="41">
        <f>'68-Register of Wills'!C16</f>
        <v>4551645</v>
      </c>
      <c r="E74" s="41">
        <f>'68-Register of Wills'!D16</f>
        <v>4678756</v>
      </c>
      <c r="F74" s="41">
        <f>'68-Register of Wills'!E16</f>
        <v>4221429</v>
      </c>
      <c r="G74" s="41">
        <f>'68-Register of Wills'!F16</f>
        <v>4221429</v>
      </c>
      <c r="H74" s="41">
        <f>'68-Register of Wills'!G16</f>
        <v>4221429</v>
      </c>
      <c r="I74" s="41">
        <f>'68-Register of Wills'!H16</f>
        <v>4645520</v>
      </c>
      <c r="J74" s="41">
        <f>'68-Register of Wills'!I16</f>
        <v>4645520</v>
      </c>
      <c r="K74" s="317">
        <f t="shared" si="1"/>
        <v>26634083</v>
      </c>
    </row>
    <row r="75" spans="1:11" ht="15" x14ac:dyDescent="0.2">
      <c r="A75" s="21">
        <v>36</v>
      </c>
      <c r="B75" s="310" t="s">
        <v>86</v>
      </c>
      <c r="C75" s="41">
        <f>'36-Revenue'!B16</f>
        <v>31623367</v>
      </c>
      <c r="D75" s="41">
        <f>'36-Revenue'!C16</f>
        <v>32879233</v>
      </c>
      <c r="E75" s="41">
        <f>'36-Revenue'!D16</f>
        <v>33162577</v>
      </c>
      <c r="F75" s="41">
        <f>'36-Revenue'!E16</f>
        <v>29211398</v>
      </c>
      <c r="G75" s="41">
        <f>'36-Revenue'!F16</f>
        <v>29327800</v>
      </c>
      <c r="H75" s="41">
        <f>'36-Revenue'!G16</f>
        <v>29327800</v>
      </c>
      <c r="I75" s="41">
        <f>'36-Revenue'!H16</f>
        <v>33285962</v>
      </c>
      <c r="J75" s="41">
        <f>'36-Revenue'!I16</f>
        <v>33285962</v>
      </c>
      <c r="K75" s="317">
        <f t="shared" si="1"/>
        <v>187601499</v>
      </c>
    </row>
    <row r="76" spans="1:11" ht="15" x14ac:dyDescent="0.2">
      <c r="A76" s="21">
        <v>70</v>
      </c>
      <c r="B76" s="310" t="s">
        <v>87</v>
      </c>
      <c r="C76" s="41">
        <f>'70-Sheriff'!B16</f>
        <v>29153258</v>
      </c>
      <c r="D76" s="41">
        <f>'70-Sheriff'!C16</f>
        <v>27046961</v>
      </c>
      <c r="E76" s="41">
        <f>'70-Sheriff'!D16</f>
        <v>27265719</v>
      </c>
      <c r="F76" s="41">
        <f>'70-Sheriff'!E16</f>
        <v>26795874</v>
      </c>
      <c r="G76" s="41">
        <f>'70-Sheriff'!F16</f>
        <v>26795874</v>
      </c>
      <c r="H76" s="41">
        <f>'70-Sheriff'!G16</f>
        <v>26795874</v>
      </c>
      <c r="I76" s="41">
        <f>'70-Sheriff'!H16</f>
        <v>27692413</v>
      </c>
      <c r="J76" s="41">
        <f>'70-Sheriff'!I16</f>
        <v>27692413</v>
      </c>
      <c r="K76" s="317">
        <f t="shared" si="1"/>
        <v>163038167</v>
      </c>
    </row>
    <row r="77" spans="1:11" ht="15" x14ac:dyDescent="0.2">
      <c r="A77" s="21">
        <v>37</v>
      </c>
      <c r="B77" s="310" t="s">
        <v>88</v>
      </c>
      <c r="C77" s="41">
        <f>'37-Sinking Fund'!B16</f>
        <v>256995453</v>
      </c>
      <c r="D77" s="41">
        <f>'37-Sinking Fund'!C16</f>
        <v>296705317</v>
      </c>
      <c r="E77" s="41">
        <f>'37-Sinking Fund'!D16</f>
        <v>289705317</v>
      </c>
      <c r="F77" s="41">
        <f>'37-Sinking Fund'!E16</f>
        <v>282632431</v>
      </c>
      <c r="G77" s="41">
        <f>'37-Sinking Fund'!F16</f>
        <v>311547577</v>
      </c>
      <c r="H77" s="41">
        <f>'37-Sinking Fund'!G16</f>
        <v>336652557</v>
      </c>
      <c r="I77" s="41">
        <f>'37-Sinking Fund'!H16</f>
        <v>363876890</v>
      </c>
      <c r="J77" s="41">
        <f>'37-Sinking Fund'!I16</f>
        <v>374026290</v>
      </c>
      <c r="K77" s="317">
        <f t="shared" si="1"/>
        <v>1958441062</v>
      </c>
    </row>
    <row r="78" spans="1:11" ht="15" x14ac:dyDescent="0.2">
      <c r="A78" s="21" t="s">
        <v>280</v>
      </c>
      <c r="B78" s="310" t="s">
        <v>279</v>
      </c>
      <c r="C78" s="41">
        <f>+'12D-Streets-Disposal'!B16</f>
        <v>47536717</v>
      </c>
      <c r="D78" s="41">
        <f>+'12D-Streets-Disposal'!C16</f>
        <v>48340013</v>
      </c>
      <c r="E78" s="41">
        <f>+'12D-Streets-Disposal'!D16</f>
        <v>48340013</v>
      </c>
      <c r="F78" s="41">
        <f>+'12D-Streets-Disposal'!E16</f>
        <v>51462580</v>
      </c>
      <c r="G78" s="41">
        <f>+'12D-Streets-Disposal'!F16</f>
        <v>52270378</v>
      </c>
      <c r="H78" s="41">
        <f>+'12D-Streets-Disposal'!G16</f>
        <v>53503636</v>
      </c>
      <c r="I78" s="41">
        <f>+'12D-Streets-Disposal'!H16</f>
        <v>55195419</v>
      </c>
      <c r="J78" s="41">
        <f>+'12D-Streets-Disposal'!I16</f>
        <v>56954817</v>
      </c>
      <c r="K78" s="317">
        <f t="shared" si="1"/>
        <v>317726843</v>
      </c>
    </row>
    <row r="79" spans="1:11" ht="16" thickBot="1" x14ac:dyDescent="0.25">
      <c r="A79" s="21" t="s">
        <v>230</v>
      </c>
      <c r="B79" s="310" t="s">
        <v>231</v>
      </c>
      <c r="C79" s="41">
        <f>'12-Streets'!B16</f>
        <v>111934458</v>
      </c>
      <c r="D79" s="41">
        <f>'12-Streets'!C16</f>
        <v>108692919</v>
      </c>
      <c r="E79" s="41">
        <f>'12-Streets'!D16</f>
        <v>106781958</v>
      </c>
      <c r="F79" s="41">
        <f>'12-Streets'!E16</f>
        <v>101559775</v>
      </c>
      <c r="G79" s="41">
        <f>'12-Streets'!F16</f>
        <v>104524917</v>
      </c>
      <c r="H79" s="41">
        <f>'12-Streets'!G16</f>
        <v>107041225</v>
      </c>
      <c r="I79" s="41">
        <f>'12-Streets'!H16</f>
        <v>128441001</v>
      </c>
      <c r="J79" s="41">
        <f>'12-Streets'!I16</f>
        <v>120561641</v>
      </c>
      <c r="K79" s="317">
        <f t="shared" si="1"/>
        <v>668910517</v>
      </c>
    </row>
    <row r="80" spans="1:11" ht="20.25" customHeight="1" thickBot="1" x14ac:dyDescent="0.25">
      <c r="B80" s="313" t="s">
        <v>11</v>
      </c>
      <c r="C80" s="312">
        <f t="shared" ref="C80:K80" si="2">SUM(C8:C79)</f>
        <v>4772388569</v>
      </c>
      <c r="D80" s="312">
        <f t="shared" si="2"/>
        <v>5025266000</v>
      </c>
      <c r="E80" s="312">
        <f t="shared" si="2"/>
        <v>5087224752</v>
      </c>
      <c r="F80" s="312">
        <f t="shared" si="2"/>
        <v>4804851000.4200001</v>
      </c>
      <c r="G80" s="312">
        <f t="shared" si="2"/>
        <v>5001540436.4200001</v>
      </c>
      <c r="H80" s="312">
        <f t="shared" si="2"/>
        <v>5139313646.4200001</v>
      </c>
      <c r="I80" s="312">
        <f t="shared" si="2"/>
        <v>5449117528.4200001</v>
      </c>
      <c r="J80" s="319">
        <f t="shared" si="2"/>
        <v>5541893250.4200001</v>
      </c>
      <c r="K80" s="312">
        <f t="shared" si="2"/>
        <v>31023940614.099998</v>
      </c>
    </row>
    <row r="81" spans="3:11" ht="15" thickTop="1" x14ac:dyDescent="0.2">
      <c r="D81" s="24"/>
    </row>
    <row r="82" spans="3:11" x14ac:dyDescent="0.2">
      <c r="C82" s="41">
        <f>+Summary!B25</f>
        <v>4772388569</v>
      </c>
      <c r="D82" s="41">
        <f>+Summary!C25</f>
        <v>5025266000</v>
      </c>
      <c r="E82" s="41">
        <f>+Summary!D25</f>
        <v>5087224752</v>
      </c>
      <c r="F82" s="41">
        <f>+Summary!E25</f>
        <v>4804851000.4200001</v>
      </c>
      <c r="G82" s="41">
        <f>+Summary!F25</f>
        <v>5001540436.4200001</v>
      </c>
      <c r="H82" s="41">
        <f>+Summary!G25</f>
        <v>5139313646.4200001</v>
      </c>
      <c r="I82" s="41">
        <f>+Summary!H25</f>
        <v>5449117528.4200001</v>
      </c>
      <c r="J82" s="41">
        <f>+Summary!I25</f>
        <v>5541893250.4200001</v>
      </c>
      <c r="K82" s="41">
        <f>+Summary!J25</f>
        <v>31023940614.099998</v>
      </c>
    </row>
    <row r="83" spans="3:11" x14ac:dyDescent="0.2">
      <c r="C83" s="54">
        <f>+C82-C80</f>
        <v>0</v>
      </c>
      <c r="D83" s="54">
        <f>+D82-D80</f>
        <v>0</v>
      </c>
      <c r="E83" s="54">
        <f t="shared" ref="E83:K83" si="3">+E82-E80</f>
        <v>0</v>
      </c>
      <c r="F83" s="54">
        <f t="shared" si="3"/>
        <v>0</v>
      </c>
      <c r="G83" s="54">
        <f t="shared" si="3"/>
        <v>0</v>
      </c>
      <c r="H83" s="54">
        <f t="shared" si="3"/>
        <v>0</v>
      </c>
      <c r="I83" s="54">
        <f t="shared" si="3"/>
        <v>0</v>
      </c>
      <c r="J83" s="54">
        <f t="shared" si="3"/>
        <v>0</v>
      </c>
      <c r="K83" s="54">
        <f t="shared" si="3"/>
        <v>0</v>
      </c>
    </row>
    <row r="84" spans="3:11" x14ac:dyDescent="0.2">
      <c r="C84" s="54"/>
    </row>
    <row r="85" spans="3:11" x14ac:dyDescent="0.2">
      <c r="C85" s="54"/>
      <c r="F85" s="24">
        <f>+F80-E80</f>
        <v>-282373751.57999992</v>
      </c>
    </row>
    <row r="86" spans="3:11" x14ac:dyDescent="0.2">
      <c r="F86" s="513" t="s">
        <v>325</v>
      </c>
    </row>
  </sheetData>
  <mergeCells count="5">
    <mergeCell ref="A1:J1"/>
    <mergeCell ref="A2:J2"/>
    <mergeCell ref="A3:J3"/>
    <mergeCell ref="A4:J4"/>
    <mergeCell ref="K6:K7"/>
  </mergeCells>
  <conditionalFormatting sqref="A32:K79">
    <cfRule type="expression" dxfId="205" priority="1">
      <formula>MOD(ROW(),2)=0</formula>
    </cfRule>
  </conditionalFormatting>
  <pageMargins left="0.5" right="0.5" top="0.5" bottom="0.5" header="0.3" footer="0.3"/>
  <pageSetup fitToHeight="0" orientation="landscape" r:id="rId1"/>
  <headerFooter>
    <oddHeader>&amp;L&amp;10FY 2021-25 Preliminary Budget&amp;R&amp;D
&amp;T</oddHeader>
    <oddFooter>&amp;L
&amp;C&amp;10Page &amp;P of &amp;N</oddFooter>
  </headerFooter>
  <rowBreaks count="1" manualBreakCount="1">
    <brk id="50" min="1" max="9" man="1"/>
  </rowBreaks>
  <colBreaks count="1" manualBreakCount="1">
    <brk id="6" max="81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  <pageSetUpPr fitToPage="1"/>
  </sheetPr>
  <dimension ref="A1:K52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7.5" style="7" customWidth="1"/>
    <col min="2" max="9" width="14.5" style="7" customWidth="1"/>
    <col min="10" max="11" width="9.1640625" style="7"/>
    <col min="12" max="12" width="39.5" style="7" customWidth="1"/>
    <col min="13" max="17" width="9.1640625" style="7"/>
    <col min="18" max="18" width="10.5" style="7" customWidth="1"/>
    <col min="19" max="20" width="9.1640625" style="7"/>
    <col min="21" max="21" width="10.5" style="7" customWidth="1"/>
    <col min="22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344" t="s">
        <v>14</v>
      </c>
      <c r="B6" s="345" t="s">
        <v>42</v>
      </c>
      <c r="C6" s="963" t="s">
        <v>265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882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2413758</v>
      </c>
      <c r="C9" s="34">
        <v>2650000</v>
      </c>
      <c r="D9" s="227">
        <f>+C9+D21</f>
        <v>2650000</v>
      </c>
      <c r="E9" s="115">
        <f>+D9+E21+E25+E27</f>
        <v>2650000</v>
      </c>
      <c r="F9" s="411">
        <f t="shared" ref="F9:I9" si="0">+E9</f>
        <v>2650000</v>
      </c>
      <c r="G9" s="34">
        <f t="shared" si="0"/>
        <v>2650000</v>
      </c>
      <c r="H9" s="227">
        <f t="shared" si="0"/>
        <v>2650000</v>
      </c>
      <c r="I9" s="51">
        <f t="shared" si="0"/>
        <v>2650000</v>
      </c>
      <c r="K9" s="7">
        <v>100</v>
      </c>
    </row>
    <row r="10" spans="1:11" x14ac:dyDescent="0.2">
      <c r="A10" s="10" t="s">
        <v>5</v>
      </c>
      <c r="B10" s="36">
        <v>0</v>
      </c>
      <c r="C10" s="36"/>
      <c r="D10" s="230"/>
      <c r="E10" s="550"/>
      <c r="F10" s="548"/>
      <c r="G10" s="36"/>
      <c r="H10" s="230"/>
      <c r="I10" s="37"/>
      <c r="K10" s="7">
        <v>200</v>
      </c>
    </row>
    <row r="11" spans="1:11" x14ac:dyDescent="0.2">
      <c r="A11" s="9" t="s">
        <v>6</v>
      </c>
      <c r="B11" s="34">
        <v>0</v>
      </c>
      <c r="C11" s="34"/>
      <c r="D11" s="227"/>
      <c r="E11" s="115"/>
      <c r="F11" s="411"/>
      <c r="G11" s="34"/>
      <c r="H11" s="227"/>
      <c r="I11" s="35"/>
      <c r="K11" s="7" t="s">
        <v>167</v>
      </c>
    </row>
    <row r="12" spans="1:11" x14ac:dyDescent="0.2">
      <c r="A12" s="10" t="s">
        <v>7</v>
      </c>
      <c r="B12" s="36">
        <v>0</v>
      </c>
      <c r="C12" s="36"/>
      <c r="D12" s="230"/>
      <c r="E12" s="550"/>
      <c r="F12" s="548"/>
      <c r="G12" s="36"/>
      <c r="H12" s="228"/>
      <c r="I12" s="50"/>
      <c r="K12" s="7">
        <v>500</v>
      </c>
    </row>
    <row r="13" spans="1:11" x14ac:dyDescent="0.2">
      <c r="A13" s="9" t="s">
        <v>8</v>
      </c>
      <c r="B13" s="34">
        <v>0</v>
      </c>
      <c r="C13" s="34"/>
      <c r="D13" s="227"/>
      <c r="E13" s="115"/>
      <c r="F13" s="411"/>
      <c r="G13" s="34"/>
      <c r="H13" s="227"/>
      <c r="I13" s="35"/>
      <c r="K13" s="7">
        <v>700</v>
      </c>
    </row>
    <row r="14" spans="1:11" x14ac:dyDescent="0.2">
      <c r="A14" s="10" t="s">
        <v>9</v>
      </c>
      <c r="B14" s="36">
        <v>0</v>
      </c>
      <c r="C14" s="36"/>
      <c r="D14" s="230"/>
      <c r="E14" s="550"/>
      <c r="F14" s="548"/>
      <c r="G14" s="36"/>
      <c r="H14" s="230"/>
      <c r="I14" s="37"/>
      <c r="K14" s="7">
        <v>800</v>
      </c>
    </row>
    <row r="15" spans="1:11" ht="16" thickBot="1" x14ac:dyDescent="0.25">
      <c r="A15" s="11" t="s">
        <v>10</v>
      </c>
      <c r="B15" s="38">
        <v>0</v>
      </c>
      <c r="C15" s="38"/>
      <c r="D15" s="231"/>
      <c r="E15" s="551"/>
      <c r="F15" s="549"/>
      <c r="G15" s="38"/>
      <c r="H15" s="231"/>
      <c r="I15" s="39"/>
      <c r="K15" s="7">
        <v>900</v>
      </c>
    </row>
    <row r="16" spans="1:11" ht="16" thickBot="1" x14ac:dyDescent="0.25">
      <c r="A16" s="4" t="s">
        <v>11</v>
      </c>
      <c r="B16" s="40">
        <f>SUM(B9:B15)</f>
        <v>2413758</v>
      </c>
      <c r="C16" s="40">
        <f t="shared" ref="C16:I16" si="1">SUM(C9:C15)</f>
        <v>2650000</v>
      </c>
      <c r="D16" s="40">
        <f t="shared" si="1"/>
        <v>2650000</v>
      </c>
      <c r="E16" s="573">
        <f t="shared" si="1"/>
        <v>2650000</v>
      </c>
      <c r="F16" s="40">
        <f t="shared" si="1"/>
        <v>2650000</v>
      </c>
      <c r="G16" s="40">
        <f t="shared" si="1"/>
        <v>2650000</v>
      </c>
      <c r="H16" s="40">
        <f t="shared" si="1"/>
        <v>2650000</v>
      </c>
      <c r="I16" s="40">
        <f t="shared" si="1"/>
        <v>2650000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452"/>
      <c r="B20" s="71"/>
      <c r="C20" s="72"/>
      <c r="D20" s="73"/>
      <c r="E20" s="74"/>
      <c r="F20" s="74"/>
      <c r="G20" s="74"/>
      <c r="H20" s="74"/>
      <c r="I20" s="74"/>
    </row>
    <row r="21" spans="1:10" ht="13" customHeight="1" x14ac:dyDescent="0.2">
      <c r="A21" s="306"/>
      <c r="B21" s="102"/>
      <c r="C21" s="94"/>
      <c r="D21" s="95"/>
      <c r="E21" s="95"/>
      <c r="F21" s="95"/>
      <c r="G21" s="95"/>
      <c r="H21" s="95"/>
      <c r="I21" s="95"/>
      <c r="J21" s="17"/>
    </row>
    <row r="22" spans="1:10" ht="13" customHeight="1" x14ac:dyDescent="0.2">
      <c r="A22" s="351"/>
      <c r="B22" s="102"/>
      <c r="C22" s="94"/>
      <c r="D22" s="95"/>
      <c r="E22" s="95"/>
      <c r="F22" s="95"/>
      <c r="G22" s="95"/>
      <c r="H22" s="20"/>
      <c r="I22" s="20"/>
      <c r="J22" s="17"/>
    </row>
    <row r="23" spans="1:10" s="59" customFormat="1" ht="13" customHeight="1" x14ac:dyDescent="0.2">
      <c r="A23" s="174"/>
      <c r="B23" s="102"/>
      <c r="C23" s="94"/>
      <c r="D23" s="95"/>
      <c r="E23" s="95"/>
      <c r="F23" s="95"/>
      <c r="G23" s="95"/>
      <c r="H23" s="95"/>
      <c r="I23" s="95"/>
      <c r="J23" s="82"/>
    </row>
    <row r="24" spans="1:10" s="59" customFormat="1" ht="13" customHeight="1" x14ac:dyDescent="0.2">
      <c r="A24" s="366"/>
      <c r="B24" s="93"/>
      <c r="C24" s="94"/>
      <c r="D24" s="95"/>
      <c r="E24" s="95"/>
      <c r="F24" s="95"/>
      <c r="G24" s="95"/>
      <c r="H24" s="95"/>
      <c r="I24" s="95"/>
      <c r="J24" s="82"/>
    </row>
    <row r="25" spans="1:10" s="59" customFormat="1" ht="13" customHeight="1" x14ac:dyDescent="0.2">
      <c r="A25" s="20"/>
      <c r="B25" s="207"/>
      <c r="C25" s="20"/>
      <c r="D25" s="207"/>
      <c r="E25" s="95"/>
      <c r="F25" s="95"/>
      <c r="G25" s="95"/>
      <c r="H25" s="95"/>
      <c r="I25" s="95"/>
      <c r="J25" s="82"/>
    </row>
    <row r="26" spans="1:10" s="59" customFormat="1" ht="12.75" customHeight="1" x14ac:dyDescent="0.2">
      <c r="A26" s="347"/>
      <c r="B26" s="20"/>
      <c r="C26" s="20"/>
      <c r="D26" s="20"/>
      <c r="E26" s="95"/>
      <c r="F26" s="95"/>
      <c r="G26" s="20"/>
      <c r="H26" s="20"/>
      <c r="I26" s="20"/>
    </row>
    <row r="27" spans="1:10" s="59" customFormat="1" ht="12.75" customHeight="1" x14ac:dyDescent="0.2">
      <c r="A27" s="367"/>
      <c r="B27" s="207"/>
      <c r="C27" s="20"/>
      <c r="D27" s="95"/>
      <c r="E27" s="95"/>
      <c r="F27" s="95"/>
      <c r="G27" s="95"/>
      <c r="H27" s="95"/>
      <c r="I27" s="95"/>
    </row>
    <row r="28" spans="1:10" s="59" customFormat="1" ht="12.75" customHeight="1" x14ac:dyDescent="0.2">
      <c r="A28" s="20"/>
      <c r="B28" s="207"/>
      <c r="C28" s="348"/>
      <c r="D28" s="327"/>
      <c r="E28" s="95"/>
      <c r="F28" s="95"/>
      <c r="G28" s="20"/>
      <c r="H28" s="20"/>
      <c r="I28" s="20"/>
    </row>
    <row r="29" spans="1:10" s="59" customFormat="1" ht="12.75" customHeight="1" x14ac:dyDescent="0.2">
      <c r="A29" s="347"/>
      <c r="B29" s="207"/>
      <c r="C29" s="348"/>
      <c r="D29" s="327"/>
      <c r="E29" s="207"/>
      <c r="F29" s="207"/>
      <c r="G29" s="207"/>
      <c r="H29" s="207"/>
      <c r="I29" s="207"/>
    </row>
    <row r="30" spans="1:10" s="59" customFormat="1" ht="12.75" customHeight="1" x14ac:dyDescent="0.2">
      <c r="A30" s="349"/>
      <c r="B30" s="207"/>
      <c r="C30" s="348"/>
      <c r="D30" s="327"/>
      <c r="E30" s="327"/>
      <c r="F30" s="327"/>
      <c r="G30" s="327"/>
      <c r="H30" s="327"/>
      <c r="I30" s="327"/>
    </row>
    <row r="31" spans="1:10" s="59" customFormat="1" ht="12.75" customHeight="1" x14ac:dyDescent="0.2">
      <c r="A31" s="349"/>
      <c r="B31" s="207"/>
      <c r="C31" s="348"/>
      <c r="D31" s="327"/>
      <c r="E31" s="95"/>
      <c r="F31" s="207"/>
      <c r="G31" s="207"/>
      <c r="H31" s="207"/>
      <c r="I31" s="207"/>
    </row>
    <row r="32" spans="1:10" s="59" customFormat="1" ht="12.75" customHeight="1" x14ac:dyDescent="0.2">
      <c r="A32" s="349"/>
      <c r="B32" s="207"/>
      <c r="C32" s="289"/>
      <c r="D32" s="327"/>
      <c r="E32" s="327"/>
      <c r="F32" s="327"/>
      <c r="G32" s="327"/>
      <c r="H32" s="327"/>
      <c r="I32" s="327"/>
    </row>
    <row r="33" spans="1:9" s="59" customFormat="1" ht="12.75" customHeight="1" x14ac:dyDescent="0.2">
      <c r="A33" s="349"/>
      <c r="B33" s="207"/>
      <c r="C33" s="348"/>
      <c r="D33" s="327"/>
      <c r="E33" s="95"/>
      <c r="F33" s="207"/>
      <c r="G33" s="207"/>
      <c r="H33" s="207"/>
      <c r="I33" s="207"/>
    </row>
    <row r="34" spans="1:9" s="59" customFormat="1" ht="12.75" customHeight="1" x14ac:dyDescent="0.2">
      <c r="A34" s="349"/>
      <c r="B34" s="207"/>
      <c r="C34" s="289"/>
      <c r="D34" s="327"/>
      <c r="E34" s="327"/>
      <c r="F34" s="207"/>
      <c r="G34" s="207"/>
      <c r="H34" s="207"/>
      <c r="I34" s="207"/>
    </row>
    <row r="35" spans="1:9" s="59" customFormat="1" ht="12.75" customHeight="1" x14ac:dyDescent="0.2">
      <c r="A35" s="368"/>
      <c r="B35" s="207"/>
      <c r="C35" s="207"/>
      <c r="D35" s="207"/>
      <c r="E35" s="207"/>
      <c r="F35" s="207"/>
      <c r="G35" s="207"/>
      <c r="H35" s="207"/>
      <c r="I35" s="207"/>
    </row>
    <row r="36" spans="1:9" s="59" customFormat="1" ht="12.75" customHeight="1" x14ac:dyDescent="0.2">
      <c r="A36" s="224"/>
      <c r="B36" s="207"/>
      <c r="C36" s="20"/>
      <c r="D36" s="327"/>
      <c r="E36" s="207"/>
      <c r="F36" s="207"/>
      <c r="G36" s="207"/>
      <c r="H36" s="207"/>
      <c r="I36" s="207"/>
    </row>
    <row r="37" spans="1:9" s="59" customFormat="1" ht="12.75" customHeight="1" x14ac:dyDescent="0.2">
      <c r="A37" s="328"/>
      <c r="B37" s="328"/>
      <c r="C37" s="328"/>
      <c r="D37" s="207"/>
      <c r="E37" s="327"/>
      <c r="F37" s="207"/>
      <c r="G37" s="207"/>
      <c r="H37" s="207"/>
      <c r="I37" s="207"/>
    </row>
    <row r="38" spans="1:9" s="59" customFormat="1" ht="12.75" customHeight="1" x14ac:dyDescent="0.2">
      <c r="A38" s="125"/>
      <c r="B38" s="328"/>
      <c r="C38" s="328"/>
      <c r="D38" s="207"/>
      <c r="E38" s="327"/>
      <c r="F38" s="327"/>
      <c r="G38" s="327"/>
      <c r="H38" s="327"/>
      <c r="I38" s="327"/>
    </row>
    <row r="39" spans="1:9" s="59" customFormat="1" ht="12.75" customHeight="1" x14ac:dyDescent="0.2">
      <c r="A39" s="328"/>
      <c r="B39" s="328"/>
      <c r="C39" s="328"/>
      <c r="D39" s="207"/>
      <c r="E39" s="327"/>
      <c r="F39" s="207"/>
      <c r="G39" s="207"/>
      <c r="H39" s="207"/>
      <c r="I39" s="207"/>
    </row>
    <row r="40" spans="1:9" ht="12.75" customHeight="1" x14ac:dyDescent="0.2">
      <c r="A40" s="350"/>
      <c r="B40" s="350"/>
      <c r="C40" s="350"/>
      <c r="D40" s="327"/>
      <c r="E40" s="53"/>
      <c r="F40" s="53"/>
      <c r="G40" s="53"/>
      <c r="H40" s="53"/>
      <c r="I40" s="53"/>
    </row>
    <row r="41" spans="1:9" ht="12.75" customHeight="1" x14ac:dyDescent="0.2">
      <c r="A41" s="350"/>
      <c r="B41" s="350"/>
      <c r="C41" s="350"/>
      <c r="D41" s="53"/>
      <c r="E41" s="53"/>
      <c r="F41" s="53"/>
      <c r="G41" s="53"/>
      <c r="H41" s="53"/>
      <c r="I41" s="53"/>
    </row>
    <row r="42" spans="1:9" ht="12.75" customHeight="1" x14ac:dyDescent="0.2">
      <c r="A42" s="350"/>
      <c r="B42" s="326"/>
      <c r="C42" s="326"/>
    </row>
    <row r="43" spans="1:9" ht="12.75" customHeight="1" x14ac:dyDescent="0.2">
      <c r="A43" s="350"/>
      <c r="B43" s="326"/>
      <c r="C43" s="326"/>
    </row>
    <row r="44" spans="1:9" ht="12.75" customHeight="1" x14ac:dyDescent="0.2">
      <c r="A44" s="350"/>
      <c r="B44" s="326"/>
      <c r="C44" s="326"/>
    </row>
    <row r="45" spans="1:9" ht="12.75" customHeight="1" x14ac:dyDescent="0.2">
      <c r="A45" s="350"/>
      <c r="B45" s="326"/>
      <c r="C45" s="326"/>
    </row>
    <row r="46" spans="1:9" ht="12.75" customHeight="1" x14ac:dyDescent="0.2">
      <c r="A46" s="350"/>
      <c r="B46" s="326"/>
      <c r="C46" s="326"/>
    </row>
    <row r="47" spans="1:9" ht="12.75" customHeight="1" x14ac:dyDescent="0.2">
      <c r="A47" s="326"/>
      <c r="B47" s="326"/>
      <c r="C47" s="326"/>
    </row>
    <row r="48" spans="1:9" ht="12.75" customHeight="1" x14ac:dyDescent="0.2">
      <c r="A48" s="326"/>
      <c r="B48" s="326"/>
      <c r="C48" s="326"/>
    </row>
    <row r="49" spans="1:3" ht="12.75" customHeight="1" x14ac:dyDescent="0.2">
      <c r="A49" s="326"/>
      <c r="B49" s="326"/>
      <c r="C49" s="326"/>
    </row>
    <row r="50" spans="1:3" ht="12.75" customHeight="1" x14ac:dyDescent="0.2">
      <c r="A50" s="326"/>
      <c r="B50" s="326"/>
      <c r="C50" s="326"/>
    </row>
    <row r="51" spans="1:3" x14ac:dyDescent="0.2">
      <c r="A51" s="326"/>
      <c r="B51" s="326"/>
      <c r="C51" s="326"/>
    </row>
    <row r="52" spans="1:3" x14ac:dyDescent="0.2">
      <c r="A52" s="326"/>
      <c r="B52" s="326"/>
      <c r="C52" s="326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3"/>
    <pageSetUpPr fitToPage="1"/>
  </sheetPr>
  <dimension ref="A1:K61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36</v>
      </c>
      <c r="C6" s="963" t="s">
        <v>152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881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43">
        <v>32409207</v>
      </c>
      <c r="C12" s="36">
        <v>33759207</v>
      </c>
      <c r="D12" s="230">
        <f>+C12+D21</f>
        <v>36059207</v>
      </c>
      <c r="E12" s="550">
        <v>44110159</v>
      </c>
      <c r="F12" s="548">
        <v>48128075</v>
      </c>
      <c r="G12" s="36">
        <v>50106653</v>
      </c>
      <c r="H12" s="230">
        <v>50860996</v>
      </c>
      <c r="I12" s="37">
        <v>50758698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32409207</v>
      </c>
      <c r="C16" s="40">
        <f t="shared" ref="C16:I16" si="2">SUM(C9:C15)</f>
        <v>33759207</v>
      </c>
      <c r="D16" s="40">
        <f t="shared" si="2"/>
        <v>36059207</v>
      </c>
      <c r="E16" s="573">
        <f t="shared" si="2"/>
        <v>44110159</v>
      </c>
      <c r="F16" s="40">
        <f t="shared" si="2"/>
        <v>48128075</v>
      </c>
      <c r="G16" s="40">
        <f t="shared" si="2"/>
        <v>50106653</v>
      </c>
      <c r="H16" s="40">
        <f t="shared" si="2"/>
        <v>50860996</v>
      </c>
      <c r="I16" s="40">
        <f t="shared" si="2"/>
        <v>50758698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676" t="s">
        <v>511</v>
      </c>
      <c r="B20" s="71"/>
      <c r="C20" s="72"/>
      <c r="D20" s="965" t="s">
        <v>861</v>
      </c>
      <c r="E20" s="965"/>
      <c r="F20" s="965"/>
      <c r="G20" s="965"/>
      <c r="H20" s="965"/>
      <c r="I20" s="965"/>
    </row>
    <row r="21" spans="1:10" ht="12.75" customHeight="1" x14ac:dyDescent="0.2">
      <c r="A21" s="817" t="s">
        <v>493</v>
      </c>
      <c r="B21" s="196"/>
      <c r="C21" s="186">
        <v>500</v>
      </c>
      <c r="D21" s="145">
        <v>2300000</v>
      </c>
      <c r="E21" s="145"/>
      <c r="F21" s="145"/>
      <c r="G21" s="145"/>
      <c r="H21" s="145"/>
      <c r="I21" s="145"/>
    </row>
    <row r="22" spans="1:10" ht="13" customHeight="1" x14ac:dyDescent="0.2">
      <c r="A22" s="908" t="s">
        <v>707</v>
      </c>
      <c r="B22" s="102"/>
      <c r="C22" s="94">
        <v>500</v>
      </c>
      <c r="D22" s="95"/>
      <c r="E22" s="95">
        <v>4000000</v>
      </c>
      <c r="F22" s="95"/>
      <c r="G22" s="95"/>
      <c r="H22" s="95"/>
      <c r="I22" s="95"/>
      <c r="J22" s="17"/>
    </row>
    <row r="23" spans="1:10" s="59" customFormat="1" ht="13" customHeight="1" x14ac:dyDescent="0.2">
      <c r="A23" s="910" t="s">
        <v>708</v>
      </c>
      <c r="B23" s="196"/>
      <c r="C23" s="186">
        <v>500</v>
      </c>
      <c r="D23" s="145"/>
      <c r="E23" s="145">
        <v>1000000</v>
      </c>
      <c r="F23" s="145">
        <v>-1000000</v>
      </c>
      <c r="G23" s="145"/>
      <c r="H23" s="145"/>
      <c r="I23" s="145"/>
      <c r="J23" s="82"/>
    </row>
    <row r="24" spans="1:10" ht="13" customHeight="1" x14ac:dyDescent="0.2">
      <c r="A24" s="367" t="s">
        <v>709</v>
      </c>
      <c r="B24" s="102"/>
      <c r="C24" s="94">
        <v>500</v>
      </c>
      <c r="D24" s="95"/>
      <c r="E24" s="95">
        <v>2713797</v>
      </c>
      <c r="F24" s="95">
        <f>2818536-2713797</f>
        <v>104739</v>
      </c>
      <c r="G24" s="95">
        <f>2781950-F24-E24</f>
        <v>-36586</v>
      </c>
      <c r="H24" s="95">
        <f>2633768-G24-F24-E24</f>
        <v>-148182</v>
      </c>
      <c r="I24" s="95">
        <f>2633768-H24-G24-F24-E24</f>
        <v>0</v>
      </c>
      <c r="J24" s="17"/>
    </row>
    <row r="25" spans="1:10" s="59" customFormat="1" ht="13" customHeight="1" x14ac:dyDescent="0.2">
      <c r="A25" s="898" t="s">
        <v>710</v>
      </c>
      <c r="B25" s="67"/>
      <c r="C25" s="75">
        <v>500</v>
      </c>
      <c r="D25" s="70"/>
      <c r="E25" s="70">
        <v>3352559</v>
      </c>
      <c r="F25" s="70">
        <f>5360899-E25</f>
        <v>2008340</v>
      </c>
      <c r="G25" s="70">
        <f>6417974-F25-E25</f>
        <v>1057075</v>
      </c>
      <c r="H25" s="911">
        <f>6505848-G25-F25-E25</f>
        <v>87874</v>
      </c>
      <c r="I25" s="70">
        <f>6505848-H25-G25-F25-E25</f>
        <v>0</v>
      </c>
      <c r="J25" s="82"/>
    </row>
    <row r="26" spans="1:10" ht="13" customHeight="1" x14ac:dyDescent="0.2">
      <c r="A26" s="890" t="s">
        <v>711</v>
      </c>
      <c r="B26" s="71"/>
      <c r="C26" s="76">
        <v>500</v>
      </c>
      <c r="D26" s="74"/>
      <c r="E26" s="74">
        <f>4298000</f>
        <v>4298000</v>
      </c>
      <c r="F26" s="74">
        <f>4050255-E26+54569545-52288897</f>
        <v>2032903</v>
      </c>
      <c r="G26" s="74">
        <f>4325071-F26-E26+985343</f>
        <v>-1020489</v>
      </c>
      <c r="H26" s="74">
        <f>4361703-G26-F26-E26+1009019</f>
        <v>60308</v>
      </c>
      <c r="I26" s="74">
        <f>4399436-H26-G26-F26-E26+971286</f>
        <v>0</v>
      </c>
      <c r="J26" s="17"/>
    </row>
    <row r="27" spans="1:10" ht="13" customHeight="1" x14ac:dyDescent="0.2">
      <c r="A27" s="898" t="s">
        <v>723</v>
      </c>
      <c r="B27" s="67"/>
      <c r="C27" s="75">
        <v>500</v>
      </c>
      <c r="D27" s="70"/>
      <c r="E27" s="70">
        <v>3074455</v>
      </c>
      <c r="F27" s="70">
        <v>-3074455</v>
      </c>
      <c r="G27" s="70"/>
      <c r="H27" s="70"/>
      <c r="I27" s="70"/>
      <c r="J27" s="17"/>
    </row>
    <row r="28" spans="1:10" ht="13" customHeight="1" x14ac:dyDescent="0.2">
      <c r="A28" s="890" t="s">
        <v>736</v>
      </c>
      <c r="B28" s="71"/>
      <c r="C28" s="76">
        <v>500</v>
      </c>
      <c r="D28" s="74"/>
      <c r="E28" s="74">
        <f>(D21+E22)/2*-1</f>
        <v>-3150000</v>
      </c>
      <c r="F28" s="74"/>
      <c r="G28" s="74"/>
      <c r="H28" s="74"/>
      <c r="I28" s="74"/>
      <c r="J28" s="17"/>
    </row>
    <row r="29" spans="1:10" ht="13" customHeight="1" x14ac:dyDescent="0.2">
      <c r="A29" s="898" t="s">
        <v>737</v>
      </c>
      <c r="B29" s="67"/>
      <c r="C29" s="75">
        <v>500</v>
      </c>
      <c r="D29" s="70"/>
      <c r="E29" s="70">
        <f>(E23+E27)/2*-1</f>
        <v>-2037227.5</v>
      </c>
      <c r="F29" s="70"/>
      <c r="G29" s="70"/>
      <c r="H29" s="70"/>
      <c r="I29" s="70"/>
      <c r="J29" s="17"/>
    </row>
    <row r="30" spans="1:10" ht="13" customHeight="1" x14ac:dyDescent="0.2">
      <c r="A30" s="890" t="s">
        <v>738</v>
      </c>
      <c r="B30" s="71"/>
      <c r="C30" s="76">
        <v>500</v>
      </c>
      <c r="D30" s="74"/>
      <c r="E30" s="74">
        <f t="shared" ref="E30:E31" si="3">E24/2*-1</f>
        <v>-1356898.5</v>
      </c>
      <c r="F30" s="74"/>
      <c r="G30" s="74"/>
      <c r="H30" s="74"/>
      <c r="I30" s="74"/>
      <c r="J30" s="17"/>
    </row>
    <row r="31" spans="1:10" ht="13" customHeight="1" x14ac:dyDescent="0.2">
      <c r="A31" s="898" t="s">
        <v>739</v>
      </c>
      <c r="B31" s="67"/>
      <c r="C31" s="75">
        <v>500</v>
      </c>
      <c r="D31" s="70"/>
      <c r="E31" s="70">
        <f t="shared" si="3"/>
        <v>-1676279.5</v>
      </c>
      <c r="F31" s="70"/>
      <c r="G31" s="70"/>
      <c r="H31" s="70"/>
      <c r="I31" s="70"/>
      <c r="J31" s="17"/>
    </row>
    <row r="32" spans="1:10" ht="13" customHeight="1" x14ac:dyDescent="0.2">
      <c r="A32" s="890" t="s">
        <v>740</v>
      </c>
      <c r="B32" s="71"/>
      <c r="C32" s="76">
        <v>500</v>
      </c>
      <c r="D32" s="74"/>
      <c r="E32" s="74">
        <f>(E26/2*-1)-18454</f>
        <v>-2167454</v>
      </c>
      <c r="F32" s="74">
        <v>3927935.5</v>
      </c>
      <c r="G32" s="74">
        <v>5906513.5</v>
      </c>
      <c r="H32" s="74">
        <v>6660856.5</v>
      </c>
      <c r="I32" s="74">
        <v>6558558.5</v>
      </c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1"/>
      <c r="C34" s="72"/>
      <c r="D34" s="73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2.75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80"/>
      <c r="B44" s="71"/>
      <c r="C44" s="72"/>
      <c r="D44" s="73"/>
      <c r="E44" s="74"/>
      <c r="F44" s="74"/>
      <c r="G44" s="74"/>
      <c r="H44" s="74"/>
      <c r="I44" s="74"/>
      <c r="J44" s="17"/>
    </row>
    <row r="45" spans="1:10" ht="13" customHeight="1" x14ac:dyDescent="0.2">
      <c r="A45" s="81"/>
      <c r="B45" s="71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1"/>
      <c r="C55" s="72"/>
      <c r="D55" s="73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1"/>
      <c r="C56" s="72"/>
      <c r="D56" s="73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1"/>
      <c r="C57" s="72"/>
      <c r="D57" s="73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  <row r="61" spans="1:10" ht="13" customHeight="1" x14ac:dyDescent="0.2">
      <c r="A61" s="78"/>
      <c r="B61" s="79"/>
      <c r="C61" s="76"/>
      <c r="D61" s="74"/>
      <c r="E61" s="74"/>
      <c r="F61" s="74"/>
      <c r="G61" s="74"/>
      <c r="H61" s="74"/>
      <c r="I61" s="74"/>
      <c r="J61" s="17"/>
    </row>
  </sheetData>
  <mergeCells count="7">
    <mergeCell ref="D20:I20"/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8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3"/>
    <pageSetUpPr fitToPage="1"/>
  </sheetPr>
  <dimension ref="A1:K61"/>
  <sheetViews>
    <sheetView zoomScaleNormal="100" zoomScaleSheetLayoutView="90" workbookViewId="0">
      <selection activeCell="A3" sqref="A3:I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A5" s="204" t="s">
        <v>209</v>
      </c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179" t="s">
        <v>14</v>
      </c>
      <c r="B6" s="180" t="s">
        <v>201</v>
      </c>
      <c r="C6" s="963" t="s">
        <v>202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880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3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43">
        <v>0</v>
      </c>
      <c r="C12" s="36">
        <v>0</v>
      </c>
      <c r="D12" s="230">
        <f t="shared" si="0"/>
        <v>0</v>
      </c>
      <c r="E12" s="550">
        <v>0</v>
      </c>
      <c r="F12" s="548">
        <v>0</v>
      </c>
      <c r="G12" s="36"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34276000</v>
      </c>
      <c r="D14" s="230">
        <f>+C14</f>
        <v>34276000</v>
      </c>
      <c r="E14" s="550">
        <f>35062000+E21+E22</f>
        <v>0</v>
      </c>
      <c r="F14" s="548">
        <f>36066000+F21+F22</f>
        <v>0</v>
      </c>
      <c r="G14" s="49">
        <f>37214000+G21+G22</f>
        <v>0</v>
      </c>
      <c r="H14" s="228">
        <f>38188000+H21+H22</f>
        <v>0</v>
      </c>
      <c r="I14" s="50">
        <f>38188000+I21+I22</f>
        <v>39894000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v>0</v>
      </c>
      <c r="E15" s="551">
        <v>0</v>
      </c>
      <c r="F15" s="549">
        <f t="shared" si="1"/>
        <v>0</v>
      </c>
      <c r="G15" s="38">
        <f t="shared" si="1"/>
        <v>0</v>
      </c>
      <c r="H15" s="231">
        <f>27891000-27891000</f>
        <v>0</v>
      </c>
      <c r="I15" s="39">
        <f>27891000-27891000</f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0</v>
      </c>
      <c r="C16" s="40">
        <f t="shared" ref="C16:I16" si="2">SUM(C9:C15)</f>
        <v>34276000</v>
      </c>
      <c r="D16" s="40">
        <f t="shared" si="2"/>
        <v>34276000</v>
      </c>
      <c r="E16" s="573">
        <f t="shared" si="2"/>
        <v>0</v>
      </c>
      <c r="F16" s="40">
        <f t="shared" si="2"/>
        <v>0</v>
      </c>
      <c r="G16" s="40">
        <f t="shared" si="2"/>
        <v>0</v>
      </c>
      <c r="H16" s="40">
        <f t="shared" si="2"/>
        <v>0</v>
      </c>
      <c r="I16" s="40">
        <f t="shared" si="2"/>
        <v>39894000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453" t="s">
        <v>450</v>
      </c>
      <c r="B20" s="67"/>
      <c r="C20" s="68"/>
      <c r="D20" s="69"/>
      <c r="E20" s="70"/>
      <c r="F20" s="70"/>
      <c r="G20" s="70"/>
      <c r="H20" s="70"/>
      <c r="I20" s="70"/>
    </row>
    <row r="21" spans="1:10" ht="13" customHeight="1" x14ac:dyDescent="0.2">
      <c r="A21" s="875" t="s">
        <v>611</v>
      </c>
      <c r="B21" s="71"/>
      <c r="C21" s="76"/>
      <c r="D21" s="74"/>
      <c r="E21" s="74">
        <f>36528000-35062000</f>
        <v>1466000</v>
      </c>
      <c r="F21" s="74">
        <f>37563000-36066000</f>
        <v>1497000</v>
      </c>
      <c r="G21" s="74">
        <f>39264000-37214000</f>
        <v>2050000</v>
      </c>
      <c r="H21" s="74">
        <f>40124000-38188000</f>
        <v>1936000</v>
      </c>
      <c r="I21" s="74">
        <f>41126000-38188000</f>
        <v>2938000</v>
      </c>
      <c r="J21" s="17"/>
    </row>
    <row r="22" spans="1:10" s="59" customFormat="1" ht="13" customHeight="1" x14ac:dyDescent="0.2">
      <c r="A22" s="308" t="s">
        <v>735</v>
      </c>
      <c r="B22" s="203"/>
      <c r="C22" s="933"/>
      <c r="D22" s="203"/>
      <c r="E22" s="70">
        <v>-36528000</v>
      </c>
      <c r="F22" s="70">
        <v>-37563000</v>
      </c>
      <c r="G22" s="70">
        <f>-39264000</f>
        <v>-39264000</v>
      </c>
      <c r="H22" s="70">
        <f>-40124000+39711000-39711000</f>
        <v>-40124000</v>
      </c>
      <c r="I22" s="70">
        <f>-41126000+40585000-40585000+39894000</f>
        <v>-1232000</v>
      </c>
      <c r="J22" s="82"/>
    </row>
    <row r="23" spans="1:10" ht="13" customHeight="1" x14ac:dyDescent="0.2">
      <c r="A23" s="674"/>
      <c r="B23" s="436"/>
      <c r="C23" s="678"/>
      <c r="D23" s="714"/>
      <c r="E23" s="714"/>
      <c r="F23" s="77"/>
      <c r="G23" s="77"/>
      <c r="H23" s="77"/>
      <c r="I23" s="77"/>
      <c r="J23" s="17"/>
    </row>
    <row r="24" spans="1:10" s="59" customFormat="1" ht="13" customHeight="1" x14ac:dyDescent="0.2">
      <c r="A24" s="679"/>
      <c r="B24" s="67"/>
      <c r="C24" s="75"/>
      <c r="D24" s="145"/>
      <c r="E24" s="145"/>
      <c r="F24" s="70"/>
      <c r="G24" s="70"/>
      <c r="H24" s="70"/>
      <c r="I24" s="70"/>
      <c r="J24" s="82"/>
    </row>
    <row r="25" spans="1:10" ht="13" customHeight="1" x14ac:dyDescent="0.2">
      <c r="A25" s="691"/>
      <c r="B25" s="100"/>
      <c r="C25" s="91"/>
      <c r="D25" s="92"/>
      <c r="E25" s="92"/>
      <c r="F25" s="92"/>
      <c r="G25" s="92"/>
      <c r="H25" s="92"/>
      <c r="I25" s="92"/>
      <c r="J25" s="17"/>
    </row>
    <row r="26" spans="1:10" ht="16.5" customHeight="1" x14ac:dyDescent="0.2">
      <c r="A26" s="715"/>
      <c r="B26" s="71"/>
      <c r="C26" s="76"/>
      <c r="D26" s="74"/>
      <c r="E26" s="74"/>
      <c r="F26" s="74"/>
      <c r="G26" s="74"/>
      <c r="H26" s="74"/>
      <c r="I26" s="74"/>
      <c r="J26" s="17"/>
    </row>
    <row r="27" spans="1:10" ht="13" customHeight="1" x14ac:dyDescent="0.2">
      <c r="A27" s="78"/>
      <c r="B27" s="71"/>
      <c r="C27" s="76"/>
      <c r="D27" s="74"/>
      <c r="E27" s="74"/>
      <c r="F27" s="74"/>
      <c r="G27" s="74"/>
      <c r="H27" s="74"/>
      <c r="I27" s="74"/>
      <c r="J27" s="17"/>
    </row>
    <row r="28" spans="1:10" ht="13" customHeight="1" x14ac:dyDescent="0.2">
      <c r="A28" s="78"/>
      <c r="B28" s="71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78"/>
      <c r="B29" s="71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78"/>
      <c r="B30" s="71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1"/>
      <c r="C31" s="72"/>
      <c r="D31" s="73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81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1"/>
      <c r="C43" s="72"/>
      <c r="D43" s="73"/>
      <c r="E43" s="74"/>
      <c r="F43" s="74"/>
      <c r="G43" s="74"/>
      <c r="H43" s="74"/>
      <c r="I43" s="74"/>
      <c r="J43" s="17"/>
    </row>
    <row r="44" spans="1:10" ht="13" customHeight="1" x14ac:dyDescent="0.2">
      <c r="A44" s="80"/>
      <c r="B44" s="71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81"/>
      <c r="B45" s="71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2"/>
      <c r="D54" s="73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1"/>
      <c r="C55" s="72"/>
      <c r="D55" s="73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1"/>
      <c r="C56" s="72"/>
      <c r="D56" s="73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  <row r="61" spans="1:10" x14ac:dyDescent="0.2">
      <c r="A61" s="78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theme="3"/>
    <pageSetUpPr fitToPage="1"/>
  </sheetPr>
  <dimension ref="A1:AH63"/>
  <sheetViews>
    <sheetView topLeftCell="J1" zoomScale="90" zoomScaleNormal="90" zoomScaleSheetLayoutView="90" workbookViewId="0">
      <selection activeCell="O34" sqref="O34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9.1640625" style="7"/>
    <col min="11" max="11" width="2.5" style="27" customWidth="1"/>
    <col min="12" max="12" width="9.1640625" style="7"/>
    <col min="13" max="13" width="35.5" style="7" customWidth="1"/>
    <col min="14" max="20" width="14.5" style="7" customWidth="1"/>
    <col min="21" max="21" width="14.83203125" style="7" customWidth="1"/>
    <col min="22" max="22" width="22" style="7" customWidth="1"/>
    <col min="23" max="23" width="9.1640625" style="7"/>
    <col min="24" max="24" width="13.5" style="7" customWidth="1"/>
    <col min="25" max="31" width="9.1640625" style="7"/>
    <col min="32" max="32" width="30.5" style="7" bestFit="1" customWidth="1"/>
    <col min="33" max="33" width="14.5" style="7" bestFit="1" customWidth="1"/>
    <col min="34" max="16384" width="9.1640625" style="7"/>
  </cols>
  <sheetData>
    <row r="1" spans="1:34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  <c r="M1" s="958" t="s">
        <v>0</v>
      </c>
      <c r="N1" s="958"/>
      <c r="O1" s="958"/>
      <c r="P1" s="958"/>
      <c r="Q1" s="958"/>
      <c r="R1" s="958"/>
      <c r="S1" s="958"/>
      <c r="T1" s="958"/>
      <c r="U1" s="958"/>
    </row>
    <row r="2" spans="1:34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  <c r="M2" s="958" t="s">
        <v>1</v>
      </c>
      <c r="N2" s="958"/>
      <c r="O2" s="958"/>
      <c r="P2" s="958"/>
      <c r="Q2" s="958"/>
      <c r="R2" s="958"/>
      <c r="S2" s="958"/>
      <c r="T2" s="958"/>
      <c r="U2" s="958"/>
    </row>
    <row r="3" spans="1:34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  <c r="M3" s="958" t="s">
        <v>443</v>
      </c>
      <c r="N3" s="958"/>
      <c r="O3" s="958"/>
      <c r="P3" s="958"/>
      <c r="Q3" s="958"/>
      <c r="R3" s="958"/>
      <c r="S3" s="958"/>
      <c r="T3" s="958"/>
      <c r="U3" s="958"/>
    </row>
    <row r="4" spans="1:34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  <c r="M4" s="958" t="s">
        <v>2</v>
      </c>
      <c r="N4" s="958"/>
      <c r="O4" s="958"/>
      <c r="P4" s="958"/>
      <c r="Q4" s="958"/>
      <c r="R4" s="958"/>
      <c r="S4" s="958"/>
      <c r="T4" s="958"/>
      <c r="U4" s="958"/>
    </row>
    <row r="5" spans="1:34" ht="16" x14ac:dyDescent="0.2">
      <c r="C5" s="963"/>
      <c r="D5" s="963"/>
      <c r="E5" s="963"/>
      <c r="F5" s="963"/>
      <c r="G5" s="963"/>
      <c r="H5" s="963"/>
      <c r="I5" s="963"/>
      <c r="U5" s="302" t="s">
        <v>233</v>
      </c>
      <c r="V5" s="301"/>
      <c r="W5" s="301"/>
      <c r="X5" s="301"/>
      <c r="Y5" s="301"/>
      <c r="Z5" s="301"/>
      <c r="AA5" s="301"/>
    </row>
    <row r="6" spans="1:34" ht="16" x14ac:dyDescent="0.2">
      <c r="A6" s="6" t="s">
        <v>14</v>
      </c>
      <c r="B6" s="32" t="s">
        <v>90</v>
      </c>
      <c r="C6" s="963" t="s">
        <v>151</v>
      </c>
      <c r="D6" s="963"/>
      <c r="E6" s="963"/>
      <c r="F6" s="963"/>
      <c r="G6" s="963"/>
      <c r="H6" s="963"/>
      <c r="I6" s="963"/>
      <c r="M6" s="16" t="s">
        <v>14</v>
      </c>
      <c r="N6" s="16" t="s">
        <v>90</v>
      </c>
      <c r="O6" s="959" t="s">
        <v>94</v>
      </c>
      <c r="P6" s="959"/>
      <c r="Q6" s="959"/>
      <c r="R6" s="959"/>
      <c r="S6" s="959"/>
      <c r="T6" s="959"/>
      <c r="U6" s="959"/>
    </row>
    <row r="7" spans="1:34" ht="16" thickBot="1" x14ac:dyDescent="0.25">
      <c r="E7" s="445"/>
      <c r="F7" s="445"/>
      <c r="G7" s="445"/>
      <c r="H7" s="445"/>
      <c r="I7" s="445"/>
      <c r="M7" s="88" t="s">
        <v>170</v>
      </c>
      <c r="O7" s="7" t="s">
        <v>879</v>
      </c>
    </row>
    <row r="8" spans="1:34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  <c r="K8" s="28"/>
      <c r="L8" s="850" t="s">
        <v>550</v>
      </c>
      <c r="M8" s="1" t="s">
        <v>3</v>
      </c>
      <c r="N8" s="2" t="s">
        <v>451</v>
      </c>
      <c r="O8" s="2" t="s">
        <v>435</v>
      </c>
      <c r="P8" s="2" t="s">
        <v>439</v>
      </c>
      <c r="Q8" s="2" t="s">
        <v>205</v>
      </c>
      <c r="R8" s="2" t="s">
        <v>224</v>
      </c>
      <c r="S8" s="2" t="s">
        <v>248</v>
      </c>
      <c r="T8" s="2" t="s">
        <v>306</v>
      </c>
      <c r="U8" s="3" t="s">
        <v>437</v>
      </c>
      <c r="X8" s="181">
        <v>21</v>
      </c>
      <c r="Y8" s="181">
        <v>22</v>
      </c>
      <c r="Z8" s="181">
        <v>23</v>
      </c>
      <c r="AA8" s="181">
        <v>24</v>
      </c>
      <c r="AB8" s="181">
        <v>25</v>
      </c>
      <c r="AC8" s="181"/>
      <c r="AD8" s="181"/>
      <c r="AE8" s="181"/>
      <c r="AF8" s="1" t="s">
        <v>3</v>
      </c>
      <c r="AG8" s="2" t="s">
        <v>970</v>
      </c>
    </row>
    <row r="9" spans="1:34" x14ac:dyDescent="0.2">
      <c r="A9" s="31" t="s">
        <v>108</v>
      </c>
      <c r="B9" s="34">
        <f>+N22</f>
        <v>1371066396</v>
      </c>
      <c r="C9" s="34">
        <f>+O22</f>
        <v>1411963002</v>
      </c>
      <c r="D9" s="227">
        <f>+P22</f>
        <v>1348375045</v>
      </c>
      <c r="E9" s="115">
        <f t="shared" ref="E9:I9" si="0">+Q22</f>
        <v>1287159003</v>
      </c>
      <c r="F9" s="411">
        <f t="shared" si="0"/>
        <v>1422031076</v>
      </c>
      <c r="G9" s="34">
        <f t="shared" si="0"/>
        <v>1475341633</v>
      </c>
      <c r="H9" s="34">
        <f t="shared" si="0"/>
        <v>1529644986</v>
      </c>
      <c r="I9" s="34">
        <f t="shared" si="0"/>
        <v>1581664744</v>
      </c>
      <c r="L9" s="827" t="s">
        <v>63</v>
      </c>
      <c r="M9" s="48" t="s">
        <v>211</v>
      </c>
      <c r="N9" s="12">
        <f>2985909-111034</f>
        <v>2874875</v>
      </c>
      <c r="O9" s="12">
        <v>4080260</v>
      </c>
      <c r="P9" s="12">
        <f t="shared" ref="P9:P20" si="1">+O9</f>
        <v>4080260</v>
      </c>
      <c r="Q9" s="29">
        <v>4080260</v>
      </c>
      <c r="R9" s="29">
        <v>4080260</v>
      </c>
      <c r="S9" s="29">
        <v>4080260</v>
      </c>
      <c r="T9" s="29">
        <v>4080260</v>
      </c>
      <c r="U9" s="195">
        <f t="shared" ref="U9:U20" si="2">+T9</f>
        <v>4080260</v>
      </c>
      <c r="V9" s="600"/>
      <c r="W9" s="542"/>
      <c r="X9" s="182">
        <f>(Q9-P9)/P9</f>
        <v>0</v>
      </c>
      <c r="Y9" s="182">
        <f>(R9-Q9)/Q9</f>
        <v>0</v>
      </c>
      <c r="Z9" s="182">
        <f>(S9-R9)/R9</f>
        <v>0</v>
      </c>
      <c r="AA9" s="182">
        <f>(T9-S9)/S9</f>
        <v>0</v>
      </c>
      <c r="AB9" s="182">
        <f>(U9-T9)/T9</f>
        <v>0</v>
      </c>
      <c r="AC9" s="181" t="s">
        <v>99</v>
      </c>
      <c r="AD9" s="181"/>
      <c r="AE9" s="181"/>
      <c r="AF9" s="48" t="s">
        <v>211</v>
      </c>
      <c r="AG9" s="12">
        <v>3492886</v>
      </c>
      <c r="AH9" s="948">
        <f t="shared" ref="AH9:AH13" si="3">(N9-AG9)/AG9</f>
        <v>-0.17693420283398886</v>
      </c>
    </row>
    <row r="10" spans="1:34" x14ac:dyDescent="0.2">
      <c r="A10" s="10" t="s">
        <v>5</v>
      </c>
      <c r="B10" s="36">
        <v>0</v>
      </c>
      <c r="C10" s="36">
        <v>0</v>
      </c>
      <c r="D10" s="230">
        <f t="shared" ref="D10:D15" si="4">+C10</f>
        <v>0</v>
      </c>
      <c r="E10" s="550">
        <f t="shared" ref="E10:I15" si="5">+D10</f>
        <v>0</v>
      </c>
      <c r="F10" s="548">
        <f t="shared" si="5"/>
        <v>0</v>
      </c>
      <c r="G10" s="36">
        <f t="shared" si="5"/>
        <v>0</v>
      </c>
      <c r="H10" s="230">
        <f t="shared" si="5"/>
        <v>0</v>
      </c>
      <c r="I10" s="37">
        <f t="shared" si="5"/>
        <v>0</v>
      </c>
      <c r="L10" s="7">
        <v>20</v>
      </c>
      <c r="M10" s="392" t="s">
        <v>275</v>
      </c>
      <c r="N10" s="254">
        <f>29510157+33635257+427541</f>
        <v>63572955</v>
      </c>
      <c r="O10" s="43">
        <v>69844607</v>
      </c>
      <c r="P10" s="13">
        <f>35600000+35000000-7348648</f>
        <v>63251352</v>
      </c>
      <c r="Q10" s="162">
        <f>37328694+36699559</f>
        <v>74028253</v>
      </c>
      <c r="R10" s="162">
        <v>77622977</v>
      </c>
      <c r="S10" s="162">
        <v>81392257</v>
      </c>
      <c r="T10" s="162">
        <v>85344568</v>
      </c>
      <c r="U10" s="202">
        <v>89488799</v>
      </c>
      <c r="V10" s="600" t="s">
        <v>966</v>
      </c>
      <c r="W10" s="542"/>
      <c r="X10" s="182">
        <f t="shared" ref="X10:X18" si="6">(Q10-P10)/P10</f>
        <v>0.17038214455874398</v>
      </c>
      <c r="Y10" s="182">
        <f t="shared" ref="Y10:Y18" si="7">(R10-Q10)/Q10</f>
        <v>4.8558811728273525E-2</v>
      </c>
      <c r="Z10" s="182">
        <f t="shared" ref="Z10:Z18" si="8">(S10-R10)/R10</f>
        <v>4.8558817835600405E-2</v>
      </c>
      <c r="AA10" s="182">
        <f t="shared" ref="AA10:AA18" si="9">(T10-S10)/S10</f>
        <v>4.8558808241427685E-2</v>
      </c>
      <c r="AB10" s="182">
        <f t="shared" ref="AB10:AB18" si="10">(U10-T10)/T10</f>
        <v>4.855881395989959E-2</v>
      </c>
      <c r="AC10" s="181" t="s">
        <v>100</v>
      </c>
      <c r="AD10" s="181"/>
      <c r="AE10" s="181"/>
      <c r="AF10" s="392" t="s">
        <v>275</v>
      </c>
      <c r="AG10" s="254">
        <v>56011219</v>
      </c>
      <c r="AH10" s="948">
        <f t="shared" si="3"/>
        <v>0.13500395340440635</v>
      </c>
    </row>
    <row r="11" spans="1:34" x14ac:dyDescent="0.2">
      <c r="A11" s="9" t="s">
        <v>6</v>
      </c>
      <c r="B11" s="34">
        <v>0</v>
      </c>
      <c r="C11" s="34">
        <v>0</v>
      </c>
      <c r="D11" s="227">
        <f t="shared" si="4"/>
        <v>0</v>
      </c>
      <c r="E11" s="115">
        <f t="shared" si="5"/>
        <v>0</v>
      </c>
      <c r="F11" s="411">
        <f t="shared" si="5"/>
        <v>0</v>
      </c>
      <c r="G11" s="34">
        <f t="shared" si="5"/>
        <v>0</v>
      </c>
      <c r="H11" s="227">
        <f t="shared" si="5"/>
        <v>0</v>
      </c>
      <c r="I11" s="35">
        <f t="shared" si="5"/>
        <v>0</v>
      </c>
      <c r="L11" s="7">
        <v>21</v>
      </c>
      <c r="M11" s="48" t="s">
        <v>212</v>
      </c>
      <c r="N11" s="255">
        <f>642514600-N19</f>
        <v>590415269</v>
      </c>
      <c r="O11" s="12">
        <v>584663838</v>
      </c>
      <c r="P11" s="12">
        <v>580863172</v>
      </c>
      <c r="Q11" s="29">
        <v>587780712</v>
      </c>
      <c r="R11" s="29">
        <v>596255544</v>
      </c>
      <c r="S11" s="29">
        <v>611086500</v>
      </c>
      <c r="T11" s="29">
        <v>623650356</v>
      </c>
      <c r="U11" s="195">
        <v>636725340</v>
      </c>
      <c r="V11" s="600" t="s">
        <v>971</v>
      </c>
      <c r="W11" s="542"/>
      <c r="X11" s="182">
        <f t="shared" si="6"/>
        <v>1.1909069697398546E-2</v>
      </c>
      <c r="Y11" s="182">
        <f t="shared" si="7"/>
        <v>1.4418356756150243E-2</v>
      </c>
      <c r="Z11" s="182">
        <f t="shared" si="8"/>
        <v>2.4873489478195947E-2</v>
      </c>
      <c r="AA11" s="182">
        <f t="shared" si="9"/>
        <v>2.0559865092748736E-2</v>
      </c>
      <c r="AB11" s="182">
        <f t="shared" si="10"/>
        <v>2.096524739256302E-2</v>
      </c>
      <c r="AC11" s="181" t="s">
        <v>101</v>
      </c>
      <c r="AD11" s="181"/>
      <c r="AE11" s="181"/>
      <c r="AF11" s="48" t="s">
        <v>212</v>
      </c>
      <c r="AG11" s="255">
        <v>607875436</v>
      </c>
      <c r="AH11" s="948">
        <f t="shared" si="3"/>
        <v>-2.8723264613048125E-2</v>
      </c>
    </row>
    <row r="12" spans="1:34" x14ac:dyDescent="0.2">
      <c r="A12" s="10" t="s">
        <v>7</v>
      </c>
      <c r="B12" s="36">
        <v>0</v>
      </c>
      <c r="C12" s="36">
        <v>0</v>
      </c>
      <c r="D12" s="230">
        <f t="shared" si="4"/>
        <v>0</v>
      </c>
      <c r="E12" s="550">
        <f t="shared" si="5"/>
        <v>0</v>
      </c>
      <c r="F12" s="548">
        <f t="shared" si="5"/>
        <v>0</v>
      </c>
      <c r="G12" s="36">
        <f t="shared" si="5"/>
        <v>0</v>
      </c>
      <c r="H12" s="230">
        <f t="shared" si="5"/>
        <v>0</v>
      </c>
      <c r="I12" s="37">
        <f t="shared" si="5"/>
        <v>0</v>
      </c>
      <c r="L12" s="7">
        <v>21</v>
      </c>
      <c r="M12" s="393" t="s">
        <v>213</v>
      </c>
      <c r="N12" s="254">
        <v>109793658</v>
      </c>
      <c r="O12" s="43">
        <v>110158479</v>
      </c>
      <c r="P12" s="13">
        <v>109794742</v>
      </c>
      <c r="Q12" s="162">
        <v>34847911</v>
      </c>
      <c r="R12" s="162">
        <v>112294091</v>
      </c>
      <c r="S12" s="162">
        <v>112294091</v>
      </c>
      <c r="T12" s="162">
        <v>112294091</v>
      </c>
      <c r="U12" s="202">
        <v>112294091</v>
      </c>
      <c r="V12" s="600"/>
      <c r="W12" s="542"/>
      <c r="X12" s="182">
        <f t="shared" si="6"/>
        <v>-0.682608562439174</v>
      </c>
      <c r="Y12" s="182">
        <f t="shared" si="7"/>
        <v>2.2224052397287171</v>
      </c>
      <c r="Z12" s="182">
        <f t="shared" si="8"/>
        <v>0</v>
      </c>
      <c r="AA12" s="182">
        <f t="shared" si="9"/>
        <v>0</v>
      </c>
      <c r="AB12" s="182">
        <f t="shared" si="10"/>
        <v>0</v>
      </c>
      <c r="AC12" s="181" t="s">
        <v>102</v>
      </c>
      <c r="AD12" s="181"/>
      <c r="AE12" s="181"/>
      <c r="AF12" s="393" t="s">
        <v>213</v>
      </c>
      <c r="AG12" s="254">
        <v>110159328</v>
      </c>
      <c r="AH12" s="948">
        <f t="shared" si="3"/>
        <v>-3.3194646939022723E-3</v>
      </c>
    </row>
    <row r="13" spans="1:34" x14ac:dyDescent="0.2">
      <c r="A13" s="9" t="s">
        <v>8</v>
      </c>
      <c r="B13" s="34">
        <v>0</v>
      </c>
      <c r="C13" s="34">
        <v>0</v>
      </c>
      <c r="D13" s="227">
        <f t="shared" si="4"/>
        <v>0</v>
      </c>
      <c r="E13" s="115">
        <f t="shared" si="5"/>
        <v>0</v>
      </c>
      <c r="F13" s="411">
        <f t="shared" si="5"/>
        <v>0</v>
      </c>
      <c r="G13" s="34">
        <f t="shared" si="5"/>
        <v>0</v>
      </c>
      <c r="H13" s="227">
        <f t="shared" si="5"/>
        <v>0</v>
      </c>
      <c r="I13" s="35">
        <f t="shared" si="5"/>
        <v>0</v>
      </c>
      <c r="L13" s="7">
        <v>22</v>
      </c>
      <c r="M13" s="383" t="s">
        <v>214</v>
      </c>
      <c r="N13" s="256">
        <f>25428212+56410577</f>
        <v>81838789</v>
      </c>
      <c r="O13" s="29">
        <v>84546988</v>
      </c>
      <c r="P13" s="29">
        <f>26554616+57992372-3874809</f>
        <v>80672179</v>
      </c>
      <c r="Q13" s="29">
        <f>84812912-548136</f>
        <v>84264776</v>
      </c>
      <c r="R13" s="29">
        <f>85562824-576821</f>
        <v>84986003</v>
      </c>
      <c r="S13" s="29">
        <f>91167360-5172192</f>
        <v>85995168</v>
      </c>
      <c r="T13" s="29">
        <f>91308022-728051</f>
        <v>90579971</v>
      </c>
      <c r="U13" s="195">
        <f>91348275-751521</f>
        <v>90596754</v>
      </c>
      <c r="V13" s="600" t="s">
        <v>1009</v>
      </c>
      <c r="W13" s="542"/>
      <c r="X13" s="182">
        <f t="shared" si="6"/>
        <v>4.4533283277249772E-2</v>
      </c>
      <c r="Y13" s="182">
        <f t="shared" si="7"/>
        <v>8.5590567522543463E-3</v>
      </c>
      <c r="Z13" s="182">
        <f t="shared" si="8"/>
        <v>1.1874484790160093E-2</v>
      </c>
      <c r="AA13" s="182">
        <f t="shared" si="9"/>
        <v>5.3314658330570384E-2</v>
      </c>
      <c r="AB13" s="182">
        <f t="shared" si="10"/>
        <v>1.8528378641234053E-4</v>
      </c>
      <c r="AC13" s="181" t="s">
        <v>103</v>
      </c>
      <c r="AD13" s="181"/>
      <c r="AE13" s="181"/>
      <c r="AF13" s="383" t="s">
        <v>214</v>
      </c>
      <c r="AG13" s="256">
        <v>80441125</v>
      </c>
      <c r="AH13" s="948">
        <f t="shared" si="3"/>
        <v>1.7374993201549581E-2</v>
      </c>
    </row>
    <row r="14" spans="1:34" x14ac:dyDescent="0.2">
      <c r="A14" s="10" t="s">
        <v>9</v>
      </c>
      <c r="B14" s="36">
        <v>0</v>
      </c>
      <c r="C14" s="36">
        <v>0</v>
      </c>
      <c r="D14" s="230">
        <f t="shared" si="4"/>
        <v>0</v>
      </c>
      <c r="E14" s="550">
        <f t="shared" si="5"/>
        <v>0</v>
      </c>
      <c r="F14" s="548">
        <f t="shared" si="5"/>
        <v>0</v>
      </c>
      <c r="G14" s="36">
        <f t="shared" si="5"/>
        <v>0</v>
      </c>
      <c r="H14" s="230">
        <f t="shared" si="5"/>
        <v>0</v>
      </c>
      <c r="I14" s="37">
        <f t="shared" si="5"/>
        <v>0</v>
      </c>
      <c r="L14" s="7">
        <v>23</v>
      </c>
      <c r="M14" s="384" t="s">
        <v>215</v>
      </c>
      <c r="N14" s="162">
        <f>464516804-7478136</f>
        <v>457038668</v>
      </c>
      <c r="O14" s="13">
        <v>489978550</v>
      </c>
      <c r="P14" s="162">
        <f>+O14-30000000</f>
        <v>459978550</v>
      </c>
      <c r="Q14" s="162">
        <v>459268183</v>
      </c>
      <c r="R14" s="162">
        <v>491857923</v>
      </c>
      <c r="S14" s="162">
        <v>517641905</v>
      </c>
      <c r="T14" s="162">
        <v>545125485</v>
      </c>
      <c r="U14" s="202">
        <v>574271556</v>
      </c>
      <c r="V14" s="600" t="s">
        <v>967</v>
      </c>
      <c r="W14" s="542"/>
      <c r="X14" s="182">
        <f t="shared" si="6"/>
        <v>-1.5443481005799075E-3</v>
      </c>
      <c r="Y14" s="182">
        <f t="shared" si="7"/>
        <v>7.0960151837907742E-2</v>
      </c>
      <c r="Z14" s="182">
        <f t="shared" si="8"/>
        <v>5.2421605496837755E-2</v>
      </c>
      <c r="AA14" s="182">
        <f t="shared" si="9"/>
        <v>5.3093808160682043E-2</v>
      </c>
      <c r="AB14" s="182">
        <f t="shared" si="10"/>
        <v>5.3466718768431822E-2</v>
      </c>
      <c r="AC14" s="181" t="s">
        <v>104</v>
      </c>
      <c r="AD14" s="181"/>
      <c r="AE14" s="181"/>
      <c r="AF14" s="384" t="s">
        <v>215</v>
      </c>
      <c r="AG14" s="162">
        <v>418230169</v>
      </c>
      <c r="AH14" s="948">
        <f>(N14-AG14)/AG14</f>
        <v>9.2792203615516794E-2</v>
      </c>
    </row>
    <row r="15" spans="1:34" ht="16" thickBot="1" x14ac:dyDescent="0.25">
      <c r="A15" s="11" t="s">
        <v>10</v>
      </c>
      <c r="B15" s="38">
        <v>0</v>
      </c>
      <c r="C15" s="38">
        <v>0</v>
      </c>
      <c r="D15" s="231">
        <f t="shared" si="4"/>
        <v>0</v>
      </c>
      <c r="E15" s="551">
        <f t="shared" si="5"/>
        <v>0</v>
      </c>
      <c r="F15" s="549">
        <f t="shared" si="5"/>
        <v>0</v>
      </c>
      <c r="G15" s="38">
        <f t="shared" si="5"/>
        <v>0</v>
      </c>
      <c r="H15" s="231">
        <f t="shared" si="5"/>
        <v>0</v>
      </c>
      <c r="I15" s="39">
        <f t="shared" si="5"/>
        <v>0</v>
      </c>
      <c r="L15" s="7">
        <v>23</v>
      </c>
      <c r="M15" s="117" t="s">
        <v>216</v>
      </c>
      <c r="N15" s="29">
        <f>7404670-370340</f>
        <v>7034330</v>
      </c>
      <c r="O15" s="29">
        <v>8465202</v>
      </c>
      <c r="P15" s="29">
        <f>8665000-850806</f>
        <v>7814194</v>
      </c>
      <c r="Q15" s="29">
        <v>8850000</v>
      </c>
      <c r="R15" s="29">
        <v>8850000</v>
      </c>
      <c r="S15" s="29">
        <v>8850000</v>
      </c>
      <c r="T15" s="29">
        <v>8850000</v>
      </c>
      <c r="U15" s="195">
        <v>8850000</v>
      </c>
      <c r="V15" s="600" t="s">
        <v>966</v>
      </c>
      <c r="W15" s="542"/>
      <c r="X15" s="182">
        <f t="shared" si="6"/>
        <v>0.13255442595871053</v>
      </c>
      <c r="Y15" s="182">
        <f t="shared" si="7"/>
        <v>0</v>
      </c>
      <c r="Z15" s="182">
        <f t="shared" si="8"/>
        <v>0</v>
      </c>
      <c r="AA15" s="182">
        <f t="shared" si="9"/>
        <v>0</v>
      </c>
      <c r="AB15" s="182">
        <f t="shared" si="10"/>
        <v>0</v>
      </c>
      <c r="AC15" s="181" t="s">
        <v>203</v>
      </c>
      <c r="AD15" s="181"/>
      <c r="AE15" s="181"/>
      <c r="AF15" s="117" t="s">
        <v>216</v>
      </c>
      <c r="AG15" s="29">
        <v>7782681</v>
      </c>
      <c r="AH15" s="948">
        <f t="shared" ref="AH15:AH20" si="11">(N15-AG15)/AG15</f>
        <v>-9.6155939065214163E-2</v>
      </c>
    </row>
    <row r="16" spans="1:34" ht="16" thickBot="1" x14ac:dyDescent="0.25">
      <c r="A16" s="4" t="s">
        <v>11</v>
      </c>
      <c r="B16" s="40">
        <f>SUM(B9:B15)</f>
        <v>1371066396</v>
      </c>
      <c r="C16" s="40">
        <f t="shared" ref="C16:I16" si="12">SUM(C9:C15)</f>
        <v>1411963002</v>
      </c>
      <c r="D16" s="40">
        <f t="shared" si="12"/>
        <v>1348375045</v>
      </c>
      <c r="E16" s="573">
        <f t="shared" si="12"/>
        <v>1287159003</v>
      </c>
      <c r="F16" s="40">
        <f t="shared" si="12"/>
        <v>1422031076</v>
      </c>
      <c r="G16" s="40">
        <f t="shared" si="12"/>
        <v>1475341633</v>
      </c>
      <c r="H16" s="40">
        <f t="shared" si="12"/>
        <v>1529644986</v>
      </c>
      <c r="I16" s="40">
        <f t="shared" si="12"/>
        <v>1581664744</v>
      </c>
      <c r="L16" s="7">
        <v>23</v>
      </c>
      <c r="M16" s="48" t="s">
        <v>217</v>
      </c>
      <c r="N16" s="13">
        <v>5427259</v>
      </c>
      <c r="O16" s="13">
        <v>5049842</v>
      </c>
      <c r="P16" s="13">
        <f>+O16-1476365</f>
        <v>3573477</v>
      </c>
      <c r="Q16" s="162">
        <v>5535000</v>
      </c>
      <c r="R16" s="162">
        <v>5535000</v>
      </c>
      <c r="S16" s="162">
        <v>5535000</v>
      </c>
      <c r="T16" s="162">
        <v>5535000</v>
      </c>
      <c r="U16" s="202">
        <f t="shared" si="2"/>
        <v>5535000</v>
      </c>
      <c r="V16" s="600" t="s">
        <v>966</v>
      </c>
      <c r="W16" s="542"/>
      <c r="X16" s="182">
        <f t="shared" si="6"/>
        <v>0.54891160625911406</v>
      </c>
      <c r="Y16" s="182">
        <f t="shared" si="7"/>
        <v>0</v>
      </c>
      <c r="Z16" s="182">
        <f t="shared" si="8"/>
        <v>0</v>
      </c>
      <c r="AA16" s="182">
        <f t="shared" si="9"/>
        <v>0</v>
      </c>
      <c r="AB16" s="182">
        <f t="shared" si="10"/>
        <v>0</v>
      </c>
      <c r="AC16" s="181" t="s">
        <v>105</v>
      </c>
      <c r="AD16" s="181"/>
      <c r="AE16" s="181"/>
      <c r="AF16" s="48" t="s">
        <v>217</v>
      </c>
      <c r="AG16" s="13">
        <v>4769947</v>
      </c>
      <c r="AH16" s="948">
        <f t="shared" si="11"/>
        <v>0.13780278900373527</v>
      </c>
    </row>
    <row r="17" spans="1:34" x14ac:dyDescent="0.2">
      <c r="E17" s="939"/>
      <c r="L17" s="7">
        <v>23</v>
      </c>
      <c r="M17" s="48" t="s">
        <v>218</v>
      </c>
      <c r="N17" s="12">
        <v>108675</v>
      </c>
      <c r="O17" s="12">
        <v>146267</v>
      </c>
      <c r="P17" s="12">
        <f t="shared" si="1"/>
        <v>146267</v>
      </c>
      <c r="Q17" s="29">
        <v>150000</v>
      </c>
      <c r="R17" s="29">
        <v>150000</v>
      </c>
      <c r="S17" s="29">
        <v>150000</v>
      </c>
      <c r="T17" s="29">
        <v>150000</v>
      </c>
      <c r="U17" s="195">
        <f t="shared" si="2"/>
        <v>150000</v>
      </c>
      <c r="V17" s="600"/>
      <c r="W17" s="542"/>
      <c r="X17" s="182">
        <f t="shared" si="6"/>
        <v>2.5521819685916852E-2</v>
      </c>
      <c r="Y17" s="182">
        <f t="shared" si="7"/>
        <v>0</v>
      </c>
      <c r="Z17" s="182">
        <f t="shared" si="8"/>
        <v>0</v>
      </c>
      <c r="AA17" s="182">
        <f t="shared" si="9"/>
        <v>0</v>
      </c>
      <c r="AB17" s="182">
        <f t="shared" si="10"/>
        <v>0</v>
      </c>
      <c r="AC17" s="181" t="s">
        <v>106</v>
      </c>
      <c r="AD17" s="181"/>
      <c r="AE17" s="181"/>
      <c r="AF17" s="48" t="s">
        <v>218</v>
      </c>
      <c r="AG17" s="43">
        <v>209050</v>
      </c>
      <c r="AH17" s="948">
        <f t="shared" si="11"/>
        <v>-0.48014828988280317</v>
      </c>
    </row>
    <row r="18" spans="1:34" x14ac:dyDescent="0.2">
      <c r="L18" s="7">
        <v>23</v>
      </c>
      <c r="M18" s="48" t="s">
        <v>219</v>
      </c>
      <c r="N18" s="13">
        <v>623539</v>
      </c>
      <c r="O18" s="13">
        <v>800000</v>
      </c>
      <c r="P18" s="13">
        <f t="shared" si="1"/>
        <v>800000</v>
      </c>
      <c r="Q18" s="162">
        <v>800000</v>
      </c>
      <c r="R18" s="162">
        <v>800000</v>
      </c>
      <c r="S18" s="162">
        <v>800000</v>
      </c>
      <c r="T18" s="162">
        <v>800000</v>
      </c>
      <c r="U18" s="202">
        <f t="shared" si="2"/>
        <v>800000</v>
      </c>
      <c r="V18" s="600"/>
      <c r="W18" s="542"/>
      <c r="X18" s="182">
        <f t="shared" si="6"/>
        <v>0</v>
      </c>
      <c r="Y18" s="182">
        <f t="shared" si="7"/>
        <v>0</v>
      </c>
      <c r="Z18" s="182">
        <f t="shared" si="8"/>
        <v>0</v>
      </c>
      <c r="AA18" s="182">
        <f t="shared" si="9"/>
        <v>0</v>
      </c>
      <c r="AB18" s="182">
        <f t="shared" si="10"/>
        <v>0</v>
      </c>
      <c r="AC18" s="181" t="s">
        <v>107</v>
      </c>
      <c r="AD18" s="181"/>
      <c r="AE18" s="181"/>
      <c r="AF18" s="48" t="s">
        <v>219</v>
      </c>
      <c r="AG18" s="13">
        <v>645989</v>
      </c>
      <c r="AH18" s="948">
        <f t="shared" si="11"/>
        <v>-3.4752913749305329E-2</v>
      </c>
    </row>
    <row r="19" spans="1:34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  <c r="L19" s="7">
        <v>21</v>
      </c>
      <c r="M19" s="215" t="s">
        <v>210</v>
      </c>
      <c r="N19" s="29">
        <v>52099331</v>
      </c>
      <c r="O19" s="29">
        <v>53928969</v>
      </c>
      <c r="P19" s="29">
        <v>37100852</v>
      </c>
      <c r="Q19" s="29">
        <v>27253908</v>
      </c>
      <c r="R19" s="29">
        <v>39299278</v>
      </c>
      <c r="S19" s="29">
        <v>47216452</v>
      </c>
      <c r="T19" s="29">
        <v>52935255</v>
      </c>
      <c r="U19" s="244">
        <v>58572944</v>
      </c>
      <c r="V19" s="204"/>
      <c r="W19" s="542"/>
      <c r="X19" s="182">
        <f t="shared" ref="X19" si="13">(Q19-P19)/P19</f>
        <v>-0.26541018518927811</v>
      </c>
      <c r="Y19" s="182">
        <f t="shared" ref="Y19" si="14">(R19-Q19)/Q19</f>
        <v>0.44196854263982988</v>
      </c>
      <c r="Z19" s="182">
        <f t="shared" ref="Z19" si="15">(S19-R19)/R19</f>
        <v>0.20145851025558281</v>
      </c>
      <c r="AA19" s="182">
        <f t="shared" ref="AA19" si="16">(T19-S19)/S19</f>
        <v>0.12111886339956252</v>
      </c>
      <c r="AB19" s="182">
        <f t="shared" ref="AB19" si="17">(U19-T19)/T19</f>
        <v>0.10650159331432332</v>
      </c>
      <c r="AC19" s="181" t="s">
        <v>340</v>
      </c>
      <c r="AF19" s="215" t="s">
        <v>210</v>
      </c>
      <c r="AG19" s="29">
        <v>24202319</v>
      </c>
      <c r="AH19" s="948">
        <f t="shared" si="11"/>
        <v>1.152658635728254</v>
      </c>
    </row>
    <row r="20" spans="1:34" ht="17" thickTop="1" thickBot="1" x14ac:dyDescent="0.25">
      <c r="A20" s="211"/>
      <c r="B20" s="211"/>
      <c r="C20" s="211"/>
      <c r="D20" s="211"/>
      <c r="E20" s="211"/>
      <c r="F20" s="211"/>
      <c r="G20" s="211"/>
      <c r="H20" s="211"/>
      <c r="I20" s="211"/>
      <c r="L20" s="7">
        <v>21</v>
      </c>
      <c r="M20" s="30" t="s">
        <v>401</v>
      </c>
      <c r="N20" s="162">
        <v>239048</v>
      </c>
      <c r="O20" s="245">
        <v>300000</v>
      </c>
      <c r="P20" s="245">
        <f t="shared" si="1"/>
        <v>300000</v>
      </c>
      <c r="Q20" s="245">
        <v>300000</v>
      </c>
      <c r="R20" s="245">
        <v>300000</v>
      </c>
      <c r="S20" s="245">
        <v>300000</v>
      </c>
      <c r="T20" s="245">
        <f>+S20</f>
        <v>300000</v>
      </c>
      <c r="U20" s="246">
        <f t="shared" si="2"/>
        <v>300000</v>
      </c>
      <c r="V20" s="88"/>
      <c r="W20" s="542"/>
      <c r="X20" s="182">
        <f t="shared" ref="X20" si="18">(Q20-P20)/P20</f>
        <v>0</v>
      </c>
      <c r="Y20" s="182">
        <f t="shared" ref="Y20" si="19">(R20-Q20)/Q20</f>
        <v>0</v>
      </c>
      <c r="Z20" s="182">
        <f t="shared" ref="Z20" si="20">(S20-R20)/R20</f>
        <v>0</v>
      </c>
      <c r="AA20" s="182">
        <f t="shared" ref="AA20" si="21">(T20-S20)/S20</f>
        <v>0</v>
      </c>
      <c r="AB20" s="182">
        <f t="shared" ref="AB20" si="22">(U20-T20)/T20</f>
        <v>0</v>
      </c>
      <c r="AC20" s="181" t="s">
        <v>339</v>
      </c>
      <c r="AF20" s="30" t="s">
        <v>220</v>
      </c>
      <c r="AG20" s="162">
        <v>201237</v>
      </c>
      <c r="AH20" s="948">
        <f t="shared" si="11"/>
        <v>0.18789288252160388</v>
      </c>
    </row>
    <row r="21" spans="1:34" ht="15" customHeight="1" thickBot="1" x14ac:dyDescent="0.25">
      <c r="A21" s="80"/>
      <c r="B21" s="71"/>
      <c r="C21" s="72"/>
      <c r="D21" s="73"/>
      <c r="E21" s="73"/>
      <c r="F21" s="74"/>
      <c r="G21" s="74"/>
      <c r="H21" s="74"/>
      <c r="I21" s="74"/>
      <c r="M21" s="30"/>
      <c r="N21" s="247"/>
      <c r="O21" s="247"/>
      <c r="P21" s="247"/>
      <c r="Q21" s="247"/>
      <c r="R21" s="247"/>
      <c r="S21" s="247"/>
      <c r="T21" s="247"/>
      <c r="U21" s="248"/>
      <c r="X21" s="14"/>
      <c r="AG21" s="247">
        <v>0</v>
      </c>
    </row>
    <row r="22" spans="1:34" ht="15.75" customHeight="1" x14ac:dyDescent="0.2">
      <c r="A22" s="84"/>
      <c r="B22" s="67"/>
      <c r="C22" s="68"/>
      <c r="D22" s="69"/>
      <c r="E22" s="69"/>
      <c r="F22" s="70"/>
      <c r="G22" s="70"/>
      <c r="H22" s="70"/>
      <c r="I22" s="70"/>
      <c r="J22" s="17"/>
      <c r="M22" s="4" t="s">
        <v>11</v>
      </c>
      <c r="N22" s="14">
        <f t="shared" ref="N22:U22" si="23">SUM(N9:N21)</f>
        <v>1371066396</v>
      </c>
      <c r="O22" s="14">
        <f>SUM(O9:O21)</f>
        <v>1411963002</v>
      </c>
      <c r="P22" s="14">
        <f t="shared" si="23"/>
        <v>1348375045</v>
      </c>
      <c r="Q22" s="14">
        <f>SUM(Q9:Q21)</f>
        <v>1287159003</v>
      </c>
      <c r="R22" s="14">
        <f t="shared" si="23"/>
        <v>1422031076</v>
      </c>
      <c r="S22" s="14">
        <f t="shared" si="23"/>
        <v>1475341633</v>
      </c>
      <c r="T22" s="14">
        <f>SUM(T9:T21)</f>
        <v>1529644986</v>
      </c>
      <c r="U22" s="14">
        <f t="shared" si="23"/>
        <v>1581664744</v>
      </c>
      <c r="X22" s="182">
        <f t="shared" ref="X22" si="24">(Q22-P22)/P22</f>
        <v>-4.5399862765926523E-2</v>
      </c>
      <c r="Y22" s="182">
        <f t="shared" ref="Y22" si="25">(R22-Q22)/Q22</f>
        <v>0.10478276008298254</v>
      </c>
      <c r="Z22" s="182">
        <f t="shared" ref="Z22" si="26">(S22-R22)/R22</f>
        <v>3.7489023903722343E-2</v>
      </c>
      <c r="AA22" s="182">
        <f t="shared" ref="AA22" si="27">(T22-S22)/S22</f>
        <v>3.6807307396035507E-2</v>
      </c>
      <c r="AB22" s="182">
        <f t="shared" ref="AB22" si="28">(U22-T22)/T22</f>
        <v>3.4007732824353536E-2</v>
      </c>
      <c r="AF22" s="207" t="s">
        <v>315</v>
      </c>
      <c r="AG22" s="14">
        <f t="shared" ref="AG22" si="29">SUM(AG9:AG21)</f>
        <v>1314021386</v>
      </c>
    </row>
    <row r="23" spans="1:34" s="59" customFormat="1" ht="13" customHeight="1" x14ac:dyDescent="0.2">
      <c r="A23" s="174"/>
      <c r="B23" s="102"/>
      <c r="C23" s="103"/>
      <c r="D23" s="104"/>
      <c r="E23" s="104"/>
      <c r="F23" s="95"/>
      <c r="G23" s="95"/>
      <c r="H23" s="95"/>
      <c r="I23" s="95"/>
      <c r="J23" s="82"/>
      <c r="O23" s="253">
        <f>+O22-N22</f>
        <v>40896606</v>
      </c>
      <c r="P23" s="253">
        <f>+P22-O22</f>
        <v>-63587957</v>
      </c>
      <c r="Q23" s="401">
        <f>+Q22-P22</f>
        <v>-61216042</v>
      </c>
      <c r="R23" s="206"/>
      <c r="S23" s="206"/>
      <c r="T23" s="206"/>
      <c r="U23" s="206"/>
      <c r="X23" s="163"/>
    </row>
    <row r="24" spans="1:34" ht="13" customHeight="1" x14ac:dyDescent="0.2">
      <c r="A24" s="84"/>
      <c r="B24" s="85"/>
      <c r="C24" s="68"/>
      <c r="D24" s="69"/>
      <c r="E24" s="69"/>
      <c r="F24" s="69"/>
      <c r="G24" s="69"/>
      <c r="H24" s="70"/>
      <c r="I24" s="70"/>
      <c r="J24" s="17"/>
      <c r="M24" s="430" t="s">
        <v>262</v>
      </c>
      <c r="N24" s="431">
        <f>+N11+N12+N19+N20</f>
        <v>752547306</v>
      </c>
      <c r="O24" s="431">
        <f t="shared" ref="O24:U24" si="30">+O11+O12+O19+O20</f>
        <v>749051286</v>
      </c>
      <c r="P24" s="431">
        <f t="shared" si="30"/>
        <v>728058766</v>
      </c>
      <c r="Q24" s="431">
        <f t="shared" si="30"/>
        <v>650182531</v>
      </c>
      <c r="R24" s="431">
        <f t="shared" si="30"/>
        <v>748148913</v>
      </c>
      <c r="S24" s="431">
        <f t="shared" si="30"/>
        <v>770897043</v>
      </c>
      <c r="T24" s="431">
        <f t="shared" si="30"/>
        <v>789179702</v>
      </c>
      <c r="U24" s="431">
        <f t="shared" si="30"/>
        <v>807892375</v>
      </c>
    </row>
    <row r="25" spans="1:34" ht="13" customHeight="1" x14ac:dyDescent="0.2">
      <c r="A25" s="84"/>
      <c r="B25" s="85"/>
      <c r="C25" s="68"/>
      <c r="D25" s="69"/>
      <c r="E25" s="69"/>
      <c r="F25" s="69"/>
      <c r="G25" s="69"/>
      <c r="H25" s="70"/>
      <c r="I25" s="70"/>
      <c r="J25" s="17"/>
      <c r="M25" s="207" t="s">
        <v>452</v>
      </c>
      <c r="N25" s="205"/>
      <c r="O25" s="205"/>
      <c r="P25" s="712">
        <f t="shared" ref="P25:U25" si="31">+P22-P24</f>
        <v>620316279</v>
      </c>
      <c r="Q25" s="712">
        <f t="shared" si="31"/>
        <v>636976472</v>
      </c>
      <c r="R25" s="712">
        <f t="shared" si="31"/>
        <v>673882163</v>
      </c>
      <c r="S25" s="712">
        <f t="shared" si="31"/>
        <v>704444590</v>
      </c>
      <c r="T25" s="712">
        <f t="shared" si="31"/>
        <v>740465284</v>
      </c>
      <c r="U25" s="712">
        <f t="shared" si="31"/>
        <v>773772369</v>
      </c>
    </row>
    <row r="26" spans="1:34" ht="13" customHeight="1" thickBot="1" x14ac:dyDescent="0.25">
      <c r="A26" s="84"/>
      <c r="B26" s="85"/>
      <c r="C26" s="68"/>
      <c r="D26" s="69"/>
      <c r="E26" s="69"/>
      <c r="F26" s="69"/>
      <c r="G26" s="69"/>
      <c r="H26" s="70"/>
      <c r="I26" s="70"/>
      <c r="J26" s="17"/>
      <c r="M26" s="497"/>
      <c r="N26" s="479" t="s">
        <v>587</v>
      </c>
      <c r="O26" s="205"/>
      <c r="P26" s="205"/>
      <c r="Q26" s="712" t="s">
        <v>452</v>
      </c>
      <c r="R26" s="205"/>
      <c r="S26" s="205"/>
      <c r="T26" s="205"/>
      <c r="U26" s="205"/>
    </row>
    <row r="27" spans="1:34" ht="12.75" customHeight="1" x14ac:dyDescent="0.2">
      <c r="A27" s="84"/>
      <c r="B27" s="85"/>
      <c r="C27" s="68"/>
      <c r="D27" s="69"/>
      <c r="E27" s="69"/>
      <c r="F27" s="69"/>
      <c r="G27" s="69"/>
      <c r="H27" s="70"/>
      <c r="I27" s="70"/>
      <c r="J27" s="17"/>
      <c r="M27" s="453" t="s">
        <v>450</v>
      </c>
      <c r="N27" s="334"/>
      <c r="O27" s="334"/>
      <c r="P27" s="335"/>
      <c r="Q27" s="335"/>
      <c r="R27" s="336"/>
      <c r="S27" s="335"/>
      <c r="T27" s="335"/>
      <c r="U27" s="335"/>
      <c r="V27" s="205"/>
    </row>
    <row r="28" spans="1:34" ht="12.75" customHeight="1" x14ac:dyDescent="0.2">
      <c r="A28" s="84"/>
      <c r="B28" s="85"/>
      <c r="C28" s="68"/>
      <c r="D28" s="69"/>
      <c r="E28" s="69"/>
      <c r="F28" s="69"/>
      <c r="G28" s="69"/>
      <c r="H28" s="70"/>
      <c r="I28" s="70"/>
      <c r="J28" s="17"/>
      <c r="M28" s="515"/>
      <c r="N28" s="71"/>
      <c r="O28" s="73"/>
      <c r="P28" s="74"/>
      <c r="Q28" s="74"/>
      <c r="R28" s="74"/>
      <c r="S28" s="74"/>
      <c r="T28" s="74"/>
      <c r="U28" s="74"/>
      <c r="V28" s="205"/>
    </row>
    <row r="29" spans="1:34" ht="12.75" customHeight="1" x14ac:dyDescent="0.2">
      <c r="A29" s="84"/>
      <c r="B29" s="85"/>
      <c r="C29" s="68"/>
      <c r="D29" s="69"/>
      <c r="E29" s="69"/>
      <c r="F29" s="69"/>
      <c r="G29" s="69"/>
      <c r="H29" s="70"/>
      <c r="I29" s="70"/>
      <c r="J29" s="17"/>
      <c r="M29" s="875" t="s">
        <v>588</v>
      </c>
      <c r="N29" s="851">
        <f>1378598365-7531969</f>
        <v>1371066396</v>
      </c>
      <c r="O29" s="73"/>
      <c r="P29" s="74"/>
      <c r="Q29" s="74"/>
      <c r="R29" s="74"/>
      <c r="S29" s="74"/>
      <c r="T29" s="74"/>
      <c r="U29" s="74"/>
      <c r="V29" s="205"/>
    </row>
    <row r="30" spans="1:34" ht="12.75" customHeight="1" x14ac:dyDescent="0.2">
      <c r="A30" s="84"/>
      <c r="B30" s="85"/>
      <c r="C30" s="68"/>
      <c r="D30" s="69"/>
      <c r="E30" s="69"/>
      <c r="F30" s="69"/>
      <c r="G30" s="69"/>
      <c r="H30" s="70"/>
      <c r="I30" s="70"/>
      <c r="J30" s="17"/>
      <c r="M30" s="852"/>
      <c r="N30" s="73"/>
      <c r="O30" s="73"/>
      <c r="P30" s="540"/>
      <c r="Q30" s="532"/>
      <c r="R30" s="532"/>
      <c r="S30" s="532"/>
      <c r="T30" s="532"/>
      <c r="U30" s="532"/>
      <c r="V30" s="205"/>
    </row>
    <row r="31" spans="1:34" ht="12.75" customHeight="1" x14ac:dyDescent="0.2">
      <c r="A31" s="84"/>
      <c r="B31" s="85"/>
      <c r="C31" s="68"/>
      <c r="D31" s="69"/>
      <c r="E31" s="69"/>
      <c r="F31" s="69"/>
      <c r="G31" s="69"/>
      <c r="H31" s="70"/>
      <c r="I31" s="70"/>
      <c r="J31" s="17"/>
      <c r="M31" s="541"/>
      <c r="N31" s="73"/>
      <c r="O31" s="73"/>
      <c r="P31" s="74"/>
      <c r="Q31" s="74"/>
      <c r="R31" s="74"/>
      <c r="S31" s="74"/>
      <c r="T31" s="74"/>
      <c r="U31" s="74"/>
      <c r="V31" s="205"/>
    </row>
    <row r="32" spans="1:34" ht="12.75" customHeight="1" x14ac:dyDescent="0.2">
      <c r="A32" s="84"/>
      <c r="B32" s="85"/>
      <c r="C32" s="68"/>
      <c r="D32" s="69"/>
      <c r="E32" s="69"/>
      <c r="F32" s="69"/>
      <c r="G32" s="69"/>
      <c r="H32" s="70"/>
      <c r="I32" s="70"/>
      <c r="J32" s="17"/>
      <c r="M32" s="541"/>
      <c r="N32" s="73"/>
      <c r="O32" s="73"/>
      <c r="P32" s="74"/>
      <c r="Q32" s="74"/>
      <c r="R32" s="74"/>
      <c r="S32" s="74"/>
      <c r="T32" s="74"/>
      <c r="U32" s="74"/>
    </row>
    <row r="33" spans="13:22" ht="20" customHeight="1" x14ac:dyDescent="0.2">
      <c r="M33" s="541"/>
      <c r="N33" s="104"/>
      <c r="O33" s="104"/>
      <c r="P33" s="95"/>
      <c r="Q33" s="955"/>
      <c r="R33" s="162"/>
      <c r="S33" s="162"/>
      <c r="T33" s="162"/>
      <c r="U33" s="202"/>
      <c r="V33" s="53"/>
    </row>
    <row r="34" spans="13:22" ht="16" customHeight="1" x14ac:dyDescent="0.2">
      <c r="M34" s="328"/>
      <c r="N34" s="547"/>
      <c r="O34" s="547"/>
      <c r="P34" s="95"/>
      <c r="Q34" s="956"/>
      <c r="R34"/>
      <c r="S34"/>
      <c r="T34"/>
      <c r="U34"/>
      <c r="V34" s="53"/>
    </row>
    <row r="35" spans="13:22" ht="12.75" customHeight="1" x14ac:dyDescent="0.2">
      <c r="M35" s="59"/>
      <c r="N35" s="59"/>
      <c r="O35" s="59"/>
      <c r="P35" s="206"/>
      <c r="Q35" s="59"/>
      <c r="R35" s="59"/>
      <c r="S35" s="59"/>
      <c r="T35" s="59"/>
      <c r="U35" s="59"/>
      <c r="V35" s="53"/>
    </row>
    <row r="36" spans="13:22" ht="12.75" customHeight="1" x14ac:dyDescent="0.2">
      <c r="M36" s="599"/>
      <c r="N36" s="73"/>
      <c r="O36" s="73"/>
      <c r="P36" s="74"/>
      <c r="Q36" s="74"/>
      <c r="R36" s="74"/>
      <c r="S36" s="74"/>
      <c r="T36" s="74"/>
      <c r="U36" s="74"/>
      <c r="V36" s="53"/>
    </row>
    <row r="37" spans="13:22" ht="12.75" customHeight="1" x14ac:dyDescent="0.2">
      <c r="M37" s="78"/>
      <c r="N37" s="73"/>
      <c r="O37" s="73"/>
      <c r="P37" s="74"/>
      <c r="Q37" s="74"/>
      <c r="R37" s="74"/>
      <c r="S37" s="74"/>
      <c r="T37" s="74"/>
      <c r="U37" s="74"/>
      <c r="V37" s="53"/>
    </row>
    <row r="38" spans="13:22" ht="12.75" customHeight="1" x14ac:dyDescent="0.2">
      <c r="M38" s="545"/>
      <c r="N38" s="96"/>
      <c r="O38" s="73"/>
      <c r="P38" s="74"/>
      <c r="Q38" s="74"/>
      <c r="R38" s="74"/>
      <c r="S38" s="74"/>
      <c r="T38" s="74"/>
      <c r="U38" s="74"/>
      <c r="V38" s="53"/>
    </row>
    <row r="39" spans="13:22" ht="12.75" customHeight="1" x14ac:dyDescent="0.2">
      <c r="M39" s="160"/>
      <c r="N39" s="103"/>
      <c r="O39" s="104"/>
      <c r="P39" s="95"/>
      <c r="Q39" s="607"/>
      <c r="R39" s="607"/>
      <c r="S39" s="607"/>
      <c r="T39" s="607"/>
      <c r="U39" s="95"/>
      <c r="V39" s="53"/>
    </row>
    <row r="40" spans="13:22" ht="12.75" customHeight="1" x14ac:dyDescent="0.2">
      <c r="M40" s="599"/>
      <c r="N40" s="72"/>
      <c r="O40" s="603"/>
      <c r="P40" s="222"/>
      <c r="Q40" s="74"/>
      <c r="R40" s="74"/>
      <c r="S40" s="74"/>
      <c r="T40" s="605"/>
      <c r="U40" s="74"/>
      <c r="V40" s="74"/>
    </row>
    <row r="41" spans="13:22" ht="12.75" customHeight="1" x14ac:dyDescent="0.2">
      <c r="M41" s="599"/>
      <c r="N41" s="72"/>
      <c r="O41" s="603"/>
      <c r="P41" s="222"/>
      <c r="Q41" s="74"/>
      <c r="R41" s="74"/>
      <c r="S41" s="74"/>
      <c r="T41" s="605"/>
      <c r="U41" s="74"/>
      <c r="V41" s="74"/>
    </row>
    <row r="42" spans="13:22" ht="12.75" customHeight="1" x14ac:dyDescent="0.2">
      <c r="M42" s="599"/>
      <c r="N42" s="72"/>
      <c r="O42" s="602"/>
      <c r="P42" s="222"/>
      <c r="Q42" s="74"/>
      <c r="R42" s="74"/>
      <c r="S42" s="74"/>
      <c r="T42" s="74"/>
      <c r="U42" s="74"/>
      <c r="V42" s="74"/>
    </row>
    <row r="43" spans="13:22" ht="12.75" customHeight="1" x14ac:dyDescent="0.2">
      <c r="M43" s="599"/>
      <c r="N43" s="72"/>
      <c r="O43" s="602"/>
      <c r="P43" s="222"/>
      <c r="Q43" s="74"/>
      <c r="R43" s="74"/>
      <c r="S43" s="74"/>
      <c r="T43" s="605"/>
      <c r="U43" s="74"/>
      <c r="V43" s="74"/>
    </row>
    <row r="44" spans="13:22" ht="12.75" customHeight="1" x14ac:dyDescent="0.2">
      <c r="M44" s="612"/>
      <c r="N44" s="96"/>
      <c r="O44" s="613"/>
      <c r="P44" s="222"/>
      <c r="Q44" s="74"/>
      <c r="R44" s="74"/>
      <c r="S44" s="74"/>
      <c r="T44" s="605"/>
      <c r="U44" s="74"/>
      <c r="V44" s="74"/>
    </row>
    <row r="45" spans="13:22" ht="12.75" customHeight="1" x14ac:dyDescent="0.2">
      <c r="M45" s="648"/>
      <c r="N45" s="103"/>
      <c r="O45" s="602"/>
      <c r="P45" s="605"/>
      <c r="Q45" s="74"/>
      <c r="R45" s="74"/>
      <c r="S45" s="74"/>
      <c r="T45" s="605"/>
      <c r="U45" s="647"/>
      <c r="V45" s="74"/>
    </row>
    <row r="46" spans="13:22" ht="12.75" customHeight="1" x14ac:dyDescent="0.2">
      <c r="M46" s="672"/>
      <c r="N46" s="207"/>
      <c r="O46" s="604"/>
      <c r="P46" s="222"/>
      <c r="Q46" s="74"/>
      <c r="R46" s="671"/>
      <c r="S46" s="671"/>
      <c r="T46" s="671"/>
      <c r="U46" s="671"/>
      <c r="V46" s="74"/>
    </row>
    <row r="47" spans="13:22" ht="12.75" customHeight="1" x14ac:dyDescent="0.2">
      <c r="M47" s="611"/>
      <c r="N47" s="72"/>
      <c r="O47" s="604"/>
      <c r="P47" s="222"/>
      <c r="Q47" s="610"/>
      <c r="R47" s="74"/>
      <c r="S47" s="74"/>
      <c r="T47" s="605"/>
      <c r="U47" s="74"/>
      <c r="V47" s="74"/>
    </row>
    <row r="48" spans="13:22" ht="12.75" customHeight="1" x14ac:dyDescent="0.2">
      <c r="M48" s="601"/>
      <c r="N48" s="72"/>
      <c r="O48" s="604"/>
      <c r="P48" s="222"/>
      <c r="Q48" s="74"/>
      <c r="R48" s="74"/>
      <c r="S48" s="74"/>
      <c r="T48" s="74"/>
      <c r="U48" s="74"/>
      <c r="V48" s="74"/>
    </row>
    <row r="49" spans="13:22" ht="12.75" customHeight="1" x14ac:dyDescent="0.2">
      <c r="M49" s="614"/>
      <c r="N49" s="72"/>
      <c r="O49" s="613"/>
      <c r="P49" s="222"/>
      <c r="Q49" s="74"/>
      <c r="R49" s="74"/>
      <c r="S49" s="74"/>
      <c r="T49" s="74"/>
      <c r="U49" s="74"/>
      <c r="V49" s="74"/>
    </row>
    <row r="50" spans="13:22" ht="12.75" customHeight="1" x14ac:dyDescent="0.2">
      <c r="M50" s="614"/>
      <c r="N50" s="96"/>
      <c r="O50" s="663"/>
      <c r="P50" s="656"/>
      <c r="Q50" s="74"/>
      <c r="R50" s="74"/>
      <c r="S50" s="74"/>
      <c r="T50" s="74"/>
      <c r="U50" s="74"/>
      <c r="V50" s="53"/>
    </row>
    <row r="51" spans="13:22" ht="12.75" customHeight="1" x14ac:dyDescent="0.2">
      <c r="M51" s="707"/>
      <c r="N51" s="103"/>
      <c r="O51" s="708"/>
      <c r="P51" s="95"/>
      <c r="Q51" s="95"/>
      <c r="R51" s="95"/>
      <c r="S51" s="95"/>
      <c r="T51" s="95"/>
      <c r="U51" s="95"/>
      <c r="V51" s="53"/>
    </row>
    <row r="52" spans="13:22" ht="12.75" customHeight="1" x14ac:dyDescent="0.2">
      <c r="M52" s="709"/>
      <c r="N52" s="207"/>
      <c r="O52" s="710"/>
      <c r="P52" s="95"/>
      <c r="Q52" s="95"/>
      <c r="R52" s="95"/>
      <c r="S52" s="95"/>
      <c r="T52" s="95"/>
      <c r="U52" s="95"/>
      <c r="V52" s="53"/>
    </row>
    <row r="53" spans="13:22" ht="12.75" customHeight="1" x14ac:dyDescent="0.2">
      <c r="M53" s="78"/>
      <c r="N53" s="72"/>
      <c r="O53" s="73"/>
      <c r="P53" s="74"/>
      <c r="Q53" s="74"/>
      <c r="R53" s="74"/>
      <c r="S53" s="74"/>
      <c r="T53" s="74"/>
      <c r="U53" s="74"/>
      <c r="V53" s="53"/>
    </row>
    <row r="54" spans="13:22" ht="12.75" customHeight="1" x14ac:dyDescent="0.2">
      <c r="M54" s="78"/>
      <c r="N54" s="72"/>
      <c r="O54" s="73"/>
      <c r="P54" s="74"/>
      <c r="Q54" s="74"/>
      <c r="R54" s="74"/>
      <c r="S54" s="74"/>
      <c r="T54" s="74"/>
      <c r="U54" s="74"/>
      <c r="V54" s="53"/>
    </row>
    <row r="55" spans="13:22" ht="12.75" customHeight="1" x14ac:dyDescent="0.2">
      <c r="M55" s="78"/>
      <c r="N55" s="72"/>
      <c r="O55" s="73"/>
      <c r="P55" s="74"/>
      <c r="Q55" s="74"/>
      <c r="R55" s="74"/>
      <c r="S55" s="74"/>
      <c r="T55" s="74"/>
      <c r="U55" s="74"/>
      <c r="V55" s="53"/>
    </row>
    <row r="56" spans="13:22" x14ac:dyDescent="0.2">
      <c r="M56" s="78"/>
      <c r="N56" s="96"/>
      <c r="O56" s="73"/>
      <c r="P56" s="74"/>
      <c r="Q56" s="74"/>
      <c r="R56" s="74"/>
      <c r="S56" s="74"/>
      <c r="T56" s="74"/>
      <c r="U56" s="74"/>
      <c r="V56" s="53"/>
    </row>
    <row r="57" spans="13:22" ht="16" thickBot="1" x14ac:dyDescent="0.25">
      <c r="M57" s="174"/>
      <c r="N57" s="103"/>
      <c r="O57" s="104"/>
      <c r="P57" s="95"/>
      <c r="Q57" s="95"/>
      <c r="R57" s="95"/>
      <c r="S57" s="95"/>
      <c r="T57" s="95"/>
      <c r="U57" s="95"/>
      <c r="V57" s="53"/>
    </row>
    <row r="58" spans="13:22" x14ac:dyDescent="0.2">
      <c r="M58" s="207"/>
      <c r="N58" s="216"/>
      <c r="O58" s="216"/>
      <c r="P58" s="216"/>
      <c r="Q58" s="216"/>
      <c r="R58" s="216"/>
      <c r="S58" s="216"/>
      <c r="T58" s="216"/>
      <c r="U58" s="711"/>
      <c r="V58" s="53"/>
    </row>
    <row r="59" spans="13:22" x14ac:dyDescent="0.2">
      <c r="M59" s="207"/>
      <c r="N59" s="605"/>
      <c r="O59" s="605"/>
      <c r="P59" s="605"/>
      <c r="Q59" s="605"/>
      <c r="R59" s="605"/>
      <c r="S59" s="605"/>
      <c r="T59" s="605"/>
      <c r="U59" s="605"/>
      <c r="V59" s="53"/>
    </row>
    <row r="60" spans="13:22" x14ac:dyDescent="0.2">
      <c r="M60" s="207"/>
      <c r="N60" s="605"/>
      <c r="O60" s="605"/>
      <c r="P60" s="605"/>
      <c r="Q60" s="605"/>
      <c r="R60" s="605"/>
      <c r="S60" s="605"/>
      <c r="T60" s="605"/>
      <c r="U60" s="605"/>
      <c r="V60" s="53"/>
    </row>
    <row r="61" spans="13:22" x14ac:dyDescent="0.2">
      <c r="M61" s="207"/>
      <c r="N61" s="606"/>
      <c r="O61" s="606"/>
      <c r="P61" s="606"/>
      <c r="Q61" s="606"/>
      <c r="R61" s="606"/>
      <c r="S61" s="606"/>
      <c r="T61" s="606"/>
      <c r="U61" s="606"/>
      <c r="V61" s="53"/>
    </row>
    <row r="62" spans="13:22" x14ac:dyDescent="0.2">
      <c r="M62" s="207"/>
      <c r="N62" s="207"/>
      <c r="O62" s="207"/>
      <c r="P62" s="222"/>
      <c r="Q62" s="222"/>
      <c r="R62" s="223"/>
      <c r="S62" s="222"/>
      <c r="T62" s="222"/>
      <c r="U62" s="222"/>
      <c r="V62" s="53"/>
    </row>
    <row r="63" spans="13:22" x14ac:dyDescent="0.2">
      <c r="M63" s="59"/>
      <c r="N63" s="59"/>
      <c r="O63" s="59"/>
      <c r="P63" s="59"/>
      <c r="Q63" s="59"/>
      <c r="R63" s="59"/>
      <c r="S63" s="59"/>
      <c r="T63" s="59"/>
      <c r="U63" s="59"/>
    </row>
  </sheetData>
  <mergeCells count="11">
    <mergeCell ref="M1:U1"/>
    <mergeCell ref="M2:U2"/>
    <mergeCell ref="M3:U3"/>
    <mergeCell ref="M4:U4"/>
    <mergeCell ref="O6:U6"/>
    <mergeCell ref="A1:I1"/>
    <mergeCell ref="A2:I2"/>
    <mergeCell ref="A3:I3"/>
    <mergeCell ref="A4:I4"/>
    <mergeCell ref="C6:I6"/>
    <mergeCell ref="C5:I5"/>
  </mergeCells>
  <hyperlinks>
    <hyperlink ref="M13" r:id="rId1" xr:uid="{00000000-0004-0000-1500-000000000000}"/>
    <hyperlink ref="M14" r:id="rId2" xr:uid="{00000000-0004-0000-1500-000001000000}"/>
    <hyperlink ref="M12" r:id="rId3" xr:uid="{00000000-0004-0000-1500-000002000000}"/>
    <hyperlink ref="M10" r:id="rId4" display="Employee Disability (0151,0187,0188)" xr:uid="{00000000-0004-0000-1500-000003000000}"/>
    <hyperlink ref="AF13" r:id="rId5" xr:uid="{00000000-0004-0000-1500-000004000000}"/>
    <hyperlink ref="AF14" r:id="rId6" xr:uid="{00000000-0004-0000-1500-000005000000}"/>
    <hyperlink ref="AF12" r:id="rId7" xr:uid="{00000000-0004-0000-1500-000006000000}"/>
    <hyperlink ref="AF10" r:id="rId8" display="Employee Disability (0151,0187,0188)" xr:uid="{00000000-0004-0000-1500-000007000000}"/>
  </hyperlinks>
  <pageMargins left="0.5" right="0.5" top="0.5" bottom="0.5" header="0.3" footer="0.3"/>
  <pageSetup scale="76" orientation="landscape" r:id="rId9"/>
  <headerFooter>
    <oddHeader>&amp;L&amp;10FY 2021-25 Proposed Budget&amp;R&amp;D
&amp;T</oddHeader>
    <oddFooter>&amp;L
&amp;C&amp;10Page &amp;P of &amp;N</oddFooter>
  </headerFooter>
  <legacyDrawing r:id="rId1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theme="3"/>
    <pageSetUpPr fitToPage="1"/>
  </sheetPr>
  <dimension ref="A1:K60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38</v>
      </c>
      <c r="C6" s="963" t="s">
        <v>150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878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43">
        <v>0</v>
      </c>
      <c r="C12" s="36">
        <v>25000</v>
      </c>
      <c r="D12" s="230">
        <f t="shared" si="0"/>
        <v>25000</v>
      </c>
      <c r="E12" s="550">
        <f t="shared" si="1"/>
        <v>25000</v>
      </c>
      <c r="F12" s="548">
        <f t="shared" si="1"/>
        <v>25000</v>
      </c>
      <c r="G12" s="36">
        <f t="shared" si="1"/>
        <v>25000</v>
      </c>
      <c r="H12" s="230">
        <f t="shared" si="1"/>
        <v>25000</v>
      </c>
      <c r="I12" s="37">
        <f t="shared" si="1"/>
        <v>25000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0</v>
      </c>
      <c r="C16" s="40">
        <f t="shared" ref="C16:I16" si="2">SUM(C9:C15)</f>
        <v>25000</v>
      </c>
      <c r="D16" s="40">
        <f t="shared" si="2"/>
        <v>25000</v>
      </c>
      <c r="E16" s="573">
        <f t="shared" si="2"/>
        <v>25000</v>
      </c>
      <c r="F16" s="40">
        <f t="shared" si="2"/>
        <v>25000</v>
      </c>
      <c r="G16" s="40">
        <f t="shared" si="2"/>
        <v>25000</v>
      </c>
      <c r="H16" s="40">
        <f t="shared" si="2"/>
        <v>25000</v>
      </c>
      <c r="I16" s="40">
        <f t="shared" si="2"/>
        <v>25000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4"/>
      <c r="F20" s="74"/>
      <c r="G20" s="74"/>
      <c r="H20" s="74"/>
      <c r="I20" s="74"/>
    </row>
    <row r="21" spans="1:10" ht="13" customHeight="1" x14ac:dyDescent="0.2">
      <c r="A21" s="81"/>
      <c r="B21" s="71"/>
      <c r="C21" s="76"/>
      <c r="D21" s="74"/>
      <c r="E21" s="74"/>
      <c r="F21" s="74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6"/>
      <c r="D22" s="74"/>
      <c r="E22" s="74"/>
      <c r="F22" s="74"/>
      <c r="G22" s="74"/>
      <c r="H22" s="74"/>
      <c r="I22" s="74"/>
      <c r="J22" s="82"/>
    </row>
    <row r="23" spans="1:10" ht="13" customHeight="1" x14ac:dyDescent="0.2">
      <c r="A23" s="174"/>
      <c r="B23" s="102"/>
      <c r="C23" s="94"/>
      <c r="D23" s="95"/>
      <c r="E23" s="95"/>
      <c r="F23" s="95"/>
      <c r="G23" s="95"/>
      <c r="H23" s="95"/>
      <c r="I23" s="95"/>
      <c r="J23" s="17"/>
    </row>
    <row r="24" spans="1:10" s="59" customFormat="1" ht="13" customHeight="1" x14ac:dyDescent="0.2">
      <c r="A24" s="78"/>
      <c r="B24" s="71"/>
      <c r="C24" s="76"/>
      <c r="D24" s="74"/>
      <c r="E24" s="74"/>
      <c r="F24" s="74"/>
      <c r="G24" s="74"/>
      <c r="H24" s="74"/>
      <c r="I24" s="74"/>
      <c r="J24" s="82"/>
    </row>
    <row r="25" spans="1:10" ht="13" customHeight="1" x14ac:dyDescent="0.2">
      <c r="A25" s="78"/>
      <c r="B25" s="71"/>
      <c r="C25" s="76"/>
      <c r="D25" s="74"/>
      <c r="E25" s="74"/>
      <c r="F25" s="74"/>
      <c r="G25" s="74"/>
      <c r="H25" s="74"/>
      <c r="I25" s="74"/>
      <c r="J25" s="17"/>
    </row>
    <row r="26" spans="1:10" ht="13" customHeight="1" x14ac:dyDescent="0.2">
      <c r="A26" s="78"/>
      <c r="B26" s="71"/>
      <c r="C26" s="76"/>
      <c r="D26" s="74"/>
      <c r="E26" s="74"/>
      <c r="F26" s="74"/>
      <c r="G26" s="74"/>
      <c r="H26" s="74"/>
      <c r="I26" s="74"/>
      <c r="J26" s="17"/>
    </row>
    <row r="27" spans="1:10" ht="13" customHeight="1" x14ac:dyDescent="0.2">
      <c r="A27" s="78"/>
      <c r="B27" s="71"/>
      <c r="C27" s="76"/>
      <c r="D27" s="74"/>
      <c r="E27" s="74"/>
      <c r="F27" s="74"/>
      <c r="G27" s="74"/>
      <c r="H27" s="74"/>
      <c r="I27" s="74"/>
      <c r="J27" s="17"/>
    </row>
    <row r="28" spans="1:10" ht="13" customHeight="1" x14ac:dyDescent="0.2">
      <c r="A28" s="78"/>
      <c r="B28" s="71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78"/>
      <c r="B29" s="71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78"/>
      <c r="B30" s="71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1"/>
      <c r="C31" s="72"/>
      <c r="D31" s="73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4"/>
      <c r="F43" s="74"/>
      <c r="G43" s="74"/>
      <c r="H43" s="74"/>
      <c r="I43" s="74"/>
      <c r="J43" s="17"/>
    </row>
    <row r="44" spans="1:10" ht="13" customHeight="1" x14ac:dyDescent="0.2">
      <c r="A44" s="81"/>
      <c r="B44" s="71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2"/>
      <c r="D54" s="73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1"/>
      <c r="C55" s="72"/>
      <c r="D55" s="73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1"/>
      <c r="C56" s="72"/>
      <c r="D56" s="73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theme="3"/>
    <pageSetUpPr fitToPage="1"/>
  </sheetPr>
  <dimension ref="A1:K50"/>
  <sheetViews>
    <sheetView topLeftCell="A9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44</v>
      </c>
      <c r="C6" s="963" t="s">
        <v>149</v>
      </c>
      <c r="D6" s="963"/>
      <c r="E6" s="963"/>
      <c r="F6" s="963"/>
      <c r="G6" s="963"/>
      <c r="H6" s="963"/>
      <c r="I6" s="963"/>
    </row>
    <row r="7" spans="1:11" ht="16" thickBot="1" x14ac:dyDescent="0.25">
      <c r="A7" s="88" t="s">
        <v>196</v>
      </c>
      <c r="C7" s="941" t="s">
        <v>877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44" t="s">
        <v>109</v>
      </c>
      <c r="B12" s="43">
        <v>0</v>
      </c>
      <c r="C12" s="36">
        <v>49246000</v>
      </c>
      <c r="D12" s="230">
        <f>+C12</f>
        <v>49246000</v>
      </c>
      <c r="E12" s="550">
        <f>E25</f>
        <v>49246000</v>
      </c>
      <c r="F12" s="548">
        <f t="shared" ref="F12:I12" si="2">F25</f>
        <v>49246000</v>
      </c>
      <c r="G12" s="36">
        <f>G25</f>
        <v>49246000</v>
      </c>
      <c r="H12" s="230">
        <f t="shared" si="2"/>
        <v>50320000</v>
      </c>
      <c r="I12" s="50">
        <f t="shared" si="2"/>
        <v>50320000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0</v>
      </c>
      <c r="C16" s="40">
        <f t="shared" ref="C16:I16" si="3">SUM(C9:C15)</f>
        <v>49246000</v>
      </c>
      <c r="D16" s="40">
        <f t="shared" si="3"/>
        <v>49246000</v>
      </c>
      <c r="E16" s="573">
        <f t="shared" si="3"/>
        <v>49246000</v>
      </c>
      <c r="F16" s="40">
        <f t="shared" si="3"/>
        <v>49246000</v>
      </c>
      <c r="G16" s="40">
        <f t="shared" si="3"/>
        <v>49246000</v>
      </c>
      <c r="H16" s="40">
        <f t="shared" si="3"/>
        <v>50320000</v>
      </c>
      <c r="I16" s="40">
        <f t="shared" si="3"/>
        <v>50320000</v>
      </c>
    </row>
    <row r="17" spans="1:10" ht="24.75" customHeight="1" x14ac:dyDescent="0.2">
      <c r="A17" s="704" t="s">
        <v>448</v>
      </c>
    </row>
    <row r="18" spans="1:10" x14ac:dyDescent="0.2">
      <c r="A18" s="869" t="s">
        <v>568</v>
      </c>
      <c r="B18" s="43">
        <v>45272733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/>
      <c r="B20" s="71"/>
      <c r="C20" s="59"/>
      <c r="D20" s="74"/>
      <c r="E20" s="74"/>
      <c r="F20" s="74"/>
      <c r="G20" s="74"/>
      <c r="H20" s="74"/>
      <c r="I20" s="74"/>
    </row>
    <row r="21" spans="1:10" ht="13" customHeight="1" x14ac:dyDescent="0.2">
      <c r="A21" s="464"/>
      <c r="B21" s="71"/>
      <c r="C21" s="76"/>
      <c r="D21" s="74"/>
      <c r="E21" s="74"/>
      <c r="F21" s="74"/>
      <c r="G21" s="74"/>
      <c r="H21" s="74"/>
      <c r="I21" s="74"/>
      <c r="J21" s="17"/>
    </row>
    <row r="22" spans="1:10" s="59" customFormat="1" ht="13" customHeight="1" x14ac:dyDescent="0.2">
      <c r="A22" s="700"/>
      <c r="B22" s="136"/>
      <c r="C22" s="141"/>
      <c r="D22" s="139"/>
      <c r="E22" s="139"/>
      <c r="F22" s="139"/>
      <c r="G22" s="139"/>
      <c r="H22" s="139"/>
      <c r="I22" s="139"/>
      <c r="J22" s="82"/>
    </row>
    <row r="23" spans="1:10" ht="13" customHeight="1" x14ac:dyDescent="0.2">
      <c r="A23" s="368"/>
      <c r="B23" s="102"/>
      <c r="C23" s="94"/>
      <c r="D23" s="95"/>
      <c r="E23" s="95"/>
      <c r="F23" s="95"/>
      <c r="G23" s="95"/>
      <c r="H23" s="95"/>
      <c r="I23" s="95"/>
      <c r="J23" s="17"/>
    </row>
    <row r="24" spans="1:10" s="59" customFormat="1" ht="13" customHeight="1" x14ac:dyDescent="0.2">
      <c r="A24" s="618"/>
      <c r="B24" s="71"/>
      <c r="C24" s="76"/>
      <c r="D24" s="74"/>
      <c r="E24" s="74"/>
      <c r="F24" s="74"/>
      <c r="G24" s="74"/>
      <c r="H24" s="74"/>
      <c r="I24" s="74"/>
      <c r="J24" s="82"/>
    </row>
    <row r="25" spans="1:10" ht="13" customHeight="1" x14ac:dyDescent="0.2">
      <c r="A25" s="890" t="s">
        <v>569</v>
      </c>
      <c r="B25" s="871"/>
      <c r="C25" s="872">
        <v>500</v>
      </c>
      <c r="D25" s="74"/>
      <c r="E25" s="95">
        <v>49246000</v>
      </c>
      <c r="F25" s="95">
        <v>49246000</v>
      </c>
      <c r="G25" s="95">
        <v>49246000</v>
      </c>
      <c r="H25" s="95">
        <v>50320000</v>
      </c>
      <c r="I25" s="95">
        <v>50320000</v>
      </c>
      <c r="J25" s="17"/>
    </row>
    <row r="26" spans="1:10" ht="13" customHeight="1" x14ac:dyDescent="0.2">
      <c r="A26" s="890" t="s">
        <v>730</v>
      </c>
      <c r="B26" s="871"/>
      <c r="C26" s="872">
        <v>500</v>
      </c>
      <c r="D26" s="74"/>
      <c r="E26" s="95">
        <v>50320000</v>
      </c>
      <c r="F26" s="95">
        <v>50320000</v>
      </c>
      <c r="G26" s="95">
        <v>50320000</v>
      </c>
      <c r="H26" s="95">
        <v>50320000</v>
      </c>
      <c r="I26" s="95">
        <v>50320000</v>
      </c>
      <c r="J26" s="17"/>
    </row>
    <row r="27" spans="1:10" ht="13" customHeight="1" x14ac:dyDescent="0.2">
      <c r="A27" s="167" t="s">
        <v>198</v>
      </c>
      <c r="B27" s="871"/>
      <c r="C27" s="872">
        <v>500</v>
      </c>
      <c r="D27" s="74"/>
      <c r="E27" s="873">
        <f>+E25-E26</f>
        <v>-1074000</v>
      </c>
      <c r="F27" s="873">
        <f t="shared" ref="F27:I27" si="4">+F25-F26</f>
        <v>-1074000</v>
      </c>
      <c r="G27" s="873">
        <f t="shared" si="4"/>
        <v>-1074000</v>
      </c>
      <c r="H27" s="873">
        <f t="shared" si="4"/>
        <v>0</v>
      </c>
      <c r="I27" s="873">
        <f t="shared" si="4"/>
        <v>0</v>
      </c>
      <c r="J27" s="17"/>
    </row>
    <row r="28" spans="1:10" ht="13" customHeight="1" x14ac:dyDescent="0.2">
      <c r="A28" s="452"/>
      <c r="B28" s="71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646"/>
      <c r="B29" s="67"/>
      <c r="C29" s="75"/>
      <c r="D29" s="70"/>
      <c r="E29" s="70"/>
      <c r="F29" s="70"/>
      <c r="G29" s="70"/>
      <c r="H29" s="70"/>
      <c r="I29" s="70"/>
      <c r="J29" s="17"/>
    </row>
    <row r="30" spans="1:10" ht="13" customHeight="1" x14ac:dyDescent="0.2">
      <c r="A30" s="78"/>
      <c r="B30" s="71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1"/>
      <c r="C31" s="72"/>
      <c r="D31" s="73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2.75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2.75" customHeight="1" x14ac:dyDescent="0.2"/>
    <row r="41" spans="1:10" ht="12.75" customHeight="1" x14ac:dyDescent="0.2"/>
    <row r="42" spans="1:10" ht="12.75" customHeight="1" x14ac:dyDescent="0.2"/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5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3"/>
    <pageSetUpPr fitToPage="1"/>
  </sheetPr>
  <dimension ref="A1:K60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42</v>
      </c>
      <c r="C6" s="963" t="s">
        <v>148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876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18667</v>
      </c>
      <c r="C12" s="36">
        <v>250000</v>
      </c>
      <c r="D12" s="230">
        <f t="shared" si="0"/>
        <v>250000</v>
      </c>
      <c r="E12" s="550">
        <f t="shared" si="1"/>
        <v>250000</v>
      </c>
      <c r="F12" s="548">
        <f t="shared" si="1"/>
        <v>250000</v>
      </c>
      <c r="G12" s="36">
        <f t="shared" si="1"/>
        <v>250000</v>
      </c>
      <c r="H12" s="230">
        <f t="shared" si="1"/>
        <v>250000</v>
      </c>
      <c r="I12" s="37">
        <f t="shared" si="1"/>
        <v>250000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18667</v>
      </c>
      <c r="C16" s="40">
        <f t="shared" ref="C16:I16" si="2">SUM(C9:C15)</f>
        <v>250000</v>
      </c>
      <c r="D16" s="40">
        <f t="shared" si="2"/>
        <v>250000</v>
      </c>
      <c r="E16" s="573">
        <f t="shared" si="2"/>
        <v>250000</v>
      </c>
      <c r="F16" s="40">
        <f t="shared" si="2"/>
        <v>250000</v>
      </c>
      <c r="G16" s="40">
        <f t="shared" si="2"/>
        <v>250000</v>
      </c>
      <c r="H16" s="40">
        <f t="shared" si="2"/>
        <v>250000</v>
      </c>
      <c r="I16" s="40">
        <f t="shared" si="2"/>
        <v>250000</v>
      </c>
    </row>
    <row r="17" spans="1:10" x14ac:dyDescent="0.2">
      <c r="B17" s="7" t="s">
        <v>228</v>
      </c>
    </row>
    <row r="18" spans="1:10" x14ac:dyDescent="0.2">
      <c r="E18" s="416">
        <f>+E16-D16</f>
        <v>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4"/>
      <c r="F20" s="74"/>
      <c r="G20" s="74"/>
      <c r="H20" s="74"/>
      <c r="I20" s="74"/>
    </row>
    <row r="21" spans="1:10" ht="13" customHeight="1" x14ac:dyDescent="0.2">
      <c r="A21" s="81"/>
      <c r="B21" s="71"/>
      <c r="C21" s="76"/>
      <c r="D21" s="74"/>
      <c r="E21" s="74"/>
      <c r="F21" s="74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6"/>
      <c r="D22" s="74"/>
      <c r="E22" s="74"/>
      <c r="F22" s="74"/>
      <c r="G22" s="74"/>
      <c r="H22" s="74"/>
      <c r="I22" s="74"/>
      <c r="J22" s="82"/>
    </row>
    <row r="23" spans="1:10" ht="13" customHeight="1" x14ac:dyDescent="0.2">
      <c r="A23" s="174"/>
      <c r="B23" s="102"/>
      <c r="C23" s="94"/>
      <c r="D23" s="95"/>
      <c r="E23" s="95"/>
      <c r="F23" s="95"/>
      <c r="G23" s="95"/>
      <c r="H23" s="95"/>
      <c r="I23" s="95"/>
      <c r="J23" s="17"/>
    </row>
    <row r="24" spans="1:10" s="59" customFormat="1" ht="13" customHeight="1" x14ac:dyDescent="0.2">
      <c r="A24" s="78"/>
      <c r="B24" s="71"/>
      <c r="C24" s="76"/>
      <c r="D24" s="74"/>
      <c r="E24" s="74"/>
      <c r="F24" s="74"/>
      <c r="G24" s="74"/>
      <c r="H24" s="74"/>
      <c r="I24" s="74"/>
      <c r="J24" s="82"/>
    </row>
    <row r="25" spans="1:10" ht="13" customHeight="1" x14ac:dyDescent="0.2">
      <c r="A25" s="78"/>
      <c r="B25" s="71"/>
      <c r="C25" s="76"/>
      <c r="D25" s="74"/>
      <c r="E25" s="74"/>
      <c r="F25" s="74"/>
      <c r="G25" s="74"/>
      <c r="H25" s="74"/>
      <c r="I25" s="74"/>
      <c r="J25" s="17"/>
    </row>
    <row r="26" spans="1:10" ht="13" customHeight="1" x14ac:dyDescent="0.2">
      <c r="A26" s="78"/>
      <c r="B26" s="71"/>
      <c r="C26" s="76"/>
      <c r="D26" s="74"/>
      <c r="E26" s="74"/>
      <c r="F26" s="74"/>
      <c r="G26" s="74"/>
      <c r="H26" s="74"/>
      <c r="I26" s="74"/>
      <c r="J26" s="17"/>
    </row>
    <row r="27" spans="1:10" ht="13" customHeight="1" x14ac:dyDescent="0.2">
      <c r="A27" s="78"/>
      <c r="B27" s="71"/>
      <c r="C27" s="76"/>
      <c r="D27" s="74"/>
      <c r="E27" s="74"/>
      <c r="F27" s="74"/>
      <c r="G27" s="74"/>
      <c r="H27" s="74"/>
      <c r="I27" s="74"/>
      <c r="J27" s="17"/>
    </row>
    <row r="28" spans="1:10" ht="13" customHeight="1" x14ac:dyDescent="0.2">
      <c r="A28" s="78"/>
      <c r="B28" s="71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78"/>
      <c r="B29" s="71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78"/>
      <c r="B30" s="71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1"/>
      <c r="C31" s="72"/>
      <c r="D31" s="73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4"/>
      <c r="F43" s="74"/>
      <c r="G43" s="74"/>
      <c r="H43" s="74"/>
      <c r="I43" s="74"/>
      <c r="J43" s="17"/>
    </row>
    <row r="44" spans="1:10" ht="13" customHeight="1" x14ac:dyDescent="0.2">
      <c r="A44" s="81"/>
      <c r="B44" s="71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2"/>
      <c r="D54" s="73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1"/>
      <c r="C55" s="72"/>
      <c r="D55" s="73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1"/>
      <c r="C56" s="72"/>
      <c r="D56" s="73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theme="3"/>
    <pageSetUpPr fitToPage="1"/>
  </sheetPr>
  <dimension ref="A1:Q76"/>
  <sheetViews>
    <sheetView topLeftCell="A4" zoomScaleNormal="100" zoomScaleSheetLayoutView="90" workbookViewId="0">
      <selection activeCell="K19" sqref="K1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3.5" style="7" customWidth="1"/>
    <col min="11" max="11" width="15.5" style="7" customWidth="1"/>
    <col min="12" max="12" width="9.1640625" style="7"/>
    <col min="13" max="13" width="11.83203125" style="7" bestFit="1" customWidth="1"/>
    <col min="14" max="14" width="10.83203125" style="7" bestFit="1" customWidth="1"/>
    <col min="15" max="16384" width="9.1640625" style="7"/>
  </cols>
  <sheetData>
    <row r="1" spans="1:17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7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7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7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7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7" ht="16" x14ac:dyDescent="0.2">
      <c r="A6" s="5" t="s">
        <v>14</v>
      </c>
      <c r="B6" s="32" t="s">
        <v>40</v>
      </c>
      <c r="C6" s="963" t="s">
        <v>147</v>
      </c>
      <c r="D6" s="963"/>
      <c r="E6" s="963"/>
      <c r="F6" s="963"/>
      <c r="G6" s="963"/>
      <c r="H6" s="963"/>
      <c r="I6" s="963"/>
    </row>
    <row r="7" spans="1:17" ht="16" thickBot="1" x14ac:dyDescent="0.25">
      <c r="A7" s="88" t="s">
        <v>196</v>
      </c>
      <c r="C7" s="7" t="s">
        <v>875</v>
      </c>
      <c r="E7" s="445"/>
      <c r="F7" s="445"/>
      <c r="G7" s="445"/>
      <c r="H7" s="445"/>
      <c r="I7" s="445"/>
    </row>
    <row r="8" spans="1:17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575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</row>
    <row r="9" spans="1:17" x14ac:dyDescent="0.2">
      <c r="A9" s="9" t="s">
        <v>4</v>
      </c>
      <c r="B9" s="34">
        <v>0</v>
      </c>
      <c r="C9" s="34">
        <v>0</v>
      </c>
      <c r="D9" s="227">
        <f>+C9</f>
        <v>0</v>
      </c>
      <c r="E9" s="115">
        <f>+D9</f>
        <v>0</v>
      </c>
      <c r="F9" s="411">
        <f t="shared" ref="E9:I11" si="0">+E9</f>
        <v>0</v>
      </c>
      <c r="G9" s="34">
        <f t="shared" si="0"/>
        <v>0</v>
      </c>
      <c r="H9" s="227">
        <f t="shared" si="0"/>
        <v>0</v>
      </c>
      <c r="I9" s="51">
        <f t="shared" si="0"/>
        <v>0</v>
      </c>
      <c r="L9" s="7">
        <v>100</v>
      </c>
    </row>
    <row r="10" spans="1:17" x14ac:dyDescent="0.2">
      <c r="A10" s="10" t="s">
        <v>5</v>
      </c>
      <c r="B10" s="36">
        <v>0</v>
      </c>
      <c r="C10" s="36">
        <v>0</v>
      </c>
      <c r="D10" s="230">
        <f t="shared" ref="D10:D15" si="1">+C10</f>
        <v>0</v>
      </c>
      <c r="E10" s="550">
        <f t="shared" si="0"/>
        <v>0</v>
      </c>
      <c r="F10" s="548">
        <f t="shared" si="0"/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  <c r="L10" s="7">
        <v>200</v>
      </c>
    </row>
    <row r="11" spans="1:17" x14ac:dyDescent="0.2">
      <c r="A11" s="9" t="s">
        <v>6</v>
      </c>
      <c r="B11" s="34">
        <v>0</v>
      </c>
      <c r="C11" s="34">
        <v>0</v>
      </c>
      <c r="D11" s="227">
        <f t="shared" si="1"/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L11" s="7" t="s">
        <v>167</v>
      </c>
    </row>
    <row r="12" spans="1:17" x14ac:dyDescent="0.2">
      <c r="A12" s="10" t="s">
        <v>7</v>
      </c>
      <c r="B12" s="43">
        <v>180870541</v>
      </c>
      <c r="C12" s="55">
        <v>222456410</v>
      </c>
      <c r="D12" s="230">
        <f>+C12</f>
        <v>222456410</v>
      </c>
      <c r="E12" s="550">
        <f>252578558+E21+E23</f>
        <v>252578558</v>
      </c>
      <c r="F12" s="548">
        <f>266953201+F21+F22+F23</f>
        <v>269953201</v>
      </c>
      <c r="G12" s="36">
        <f>270052590+G21+G22+G23</f>
        <v>282052590</v>
      </c>
      <c r="H12" s="230">
        <f>273191821+H21+H23</f>
        <v>288191821</v>
      </c>
      <c r="I12" s="50">
        <f>273191821+I21+I23</f>
        <v>288191821</v>
      </c>
      <c r="K12" s="74">
        <f>+H12*1.012</f>
        <v>291650122.852</v>
      </c>
      <c r="L12" s="7">
        <v>500</v>
      </c>
    </row>
    <row r="13" spans="1:17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ref="E13:I15" si="2">+D13</f>
        <v>0</v>
      </c>
      <c r="F13" s="411">
        <f t="shared" si="2"/>
        <v>0</v>
      </c>
      <c r="G13" s="34">
        <f t="shared" si="2"/>
        <v>0</v>
      </c>
      <c r="H13" s="227">
        <f t="shared" si="2"/>
        <v>0</v>
      </c>
      <c r="I13" s="35">
        <f t="shared" si="2"/>
        <v>0</v>
      </c>
      <c r="K13" s="213">
        <f>+I12-H12</f>
        <v>0</v>
      </c>
      <c r="L13" s="7">
        <v>700</v>
      </c>
      <c r="M13" s="213"/>
      <c r="N13" s="213"/>
      <c r="O13" s="213"/>
      <c r="P13" s="213"/>
      <c r="Q13" s="213"/>
    </row>
    <row r="14" spans="1:17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2"/>
        <v>0</v>
      </c>
      <c r="G14" s="36">
        <f t="shared" si="2"/>
        <v>0</v>
      </c>
      <c r="H14" s="230">
        <f t="shared" si="2"/>
        <v>0</v>
      </c>
      <c r="I14" s="37">
        <f t="shared" si="2"/>
        <v>0</v>
      </c>
      <c r="L14" s="7">
        <v>800</v>
      </c>
      <c r="M14" s="213"/>
    </row>
    <row r="15" spans="1:17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2"/>
        <v>0</v>
      </c>
      <c r="G15" s="38">
        <f t="shared" si="2"/>
        <v>0</v>
      </c>
      <c r="H15" s="231">
        <f t="shared" si="2"/>
        <v>0</v>
      </c>
      <c r="I15" s="39">
        <f t="shared" si="2"/>
        <v>0</v>
      </c>
      <c r="L15" s="7">
        <v>900</v>
      </c>
    </row>
    <row r="16" spans="1:17" ht="16" thickBot="1" x14ac:dyDescent="0.25">
      <c r="A16" s="4" t="s">
        <v>11</v>
      </c>
      <c r="B16" s="40">
        <f>SUM(B9:B15)</f>
        <v>180870541</v>
      </c>
      <c r="C16" s="40">
        <f t="shared" ref="C16:I16" si="3">SUM(C9:C15)</f>
        <v>222456410</v>
      </c>
      <c r="D16" s="40">
        <f t="shared" si="3"/>
        <v>222456410</v>
      </c>
      <c r="E16" s="116">
        <f t="shared" si="3"/>
        <v>252578558</v>
      </c>
      <c r="F16" s="40">
        <f t="shared" si="3"/>
        <v>269953201</v>
      </c>
      <c r="G16" s="40">
        <f t="shared" si="3"/>
        <v>282052590</v>
      </c>
      <c r="H16" s="40">
        <f t="shared" si="3"/>
        <v>288191821</v>
      </c>
      <c r="I16" s="40">
        <f t="shared" si="3"/>
        <v>288191821</v>
      </c>
    </row>
    <row r="18" spans="1:13" x14ac:dyDescent="0.2">
      <c r="E18" s="406">
        <f>+E16-D16</f>
        <v>30122148</v>
      </c>
      <c r="F18" s="406">
        <f t="shared" ref="F18:I18" si="4">+F16-E16</f>
        <v>17374643</v>
      </c>
      <c r="G18" s="406">
        <f t="shared" si="4"/>
        <v>12099389</v>
      </c>
      <c r="H18" s="406">
        <f t="shared" si="4"/>
        <v>6139231</v>
      </c>
      <c r="I18" s="406">
        <f t="shared" si="4"/>
        <v>0</v>
      </c>
      <c r="K18" s="213">
        <f>SUM(E12:I12)</f>
        <v>1380967991</v>
      </c>
    </row>
    <row r="19" spans="1:13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3" ht="15" customHeight="1" thickTop="1" x14ac:dyDescent="0.2">
      <c r="A20" s="674" t="s">
        <v>450</v>
      </c>
      <c r="B20" s="71"/>
      <c r="C20" s="76"/>
      <c r="D20" s="74"/>
      <c r="E20" s="74"/>
      <c r="F20" s="74"/>
      <c r="G20" s="74"/>
      <c r="H20" s="74"/>
      <c r="I20" s="74"/>
    </row>
    <row r="21" spans="1:13" ht="13" customHeight="1" x14ac:dyDescent="0.2">
      <c r="A21" s="894" t="s">
        <v>608</v>
      </c>
      <c r="B21" s="67"/>
      <c r="C21" s="75">
        <v>500</v>
      </c>
      <c r="D21" s="70"/>
      <c r="E21" s="70">
        <v>15000000</v>
      </c>
      <c r="F21" s="70">
        <v>15000000</v>
      </c>
      <c r="G21" s="70">
        <v>15000000</v>
      </c>
      <c r="H21" s="70">
        <v>15000000</v>
      </c>
      <c r="I21" s="70">
        <v>15000000</v>
      </c>
      <c r="J21" s="17"/>
      <c r="K21" s="214"/>
    </row>
    <row r="22" spans="1:13" s="59" customFormat="1" ht="13" customHeight="1" x14ac:dyDescent="0.2">
      <c r="A22" s="367" t="s">
        <v>733</v>
      </c>
      <c r="B22" s="71"/>
      <c r="C22" s="76">
        <v>500</v>
      </c>
      <c r="D22" s="74"/>
      <c r="E22" s="74"/>
      <c r="F22" s="74">
        <v>3000000</v>
      </c>
      <c r="G22" s="74">
        <v>-3000000</v>
      </c>
      <c r="H22" s="74"/>
      <c r="I22" s="74"/>
      <c r="J22" s="82"/>
    </row>
    <row r="23" spans="1:13" ht="13" customHeight="1" x14ac:dyDescent="0.2">
      <c r="A23" s="894" t="s">
        <v>734</v>
      </c>
      <c r="B23" s="67"/>
      <c r="C23" s="68">
        <v>500</v>
      </c>
      <c r="D23" s="69"/>
      <c r="E23" s="145">
        <v>-15000000</v>
      </c>
      <c r="F23" s="145">
        <v>-15000000</v>
      </c>
      <c r="G23" s="145">
        <v>0</v>
      </c>
      <c r="H23" s="145">
        <v>0</v>
      </c>
      <c r="I23" s="145">
        <v>0</v>
      </c>
      <c r="J23" s="82"/>
      <c r="K23" s="59"/>
      <c r="L23" s="59"/>
      <c r="M23" s="59"/>
    </row>
    <row r="24" spans="1:13" s="59" customFormat="1" ht="13" customHeight="1" x14ac:dyDescent="0.2">
      <c r="A24" s="676"/>
      <c r="B24" s="71"/>
      <c r="C24" s="76"/>
      <c r="D24" s="74"/>
      <c r="E24" s="74"/>
      <c r="F24" s="74"/>
      <c r="G24" s="74"/>
      <c r="H24" s="74"/>
      <c r="I24" s="74"/>
      <c r="J24" s="82"/>
      <c r="K24" s="74"/>
    </row>
    <row r="25" spans="1:13" ht="13" customHeight="1" x14ac:dyDescent="0.2">
      <c r="A25" s="679"/>
      <c r="B25" s="67"/>
      <c r="C25" s="75"/>
      <c r="D25" s="70"/>
      <c r="E25" s="70"/>
      <c r="F25" s="70"/>
      <c r="G25" s="70"/>
      <c r="H25" s="70"/>
      <c r="I25" s="70"/>
      <c r="J25" s="82"/>
      <c r="K25" s="74"/>
      <c r="L25" s="59"/>
      <c r="M25" s="59"/>
    </row>
    <row r="26" spans="1:13" ht="13" customHeight="1" x14ac:dyDescent="0.2">
      <c r="A26" s="676"/>
      <c r="B26" s="71"/>
      <c r="C26" s="76"/>
      <c r="D26" s="74"/>
      <c r="E26" s="74"/>
      <c r="F26" s="74"/>
      <c r="G26" s="74"/>
      <c r="H26" s="74"/>
      <c r="I26" s="74"/>
      <c r="J26" s="82"/>
      <c r="K26" s="74"/>
      <c r="L26" s="59"/>
      <c r="M26" s="59"/>
    </row>
    <row r="27" spans="1:13" ht="13" customHeight="1" x14ac:dyDescent="0.2">
      <c r="A27" s="694"/>
      <c r="B27" s="67"/>
      <c r="C27" s="68"/>
      <c r="D27" s="69"/>
      <c r="E27" s="145"/>
      <c r="F27" s="145"/>
      <c r="G27" s="145"/>
      <c r="H27" s="145"/>
      <c r="I27" s="145"/>
      <c r="J27" s="20"/>
      <c r="K27" s="95"/>
      <c r="L27" s="59"/>
      <c r="M27" s="59"/>
    </row>
    <row r="28" spans="1:13" ht="13" customHeight="1" x14ac:dyDescent="0.2">
      <c r="A28" s="78"/>
      <c r="B28" s="71"/>
      <c r="C28" s="72"/>
      <c r="D28" s="73"/>
      <c r="E28" s="95"/>
      <c r="F28" s="95"/>
      <c r="G28" s="95"/>
      <c r="H28" s="95"/>
      <c r="I28" s="95"/>
      <c r="J28" s="20"/>
      <c r="K28" s="95"/>
      <c r="L28" s="59"/>
      <c r="M28" s="59"/>
    </row>
    <row r="29" spans="1:13" ht="13" customHeight="1" x14ac:dyDescent="0.2">
      <c r="A29" s="160"/>
      <c r="B29" s="71"/>
      <c r="C29" s="72"/>
      <c r="D29" s="73"/>
      <c r="E29" s="95"/>
      <c r="F29" s="95"/>
      <c r="G29" s="95"/>
      <c r="H29" s="95"/>
      <c r="I29" s="95"/>
      <c r="J29" s="20"/>
      <c r="K29" s="207"/>
      <c r="L29" s="59"/>
      <c r="M29" s="59"/>
    </row>
    <row r="30" spans="1:13" ht="13" customHeight="1" x14ac:dyDescent="0.2">
      <c r="A30" s="78"/>
      <c r="B30" s="79"/>
      <c r="C30" s="76"/>
      <c r="D30" s="74"/>
      <c r="E30" s="95"/>
      <c r="F30" s="95"/>
      <c r="G30" s="95"/>
      <c r="H30" s="95"/>
      <c r="I30" s="95"/>
      <c r="J30" s="20"/>
      <c r="K30" s="95"/>
      <c r="L30" s="59"/>
      <c r="M30" s="59"/>
    </row>
    <row r="31" spans="1:13" ht="13" customHeight="1" x14ac:dyDescent="0.2">
      <c r="A31" s="78"/>
      <c r="B31" s="79"/>
      <c r="C31" s="957">
        <v>222456410</v>
      </c>
      <c r="D31" s="74"/>
      <c r="E31" s="957">
        <v>252578558</v>
      </c>
      <c r="F31" s="957">
        <v>266953201</v>
      </c>
      <c r="G31" s="957">
        <v>270052590</v>
      </c>
      <c r="H31" s="957">
        <v>273191821</v>
      </c>
      <c r="I31" s="95"/>
      <c r="J31" s="20"/>
      <c r="K31" s="95"/>
      <c r="L31" s="59"/>
      <c r="M31" s="59"/>
    </row>
    <row r="32" spans="1:13" ht="13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82"/>
      <c r="K32" s="83"/>
      <c r="L32" s="59"/>
      <c r="M32" s="59"/>
    </row>
    <row r="33" spans="1:13" ht="13" customHeight="1" x14ac:dyDescent="0.2">
      <c r="A33" s="160"/>
      <c r="B33" s="79"/>
      <c r="C33" s="76"/>
      <c r="D33" s="74"/>
      <c r="E33" s="74"/>
      <c r="F33" s="74"/>
      <c r="G33" s="74"/>
      <c r="H33" s="74"/>
      <c r="I33" s="74"/>
      <c r="J33" s="82"/>
      <c r="K33" s="83"/>
      <c r="L33" s="59"/>
      <c r="M33" s="59"/>
    </row>
    <row r="34" spans="1:13" ht="13" customHeight="1" x14ac:dyDescent="0.2">
      <c r="A34" s="477"/>
      <c r="B34" s="79"/>
      <c r="C34" s="76"/>
      <c r="D34" s="74"/>
      <c r="E34" s="74"/>
      <c r="F34" s="74"/>
      <c r="G34" s="74"/>
      <c r="H34" s="74"/>
      <c r="I34" s="74"/>
      <c r="J34" s="82"/>
      <c r="K34" s="74"/>
      <c r="L34" s="59"/>
      <c r="M34" s="59"/>
    </row>
    <row r="35" spans="1:13" ht="13" customHeight="1" x14ac:dyDescent="0.2">
      <c r="A35" s="440"/>
      <c r="B35" s="79"/>
      <c r="C35" s="76"/>
      <c r="D35" s="74"/>
      <c r="E35" s="74"/>
      <c r="F35" s="74"/>
      <c r="G35" s="74"/>
      <c r="H35" s="74"/>
      <c r="I35" s="74"/>
      <c r="J35" s="82"/>
      <c r="K35" s="74"/>
      <c r="L35" s="59"/>
      <c r="M35" s="59"/>
    </row>
    <row r="36" spans="1:13" ht="13" customHeight="1" x14ac:dyDescent="0.2">
      <c r="A36" s="440"/>
      <c r="B36" s="79"/>
      <c r="C36" s="76"/>
      <c r="D36" s="74"/>
      <c r="E36" s="74"/>
      <c r="F36" s="74"/>
      <c r="G36" s="74"/>
      <c r="H36" s="74"/>
      <c r="I36" s="74"/>
      <c r="J36" s="82"/>
      <c r="K36" s="74"/>
      <c r="L36" s="59"/>
      <c r="M36" s="59"/>
    </row>
    <row r="37" spans="1:13" ht="13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3" ht="13" customHeight="1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</row>
    <row r="39" spans="1:13" ht="13" customHeight="1" x14ac:dyDescent="0.2"/>
    <row r="40" spans="1:13" ht="13" customHeight="1" x14ac:dyDescent="0.2"/>
    <row r="41" spans="1:13" ht="13" customHeight="1" x14ac:dyDescent="0.2"/>
    <row r="42" spans="1:13" ht="13" customHeight="1" x14ac:dyDescent="0.2"/>
    <row r="43" spans="1:13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3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3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3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3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3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</row>
    <row r="54" spans="1:10" ht="13" customHeight="1" x14ac:dyDescent="0.2">
      <c r="A54" s="78"/>
      <c r="B54" s="79"/>
      <c r="C54" s="76"/>
      <c r="D54" s="74"/>
    </row>
    <row r="55" spans="1:10" ht="12.75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80"/>
      <c r="B59" s="71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135" t="s">
        <v>298</v>
      </c>
      <c r="B60" s="79"/>
      <c r="C60" s="76"/>
      <c r="D60" s="74"/>
      <c r="E60" s="74">
        <v>500378</v>
      </c>
      <c r="F60" s="74">
        <v>492872</v>
      </c>
      <c r="G60" s="74">
        <v>242618</v>
      </c>
    </row>
    <row r="61" spans="1:10" ht="13" customHeight="1" x14ac:dyDescent="0.2">
      <c r="A61" s="78"/>
      <c r="B61" s="79"/>
      <c r="C61" s="76"/>
      <c r="D61" s="74"/>
      <c r="E61" s="74"/>
      <c r="F61" s="74"/>
      <c r="G61" s="74"/>
      <c r="H61" s="74"/>
      <c r="I61" s="74"/>
      <c r="J61" s="17"/>
    </row>
    <row r="62" spans="1:10" ht="13" customHeight="1" x14ac:dyDescent="0.2">
      <c r="A62" s="78"/>
      <c r="B62" s="71"/>
      <c r="C62" s="76"/>
      <c r="D62" s="74"/>
      <c r="E62" s="74">
        <f t="shared" ref="E62:H62" si="5">-E60+E21</f>
        <v>14499622</v>
      </c>
      <c r="F62" s="74">
        <f t="shared" si="5"/>
        <v>14507128</v>
      </c>
      <c r="G62" s="74">
        <f t="shared" si="5"/>
        <v>14757382</v>
      </c>
      <c r="H62" s="74">
        <f t="shared" si="5"/>
        <v>15000000</v>
      </c>
      <c r="I62" s="74"/>
      <c r="J62" s="17"/>
    </row>
    <row r="63" spans="1:10" ht="13" customHeight="1" x14ac:dyDescent="0.2">
      <c r="A63" s="78"/>
      <c r="B63" s="71"/>
      <c r="C63" s="76"/>
      <c r="D63" s="74"/>
    </row>
    <row r="64" spans="1:10" ht="13" customHeight="1" x14ac:dyDescent="0.2">
      <c r="A64" s="78"/>
      <c r="B64" s="71"/>
      <c r="C64" s="76"/>
      <c r="D64" s="74"/>
      <c r="E64" s="74"/>
      <c r="F64" s="74"/>
      <c r="G64" s="74"/>
      <c r="H64" s="74"/>
      <c r="I64" s="74"/>
      <c r="J64" s="17"/>
    </row>
    <row r="65" spans="1:11" ht="13" customHeight="1" x14ac:dyDescent="0.2">
      <c r="A65" s="78"/>
      <c r="B65" s="71"/>
      <c r="C65" s="76"/>
      <c r="D65" s="74"/>
      <c r="E65" s="74"/>
      <c r="F65" s="74"/>
      <c r="G65" s="74"/>
      <c r="H65" s="74"/>
      <c r="I65" s="74"/>
      <c r="J65" s="17"/>
    </row>
    <row r="66" spans="1:11" ht="13" customHeight="1" x14ac:dyDescent="0.2">
      <c r="A66" s="429" t="s">
        <v>305</v>
      </c>
      <c r="B66" s="420"/>
      <c r="C66" s="421"/>
      <c r="D66" s="422"/>
      <c r="E66" s="422"/>
      <c r="F66" s="422"/>
      <c r="G66" s="422"/>
      <c r="H66" s="422"/>
      <c r="I66" s="422"/>
      <c r="J66" s="423"/>
      <c r="K66" s="424"/>
    </row>
    <row r="67" spans="1:11" ht="13" customHeight="1" x14ac:dyDescent="0.2">
      <c r="A67" s="419" t="s">
        <v>285</v>
      </c>
      <c r="B67" s="425"/>
      <c r="C67" s="421">
        <v>500</v>
      </c>
      <c r="D67" s="422"/>
      <c r="E67" s="422">
        <f>+D67</f>
        <v>0</v>
      </c>
      <c r="F67" s="422">
        <f>+E67</f>
        <v>0</v>
      </c>
      <c r="G67" s="422">
        <f>+F67</f>
        <v>0</v>
      </c>
      <c r="H67" s="422">
        <f>+G67</f>
        <v>0</v>
      </c>
      <c r="I67" s="422"/>
      <c r="J67" s="423"/>
      <c r="K67" s="422">
        <f>SUM(E67:I67)</f>
        <v>0</v>
      </c>
    </row>
    <row r="68" spans="1:11" ht="13" customHeight="1" x14ac:dyDescent="0.2">
      <c r="A68" s="419" t="s">
        <v>295</v>
      </c>
      <c r="B68" s="425"/>
      <c r="C68" s="421">
        <v>500</v>
      </c>
      <c r="D68" s="422"/>
      <c r="E68" s="422">
        <f>49746000</f>
        <v>49746000</v>
      </c>
      <c r="F68" s="422">
        <f>79368000</f>
        <v>79368000</v>
      </c>
      <c r="G68" s="422">
        <f>93250000</f>
        <v>93250000</v>
      </c>
      <c r="H68" s="422">
        <f>96107000</f>
        <v>96107000</v>
      </c>
      <c r="I68" s="422"/>
      <c r="J68" s="423"/>
      <c r="K68" s="422">
        <f t="shared" ref="K68:K70" si="6">SUM(E68:I68)</f>
        <v>318471000</v>
      </c>
    </row>
    <row r="69" spans="1:11" ht="13" customHeight="1" x14ac:dyDescent="0.2">
      <c r="A69" s="419" t="s">
        <v>297</v>
      </c>
      <c r="B69" s="425"/>
      <c r="C69" s="421">
        <v>500</v>
      </c>
      <c r="D69" s="422"/>
      <c r="E69" s="422">
        <v>16898000</v>
      </c>
      <c r="F69" s="422">
        <f>+E69</f>
        <v>16898000</v>
      </c>
      <c r="G69" s="422">
        <f>+F69</f>
        <v>16898000</v>
      </c>
      <c r="H69" s="422">
        <f>+G69</f>
        <v>16898000</v>
      </c>
      <c r="I69" s="422"/>
      <c r="J69" s="423"/>
      <c r="K69" s="422">
        <f t="shared" si="6"/>
        <v>67592000</v>
      </c>
    </row>
    <row r="70" spans="1:11" ht="13" customHeight="1" x14ac:dyDescent="0.2">
      <c r="A70" s="419" t="s">
        <v>296</v>
      </c>
      <c r="B70" s="425"/>
      <c r="C70" s="426">
        <v>500</v>
      </c>
      <c r="D70" s="427"/>
      <c r="E70" s="422">
        <f>+E31+E27</f>
        <v>252578558</v>
      </c>
      <c r="F70" s="422">
        <f>+F31+F27</f>
        <v>266953201</v>
      </c>
      <c r="G70" s="422">
        <f>+G31+G27</f>
        <v>270052590</v>
      </c>
      <c r="H70" s="422">
        <f>+H31+H27</f>
        <v>273191821</v>
      </c>
      <c r="I70" s="422"/>
      <c r="J70" s="423"/>
      <c r="K70" s="422">
        <f t="shared" si="6"/>
        <v>1062776170</v>
      </c>
    </row>
    <row r="71" spans="1:11" ht="13" customHeight="1" x14ac:dyDescent="0.2">
      <c r="A71" s="419"/>
      <c r="B71" s="425"/>
      <c r="C71" s="426"/>
      <c r="D71" s="427"/>
      <c r="E71" s="428">
        <f>SUM(E67:E70)</f>
        <v>319222558</v>
      </c>
      <c r="F71" s="428">
        <f>SUM(F67:F70)</f>
        <v>363219201</v>
      </c>
      <c r="G71" s="428">
        <f t="shared" ref="G71" si="7">SUM(G67:G70)</f>
        <v>380200590</v>
      </c>
      <c r="H71" s="428">
        <f t="shared" ref="H71" si="8">SUM(H67:H70)</f>
        <v>386196821</v>
      </c>
      <c r="I71" s="428"/>
      <c r="J71" s="423"/>
      <c r="K71" s="428">
        <f>SUM(K67:K70)</f>
        <v>1448839170</v>
      </c>
    </row>
    <row r="72" spans="1:11" ht="13" customHeight="1" x14ac:dyDescent="0.2">
      <c r="A72" s="78"/>
      <c r="B72" s="71"/>
      <c r="C72" s="72"/>
      <c r="D72" s="74"/>
    </row>
    <row r="73" spans="1:11" ht="13" customHeight="1" x14ac:dyDescent="0.2">
      <c r="A73" s="78"/>
      <c r="B73" s="79"/>
      <c r="C73" s="76"/>
      <c r="D73" s="74"/>
      <c r="E73" s="74"/>
      <c r="F73" s="74"/>
      <c r="G73" s="74"/>
      <c r="H73" s="74"/>
      <c r="I73" s="74"/>
      <c r="J73" s="17"/>
    </row>
    <row r="74" spans="1:11" ht="13" customHeight="1" x14ac:dyDescent="0.2">
      <c r="A74" s="78"/>
      <c r="B74" s="79"/>
      <c r="C74" s="76"/>
      <c r="D74" s="74"/>
      <c r="E74" s="74"/>
      <c r="F74" s="74"/>
      <c r="G74" s="74"/>
      <c r="H74" s="74"/>
      <c r="I74" s="74"/>
      <c r="J74" s="17"/>
    </row>
    <row r="75" spans="1:11" ht="13" customHeight="1" x14ac:dyDescent="0.2">
      <c r="A75" s="78"/>
      <c r="B75" s="79"/>
      <c r="C75" s="76"/>
      <c r="D75" s="74"/>
      <c r="E75" s="74"/>
      <c r="F75" s="74"/>
      <c r="G75" s="74"/>
      <c r="H75" s="74"/>
      <c r="I75" s="74"/>
      <c r="J75" s="17"/>
    </row>
    <row r="76" spans="1:11" ht="13" customHeight="1" x14ac:dyDescent="0.2">
      <c r="A76" s="78"/>
      <c r="B76" s="79"/>
      <c r="C76" s="76"/>
      <c r="D76" s="74"/>
      <c r="E76" s="74"/>
      <c r="F76" s="74"/>
      <c r="G76" s="74"/>
      <c r="H76" s="74"/>
      <c r="I76" s="74"/>
      <c r="J76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theme="3"/>
    <pageSetUpPr fitToPage="1"/>
  </sheetPr>
  <dimension ref="A1:K60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46</v>
      </c>
      <c r="C6" s="963" t="s">
        <v>146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874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v>98988</v>
      </c>
      <c r="C10" s="36">
        <v>171518</v>
      </c>
      <c r="D10" s="230">
        <f t="shared" si="0"/>
        <v>171518</v>
      </c>
      <c r="E10" s="550">
        <f t="shared" si="1"/>
        <v>171518</v>
      </c>
      <c r="F10" s="548">
        <f t="shared" si="1"/>
        <v>171518</v>
      </c>
      <c r="G10" s="36">
        <f t="shared" si="1"/>
        <v>171518</v>
      </c>
      <c r="H10" s="230">
        <f t="shared" si="1"/>
        <v>171518</v>
      </c>
      <c r="I10" s="37">
        <f t="shared" si="1"/>
        <v>171518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98988</v>
      </c>
      <c r="C16" s="40">
        <f t="shared" ref="C16:I16" si="2">SUM(C9:C15)</f>
        <v>171518</v>
      </c>
      <c r="D16" s="40">
        <f t="shared" si="2"/>
        <v>171518</v>
      </c>
      <c r="E16" s="573">
        <f t="shared" si="2"/>
        <v>171518</v>
      </c>
      <c r="F16" s="40">
        <f t="shared" si="2"/>
        <v>171518</v>
      </c>
      <c r="G16" s="40">
        <f t="shared" si="2"/>
        <v>171518</v>
      </c>
      <c r="H16" s="40">
        <f t="shared" si="2"/>
        <v>171518</v>
      </c>
      <c r="I16" s="40">
        <f t="shared" si="2"/>
        <v>171518</v>
      </c>
    </row>
    <row r="18" spans="1:10" x14ac:dyDescent="0.2">
      <c r="E18" s="415">
        <f>+E16-D16</f>
        <v>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80"/>
      <c r="B20" s="71"/>
      <c r="C20" s="72"/>
      <c r="D20" s="73"/>
      <c r="E20" s="74"/>
      <c r="F20" s="74"/>
      <c r="G20" s="74"/>
      <c r="H20" s="74"/>
      <c r="I20" s="74"/>
    </row>
    <row r="21" spans="1:10" ht="13" customHeight="1" x14ac:dyDescent="0.2">
      <c r="A21" s="81"/>
      <c r="B21" s="71"/>
      <c r="C21" s="76"/>
      <c r="D21" s="74"/>
      <c r="E21" s="74"/>
      <c r="F21" s="74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6"/>
      <c r="D22" s="74"/>
      <c r="E22" s="74"/>
      <c r="F22" s="74"/>
      <c r="G22" s="74"/>
      <c r="H22" s="74"/>
      <c r="I22" s="74"/>
      <c r="J22" s="82"/>
    </row>
    <row r="23" spans="1:10" ht="13" customHeight="1" x14ac:dyDescent="0.2">
      <c r="A23" s="174"/>
      <c r="B23" s="102"/>
      <c r="C23" s="94"/>
      <c r="D23" s="95"/>
      <c r="E23" s="95"/>
      <c r="F23" s="95"/>
      <c r="G23" s="95"/>
      <c r="H23" s="95"/>
      <c r="I23" s="95"/>
      <c r="J23" s="17"/>
    </row>
    <row r="24" spans="1:10" s="59" customFormat="1" ht="13" customHeight="1" x14ac:dyDescent="0.2">
      <c r="A24" s="78"/>
      <c r="B24" s="71"/>
      <c r="C24" s="76"/>
      <c r="D24" s="74"/>
      <c r="E24" s="74"/>
      <c r="F24" s="74"/>
      <c r="G24" s="74"/>
      <c r="H24" s="74"/>
      <c r="I24" s="74"/>
      <c r="J24" s="82"/>
    </row>
    <row r="25" spans="1:10" ht="13" customHeight="1" x14ac:dyDescent="0.2">
      <c r="A25" s="78"/>
      <c r="B25" s="71"/>
      <c r="C25" s="76"/>
      <c r="D25" s="74"/>
      <c r="E25" s="74"/>
      <c r="F25" s="74"/>
      <c r="G25" s="74"/>
      <c r="H25" s="74"/>
      <c r="I25" s="74"/>
      <c r="J25" s="17"/>
    </row>
    <row r="26" spans="1:10" ht="13" customHeight="1" x14ac:dyDescent="0.2">
      <c r="A26" s="78"/>
      <c r="B26" s="71"/>
      <c r="C26" s="76"/>
      <c r="D26" s="74"/>
      <c r="E26" s="74"/>
      <c r="F26" s="74"/>
      <c r="G26" s="74"/>
      <c r="H26" s="74"/>
      <c r="I26" s="74"/>
      <c r="J26" s="17"/>
    </row>
    <row r="27" spans="1:10" ht="13" customHeight="1" x14ac:dyDescent="0.2">
      <c r="A27" s="78"/>
      <c r="B27" s="71"/>
      <c r="C27" s="76"/>
      <c r="D27" s="74"/>
      <c r="E27" s="74"/>
      <c r="F27" s="74"/>
      <c r="G27" s="74"/>
      <c r="H27" s="74"/>
      <c r="I27" s="74"/>
      <c r="J27" s="17"/>
    </row>
    <row r="28" spans="1:10" ht="13" customHeight="1" x14ac:dyDescent="0.2">
      <c r="A28" s="78"/>
      <c r="B28" s="71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78"/>
      <c r="B29" s="71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78"/>
      <c r="B30" s="71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78"/>
      <c r="B31" s="71"/>
      <c r="C31" s="72"/>
      <c r="D31" s="73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1"/>
      <c r="C33" s="72"/>
      <c r="D33" s="73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4"/>
      <c r="F43" s="74"/>
      <c r="G43" s="74"/>
      <c r="H43" s="74"/>
      <c r="I43" s="74"/>
      <c r="J43" s="17"/>
    </row>
    <row r="44" spans="1:10" ht="13" customHeight="1" x14ac:dyDescent="0.2">
      <c r="A44" s="81"/>
      <c r="B44" s="71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2"/>
      <c r="D54" s="73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1"/>
      <c r="C55" s="72"/>
      <c r="D55" s="73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1"/>
      <c r="C56" s="72"/>
      <c r="D56" s="73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L192"/>
  <sheetViews>
    <sheetView topLeftCell="A8" zoomScaleNormal="100" zoomScaleSheetLayoutView="90" workbookViewId="0">
      <selection activeCell="L28" sqref="L2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1.83203125" style="7" customWidth="1"/>
    <col min="11" max="11" width="10.6640625" style="7" bestFit="1" customWidth="1"/>
    <col min="12" max="12" width="13.5" style="7" customWidth="1"/>
    <col min="13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/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13</v>
      </c>
      <c r="C6" s="966" t="s">
        <v>145</v>
      </c>
      <c r="D6" s="966"/>
      <c r="E6" s="966"/>
      <c r="F6" s="966"/>
      <c r="G6" s="966"/>
      <c r="H6" s="966"/>
      <c r="I6" s="966"/>
    </row>
    <row r="7" spans="1:11" ht="16" thickBot="1" x14ac:dyDescent="0.25">
      <c r="A7" s="88" t="s">
        <v>168</v>
      </c>
      <c r="B7" s="479"/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283319650</v>
      </c>
      <c r="C9" s="34">
        <v>273966292</v>
      </c>
      <c r="D9" s="227">
        <f>+C9+D35+D36+D41+D42+D43+D44+D45+D46</f>
        <v>289014272</v>
      </c>
      <c r="E9" s="115">
        <f>+D9+E22+E24+E25+E27+E33+E35+E40+E48+E53+E61+E41+E42+E43+E44+E62+E63+E45+E46+E65</f>
        <v>289256642</v>
      </c>
      <c r="F9" s="411">
        <f>+E9+F22+F24+F25+F27+F33+F35+F48+F53+F62</f>
        <v>293079538</v>
      </c>
      <c r="G9" s="34">
        <f>+F9+G27+G33+G48+G53+G57+G61+G66</f>
        <v>310466803</v>
      </c>
      <c r="H9" s="227">
        <f>+G9+H27+H35+H48+H53+H57+H66</f>
        <v>319925399</v>
      </c>
      <c r="I9" s="51">
        <f>+H9+I48+I53+I57</f>
        <v>320416679</v>
      </c>
      <c r="K9" s="7">
        <v>100</v>
      </c>
    </row>
    <row r="10" spans="1:11" x14ac:dyDescent="0.2">
      <c r="A10" s="10" t="s">
        <v>5</v>
      </c>
      <c r="B10" s="36">
        <v>6881741</v>
      </c>
      <c r="C10" s="36">
        <v>6516272</v>
      </c>
      <c r="D10" s="230">
        <f>+C10+D37</f>
        <v>6725272</v>
      </c>
      <c r="E10" s="550">
        <f>+D10+E23+E28+E30+E37+E49+E54</f>
        <v>6724702</v>
      </c>
      <c r="F10" s="548">
        <f>+E10+F23+F28+F49+F54</f>
        <v>6728143</v>
      </c>
      <c r="G10" s="36">
        <f>+F10+G28+G49+G54+G58</f>
        <v>6808282</v>
      </c>
      <c r="H10" s="230">
        <f>+G10+H28+H49+H54+H58</f>
        <v>6808729</v>
      </c>
      <c r="I10" s="37">
        <f>+H10+I49+I54+I58</f>
        <v>6811352</v>
      </c>
      <c r="K10" s="7">
        <v>200</v>
      </c>
    </row>
    <row r="11" spans="1:11" x14ac:dyDescent="0.2">
      <c r="A11" s="9" t="s">
        <v>6</v>
      </c>
      <c r="B11" s="34">
        <f>10273507+379844</f>
        <v>10653351</v>
      </c>
      <c r="C11" s="34">
        <v>8831714</v>
      </c>
      <c r="D11" s="227">
        <f>+C11+D38+D39</f>
        <v>10081714</v>
      </c>
      <c r="E11" s="115">
        <f>+D11+E29+E31+E38+E39+E50+E51+E52+E55+E56</f>
        <v>9192914</v>
      </c>
      <c r="F11" s="411">
        <f>+E11+F29+F50+F51+F52+F55+F56</f>
        <v>8975064</v>
      </c>
      <c r="G11" s="34">
        <f>+F11+G29+G50+G51+G52+G55+G56+G59</f>
        <v>9177264</v>
      </c>
      <c r="H11" s="227">
        <f>+G11+H29+H50+H51+H52+H55+H56+H59</f>
        <v>9191981</v>
      </c>
      <c r="I11" s="35">
        <f>+H11+I50+I51+I52+I55+I56+I59</f>
        <v>9225940</v>
      </c>
      <c r="K11" s="7" t="s">
        <v>167</v>
      </c>
    </row>
    <row r="12" spans="1:11" x14ac:dyDescent="0.2">
      <c r="A12" s="10" t="s">
        <v>7</v>
      </c>
      <c r="B12" s="36">
        <v>557551</v>
      </c>
      <c r="C12" s="36">
        <v>0</v>
      </c>
      <c r="D12" s="230">
        <f t="shared" ref="D12:D15" si="0">+C12</f>
        <v>0</v>
      </c>
      <c r="E12" s="550">
        <f t="shared" ref="E12:F13" si="1">+D12</f>
        <v>0</v>
      </c>
      <c r="F12" s="548">
        <f t="shared" si="1"/>
        <v>0</v>
      </c>
      <c r="G12" s="36">
        <f t="shared" ref="G12:I13" si="2">+F12</f>
        <v>0</v>
      </c>
      <c r="H12" s="230">
        <f t="shared" si="2"/>
        <v>0</v>
      </c>
      <c r="I12" s="37">
        <f t="shared" si="2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572">
        <f t="shared" si="1"/>
        <v>0</v>
      </c>
      <c r="F13" s="564">
        <f t="shared" si="1"/>
        <v>0</v>
      </c>
      <c r="G13" s="307">
        <f t="shared" si="2"/>
        <v>0</v>
      </c>
      <c r="H13" s="403">
        <f t="shared" si="2"/>
        <v>0</v>
      </c>
      <c r="I13" s="404">
        <f t="shared" si="2"/>
        <v>0</v>
      </c>
      <c r="K13" s="7">
        <v>700</v>
      </c>
    </row>
    <row r="14" spans="1:11" x14ac:dyDescent="0.2">
      <c r="A14" s="48" t="s">
        <v>9</v>
      </c>
      <c r="B14" s="43">
        <v>8259300</v>
      </c>
      <c r="C14" s="49">
        <v>9235000</v>
      </c>
      <c r="D14" s="228">
        <f>+C14</f>
        <v>9235000</v>
      </c>
      <c r="E14" s="903">
        <v>9882000</v>
      </c>
      <c r="F14" s="904">
        <v>10574000</v>
      </c>
      <c r="G14" s="905">
        <v>11315000</v>
      </c>
      <c r="H14" s="906">
        <v>12108000</v>
      </c>
      <c r="I14" s="907">
        <f>+H14</f>
        <v>12108000</v>
      </c>
      <c r="J14"/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ref="E15:I15" si="3">+D15</f>
        <v>0</v>
      </c>
      <c r="F15" s="549">
        <f t="shared" si="3"/>
        <v>0</v>
      </c>
      <c r="G15" s="38">
        <f t="shared" si="3"/>
        <v>0</v>
      </c>
      <c r="H15" s="231">
        <f t="shared" si="3"/>
        <v>0</v>
      </c>
      <c r="I15" s="39">
        <f t="shared" si="3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309671593</v>
      </c>
      <c r="C16" s="40">
        <f t="shared" ref="C16:I16" si="4">SUM(C9:C15)</f>
        <v>298549278</v>
      </c>
      <c r="D16" s="40">
        <f t="shared" si="4"/>
        <v>315056258</v>
      </c>
      <c r="E16" s="573">
        <f t="shared" si="4"/>
        <v>315056258</v>
      </c>
      <c r="F16" s="40">
        <f t="shared" si="4"/>
        <v>319356745</v>
      </c>
      <c r="G16" s="40">
        <f t="shared" si="4"/>
        <v>337767349</v>
      </c>
      <c r="H16" s="40">
        <f t="shared" si="4"/>
        <v>348034109</v>
      </c>
      <c r="I16" s="40">
        <f t="shared" si="4"/>
        <v>348561971</v>
      </c>
    </row>
    <row r="17" spans="1:12" x14ac:dyDescent="0.2">
      <c r="B17" s="824"/>
    </row>
    <row r="18" spans="1:12" x14ac:dyDescent="0.2">
      <c r="E18" s="415">
        <f>+E16-D16</f>
        <v>0</v>
      </c>
    </row>
    <row r="19" spans="1:12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2" ht="15.75" customHeight="1" thickTop="1" x14ac:dyDescent="0.2">
      <c r="A20" s="123" t="s">
        <v>444</v>
      </c>
      <c r="B20" s="71"/>
      <c r="C20" s="76"/>
      <c r="D20" s="74"/>
      <c r="E20" s="74"/>
      <c r="F20" s="74"/>
      <c r="G20" s="74"/>
      <c r="H20" s="74"/>
      <c r="I20" s="74"/>
    </row>
    <row r="21" spans="1:12" ht="13" customHeight="1" x14ac:dyDescent="0.2">
      <c r="A21" s="168" t="s">
        <v>234</v>
      </c>
      <c r="B21" s="67"/>
      <c r="C21" s="87"/>
      <c r="D21" s="70"/>
      <c r="E21" s="70"/>
      <c r="F21" s="70"/>
      <c r="G21" s="70"/>
      <c r="H21" s="70"/>
      <c r="I21" s="70"/>
      <c r="J21" s="17"/>
      <c r="K21" s="213"/>
    </row>
    <row r="22" spans="1:12" ht="13" customHeight="1" x14ac:dyDescent="0.2">
      <c r="A22" s="595" t="s">
        <v>333</v>
      </c>
      <c r="B22" s="71"/>
      <c r="C22" s="89">
        <v>100</v>
      </c>
      <c r="D22" s="74"/>
      <c r="E22" s="74">
        <v>91908</v>
      </c>
      <c r="F22" s="74">
        <v>63545</v>
      </c>
      <c r="G22" s="74"/>
      <c r="H22" s="74"/>
      <c r="I22" s="74"/>
      <c r="J22" s="17"/>
    </row>
    <row r="23" spans="1:12" ht="13" customHeight="1" x14ac:dyDescent="0.2">
      <c r="A23" s="84"/>
      <c r="B23" s="67"/>
      <c r="C23" s="87">
        <v>200</v>
      </c>
      <c r="D23" s="70"/>
      <c r="E23" s="70">
        <v>2705</v>
      </c>
      <c r="F23" s="70">
        <v>2841</v>
      </c>
      <c r="G23" s="70"/>
      <c r="H23" s="70"/>
      <c r="I23" s="70"/>
      <c r="J23" s="17"/>
    </row>
    <row r="24" spans="1:12" ht="13" customHeight="1" x14ac:dyDescent="0.2">
      <c r="A24" s="78" t="s">
        <v>283</v>
      </c>
      <c r="B24" s="71"/>
      <c r="C24" s="89">
        <v>100</v>
      </c>
      <c r="D24" s="74"/>
      <c r="E24" s="74">
        <v>208178</v>
      </c>
      <c r="F24" s="74">
        <v>145033</v>
      </c>
      <c r="G24" s="74"/>
      <c r="H24" s="74"/>
      <c r="I24" s="74"/>
      <c r="J24" s="17"/>
    </row>
    <row r="25" spans="1:12" ht="13" customHeight="1" x14ac:dyDescent="0.2">
      <c r="A25" s="84" t="s">
        <v>284</v>
      </c>
      <c r="B25" s="67"/>
      <c r="C25" s="87">
        <v>100</v>
      </c>
      <c r="D25" s="70"/>
      <c r="E25" s="70">
        <v>229769</v>
      </c>
      <c r="F25" s="70">
        <v>158862</v>
      </c>
      <c r="G25" s="70"/>
      <c r="H25" s="70"/>
      <c r="I25" s="70"/>
      <c r="J25" s="17"/>
    </row>
    <row r="26" spans="1:12" ht="13" customHeight="1" x14ac:dyDescent="0.2">
      <c r="A26" s="169" t="s">
        <v>358</v>
      </c>
      <c r="B26" s="71"/>
      <c r="C26" s="89"/>
      <c r="D26" s="74"/>
      <c r="E26" s="74"/>
      <c r="F26" s="74"/>
      <c r="G26" s="74"/>
      <c r="H26" s="74"/>
      <c r="I26" s="74"/>
      <c r="J26" s="17"/>
    </row>
    <row r="27" spans="1:12" ht="13" customHeight="1" x14ac:dyDescent="0.2">
      <c r="A27" s="308" t="s">
        <v>716</v>
      </c>
      <c r="B27" s="146"/>
      <c r="C27" s="596">
        <v>100</v>
      </c>
      <c r="D27" s="144"/>
      <c r="E27" s="144">
        <v>1393517</v>
      </c>
      <c r="F27" s="70">
        <v>5934594</v>
      </c>
      <c r="G27" s="70">
        <v>5223608</v>
      </c>
      <c r="H27" s="70">
        <v>2215592</v>
      </c>
      <c r="I27" s="70"/>
      <c r="J27" s="17"/>
    </row>
    <row r="28" spans="1:12" ht="13" customHeight="1" x14ac:dyDescent="0.2">
      <c r="A28" s="306"/>
      <c r="B28" s="59"/>
      <c r="C28" s="639">
        <v>200</v>
      </c>
      <c r="D28" s="104"/>
      <c r="E28" s="104">
        <v>-2500</v>
      </c>
      <c r="F28" s="74">
        <v>0</v>
      </c>
      <c r="G28" s="74">
        <v>2500</v>
      </c>
      <c r="H28" s="662">
        <v>-2500</v>
      </c>
      <c r="I28" s="74"/>
      <c r="J28" s="17"/>
      <c r="L28" s="213">
        <f>C16+15250000</f>
        <v>313799278</v>
      </c>
    </row>
    <row r="29" spans="1:12" ht="13" customHeight="1" x14ac:dyDescent="0.2">
      <c r="A29" s="308"/>
      <c r="B29" s="146"/>
      <c r="C29" s="651" t="s">
        <v>167</v>
      </c>
      <c r="D29" s="144"/>
      <c r="E29" s="652">
        <v>48800</v>
      </c>
      <c r="F29" s="70">
        <v>9000</v>
      </c>
      <c r="G29" s="70">
        <v>45000</v>
      </c>
      <c r="H29" s="70">
        <v>-18000</v>
      </c>
      <c r="I29" s="70"/>
      <c r="J29" s="17"/>
    </row>
    <row r="30" spans="1:12" ht="13" customHeight="1" x14ac:dyDescent="0.2">
      <c r="A30" s="306" t="s">
        <v>380</v>
      </c>
      <c r="B30" s="71"/>
      <c r="C30" s="639">
        <v>200</v>
      </c>
      <c r="D30" s="104"/>
      <c r="E30" s="104">
        <v>-20775</v>
      </c>
      <c r="F30" s="74"/>
      <c r="G30" s="74"/>
      <c r="H30" s="74"/>
      <c r="I30" s="74"/>
      <c r="J30" s="17"/>
    </row>
    <row r="31" spans="1:12" ht="13" customHeight="1" x14ac:dyDescent="0.2">
      <c r="A31" s="705"/>
      <c r="B31" s="196"/>
      <c r="C31" s="651" t="s">
        <v>167</v>
      </c>
      <c r="D31" s="144"/>
      <c r="E31" s="144">
        <v>-1026800</v>
      </c>
      <c r="F31" s="70"/>
      <c r="G31" s="70"/>
      <c r="H31" s="70"/>
      <c r="I31" s="70"/>
      <c r="J31" s="17"/>
    </row>
    <row r="32" spans="1:12" ht="12.75" customHeight="1" x14ac:dyDescent="0.2">
      <c r="A32" s="347" t="s">
        <v>449</v>
      </c>
      <c r="B32" s="59"/>
      <c r="C32" s="639"/>
      <c r="D32" s="104"/>
      <c r="E32" s="104"/>
      <c r="F32" s="74"/>
      <c r="G32" s="74"/>
      <c r="H32" s="74"/>
      <c r="I32" s="74"/>
      <c r="J32" s="17"/>
    </row>
    <row r="33" spans="1:10" ht="12.75" customHeight="1" x14ac:dyDescent="0.2">
      <c r="A33" s="486" t="s">
        <v>408</v>
      </c>
      <c r="B33" s="189"/>
      <c r="C33" s="786">
        <v>100</v>
      </c>
      <c r="D33" s="138"/>
      <c r="E33" s="138">
        <v>237776</v>
      </c>
      <c r="F33" s="139">
        <v>-777502</v>
      </c>
      <c r="G33" s="139">
        <v>-102274</v>
      </c>
      <c r="H33" s="139"/>
      <c r="I33" s="139"/>
      <c r="J33" s="17"/>
    </row>
    <row r="34" spans="1:10" ht="12.75" customHeight="1" x14ac:dyDescent="0.2">
      <c r="A34" s="194" t="s">
        <v>450</v>
      </c>
      <c r="B34" s="714"/>
      <c r="C34" s="714"/>
      <c r="D34" s="714"/>
      <c r="E34" s="714"/>
      <c r="F34" s="714"/>
      <c r="G34" s="714"/>
      <c r="H34" s="714"/>
      <c r="I34" s="714"/>
      <c r="J34" s="171"/>
    </row>
    <row r="35" spans="1:10" ht="12.75" customHeight="1" x14ac:dyDescent="0.2">
      <c r="A35" s="856" t="s">
        <v>566</v>
      </c>
      <c r="B35" s="196"/>
      <c r="C35" s="220">
        <v>100</v>
      </c>
      <c r="D35" s="145">
        <f>14000000</f>
        <v>14000000</v>
      </c>
      <c r="E35" s="706">
        <f>1400000</f>
        <v>1400000</v>
      </c>
      <c r="F35" s="145">
        <v>-1870000</v>
      </c>
      <c r="G35" s="145"/>
      <c r="H35" s="145">
        <v>-1330000</v>
      </c>
      <c r="I35" s="145"/>
      <c r="J35" s="171"/>
    </row>
    <row r="36" spans="1:10" ht="12.75" customHeight="1" x14ac:dyDescent="0.2">
      <c r="A36" s="890" t="s">
        <v>627</v>
      </c>
      <c r="B36" s="71"/>
      <c r="C36" s="89">
        <v>100</v>
      </c>
      <c r="D36" s="74">
        <v>-209000</v>
      </c>
      <c r="E36" s="74"/>
      <c r="F36" s="74"/>
      <c r="G36" s="74"/>
      <c r="H36" s="74"/>
      <c r="I36" s="74"/>
      <c r="J36" s="171"/>
    </row>
    <row r="37" spans="1:10" ht="12.75" customHeight="1" x14ac:dyDescent="0.2">
      <c r="A37" s="846"/>
      <c r="B37" s="67"/>
      <c r="C37" s="87">
        <v>200</v>
      </c>
      <c r="D37" s="70">
        <v>209000</v>
      </c>
      <c r="E37" s="70"/>
      <c r="F37" s="70"/>
      <c r="G37" s="70"/>
      <c r="H37" s="70"/>
      <c r="I37" s="70"/>
      <c r="J37" s="171"/>
    </row>
    <row r="38" spans="1:10" ht="12.75" customHeight="1" x14ac:dyDescent="0.2">
      <c r="A38" s="848" t="s">
        <v>520</v>
      </c>
      <c r="B38" s="71"/>
      <c r="C38" s="89" t="s">
        <v>167</v>
      </c>
      <c r="D38" s="74">
        <v>500000</v>
      </c>
      <c r="E38" s="74">
        <v>-500000</v>
      </c>
      <c r="F38" s="74"/>
      <c r="G38" s="74"/>
      <c r="H38" s="74"/>
      <c r="I38" s="74"/>
      <c r="J38" s="171"/>
    </row>
    <row r="39" spans="1:10" ht="12.75" customHeight="1" x14ac:dyDescent="0.2">
      <c r="A39" s="846" t="s">
        <v>521</v>
      </c>
      <c r="B39" s="67"/>
      <c r="C39" s="87" t="s">
        <v>167</v>
      </c>
      <c r="D39" s="70">
        <v>750000</v>
      </c>
      <c r="E39" s="70">
        <v>-750000</v>
      </c>
      <c r="F39" s="70"/>
      <c r="G39" s="70"/>
      <c r="H39" s="70"/>
      <c r="I39" s="70"/>
      <c r="J39" s="171"/>
    </row>
    <row r="40" spans="1:10" ht="12.75" customHeight="1" x14ac:dyDescent="0.2">
      <c r="A40" s="886" t="s">
        <v>610</v>
      </c>
      <c r="B40" s="102"/>
      <c r="C40" s="89">
        <v>100</v>
      </c>
      <c r="D40" s="95"/>
      <c r="E40" s="95">
        <v>-14000000</v>
      </c>
      <c r="F40" s="95"/>
      <c r="G40" s="95"/>
      <c r="H40" s="95"/>
      <c r="I40" s="95"/>
      <c r="J40" s="171"/>
    </row>
    <row r="41" spans="1:10" ht="12.75" customHeight="1" x14ac:dyDescent="0.2">
      <c r="A41" s="846" t="s">
        <v>821</v>
      </c>
      <c r="B41" s="67"/>
      <c r="C41" s="87">
        <v>100</v>
      </c>
      <c r="D41" s="70">
        <v>1185019</v>
      </c>
      <c r="E41" s="70">
        <v>7110114</v>
      </c>
      <c r="F41" s="70"/>
      <c r="G41" s="70"/>
      <c r="H41" s="70"/>
      <c r="I41" s="70"/>
      <c r="J41" s="171"/>
    </row>
    <row r="42" spans="1:10" ht="12.75" customHeight="1" x14ac:dyDescent="0.2">
      <c r="A42" s="848" t="s">
        <v>826</v>
      </c>
      <c r="B42" s="71"/>
      <c r="C42" s="89">
        <v>100</v>
      </c>
      <c r="D42" s="74">
        <v>2063</v>
      </c>
      <c r="E42" s="74">
        <v>12378</v>
      </c>
      <c r="F42" s="74"/>
      <c r="G42" s="74"/>
      <c r="H42" s="74"/>
      <c r="I42" s="74"/>
    </row>
    <row r="43" spans="1:10" ht="12.75" customHeight="1" x14ac:dyDescent="0.2">
      <c r="A43" s="898" t="s">
        <v>902</v>
      </c>
      <c r="B43" s="67"/>
      <c r="C43" s="87">
        <v>100</v>
      </c>
      <c r="D43" s="70">
        <v>6450</v>
      </c>
      <c r="E43" s="70">
        <v>-6450</v>
      </c>
      <c r="F43" s="70"/>
      <c r="G43" s="70"/>
      <c r="H43" s="70"/>
      <c r="I43" s="70"/>
    </row>
    <row r="44" spans="1:10" ht="12.75" customHeight="1" x14ac:dyDescent="0.2">
      <c r="A44" s="886" t="s">
        <v>834</v>
      </c>
      <c r="B44" s="102"/>
      <c r="C44" s="89">
        <v>100</v>
      </c>
      <c r="D44" s="95">
        <v>2743</v>
      </c>
      <c r="E44" s="95">
        <v>16459</v>
      </c>
      <c r="F44" s="95"/>
      <c r="G44" s="95"/>
      <c r="H44" s="95"/>
      <c r="I44" s="95"/>
    </row>
    <row r="45" spans="1:10" ht="12.75" customHeight="1" x14ac:dyDescent="0.2">
      <c r="A45" s="898" t="s">
        <v>939</v>
      </c>
      <c r="B45" s="67"/>
      <c r="C45" s="87">
        <v>100</v>
      </c>
      <c r="D45" s="70">
        <v>13705</v>
      </c>
      <c r="E45" s="70">
        <v>68527</v>
      </c>
      <c r="F45" s="70"/>
      <c r="G45" s="70"/>
      <c r="H45" s="70"/>
      <c r="I45" s="70"/>
    </row>
    <row r="46" spans="1:10" ht="12.75" customHeight="1" x14ac:dyDescent="0.2">
      <c r="A46" s="892" t="s">
        <v>940</v>
      </c>
      <c r="B46" s="102"/>
      <c r="C46" s="89">
        <v>100</v>
      </c>
      <c r="D46" s="95">
        <v>47000</v>
      </c>
      <c r="E46" s="95">
        <v>-47000</v>
      </c>
      <c r="F46" s="95"/>
      <c r="G46" s="95"/>
      <c r="H46" s="95"/>
      <c r="I46" s="95"/>
    </row>
    <row r="47" spans="1:10" ht="12.75" customHeight="1" x14ac:dyDescent="0.2">
      <c r="A47" s="402" t="s">
        <v>625</v>
      </c>
      <c r="B47" s="67"/>
      <c r="C47" s="87"/>
      <c r="D47" s="70"/>
      <c r="E47" s="70"/>
      <c r="F47" s="70"/>
      <c r="G47" s="70"/>
      <c r="H47" s="70"/>
      <c r="I47" s="70"/>
    </row>
    <row r="48" spans="1:10" ht="12.75" customHeight="1" x14ac:dyDescent="0.2">
      <c r="A48" s="886" t="s">
        <v>626</v>
      </c>
      <c r="B48" s="102"/>
      <c r="C48" s="89">
        <v>100</v>
      </c>
      <c r="D48" s="95"/>
      <c r="E48" s="95">
        <v>3405980</v>
      </c>
      <c r="F48" s="95">
        <f>3508159-E48</f>
        <v>102179</v>
      </c>
      <c r="G48" s="95">
        <f>3613404-F48-E48</f>
        <v>105245</v>
      </c>
      <c r="H48" s="95">
        <f>3721806-G48-F48-E48</f>
        <v>108402</v>
      </c>
      <c r="I48" s="95">
        <f>3833461-H48-G48-F48-E48</f>
        <v>111655</v>
      </c>
      <c r="J48" s="171"/>
    </row>
    <row r="49" spans="1:10" ht="12.75" customHeight="1" x14ac:dyDescent="0.2">
      <c r="A49" s="846"/>
      <c r="B49" s="67"/>
      <c r="C49" s="87">
        <v>200</v>
      </c>
      <c r="D49" s="70"/>
      <c r="E49" s="70">
        <v>18000</v>
      </c>
      <c r="F49" s="70">
        <f>18540-E49</f>
        <v>540</v>
      </c>
      <c r="G49" s="70">
        <f>19096-F49-E49</f>
        <v>556</v>
      </c>
      <c r="H49" s="70">
        <f>19669-G49-F49-E49</f>
        <v>573</v>
      </c>
      <c r="I49" s="70">
        <f>20259-H49-G49-F49-E49</f>
        <v>590</v>
      </c>
      <c r="J49" s="171"/>
    </row>
    <row r="50" spans="1:10" ht="12.75" customHeight="1" x14ac:dyDescent="0.2">
      <c r="A50" s="886"/>
      <c r="B50" s="102"/>
      <c r="C50" s="89" t="s">
        <v>167</v>
      </c>
      <c r="D50" s="95"/>
      <c r="E50" s="95">
        <v>47200</v>
      </c>
      <c r="F50" s="95">
        <f>39600-E50</f>
        <v>-7600</v>
      </c>
      <c r="G50" s="95"/>
      <c r="H50" s="95"/>
      <c r="I50" s="95"/>
      <c r="J50" s="171"/>
    </row>
    <row r="51" spans="1:10" ht="12.75" customHeight="1" x14ac:dyDescent="0.2">
      <c r="A51" s="846"/>
      <c r="B51" s="67"/>
      <c r="C51" s="87" t="s">
        <v>167</v>
      </c>
      <c r="D51" s="70"/>
      <c r="E51" s="70">
        <v>252000</v>
      </c>
      <c r="F51" s="70">
        <f>15000-E51</f>
        <v>-237000</v>
      </c>
      <c r="G51" s="70">
        <v>-15000</v>
      </c>
      <c r="H51" s="70"/>
      <c r="I51" s="70"/>
      <c r="J51" s="171"/>
    </row>
    <row r="52" spans="1:10" ht="12.75" customHeight="1" x14ac:dyDescent="0.2">
      <c r="A52" s="886"/>
      <c r="B52" s="102"/>
      <c r="C52" s="89" t="s">
        <v>167</v>
      </c>
      <c r="D52" s="95"/>
      <c r="E52" s="95">
        <v>25000</v>
      </c>
      <c r="F52" s="95">
        <f>25750-E52</f>
        <v>750</v>
      </c>
      <c r="G52" s="95">
        <f>26523-F52-E52</f>
        <v>773</v>
      </c>
      <c r="H52" s="95">
        <f>27318-G52-F52-E52</f>
        <v>795</v>
      </c>
      <c r="I52" s="95">
        <f>28138-H52-G52-F52-E52</f>
        <v>820</v>
      </c>
      <c r="J52" s="171"/>
    </row>
    <row r="53" spans="1:10" ht="12.75" customHeight="1" x14ac:dyDescent="0.2">
      <c r="A53" s="846" t="s">
        <v>628</v>
      </c>
      <c r="B53" s="67"/>
      <c r="C53" s="87">
        <v>100</v>
      </c>
      <c r="D53" s="70"/>
      <c r="E53" s="70">
        <v>121276</v>
      </c>
      <c r="F53" s="70">
        <f>124915-E53</f>
        <v>3639</v>
      </c>
      <c r="G53" s="70">
        <f>128662-F53-E53</f>
        <v>3747</v>
      </c>
      <c r="H53" s="70">
        <f>132522-G53-F53-E53</f>
        <v>3860</v>
      </c>
      <c r="I53" s="70">
        <f>136498-H53-G53-F53-E53</f>
        <v>3976</v>
      </c>
      <c r="J53" s="171"/>
    </row>
    <row r="54" spans="1:10" ht="12.75" customHeight="1" x14ac:dyDescent="0.2">
      <c r="A54" s="886"/>
      <c r="B54" s="102"/>
      <c r="C54" s="89">
        <v>200</v>
      </c>
      <c r="D54" s="95"/>
      <c r="E54" s="95">
        <v>2000</v>
      </c>
      <c r="F54" s="95">
        <f>2060-E54</f>
        <v>60</v>
      </c>
      <c r="G54" s="95">
        <f>2122-F54-E54</f>
        <v>62</v>
      </c>
      <c r="H54" s="95">
        <f>2185-G54-F54-E54</f>
        <v>63</v>
      </c>
      <c r="I54" s="95">
        <f>2251-H54-G54-F54-E54</f>
        <v>66</v>
      </c>
    </row>
    <row r="55" spans="1:10" ht="12.75" customHeight="1" x14ac:dyDescent="0.2">
      <c r="A55" s="846"/>
      <c r="B55" s="67"/>
      <c r="C55" s="87" t="s">
        <v>167</v>
      </c>
      <c r="D55" s="70"/>
      <c r="E55" s="70">
        <v>1000000</v>
      </c>
      <c r="F55" s="70">
        <f>1030000-E55</f>
        <v>30000</v>
      </c>
      <c r="G55" s="70">
        <f>1060900-F55-E55</f>
        <v>30900</v>
      </c>
      <c r="H55" s="70">
        <f>1092727-G55-F55-E55</f>
        <v>31827</v>
      </c>
      <c r="I55" s="70">
        <f>1125509-H55-G55-F55-E55</f>
        <v>32782</v>
      </c>
    </row>
    <row r="56" spans="1:10" ht="12.75" customHeight="1" x14ac:dyDescent="0.2">
      <c r="A56" s="886"/>
      <c r="B56" s="102"/>
      <c r="C56" s="89" t="s">
        <v>167</v>
      </c>
      <c r="D56" s="95"/>
      <c r="E56" s="95">
        <v>15000</v>
      </c>
      <c r="F56" s="95">
        <f>2000-E56</f>
        <v>-13000</v>
      </c>
      <c r="G56" s="95"/>
      <c r="H56" s="95"/>
      <c r="I56" s="95"/>
    </row>
    <row r="57" spans="1:10" ht="12.75" customHeight="1" x14ac:dyDescent="0.2">
      <c r="A57" s="846" t="s">
        <v>713</v>
      </c>
      <c r="B57" s="67"/>
      <c r="C57" s="87">
        <v>100</v>
      </c>
      <c r="D57" s="70"/>
      <c r="E57" s="70"/>
      <c r="F57" s="70"/>
      <c r="G57" s="70">
        <v>12156939</v>
      </c>
      <c r="H57" s="70">
        <f>12521647-G57</f>
        <v>364708</v>
      </c>
      <c r="I57" s="70">
        <f>12897296-H57-G57</f>
        <v>375649</v>
      </c>
    </row>
    <row r="58" spans="1:10" ht="12.75" customHeight="1" x14ac:dyDescent="0.2">
      <c r="A58" s="886"/>
      <c r="B58" s="102"/>
      <c r="C58" s="89">
        <v>200</v>
      </c>
      <c r="D58" s="95"/>
      <c r="E58" s="95"/>
      <c r="F58" s="95"/>
      <c r="G58" s="95">
        <v>77021</v>
      </c>
      <c r="H58" s="95">
        <f>79332-G58</f>
        <v>2311</v>
      </c>
      <c r="I58" s="95">
        <f>81299-H58-G58</f>
        <v>1967</v>
      </c>
    </row>
    <row r="59" spans="1:10" ht="12.75" customHeight="1" x14ac:dyDescent="0.2">
      <c r="A59" s="846"/>
      <c r="B59" s="67"/>
      <c r="C59" s="87" t="s">
        <v>167</v>
      </c>
      <c r="D59" s="70"/>
      <c r="E59" s="70"/>
      <c r="F59" s="70"/>
      <c r="G59" s="70">
        <v>140527</v>
      </c>
      <c r="H59" s="70">
        <f>140622-G59</f>
        <v>95</v>
      </c>
      <c r="I59" s="70">
        <f>140979-H59-G59</f>
        <v>357</v>
      </c>
    </row>
    <row r="60" spans="1:10" ht="12.75" customHeight="1" x14ac:dyDescent="0.2">
      <c r="A60" s="460" t="s">
        <v>748</v>
      </c>
      <c r="B60" s="102"/>
      <c r="C60" s="89"/>
      <c r="D60" s="95"/>
      <c r="E60" s="95"/>
      <c r="F60" s="95"/>
      <c r="G60" s="95"/>
      <c r="H60" s="95"/>
      <c r="I60" s="95"/>
    </row>
    <row r="61" spans="1:10" ht="12.75" customHeight="1" x14ac:dyDescent="0.2">
      <c r="A61" s="846" t="s">
        <v>763</v>
      </c>
      <c r="B61" s="67"/>
      <c r="C61" s="87">
        <v>100</v>
      </c>
      <c r="D61" s="70"/>
      <c r="E61" s="70">
        <v>-8096034</v>
      </c>
      <c r="F61" s="70"/>
      <c r="G61" s="70">
        <v>8096034</v>
      </c>
      <c r="H61" s="70"/>
      <c r="I61" s="70"/>
    </row>
    <row r="62" spans="1:10" ht="12.75" customHeight="1" x14ac:dyDescent="0.2">
      <c r="A62" s="886" t="s">
        <v>907</v>
      </c>
      <c r="B62" s="102"/>
      <c r="C62" s="89">
        <v>100</v>
      </c>
      <c r="D62" s="95"/>
      <c r="E62" s="95">
        <v>-62546</v>
      </c>
      <c r="F62" s="95">
        <v>62546</v>
      </c>
      <c r="G62" s="95"/>
      <c r="H62" s="95"/>
      <c r="I62" s="95"/>
    </row>
    <row r="63" spans="1:10" ht="12.75" customHeight="1" x14ac:dyDescent="0.2">
      <c r="A63" s="846" t="s">
        <v>850</v>
      </c>
      <c r="B63" s="67"/>
      <c r="C63" s="87">
        <v>100</v>
      </c>
      <c r="D63" s="70"/>
      <c r="E63" s="70">
        <v>14000000</v>
      </c>
      <c r="F63" s="70"/>
      <c r="G63" s="70"/>
      <c r="H63" s="70"/>
      <c r="I63" s="70"/>
    </row>
    <row r="64" spans="1:10" ht="12.75" customHeight="1" x14ac:dyDescent="0.2">
      <c r="A64" s="460" t="s">
        <v>987</v>
      </c>
      <c r="B64" s="102"/>
      <c r="C64" s="89"/>
      <c r="D64" s="95"/>
      <c r="E64" s="95"/>
      <c r="F64" s="95"/>
      <c r="G64" s="95"/>
      <c r="H64" s="95"/>
      <c r="I64" s="95"/>
    </row>
    <row r="65" spans="1:9" ht="12.75" customHeight="1" x14ac:dyDescent="0.2">
      <c r="A65" s="898" t="s">
        <v>984</v>
      </c>
      <c r="B65" s="67"/>
      <c r="C65" s="87">
        <v>100</v>
      </c>
      <c r="D65" s="70"/>
      <c r="E65" s="70">
        <f>-5819955-21527</f>
        <v>-5841482</v>
      </c>
      <c r="F65" s="70"/>
      <c r="G65" s="70"/>
      <c r="H65" s="70"/>
      <c r="I65" s="70"/>
    </row>
    <row r="66" spans="1:9" ht="12.75" customHeight="1" x14ac:dyDescent="0.2">
      <c r="A66" s="892" t="s">
        <v>997</v>
      </c>
      <c r="B66" s="102"/>
      <c r="C66" s="89">
        <v>100</v>
      </c>
      <c r="D66" s="95"/>
      <c r="E66" s="95"/>
      <c r="F66" s="95"/>
      <c r="G66" s="95">
        <v>-8096034</v>
      </c>
      <c r="H66" s="95">
        <v>8096034</v>
      </c>
      <c r="I66" s="95"/>
    </row>
    <row r="67" spans="1:9" ht="12.75" customHeight="1" x14ac:dyDescent="0.2">
      <c r="A67" s="846"/>
      <c r="B67" s="67"/>
      <c r="C67" s="87"/>
      <c r="D67" s="70"/>
      <c r="E67" s="70"/>
      <c r="F67" s="70"/>
      <c r="G67" s="70"/>
      <c r="H67" s="70"/>
      <c r="I67" s="70"/>
    </row>
    <row r="68" spans="1:9" ht="12.75" customHeight="1" x14ac:dyDescent="0.2">
      <c r="A68" s="886"/>
      <c r="B68" s="102"/>
      <c r="C68" s="89"/>
      <c r="D68" s="95"/>
      <c r="E68" s="95"/>
      <c r="F68" s="95"/>
      <c r="G68" s="95"/>
      <c r="H68" s="95"/>
      <c r="I68" s="95"/>
    </row>
    <row r="69" spans="1:9" x14ac:dyDescent="0.2">
      <c r="A69" s="846"/>
      <c r="B69" s="67"/>
      <c r="C69" s="87"/>
      <c r="D69" s="70"/>
      <c r="E69" s="70"/>
      <c r="F69" s="70"/>
      <c r="G69" s="70"/>
      <c r="H69" s="70"/>
      <c r="I69" s="70"/>
    </row>
    <row r="70" spans="1:9" x14ac:dyDescent="0.2">
      <c r="A70" s="218"/>
      <c r="B70" s="218"/>
      <c r="C70" s="218"/>
      <c r="D70" s="218"/>
      <c r="E70" s="218"/>
      <c r="F70" s="218"/>
      <c r="G70" s="218"/>
      <c r="H70" s="218"/>
      <c r="I70" s="218"/>
    </row>
    <row r="71" spans="1:9" x14ac:dyDescent="0.2">
      <c r="A71" s="218"/>
      <c r="B71" s="218"/>
      <c r="C71" s="218"/>
      <c r="D71" s="218"/>
      <c r="E71" s="218"/>
      <c r="F71" s="218"/>
      <c r="G71" s="218"/>
      <c r="H71" s="218"/>
      <c r="I71" s="218"/>
    </row>
    <row r="72" spans="1:9" x14ac:dyDescent="0.2">
      <c r="A72" s="218"/>
      <c r="B72" s="218"/>
      <c r="C72" s="218"/>
      <c r="D72" s="218"/>
      <c r="E72" s="218"/>
      <c r="F72" s="218"/>
      <c r="G72" s="218"/>
      <c r="H72" s="218"/>
      <c r="I72" s="218"/>
    </row>
    <row r="73" spans="1:9" x14ac:dyDescent="0.2">
      <c r="A73" s="218"/>
      <c r="B73" s="218"/>
      <c r="C73" s="218"/>
      <c r="D73" s="218"/>
      <c r="E73" s="218"/>
      <c r="F73" s="218"/>
      <c r="G73" s="218"/>
      <c r="H73" s="218"/>
      <c r="I73" s="218"/>
    </row>
    <row r="74" spans="1:9" x14ac:dyDescent="0.2">
      <c r="A74" s="218"/>
      <c r="B74" s="218"/>
      <c r="C74" s="218"/>
      <c r="D74" s="218"/>
      <c r="E74" s="218"/>
      <c r="F74" s="218"/>
      <c r="G74" s="218"/>
      <c r="H74" s="218"/>
      <c r="I74" s="218"/>
    </row>
    <row r="75" spans="1:9" x14ac:dyDescent="0.2">
      <c r="A75" s="218"/>
      <c r="B75" s="218"/>
      <c r="C75" s="218"/>
      <c r="D75" s="218"/>
      <c r="E75" s="218"/>
      <c r="F75" s="218"/>
      <c r="G75" s="218"/>
      <c r="H75" s="218"/>
      <c r="I75" s="218"/>
    </row>
    <row r="76" spans="1:9" x14ac:dyDescent="0.2">
      <c r="A76" s="218"/>
      <c r="B76" s="218"/>
      <c r="C76" s="218"/>
      <c r="D76" s="218"/>
      <c r="E76" s="218"/>
      <c r="F76" s="218"/>
      <c r="G76" s="218"/>
      <c r="H76" s="218"/>
      <c r="I76" s="218"/>
    </row>
    <row r="77" spans="1:9" x14ac:dyDescent="0.2">
      <c r="A77" s="218"/>
      <c r="B77" s="218"/>
      <c r="C77" s="218"/>
      <c r="D77" s="218"/>
      <c r="E77" s="218"/>
      <c r="F77" s="218"/>
      <c r="G77" s="218"/>
      <c r="H77" s="218"/>
      <c r="I77" s="218"/>
    </row>
    <row r="78" spans="1:9" x14ac:dyDescent="0.2">
      <c r="A78" s="218"/>
      <c r="B78" s="218"/>
      <c r="C78" s="218"/>
      <c r="D78" s="218"/>
      <c r="E78" s="218"/>
      <c r="F78" s="218"/>
      <c r="G78" s="218"/>
      <c r="H78" s="218"/>
      <c r="I78" s="218"/>
    </row>
    <row r="79" spans="1:9" x14ac:dyDescent="0.2">
      <c r="A79" s="218"/>
      <c r="B79" s="218"/>
      <c r="C79" s="218"/>
      <c r="D79" s="218"/>
      <c r="E79" s="218"/>
      <c r="F79" s="218"/>
      <c r="G79" s="218"/>
      <c r="H79" s="218"/>
      <c r="I79" s="218"/>
    </row>
    <row r="80" spans="1:9" x14ac:dyDescent="0.2">
      <c r="A80" s="218"/>
      <c r="B80" s="218"/>
      <c r="C80" s="218"/>
      <c r="D80" s="218"/>
      <c r="E80" s="218"/>
      <c r="F80" s="218"/>
      <c r="G80" s="218"/>
      <c r="H80" s="218"/>
      <c r="I80" s="218"/>
    </row>
    <row r="81" spans="1:9" x14ac:dyDescent="0.2">
      <c r="A81" s="218"/>
      <c r="B81" s="218"/>
      <c r="C81" s="218"/>
      <c r="D81" s="218"/>
      <c r="E81" s="218"/>
      <c r="F81" s="218"/>
      <c r="G81" s="218"/>
      <c r="H81" s="218"/>
      <c r="I81" s="218"/>
    </row>
    <row r="82" spans="1:9" x14ac:dyDescent="0.2">
      <c r="A82" s="218"/>
      <c r="B82" s="218"/>
      <c r="C82" s="218"/>
      <c r="D82" s="218"/>
      <c r="E82" s="218"/>
      <c r="F82" s="218"/>
      <c r="G82" s="218"/>
      <c r="H82" s="218"/>
      <c r="I82" s="218"/>
    </row>
    <row r="83" spans="1:9" x14ac:dyDescent="0.2">
      <c r="A83" s="218"/>
      <c r="B83" s="218"/>
      <c r="C83" s="218"/>
      <c r="D83" s="218"/>
      <c r="E83" s="218"/>
      <c r="F83" s="218"/>
      <c r="G83" s="218"/>
      <c r="H83" s="218"/>
      <c r="I83" s="218"/>
    </row>
    <row r="84" spans="1:9" x14ac:dyDescent="0.2">
      <c r="A84" s="218"/>
      <c r="B84" s="218"/>
      <c r="C84" s="218"/>
      <c r="D84" s="218"/>
      <c r="E84" s="218"/>
      <c r="F84" s="218"/>
      <c r="G84" s="218"/>
      <c r="H84" s="218"/>
      <c r="I84" s="218"/>
    </row>
    <row r="85" spans="1:9" x14ac:dyDescent="0.2">
      <c r="A85" s="218"/>
      <c r="B85" s="218"/>
      <c r="C85" s="218"/>
      <c r="D85" s="218"/>
      <c r="E85" s="218"/>
      <c r="F85" s="218"/>
      <c r="G85" s="218"/>
      <c r="H85" s="218"/>
      <c r="I85" s="218"/>
    </row>
    <row r="86" spans="1:9" x14ac:dyDescent="0.2">
      <c r="A86" s="218"/>
      <c r="B86" s="218"/>
      <c r="C86" s="218"/>
      <c r="D86" s="218"/>
      <c r="E86" s="218"/>
      <c r="F86" s="218"/>
      <c r="G86" s="218"/>
      <c r="H86" s="218"/>
      <c r="I86" s="218"/>
    </row>
    <row r="87" spans="1:9" x14ac:dyDescent="0.2">
      <c r="A87" s="218"/>
      <c r="B87" s="218"/>
      <c r="C87" s="218"/>
      <c r="D87" s="218"/>
      <c r="E87" s="218"/>
      <c r="F87" s="218"/>
      <c r="G87" s="218"/>
      <c r="H87" s="218"/>
      <c r="I87" s="218"/>
    </row>
    <row r="88" spans="1:9" x14ac:dyDescent="0.2">
      <c r="A88" s="218"/>
      <c r="B88" s="218"/>
      <c r="C88" s="218"/>
      <c r="D88" s="218"/>
      <c r="E88" s="218"/>
      <c r="F88" s="218"/>
      <c r="G88" s="218"/>
      <c r="H88" s="218"/>
      <c r="I88" s="218"/>
    </row>
    <row r="89" spans="1:9" x14ac:dyDescent="0.2">
      <c r="A89" s="218"/>
      <c r="B89" s="218"/>
      <c r="C89" s="218"/>
      <c r="D89" s="218"/>
      <c r="E89" s="218"/>
      <c r="F89" s="218"/>
      <c r="G89" s="218"/>
      <c r="H89" s="218"/>
      <c r="I89" s="218"/>
    </row>
    <row r="90" spans="1:9" x14ac:dyDescent="0.2">
      <c r="A90" s="218"/>
      <c r="B90" s="218"/>
      <c r="C90" s="218"/>
      <c r="D90" s="218"/>
      <c r="E90" s="218"/>
      <c r="F90" s="218"/>
      <c r="G90" s="218"/>
      <c r="H90" s="218"/>
      <c r="I90" s="218"/>
    </row>
    <row r="91" spans="1:9" x14ac:dyDescent="0.2">
      <c r="A91" s="218"/>
      <c r="B91" s="218"/>
      <c r="C91" s="218"/>
      <c r="D91" s="218"/>
      <c r="E91" s="218"/>
      <c r="F91" s="218"/>
      <c r="G91" s="218"/>
      <c r="H91" s="218"/>
      <c r="I91" s="218"/>
    </row>
    <row r="92" spans="1:9" x14ac:dyDescent="0.2">
      <c r="A92" s="218"/>
      <c r="B92" s="218"/>
      <c r="C92" s="218"/>
      <c r="D92" s="218"/>
      <c r="E92" s="218"/>
      <c r="F92" s="218"/>
      <c r="G92" s="218"/>
      <c r="H92" s="218"/>
      <c r="I92" s="218"/>
    </row>
    <row r="93" spans="1:9" x14ac:dyDescent="0.2">
      <c r="A93" s="218"/>
      <c r="B93" s="218"/>
      <c r="C93" s="218"/>
      <c r="D93" s="218"/>
      <c r="E93" s="218"/>
      <c r="F93" s="218"/>
      <c r="G93" s="218"/>
      <c r="H93" s="218"/>
      <c r="I93" s="218"/>
    </row>
    <row r="94" spans="1:9" x14ac:dyDescent="0.2">
      <c r="A94" s="218"/>
      <c r="B94" s="218"/>
      <c r="C94" s="218"/>
      <c r="D94" s="218"/>
      <c r="E94" s="218"/>
      <c r="F94" s="218"/>
      <c r="G94" s="218"/>
      <c r="H94" s="218"/>
      <c r="I94" s="218"/>
    </row>
    <row r="95" spans="1:9" x14ac:dyDescent="0.2">
      <c r="A95" s="218"/>
      <c r="B95" s="218"/>
      <c r="C95" s="218"/>
      <c r="D95" s="218"/>
      <c r="E95" s="218"/>
      <c r="F95" s="218"/>
      <c r="G95" s="218"/>
      <c r="H95" s="218"/>
      <c r="I95" s="218"/>
    </row>
    <row r="96" spans="1:9" x14ac:dyDescent="0.2">
      <c r="A96" s="218"/>
      <c r="B96" s="218"/>
      <c r="C96" s="218"/>
      <c r="D96" s="218"/>
      <c r="E96" s="218"/>
      <c r="F96" s="218"/>
      <c r="G96" s="218"/>
      <c r="H96" s="218"/>
      <c r="I96" s="218"/>
    </row>
    <row r="97" spans="1:9" x14ac:dyDescent="0.2">
      <c r="A97" s="218"/>
      <c r="B97" s="218"/>
      <c r="C97" s="218"/>
      <c r="D97" s="218"/>
      <c r="E97" s="218"/>
      <c r="F97" s="218"/>
      <c r="G97" s="218"/>
      <c r="H97" s="218"/>
      <c r="I97" s="218"/>
    </row>
    <row r="98" spans="1:9" x14ac:dyDescent="0.2">
      <c r="A98" s="218"/>
      <c r="B98" s="218"/>
      <c r="C98" s="218"/>
      <c r="D98" s="218"/>
      <c r="E98" s="218"/>
      <c r="F98" s="218"/>
      <c r="G98" s="218"/>
      <c r="H98" s="218"/>
      <c r="I98" s="218"/>
    </row>
    <row r="99" spans="1:9" x14ac:dyDescent="0.2">
      <c r="A99" s="218"/>
      <c r="B99" s="218"/>
      <c r="C99" s="218"/>
      <c r="D99" s="218"/>
      <c r="E99" s="218"/>
      <c r="F99" s="218"/>
      <c r="G99" s="218"/>
      <c r="H99" s="218"/>
      <c r="I99" s="218"/>
    </row>
    <row r="100" spans="1:9" x14ac:dyDescent="0.2">
      <c r="A100" s="218"/>
      <c r="B100" s="218"/>
      <c r="C100" s="218"/>
      <c r="D100" s="218"/>
      <c r="E100" s="218"/>
      <c r="F100" s="218"/>
      <c r="G100" s="218"/>
      <c r="H100" s="218"/>
      <c r="I100" s="218"/>
    </row>
    <row r="101" spans="1:9" x14ac:dyDescent="0.2">
      <c r="A101" s="218"/>
      <c r="B101" s="218"/>
      <c r="C101" s="218"/>
      <c r="D101" s="218"/>
      <c r="E101" s="218"/>
      <c r="F101" s="218"/>
      <c r="G101" s="218"/>
      <c r="H101" s="218"/>
      <c r="I101" s="218"/>
    </row>
    <row r="102" spans="1:9" x14ac:dyDescent="0.2">
      <c r="A102" s="218"/>
      <c r="B102" s="218"/>
      <c r="C102" s="218"/>
      <c r="D102" s="218"/>
      <c r="E102" s="218"/>
      <c r="F102" s="218"/>
      <c r="G102" s="218"/>
      <c r="H102" s="218"/>
      <c r="I102" s="218"/>
    </row>
    <row r="103" spans="1:9" x14ac:dyDescent="0.2">
      <c r="A103" s="218"/>
      <c r="B103" s="218"/>
      <c r="C103" s="218"/>
      <c r="D103" s="218"/>
      <c r="E103" s="218"/>
      <c r="F103" s="218"/>
      <c r="G103" s="218"/>
      <c r="H103" s="218"/>
      <c r="I103" s="218"/>
    </row>
    <row r="104" spans="1:9" x14ac:dyDescent="0.2">
      <c r="A104" s="218"/>
      <c r="B104" s="218"/>
      <c r="C104" s="218"/>
      <c r="D104" s="218"/>
      <c r="E104" s="218"/>
      <c r="F104" s="218"/>
      <c r="G104" s="218"/>
      <c r="H104" s="218"/>
      <c r="I104" s="218"/>
    </row>
    <row r="105" spans="1:9" x14ac:dyDescent="0.2">
      <c r="A105" s="218"/>
      <c r="B105" s="218"/>
      <c r="C105" s="218"/>
      <c r="D105" s="218"/>
      <c r="E105" s="218"/>
      <c r="F105" s="218"/>
      <c r="G105" s="218"/>
      <c r="H105" s="218"/>
      <c r="I105" s="218"/>
    </row>
    <row r="106" spans="1:9" x14ac:dyDescent="0.2">
      <c r="A106" s="218"/>
      <c r="B106" s="218"/>
      <c r="C106" s="218"/>
      <c r="D106" s="218"/>
      <c r="E106" s="218"/>
      <c r="F106" s="218"/>
      <c r="G106" s="218"/>
      <c r="H106" s="218"/>
      <c r="I106" s="218"/>
    </row>
    <row r="107" spans="1:9" x14ac:dyDescent="0.2">
      <c r="A107" s="218"/>
      <c r="B107" s="218"/>
      <c r="C107" s="218"/>
      <c r="D107" s="218"/>
      <c r="E107" s="218"/>
      <c r="F107" s="218"/>
      <c r="G107" s="218"/>
      <c r="H107" s="218"/>
      <c r="I107" s="218"/>
    </row>
    <row r="108" spans="1:9" x14ac:dyDescent="0.2">
      <c r="A108" s="218"/>
      <c r="B108" s="218"/>
      <c r="C108" s="218"/>
      <c r="D108" s="218"/>
      <c r="E108" s="218"/>
      <c r="F108" s="218"/>
      <c r="G108" s="218"/>
      <c r="H108" s="218"/>
      <c r="I108" s="218"/>
    </row>
    <row r="109" spans="1:9" x14ac:dyDescent="0.2">
      <c r="A109" s="218"/>
      <c r="B109" s="218"/>
      <c r="C109" s="218"/>
      <c r="D109" s="218"/>
      <c r="E109" s="218"/>
      <c r="F109" s="218"/>
      <c r="G109" s="218"/>
      <c r="H109" s="218"/>
      <c r="I109" s="218"/>
    </row>
    <row r="110" spans="1:9" x14ac:dyDescent="0.2">
      <c r="A110" s="218"/>
      <c r="B110" s="218"/>
      <c r="C110" s="218"/>
      <c r="D110" s="218"/>
      <c r="E110" s="218"/>
      <c r="F110" s="218"/>
      <c r="G110" s="218"/>
      <c r="H110" s="218"/>
      <c r="I110" s="218"/>
    </row>
    <row r="111" spans="1:9" x14ac:dyDescent="0.2">
      <c r="A111" s="218"/>
      <c r="B111" s="218"/>
      <c r="C111" s="218"/>
      <c r="D111" s="218"/>
      <c r="E111" s="218"/>
      <c r="F111" s="218"/>
      <c r="G111" s="218"/>
      <c r="H111" s="218"/>
      <c r="I111" s="218"/>
    </row>
    <row r="112" spans="1:9" x14ac:dyDescent="0.2">
      <c r="A112" s="218"/>
      <c r="B112" s="218"/>
      <c r="C112" s="218"/>
      <c r="D112" s="218"/>
      <c r="E112" s="218"/>
      <c r="F112" s="218"/>
      <c r="G112" s="218"/>
      <c r="H112" s="218"/>
      <c r="I112" s="218"/>
    </row>
    <row r="113" spans="1:9" x14ac:dyDescent="0.2">
      <c r="A113" s="218"/>
      <c r="B113" s="218"/>
      <c r="C113" s="218"/>
      <c r="D113" s="218"/>
      <c r="E113" s="218"/>
      <c r="F113" s="218"/>
      <c r="G113" s="218"/>
      <c r="H113" s="218"/>
      <c r="I113" s="218"/>
    </row>
    <row r="114" spans="1:9" x14ac:dyDescent="0.2">
      <c r="A114" s="218"/>
      <c r="B114" s="218"/>
      <c r="C114" s="218"/>
      <c r="D114" s="218"/>
      <c r="E114" s="218"/>
      <c r="F114" s="218"/>
      <c r="G114" s="218"/>
      <c r="H114" s="218"/>
      <c r="I114" s="218"/>
    </row>
    <row r="115" spans="1:9" x14ac:dyDescent="0.2">
      <c r="A115" s="218"/>
      <c r="B115" s="218"/>
      <c r="C115" s="218"/>
      <c r="D115" s="218"/>
      <c r="E115" s="218"/>
      <c r="F115" s="218"/>
      <c r="G115" s="218"/>
      <c r="H115" s="218"/>
      <c r="I115" s="218"/>
    </row>
    <row r="116" spans="1:9" x14ac:dyDescent="0.2">
      <c r="A116" s="218"/>
      <c r="B116" s="218"/>
      <c r="C116" s="218"/>
      <c r="D116" s="218"/>
      <c r="E116" s="218"/>
      <c r="F116" s="218"/>
      <c r="G116" s="218"/>
      <c r="H116" s="218"/>
      <c r="I116" s="218"/>
    </row>
    <row r="117" spans="1:9" x14ac:dyDescent="0.2">
      <c r="A117" s="218"/>
      <c r="B117" s="218"/>
      <c r="C117" s="218"/>
      <c r="D117" s="218"/>
      <c r="E117" s="218"/>
      <c r="F117" s="218"/>
      <c r="G117" s="218"/>
      <c r="H117" s="218"/>
      <c r="I117" s="218"/>
    </row>
    <row r="118" spans="1:9" x14ac:dyDescent="0.2">
      <c r="A118" s="218"/>
      <c r="B118" s="218"/>
      <c r="C118" s="218"/>
      <c r="D118" s="218"/>
      <c r="E118" s="218"/>
      <c r="F118" s="218"/>
      <c r="G118" s="218"/>
      <c r="H118" s="218"/>
      <c r="I118" s="218"/>
    </row>
    <row r="119" spans="1:9" x14ac:dyDescent="0.2">
      <c r="A119" s="218"/>
      <c r="B119" s="218"/>
      <c r="C119" s="218"/>
      <c r="D119" s="218"/>
      <c r="E119" s="218"/>
      <c r="F119" s="218"/>
      <c r="G119" s="218"/>
      <c r="H119" s="218"/>
      <c r="I119" s="218"/>
    </row>
    <row r="120" spans="1:9" x14ac:dyDescent="0.2">
      <c r="A120" s="218"/>
      <c r="B120" s="218"/>
      <c r="C120" s="218"/>
      <c r="D120" s="218"/>
      <c r="E120" s="218"/>
      <c r="F120" s="218"/>
      <c r="G120" s="218"/>
      <c r="H120" s="218"/>
      <c r="I120" s="218"/>
    </row>
    <row r="121" spans="1:9" x14ac:dyDescent="0.2">
      <c r="A121" s="218"/>
      <c r="B121" s="218"/>
      <c r="C121" s="218"/>
      <c r="D121" s="218"/>
      <c r="E121" s="218"/>
      <c r="F121" s="218"/>
      <c r="G121" s="218"/>
      <c r="H121" s="218"/>
      <c r="I121" s="218"/>
    </row>
    <row r="122" spans="1:9" x14ac:dyDescent="0.2">
      <c r="A122" s="218"/>
      <c r="B122" s="218"/>
      <c r="C122" s="218"/>
      <c r="D122" s="218"/>
      <c r="E122" s="218"/>
      <c r="F122" s="218"/>
      <c r="G122" s="218"/>
      <c r="H122" s="218"/>
      <c r="I122" s="218"/>
    </row>
    <row r="123" spans="1:9" x14ac:dyDescent="0.2">
      <c r="A123" s="218"/>
      <c r="B123" s="218"/>
      <c r="C123" s="218"/>
      <c r="D123" s="218"/>
      <c r="E123" s="218"/>
      <c r="F123" s="218"/>
      <c r="G123" s="218"/>
      <c r="H123" s="218"/>
      <c r="I123" s="218"/>
    </row>
    <row r="124" spans="1:9" x14ac:dyDescent="0.2">
      <c r="A124" s="218"/>
      <c r="B124" s="218"/>
      <c r="C124" s="218"/>
      <c r="D124" s="218"/>
      <c r="E124" s="218"/>
      <c r="F124" s="218"/>
      <c r="G124" s="218"/>
      <c r="H124" s="218"/>
      <c r="I124" s="218"/>
    </row>
    <row r="125" spans="1:9" x14ac:dyDescent="0.2">
      <c r="A125" s="218"/>
      <c r="B125" s="218"/>
      <c r="C125" s="218"/>
      <c r="D125" s="218"/>
      <c r="E125" s="218"/>
      <c r="F125" s="218"/>
      <c r="G125" s="218"/>
      <c r="H125" s="218"/>
      <c r="I125" s="218"/>
    </row>
    <row r="126" spans="1:9" x14ac:dyDescent="0.2">
      <c r="A126" s="218"/>
      <c r="B126" s="218"/>
      <c r="C126" s="218"/>
      <c r="D126" s="218"/>
      <c r="E126" s="218"/>
      <c r="F126" s="218"/>
      <c r="G126" s="218"/>
      <c r="H126" s="218"/>
      <c r="I126" s="218"/>
    </row>
    <row r="127" spans="1:9" x14ac:dyDescent="0.2">
      <c r="A127" s="218"/>
      <c r="B127" s="218"/>
      <c r="C127" s="218"/>
      <c r="D127" s="218"/>
      <c r="E127" s="218"/>
      <c r="F127" s="218"/>
      <c r="G127" s="218"/>
      <c r="H127" s="218"/>
      <c r="I127" s="218"/>
    </row>
    <row r="128" spans="1:9" x14ac:dyDescent="0.2">
      <c r="A128" s="218"/>
      <c r="B128" s="218"/>
      <c r="C128" s="218"/>
      <c r="D128" s="218"/>
      <c r="E128" s="218"/>
      <c r="F128" s="218"/>
      <c r="G128" s="218"/>
      <c r="H128" s="218"/>
      <c r="I128" s="218"/>
    </row>
    <row r="129" spans="1:9" x14ac:dyDescent="0.2">
      <c r="A129" s="218"/>
      <c r="B129" s="218"/>
      <c r="C129" s="218"/>
      <c r="D129" s="218"/>
      <c r="E129" s="218"/>
      <c r="F129" s="218"/>
      <c r="G129" s="218"/>
      <c r="H129" s="218"/>
      <c r="I129" s="218"/>
    </row>
    <row r="130" spans="1:9" x14ac:dyDescent="0.2">
      <c r="A130" s="218"/>
      <c r="B130" s="218"/>
      <c r="C130" s="218"/>
      <c r="D130" s="218"/>
      <c r="E130" s="218"/>
      <c r="F130" s="218"/>
      <c r="G130" s="218"/>
      <c r="H130" s="218"/>
      <c r="I130" s="218"/>
    </row>
    <row r="131" spans="1:9" x14ac:dyDescent="0.2">
      <c r="A131" s="218"/>
      <c r="B131" s="218"/>
      <c r="C131" s="218"/>
      <c r="D131" s="218"/>
      <c r="E131" s="218"/>
      <c r="F131" s="218"/>
      <c r="G131" s="218"/>
      <c r="H131" s="218"/>
      <c r="I131" s="218"/>
    </row>
    <row r="132" spans="1:9" x14ac:dyDescent="0.2">
      <c r="A132" s="218"/>
      <c r="B132" s="218"/>
      <c r="C132" s="218"/>
      <c r="D132" s="218"/>
      <c r="E132" s="218"/>
      <c r="F132" s="218"/>
      <c r="G132" s="218"/>
      <c r="H132" s="218"/>
      <c r="I132" s="218"/>
    </row>
    <row r="133" spans="1:9" x14ac:dyDescent="0.2">
      <c r="A133" s="218"/>
      <c r="B133" s="218"/>
      <c r="C133" s="218"/>
      <c r="D133" s="218"/>
      <c r="E133" s="218"/>
      <c r="F133" s="218"/>
      <c r="G133" s="218"/>
      <c r="H133" s="218"/>
      <c r="I133" s="218"/>
    </row>
    <row r="134" spans="1:9" x14ac:dyDescent="0.2">
      <c r="A134" s="218"/>
      <c r="B134" s="218"/>
      <c r="C134" s="218"/>
      <c r="D134" s="218"/>
      <c r="E134" s="218"/>
      <c r="F134" s="218"/>
      <c r="G134" s="218"/>
      <c r="H134" s="218"/>
      <c r="I134" s="218"/>
    </row>
    <row r="135" spans="1:9" x14ac:dyDescent="0.2">
      <c r="A135" s="218"/>
      <c r="B135" s="218"/>
      <c r="C135" s="218"/>
      <c r="D135" s="218"/>
      <c r="E135" s="218"/>
      <c r="F135" s="218"/>
      <c r="G135" s="218"/>
      <c r="H135" s="218"/>
      <c r="I135" s="218"/>
    </row>
    <row r="136" spans="1:9" x14ac:dyDescent="0.2">
      <c r="A136" s="218"/>
      <c r="B136" s="218"/>
      <c r="C136" s="218"/>
      <c r="D136" s="218"/>
      <c r="E136" s="218"/>
      <c r="F136" s="218"/>
      <c r="G136" s="218"/>
      <c r="H136" s="218"/>
      <c r="I136" s="218"/>
    </row>
    <row r="137" spans="1:9" x14ac:dyDescent="0.2">
      <c r="A137" s="218"/>
      <c r="B137" s="218"/>
      <c r="C137" s="218"/>
      <c r="D137" s="218"/>
      <c r="E137" s="218"/>
      <c r="F137" s="218"/>
      <c r="G137" s="218"/>
      <c r="H137" s="218"/>
      <c r="I137" s="218"/>
    </row>
    <row r="138" spans="1:9" x14ac:dyDescent="0.2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2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2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2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2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2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2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2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2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2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2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2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2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x14ac:dyDescent="0.2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2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2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2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2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2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 x14ac:dyDescent="0.2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2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2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 x14ac:dyDescent="0.2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 x14ac:dyDescent="0.2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2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2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2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2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2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2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2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2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2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2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2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2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2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2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2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2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2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2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 x14ac:dyDescent="0.2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2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2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 x14ac:dyDescent="0.2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 x14ac:dyDescent="0.2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2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2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2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2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2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2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2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x14ac:dyDescent="0.2">
      <c r="A192" s="17"/>
      <c r="B192" s="17"/>
      <c r="C192" s="17"/>
      <c r="D192" s="17"/>
      <c r="E192" s="17"/>
      <c r="F192" s="17"/>
      <c r="G192" s="17"/>
      <c r="H192" s="17"/>
      <c r="I192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  <pageSetUpPr fitToPage="1"/>
  </sheetPr>
  <dimension ref="A1:J61"/>
  <sheetViews>
    <sheetView zoomScaleNormal="100" zoomScaleSheetLayoutView="90" workbookViewId="0">
      <selection activeCell="E12" sqref="E12:F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0" ht="16" x14ac:dyDescent="0.2">
      <c r="A6" s="5" t="s">
        <v>14</v>
      </c>
      <c r="B6" s="32">
        <v>34</v>
      </c>
      <c r="C6" s="963" t="s">
        <v>110</v>
      </c>
      <c r="D6" s="963"/>
      <c r="E6" s="963"/>
      <c r="F6" s="963"/>
      <c r="G6" s="963"/>
      <c r="H6" s="963"/>
      <c r="I6" s="963"/>
    </row>
    <row r="7" spans="1:10" ht="16" thickBot="1" x14ac:dyDescent="0.25">
      <c r="E7" s="445"/>
      <c r="F7" s="445"/>
      <c r="G7" s="445"/>
      <c r="H7" s="445"/>
      <c r="I7" s="446"/>
    </row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v>0</v>
      </c>
      <c r="G9" s="34">
        <v>0</v>
      </c>
      <c r="H9" s="227">
        <f t="shared" ref="H9:I15" si="1">+G9</f>
        <v>0</v>
      </c>
      <c r="I9" s="51">
        <f t="shared" si="1"/>
        <v>0</v>
      </c>
      <c r="J9" s="7">
        <v>100</v>
      </c>
    </row>
    <row r="10" spans="1:10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v>0</v>
      </c>
      <c r="F10" s="548">
        <v>0</v>
      </c>
      <c r="G10" s="36">
        <v>0</v>
      </c>
      <c r="H10" s="230">
        <f t="shared" si="1"/>
        <v>0</v>
      </c>
      <c r="I10" s="37">
        <f t="shared" si="1"/>
        <v>0</v>
      </c>
      <c r="J10" s="7">
        <v>200</v>
      </c>
    </row>
    <row r="11" spans="1:10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v>0</v>
      </c>
      <c r="F11" s="411">
        <v>0</v>
      </c>
      <c r="G11" s="34">
        <v>0</v>
      </c>
      <c r="H11" s="227">
        <f t="shared" si="1"/>
        <v>0</v>
      </c>
      <c r="I11" s="35">
        <f t="shared" si="1"/>
        <v>0</v>
      </c>
      <c r="J11" s="7" t="s">
        <v>167</v>
      </c>
    </row>
    <row r="12" spans="1:10" x14ac:dyDescent="0.2">
      <c r="A12" s="10" t="s">
        <v>7</v>
      </c>
      <c r="B12" s="43">
        <v>2550000</v>
      </c>
      <c r="C12" s="36">
        <v>2550000</v>
      </c>
      <c r="D12" s="230">
        <f t="shared" si="0"/>
        <v>2550000</v>
      </c>
      <c r="E12" s="550">
        <f>+D12+E22</f>
        <v>2040000</v>
      </c>
      <c r="F12" s="548">
        <f>+E12</f>
        <v>2040000</v>
      </c>
      <c r="G12" s="36">
        <f>+F12+G22+G23</f>
        <v>2040000</v>
      </c>
      <c r="H12" s="230">
        <f>+G12+H23</f>
        <v>2550000</v>
      </c>
      <c r="I12" s="37">
        <f t="shared" si="1"/>
        <v>2550000</v>
      </c>
      <c r="J12" s="7">
        <v>500</v>
      </c>
    </row>
    <row r="13" spans="1:10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v>0</v>
      </c>
      <c r="F13" s="411">
        <v>0</v>
      </c>
      <c r="G13" s="34">
        <v>0</v>
      </c>
      <c r="H13" s="227">
        <f t="shared" si="1"/>
        <v>0</v>
      </c>
      <c r="I13" s="35">
        <f t="shared" si="1"/>
        <v>0</v>
      </c>
      <c r="J13" s="7">
        <v>700</v>
      </c>
    </row>
    <row r="14" spans="1:10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v>0</v>
      </c>
      <c r="F14" s="548">
        <v>0</v>
      </c>
      <c r="G14" s="36">
        <v>0</v>
      </c>
      <c r="H14" s="230">
        <f t="shared" si="1"/>
        <v>0</v>
      </c>
      <c r="I14" s="37">
        <f t="shared" si="1"/>
        <v>0</v>
      </c>
      <c r="J14" s="7">
        <v>800</v>
      </c>
    </row>
    <row r="15" spans="1:10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v>0</v>
      </c>
      <c r="F15" s="549">
        <v>0</v>
      </c>
      <c r="G15" s="38">
        <v>0</v>
      </c>
      <c r="H15" s="231">
        <f t="shared" si="1"/>
        <v>0</v>
      </c>
      <c r="I15" s="39">
        <f t="shared" si="1"/>
        <v>0</v>
      </c>
      <c r="J15" s="7">
        <v>900</v>
      </c>
    </row>
    <row r="16" spans="1:10" ht="16" thickBot="1" x14ac:dyDescent="0.25">
      <c r="A16" s="4" t="s">
        <v>11</v>
      </c>
      <c r="B16" s="40">
        <f>SUM(B9:B15)</f>
        <v>2550000</v>
      </c>
      <c r="C16" s="40">
        <f t="shared" ref="C16:I16" si="2">SUM(C9:C15)</f>
        <v>2550000</v>
      </c>
      <c r="D16" s="40">
        <f t="shared" si="2"/>
        <v>2550000</v>
      </c>
      <c r="E16" s="573">
        <f t="shared" si="2"/>
        <v>2040000</v>
      </c>
      <c r="F16" s="40">
        <f t="shared" si="2"/>
        <v>2040000</v>
      </c>
      <c r="G16" s="40">
        <f t="shared" si="2"/>
        <v>2040000</v>
      </c>
      <c r="H16" s="40">
        <f t="shared" si="2"/>
        <v>2550000</v>
      </c>
      <c r="I16" s="40">
        <f t="shared" si="2"/>
        <v>2550000</v>
      </c>
    </row>
    <row r="18" spans="1:10" x14ac:dyDescent="0.2">
      <c r="E18" s="415">
        <f>+E16-D16</f>
        <v>-510000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160" t="s">
        <v>749</v>
      </c>
      <c r="B20" s="79"/>
      <c r="C20" s="72"/>
      <c r="D20" s="73"/>
      <c r="E20" s="73"/>
      <c r="F20" s="73"/>
      <c r="G20" s="73"/>
      <c r="H20" s="73"/>
      <c r="I20" s="74"/>
    </row>
    <row r="21" spans="1:10" ht="15" customHeight="1" x14ac:dyDescent="0.2">
      <c r="A21" s="160" t="s">
        <v>746</v>
      </c>
      <c r="B21" s="79"/>
      <c r="C21" s="72"/>
      <c r="D21" s="73"/>
      <c r="E21" s="73"/>
      <c r="F21" s="73"/>
      <c r="G21" s="73"/>
      <c r="H21" s="73"/>
      <c r="I21" s="74"/>
    </row>
    <row r="22" spans="1:10" ht="13" customHeight="1" x14ac:dyDescent="0.2">
      <c r="A22" s="84" t="s">
        <v>994</v>
      </c>
      <c r="B22" s="85"/>
      <c r="C22" s="68">
        <v>500</v>
      </c>
      <c r="D22" s="69"/>
      <c r="E22" s="69">
        <v>-510000</v>
      </c>
      <c r="F22" s="69"/>
      <c r="G22" s="69">
        <v>510000</v>
      </c>
      <c r="H22" s="70"/>
      <c r="I22" s="70"/>
      <c r="J22" s="17"/>
    </row>
    <row r="23" spans="1:10" s="59" customFormat="1" ht="13" customHeight="1" x14ac:dyDescent="0.2">
      <c r="A23" s="160" t="s">
        <v>911</v>
      </c>
      <c r="B23" s="79"/>
      <c r="C23" s="72"/>
      <c r="D23" s="73"/>
      <c r="E23" s="73"/>
      <c r="F23" s="73"/>
      <c r="G23" s="73">
        <v>-510000</v>
      </c>
      <c r="H23" s="74">
        <v>510000</v>
      </c>
      <c r="I23" s="74"/>
      <c r="J23" s="82"/>
    </row>
    <row r="24" spans="1:10" ht="13" customHeight="1" x14ac:dyDescent="0.2">
      <c r="A24" s="898" t="s">
        <v>995</v>
      </c>
      <c r="B24" s="85"/>
      <c r="C24" s="68"/>
      <c r="D24" s="69"/>
      <c r="E24" s="69"/>
      <c r="F24" s="69"/>
      <c r="G24" s="69"/>
      <c r="H24" s="70"/>
      <c r="I24" s="70"/>
      <c r="J24" s="17"/>
    </row>
    <row r="25" spans="1:10" s="59" customFormat="1" ht="13" customHeight="1" x14ac:dyDescent="0.2">
      <c r="A25" s="890"/>
      <c r="B25" s="79"/>
      <c r="C25" s="72"/>
      <c r="D25" s="73"/>
      <c r="E25" s="73"/>
      <c r="F25" s="73"/>
      <c r="G25" s="73"/>
      <c r="H25" s="74"/>
      <c r="I25" s="74"/>
      <c r="J25" s="82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4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4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4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4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4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78"/>
      <c r="B34" s="79"/>
      <c r="C34" s="72"/>
      <c r="D34" s="73"/>
      <c r="E34" s="73"/>
      <c r="F34" s="73"/>
      <c r="G34" s="73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6.5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2"/>
      <c r="D57" s="73"/>
      <c r="E57" s="73"/>
      <c r="F57" s="73"/>
      <c r="G57" s="73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  <row r="61" spans="1:10" ht="13" customHeight="1" x14ac:dyDescent="0.2">
      <c r="A61" s="78"/>
      <c r="B61" s="79"/>
      <c r="C61" s="76"/>
      <c r="D61" s="74"/>
      <c r="E61" s="74"/>
      <c r="F61" s="74"/>
      <c r="G61" s="74"/>
      <c r="H61" s="74"/>
      <c r="I61" s="74"/>
      <c r="J61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>
    <pageSetUpPr fitToPage="1"/>
  </sheetPr>
  <dimension ref="A1:K52"/>
  <sheetViews>
    <sheetView zoomScaleNormal="100" zoomScaleSheetLayoutView="90" workbookViewId="0">
      <selection activeCell="G15" sqref="G1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2">
        <v>84</v>
      </c>
      <c r="C6" s="963" t="s">
        <v>144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100719400</v>
      </c>
      <c r="C9" s="34">
        <v>104792068</v>
      </c>
      <c r="D9" s="227">
        <f>+C9+D21+D22+D23</f>
        <v>105610726</v>
      </c>
      <c r="E9" s="115">
        <f>+D9+E21+E25+E28+E22+E23</f>
        <v>105324122</v>
      </c>
      <c r="F9" s="411">
        <f>+E9</f>
        <v>105324122</v>
      </c>
      <c r="G9" s="34">
        <f>+F9+G28+G31</f>
        <v>105324122</v>
      </c>
      <c r="H9" s="227">
        <f>+G9+H31</f>
        <v>106140673</v>
      </c>
      <c r="I9" s="51">
        <f t="shared" ref="F9:I15" si="0">+H9</f>
        <v>106140673</v>
      </c>
      <c r="K9" s="7">
        <v>100</v>
      </c>
    </row>
    <row r="10" spans="1:11" x14ac:dyDescent="0.2">
      <c r="A10" s="10" t="s">
        <v>5</v>
      </c>
      <c r="B10" s="36">
        <v>10285571</v>
      </c>
      <c r="C10" s="36">
        <v>8480039</v>
      </c>
      <c r="D10" s="230">
        <f>+C10</f>
        <v>8480039</v>
      </c>
      <c r="E10" s="550">
        <f>+D10+E26+E29</f>
        <v>8480039</v>
      </c>
      <c r="F10" s="548">
        <f t="shared" si="0"/>
        <v>8480039</v>
      </c>
      <c r="G10" s="36">
        <f>+F10+G29+G32</f>
        <v>8480039</v>
      </c>
      <c r="H10" s="230">
        <f>+G10+H32</f>
        <v>9426545</v>
      </c>
      <c r="I10" s="37">
        <f t="shared" si="0"/>
        <v>9426545</v>
      </c>
      <c r="K10" s="7">
        <v>200</v>
      </c>
    </row>
    <row r="11" spans="1:11" x14ac:dyDescent="0.2">
      <c r="A11" s="9" t="s">
        <v>6</v>
      </c>
      <c r="B11" s="34">
        <f>1710943+520924</f>
        <v>2231867</v>
      </c>
      <c r="C11" s="34">
        <v>2231868</v>
      </c>
      <c r="D11" s="227">
        <f>+C11</f>
        <v>2231868</v>
      </c>
      <c r="E11" s="115">
        <f>+D11</f>
        <v>2231868</v>
      </c>
      <c r="F11" s="411">
        <f t="shared" si="0"/>
        <v>2231868</v>
      </c>
      <c r="G11" s="34">
        <f t="shared" si="0"/>
        <v>2231868</v>
      </c>
      <c r="H11" s="227">
        <f t="shared" si="0"/>
        <v>2231868</v>
      </c>
      <c r="I11" s="35">
        <f t="shared" si="0"/>
        <v>2231868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113236838</v>
      </c>
      <c r="C16" s="40">
        <f t="shared" ref="C16:I16" si="3">SUM(C9:C15)</f>
        <v>115503975</v>
      </c>
      <c r="D16" s="40">
        <f>SUM(D9:D15)</f>
        <v>116322633</v>
      </c>
      <c r="E16" s="573">
        <f t="shared" si="3"/>
        <v>116036029</v>
      </c>
      <c r="F16" s="40">
        <f t="shared" si="3"/>
        <v>116036029</v>
      </c>
      <c r="G16" s="40">
        <f t="shared" si="3"/>
        <v>116036029</v>
      </c>
      <c r="H16" s="40">
        <f t="shared" si="3"/>
        <v>117799086</v>
      </c>
      <c r="I16" s="40">
        <f t="shared" si="3"/>
        <v>117799086</v>
      </c>
    </row>
    <row r="17" spans="1:10" x14ac:dyDescent="0.2">
      <c r="B17" s="17"/>
      <c r="E17" s="213"/>
    </row>
    <row r="18" spans="1:10" x14ac:dyDescent="0.2">
      <c r="E18" s="416">
        <f>+E16-D16</f>
        <v>-286604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39" t="s">
        <v>494</v>
      </c>
      <c r="B20" s="305"/>
      <c r="C20" s="251"/>
      <c r="D20" s="252"/>
      <c r="E20" s="74"/>
      <c r="F20" s="74"/>
      <c r="G20" s="74"/>
      <c r="H20" s="74"/>
      <c r="I20" s="74"/>
    </row>
    <row r="21" spans="1:10" s="59" customFormat="1" ht="13" customHeight="1" x14ac:dyDescent="0.2">
      <c r="A21" s="308" t="s">
        <v>516</v>
      </c>
      <c r="B21" s="582"/>
      <c r="C21" s="837">
        <v>100</v>
      </c>
      <c r="D21" s="201">
        <v>487500</v>
      </c>
      <c r="E21" s="70">
        <v>-487500</v>
      </c>
      <c r="F21" s="70"/>
      <c r="G21" s="70"/>
      <c r="H21" s="70"/>
      <c r="I21" s="70"/>
      <c r="J21" s="82"/>
    </row>
    <row r="22" spans="1:10" ht="13" customHeight="1" x14ac:dyDescent="0.2">
      <c r="A22" s="926" t="s">
        <v>830</v>
      </c>
      <c r="B22" s="79"/>
      <c r="C22" s="76">
        <v>100</v>
      </c>
      <c r="D22" s="925">
        <v>76008</v>
      </c>
      <c r="E22" s="925">
        <v>456046</v>
      </c>
      <c r="F22" s="74"/>
      <c r="G22" s="74"/>
      <c r="H22" s="74"/>
      <c r="I22" s="74"/>
      <c r="J22" s="17"/>
    </row>
    <row r="23" spans="1:10" ht="13" customHeight="1" x14ac:dyDescent="0.2">
      <c r="A23" s="926" t="s">
        <v>900</v>
      </c>
      <c r="B23" s="85"/>
      <c r="C23" s="75">
        <v>100</v>
      </c>
      <c r="D23" s="925">
        <v>255150</v>
      </c>
      <c r="E23" s="925">
        <v>-255150</v>
      </c>
      <c r="F23" s="70"/>
      <c r="G23" s="70"/>
      <c r="H23" s="70"/>
      <c r="I23" s="70"/>
      <c r="J23" s="17"/>
    </row>
    <row r="24" spans="1:10" ht="13" customHeight="1" x14ac:dyDescent="0.2">
      <c r="A24" s="368" t="s">
        <v>625</v>
      </c>
      <c r="B24" s="329"/>
      <c r="C24" s="289"/>
      <c r="D24" s="327"/>
      <c r="E24" s="327"/>
      <c r="F24" s="327"/>
      <c r="G24" s="327"/>
      <c r="H24" s="327"/>
      <c r="I24" s="327"/>
      <c r="J24" s="17"/>
    </row>
    <row r="25" spans="1:10" ht="13" customHeight="1" x14ac:dyDescent="0.2">
      <c r="A25" s="185" t="s">
        <v>665</v>
      </c>
      <c r="B25" s="154"/>
      <c r="C25" s="186">
        <v>100</v>
      </c>
      <c r="D25" s="145"/>
      <c r="E25" s="145">
        <v>816551</v>
      </c>
      <c r="F25" s="145"/>
      <c r="G25" s="145"/>
      <c r="H25" s="145"/>
      <c r="I25" s="145"/>
      <c r="J25" s="17"/>
    </row>
    <row r="26" spans="1:10" ht="13" customHeight="1" x14ac:dyDescent="0.2">
      <c r="A26" s="306"/>
      <c r="B26" s="79"/>
      <c r="C26" s="89">
        <v>200</v>
      </c>
      <c r="D26" s="74"/>
      <c r="E26" s="74">
        <v>946506</v>
      </c>
      <c r="F26" s="74"/>
      <c r="G26" s="74"/>
      <c r="H26" s="74"/>
      <c r="I26" s="74"/>
      <c r="J26" s="17"/>
    </row>
    <row r="27" spans="1:10" ht="13" customHeight="1" x14ac:dyDescent="0.2">
      <c r="A27" s="323" t="s">
        <v>748</v>
      </c>
      <c r="B27" s="154"/>
      <c r="C27" s="186"/>
      <c r="D27" s="145"/>
      <c r="E27" s="145"/>
      <c r="F27" s="145"/>
      <c r="G27" s="145"/>
      <c r="H27" s="145"/>
      <c r="I27" s="145"/>
      <c r="J27" s="17"/>
    </row>
    <row r="28" spans="1:10" ht="13" customHeight="1" x14ac:dyDescent="0.2">
      <c r="A28" s="326" t="s">
        <v>778</v>
      </c>
      <c r="B28" s="79"/>
      <c r="C28" s="76">
        <v>100</v>
      </c>
      <c r="D28" s="74"/>
      <c r="E28" s="74">
        <v>-816551</v>
      </c>
      <c r="F28" s="74"/>
      <c r="G28" s="74">
        <v>816551</v>
      </c>
      <c r="H28" s="74"/>
      <c r="I28" s="74"/>
      <c r="J28" s="17"/>
    </row>
    <row r="29" spans="1:10" ht="12.75" customHeight="1" x14ac:dyDescent="0.2">
      <c r="A29" s="185" t="s">
        <v>808</v>
      </c>
      <c r="B29" s="85"/>
      <c r="C29" s="75">
        <v>200</v>
      </c>
      <c r="D29" s="70"/>
      <c r="E29" s="70">
        <v>-946506</v>
      </c>
      <c r="F29" s="70"/>
      <c r="G29" s="70">
        <v>946506</v>
      </c>
      <c r="H29" s="70"/>
      <c r="I29" s="70"/>
      <c r="J29" s="17"/>
    </row>
    <row r="30" spans="1:10" ht="13" customHeight="1" x14ac:dyDescent="0.2">
      <c r="A30" s="194" t="s">
        <v>998</v>
      </c>
      <c r="B30" s="79"/>
      <c r="C30" s="76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898" t="s">
        <v>999</v>
      </c>
      <c r="B31" s="85"/>
      <c r="C31" s="75">
        <v>100</v>
      </c>
      <c r="D31" s="70"/>
      <c r="E31" s="70"/>
      <c r="F31" s="70"/>
      <c r="G31" s="70">
        <v>-816551</v>
      </c>
      <c r="H31" s="70">
        <v>816551</v>
      </c>
      <c r="I31" s="70"/>
      <c r="J31" s="17"/>
    </row>
    <row r="32" spans="1:10" ht="13" customHeight="1" x14ac:dyDescent="0.2">
      <c r="A32" s="78"/>
      <c r="B32" s="79"/>
      <c r="C32" s="76">
        <v>200</v>
      </c>
      <c r="D32" s="74"/>
      <c r="E32" s="74"/>
      <c r="F32" s="74"/>
      <c r="G32" s="74">
        <v>-946506</v>
      </c>
      <c r="H32" s="74">
        <v>946506</v>
      </c>
      <c r="I32" s="74"/>
      <c r="J32" s="17"/>
    </row>
    <row r="33" spans="1:10" ht="13" customHeight="1" x14ac:dyDescent="0.2">
      <c r="A33" s="80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3" customHeight="1" x14ac:dyDescent="0.2">
      <c r="A34" s="81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x14ac:dyDescent="0.2">
      <c r="A51" s="82"/>
      <c r="B51" s="82"/>
      <c r="C51" s="82"/>
      <c r="D51" s="82"/>
      <c r="E51" s="82"/>
      <c r="F51" s="82"/>
      <c r="G51" s="82"/>
      <c r="H51" s="82"/>
      <c r="I51" s="82"/>
    </row>
    <row r="52" spans="1:10" x14ac:dyDescent="0.2">
      <c r="A52" s="82"/>
      <c r="B52" s="82"/>
      <c r="C52" s="82"/>
      <c r="D52" s="82"/>
      <c r="E52" s="82"/>
      <c r="F52" s="82"/>
      <c r="G52" s="82"/>
      <c r="H52" s="82"/>
      <c r="I52" s="82"/>
    </row>
  </sheetData>
  <mergeCells count="6">
    <mergeCell ref="A1:I1"/>
    <mergeCell ref="A2:I2"/>
    <mergeCell ref="A3:I3"/>
    <mergeCell ref="A4:I4"/>
    <mergeCell ref="C6:I6"/>
    <mergeCell ref="C5:I5"/>
  </mergeCells>
  <conditionalFormatting sqref="A22:A23">
    <cfRule type="expression" dxfId="175" priority="2">
      <formula>MOD(ROW(),2)=1</formula>
    </cfRule>
  </conditionalFormatting>
  <conditionalFormatting sqref="D22:E23">
    <cfRule type="expression" dxfId="174" priority="1">
      <formula>MOD(ROW(),2)=1</formula>
    </cfRule>
  </conditionalFormatting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theme="3"/>
    <pageSetUpPr fitToPage="1"/>
  </sheetPr>
  <dimension ref="A1:K58"/>
  <sheetViews>
    <sheetView zoomScaleNormal="100" zoomScaleSheetLayoutView="90" workbookViewId="0">
      <selection activeCell="G18" sqref="G1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25</v>
      </c>
      <c r="C6" s="963" t="s">
        <v>143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18501080</v>
      </c>
      <c r="C9" s="34">
        <v>19416871</v>
      </c>
      <c r="D9" s="227">
        <f>+C9+D26+D27+D28+D29+D30</f>
        <v>19599366</v>
      </c>
      <c r="E9" s="115">
        <f>+D9+E24+E32+E26+E27+E28+E34+E29+E30</f>
        <v>19073455</v>
      </c>
      <c r="F9" s="411">
        <f>+E9+F34</f>
        <v>19090680</v>
      </c>
      <c r="G9" s="34">
        <f>+F9+G32+G36</f>
        <v>19090680</v>
      </c>
      <c r="H9" s="227">
        <f>+G9+H36</f>
        <v>19839968</v>
      </c>
      <c r="I9" s="51">
        <f t="shared" ref="F9:I15" si="0">+H9</f>
        <v>19839968</v>
      </c>
      <c r="K9" s="7">
        <v>100</v>
      </c>
    </row>
    <row r="10" spans="1:11" x14ac:dyDescent="0.2">
      <c r="A10" s="10" t="s">
        <v>5</v>
      </c>
      <c r="B10" s="36">
        <v>5674493</v>
      </c>
      <c r="C10" s="36">
        <v>5305396</v>
      </c>
      <c r="D10" s="230">
        <f>+C10</f>
        <v>5305396</v>
      </c>
      <c r="E10" s="550">
        <f>+D10+E23</f>
        <v>5353396</v>
      </c>
      <c r="F10" s="548">
        <f>+E10+F23</f>
        <v>5401396</v>
      </c>
      <c r="G10" s="36">
        <f>+F10+G23</f>
        <v>5449396</v>
      </c>
      <c r="H10" s="230">
        <f>+G10</f>
        <v>5449396</v>
      </c>
      <c r="I10" s="37">
        <f t="shared" si="0"/>
        <v>5449396</v>
      </c>
      <c r="K10" s="7">
        <v>200</v>
      </c>
    </row>
    <row r="11" spans="1:11" x14ac:dyDescent="0.2">
      <c r="A11" s="9" t="s">
        <v>6</v>
      </c>
      <c r="B11" s="34">
        <f>22227799+17890235-'25V-Fleet - Vehicle'!B11</f>
        <v>22820417</v>
      </c>
      <c r="C11" s="34">
        <v>25391767</v>
      </c>
      <c r="D11" s="227">
        <f>+C11</f>
        <v>25391767</v>
      </c>
      <c r="E11" s="115">
        <f>+D11+E22+E33</f>
        <v>22376873</v>
      </c>
      <c r="F11" s="411">
        <f>+E11</f>
        <v>22376873</v>
      </c>
      <c r="G11" s="34">
        <f>+F11+G33+G37</f>
        <v>22376873</v>
      </c>
      <c r="H11" s="227">
        <f>+G11+H37</f>
        <v>26463211</v>
      </c>
      <c r="I11" s="35">
        <f t="shared" si="0"/>
        <v>26463211</v>
      </c>
      <c r="K11" s="7" t="s">
        <v>167</v>
      </c>
    </row>
    <row r="12" spans="1:11" x14ac:dyDescent="0.2">
      <c r="A12" s="10" t="s">
        <v>7</v>
      </c>
      <c r="B12" s="43">
        <v>10000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47005990</v>
      </c>
      <c r="C16" s="40">
        <f t="shared" ref="C16:I16" si="3">SUM(C9:C15)</f>
        <v>50114034</v>
      </c>
      <c r="D16" s="40">
        <f t="shared" si="3"/>
        <v>50296529</v>
      </c>
      <c r="E16" s="573">
        <f t="shared" si="3"/>
        <v>46803724</v>
      </c>
      <c r="F16" s="40">
        <f t="shared" si="3"/>
        <v>46868949</v>
      </c>
      <c r="G16" s="40">
        <f t="shared" si="3"/>
        <v>46916949</v>
      </c>
      <c r="H16" s="40">
        <f t="shared" si="3"/>
        <v>51752575</v>
      </c>
      <c r="I16" s="40">
        <f t="shared" si="3"/>
        <v>51752575</v>
      </c>
    </row>
    <row r="17" spans="1:10" x14ac:dyDescent="0.2">
      <c r="B17" s="855">
        <f>+'25V-Fleet - Vehicle'!B16</f>
        <v>17297617</v>
      </c>
    </row>
    <row r="18" spans="1:10" x14ac:dyDescent="0.2">
      <c r="B18" s="854">
        <f>+B17+B16</f>
        <v>64303607</v>
      </c>
      <c r="E18" s="416">
        <f>+E16-D16</f>
        <v>-3492805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6"/>
      <c r="D20" s="74"/>
      <c r="E20" s="74"/>
      <c r="F20" s="74"/>
      <c r="G20" s="74"/>
      <c r="H20" s="74"/>
      <c r="I20" s="74"/>
    </row>
    <row r="21" spans="1:10" ht="13" customHeight="1" x14ac:dyDescent="0.2">
      <c r="A21" s="649" t="s">
        <v>358</v>
      </c>
      <c r="B21" s="146"/>
      <c r="C21" s="146"/>
      <c r="D21" s="146"/>
      <c r="E21" s="146"/>
      <c r="F21" s="145"/>
      <c r="G21" s="145"/>
      <c r="H21" s="145"/>
      <c r="I21" s="145"/>
      <c r="J21" s="17"/>
    </row>
    <row r="22" spans="1:10" ht="13" customHeight="1" x14ac:dyDescent="0.2">
      <c r="A22" s="208" t="s">
        <v>491</v>
      </c>
      <c r="B22" s="79"/>
      <c r="C22" s="633" t="s">
        <v>167</v>
      </c>
      <c r="D22" s="74"/>
      <c r="E22" s="74">
        <v>1071444</v>
      </c>
      <c r="F22" s="74"/>
      <c r="G22" s="74"/>
      <c r="H22" s="74"/>
      <c r="I22" s="74"/>
      <c r="J22" s="17"/>
    </row>
    <row r="23" spans="1:10" ht="12.75" customHeight="1" x14ac:dyDescent="0.2">
      <c r="A23" s="185" t="s">
        <v>490</v>
      </c>
      <c r="B23" s="85"/>
      <c r="C23" s="638">
        <v>200</v>
      </c>
      <c r="D23" s="70"/>
      <c r="E23" s="70">
        <v>48000</v>
      </c>
      <c r="F23" s="70">
        <v>48000</v>
      </c>
      <c r="G23" s="70">
        <v>48000</v>
      </c>
      <c r="H23" s="70"/>
      <c r="I23" s="145"/>
      <c r="J23" s="17"/>
    </row>
    <row r="24" spans="1:10" ht="12.75" customHeight="1" x14ac:dyDescent="0.2">
      <c r="A24" s="798" t="s">
        <v>368</v>
      </c>
      <c r="B24" s="799"/>
      <c r="C24" s="800">
        <v>100</v>
      </c>
      <c r="D24" s="801"/>
      <c r="E24" s="801">
        <v>108000</v>
      </c>
      <c r="F24" s="801"/>
      <c r="G24" s="801"/>
      <c r="H24" s="801"/>
      <c r="I24" s="325"/>
      <c r="J24" s="17"/>
    </row>
    <row r="25" spans="1:10" ht="12.75" customHeight="1" x14ac:dyDescent="0.2">
      <c r="A25" s="901" t="s">
        <v>450</v>
      </c>
      <c r="B25" s="154"/>
      <c r="C25" s="186"/>
      <c r="D25" s="145"/>
      <c r="E25" s="145"/>
      <c r="F25" s="145"/>
      <c r="G25" s="145"/>
      <c r="H25" s="145"/>
      <c r="I25" s="145"/>
      <c r="J25" s="17"/>
    </row>
    <row r="26" spans="1:10" ht="12.75" customHeight="1" x14ac:dyDescent="0.2">
      <c r="A26" s="926" t="s">
        <v>824</v>
      </c>
      <c r="B26" s="79"/>
      <c r="C26" s="76">
        <v>100</v>
      </c>
      <c r="D26" s="925">
        <v>3087</v>
      </c>
      <c r="E26" s="925">
        <v>18523</v>
      </c>
      <c r="F26" s="925"/>
      <c r="G26" s="74"/>
      <c r="H26" s="74"/>
      <c r="I26" s="74"/>
      <c r="J26" s="17"/>
    </row>
    <row r="27" spans="1:10" ht="12.75" customHeight="1" x14ac:dyDescent="0.2">
      <c r="A27" s="926" t="s">
        <v>899</v>
      </c>
      <c r="B27" s="146"/>
      <c r="C27" s="888">
        <v>100</v>
      </c>
      <c r="D27" s="925">
        <v>9900</v>
      </c>
      <c r="E27" s="925">
        <v>-9900</v>
      </c>
      <c r="F27" s="925"/>
      <c r="G27" s="146"/>
      <c r="H27" s="146"/>
      <c r="I27" s="146"/>
      <c r="J27" s="17"/>
    </row>
    <row r="28" spans="1:10" ht="12.75" customHeight="1" x14ac:dyDescent="0.2">
      <c r="A28" s="926" t="s">
        <v>839</v>
      </c>
      <c r="B28" s="79"/>
      <c r="C28" s="76">
        <v>100</v>
      </c>
      <c r="D28" s="925">
        <v>6339</v>
      </c>
      <c r="E28" s="925">
        <v>38032</v>
      </c>
      <c r="F28" s="925"/>
      <c r="G28" s="74"/>
      <c r="H28" s="74"/>
      <c r="I28" s="74"/>
      <c r="J28" s="17"/>
    </row>
    <row r="29" spans="1:10" ht="12.75" customHeight="1" x14ac:dyDescent="0.2">
      <c r="A29" s="926" t="s">
        <v>947</v>
      </c>
      <c r="B29" s="146"/>
      <c r="C29" s="888">
        <v>100</v>
      </c>
      <c r="D29" s="925">
        <v>41519</v>
      </c>
      <c r="E29" s="925">
        <v>207597</v>
      </c>
      <c r="F29" s="925"/>
      <c r="G29" s="146"/>
      <c r="H29" s="146"/>
      <c r="I29" s="146"/>
      <c r="J29" s="17"/>
    </row>
    <row r="30" spans="1:10" ht="12.75" customHeight="1" x14ac:dyDescent="0.2">
      <c r="A30" s="926" t="s">
        <v>948</v>
      </c>
      <c r="B30" s="79"/>
      <c r="C30" s="76">
        <v>100</v>
      </c>
      <c r="D30" s="925">
        <v>121650</v>
      </c>
      <c r="E30" s="925">
        <v>-121650</v>
      </c>
      <c r="F30" s="925"/>
      <c r="G30" s="74"/>
      <c r="H30" s="74"/>
      <c r="I30" s="74"/>
      <c r="J30" s="17"/>
    </row>
    <row r="31" spans="1:10" ht="12.75" customHeight="1" x14ac:dyDescent="0.2">
      <c r="A31" s="928" t="s">
        <v>747</v>
      </c>
      <c r="B31" s="146"/>
      <c r="C31" s="888"/>
      <c r="D31" s="925"/>
      <c r="E31" s="925"/>
      <c r="F31" s="925"/>
      <c r="G31" s="146"/>
      <c r="H31" s="146"/>
      <c r="I31" s="146"/>
      <c r="J31" s="17"/>
    </row>
    <row r="32" spans="1:10" ht="13" customHeight="1" x14ac:dyDescent="0.2">
      <c r="A32" s="926" t="s">
        <v>744</v>
      </c>
      <c r="B32" s="79"/>
      <c r="C32" s="76">
        <v>100</v>
      </c>
      <c r="D32" s="925"/>
      <c r="E32" s="925">
        <v>-749288</v>
      </c>
      <c r="F32" s="925"/>
      <c r="G32" s="74">
        <v>749288</v>
      </c>
      <c r="H32" s="74"/>
      <c r="I32" s="74"/>
      <c r="J32" s="17"/>
    </row>
    <row r="33" spans="1:10" ht="13" customHeight="1" x14ac:dyDescent="0.2">
      <c r="A33" s="926" t="s">
        <v>745</v>
      </c>
      <c r="B33" s="146"/>
      <c r="C33" s="893" t="s">
        <v>167</v>
      </c>
      <c r="D33" s="925"/>
      <c r="E33" s="925">
        <v>-4086338</v>
      </c>
      <c r="F33" s="925"/>
      <c r="G33" s="925">
        <v>4086338</v>
      </c>
      <c r="H33" s="925"/>
      <c r="I33" s="925"/>
      <c r="J33" s="17"/>
    </row>
    <row r="34" spans="1:10" ht="13" customHeight="1" x14ac:dyDescent="0.2">
      <c r="A34" s="926" t="s">
        <v>905</v>
      </c>
      <c r="B34" s="79"/>
      <c r="C34" s="76">
        <v>100</v>
      </c>
      <c r="D34" s="925"/>
      <c r="E34" s="925">
        <v>-17225</v>
      </c>
      <c r="F34" s="925">
        <v>17225</v>
      </c>
      <c r="G34" s="74"/>
      <c r="H34" s="74"/>
      <c r="I34" s="74"/>
      <c r="J34" s="17"/>
    </row>
    <row r="35" spans="1:10" ht="12" customHeight="1" x14ac:dyDescent="0.2">
      <c r="A35" s="928" t="s">
        <v>911</v>
      </c>
      <c r="B35" s="146"/>
      <c r="C35" s="888"/>
      <c r="D35" s="925"/>
      <c r="E35" s="925"/>
      <c r="F35" s="925"/>
      <c r="G35" s="146"/>
      <c r="H35" s="146"/>
      <c r="I35" s="146"/>
      <c r="J35" s="17"/>
    </row>
    <row r="36" spans="1:10" ht="13" customHeight="1" x14ac:dyDescent="0.2">
      <c r="A36" s="926" t="s">
        <v>999</v>
      </c>
      <c r="B36" s="79"/>
      <c r="C36" s="76">
        <v>100</v>
      </c>
      <c r="D36" s="925"/>
      <c r="E36" s="925"/>
      <c r="F36" s="925"/>
      <c r="G36" s="925">
        <v>-749288</v>
      </c>
      <c r="H36" s="74">
        <v>749288</v>
      </c>
      <c r="I36" s="74"/>
      <c r="J36" s="17"/>
    </row>
    <row r="37" spans="1:10" ht="13" customHeight="1" x14ac:dyDescent="0.2">
      <c r="A37" s="926"/>
      <c r="B37" s="146"/>
      <c r="C37" s="893" t="s">
        <v>167</v>
      </c>
      <c r="D37" s="925"/>
      <c r="E37" s="925"/>
      <c r="F37" s="925"/>
      <c r="G37" s="925">
        <v>-4086338</v>
      </c>
      <c r="H37" s="925">
        <v>4086338</v>
      </c>
      <c r="I37" s="146"/>
      <c r="J37" s="17"/>
    </row>
    <row r="38" spans="1:10" ht="13" customHeight="1" x14ac:dyDescent="0.2">
      <c r="A38" s="926"/>
      <c r="B38" s="79"/>
      <c r="C38" s="76"/>
      <c r="D38" s="925"/>
      <c r="E38" s="925"/>
      <c r="F38" s="925"/>
      <c r="G38" s="74"/>
      <c r="H38" s="74"/>
      <c r="I38" s="74"/>
      <c r="J38" s="17"/>
    </row>
    <row r="39" spans="1:10" ht="13" customHeight="1" x14ac:dyDescent="0.2">
      <c r="A39" s="926"/>
      <c r="B39" s="146"/>
      <c r="C39" s="888"/>
      <c r="D39" s="925"/>
      <c r="E39" s="925"/>
      <c r="F39" s="925"/>
      <c r="G39" s="146"/>
      <c r="H39" s="146"/>
      <c r="I39" s="146"/>
      <c r="J39" s="17"/>
    </row>
    <row r="40" spans="1:10" ht="13" customHeight="1" x14ac:dyDescent="0.2">
      <c r="A40" s="926"/>
      <c r="B40" s="79"/>
      <c r="C40" s="76"/>
      <c r="D40" s="925"/>
      <c r="E40" s="925"/>
      <c r="F40" s="925"/>
      <c r="G40" s="74"/>
      <c r="H40" s="74"/>
      <c r="I40" s="74"/>
      <c r="J40" s="17"/>
    </row>
    <row r="41" spans="1:10" ht="13" customHeight="1" x14ac:dyDescent="0.2">
      <c r="A41" s="81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x14ac:dyDescent="0.2">
      <c r="A57" s="78"/>
      <c r="B57" s="79"/>
      <c r="C57" s="76"/>
      <c r="D57" s="74"/>
      <c r="E57" s="74"/>
      <c r="F57" s="74"/>
      <c r="G57" s="74"/>
      <c r="H57" s="74"/>
      <c r="I57" s="74"/>
    </row>
    <row r="58" spans="1:10" x14ac:dyDescent="0.2">
      <c r="A58" s="82"/>
      <c r="B58" s="82"/>
      <c r="C58" s="82"/>
      <c r="D58" s="82"/>
      <c r="E58" s="82"/>
      <c r="F58" s="82"/>
      <c r="G58" s="82"/>
      <c r="H58" s="82"/>
      <c r="I58" s="82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:A27">
    <cfRule type="expression" dxfId="173" priority="29">
      <formula>MOD(ROW(),2)=1</formula>
    </cfRule>
  </conditionalFormatting>
  <conditionalFormatting sqref="D26:F27">
    <cfRule type="expression" dxfId="172" priority="28">
      <formula>MOD(ROW(),2)=1</formula>
    </cfRule>
  </conditionalFormatting>
  <conditionalFormatting sqref="A28:A40">
    <cfRule type="expression" dxfId="171" priority="6">
      <formula>MOD(ROW(),2)=1</formula>
    </cfRule>
  </conditionalFormatting>
  <conditionalFormatting sqref="D28:F32 D34:F40 D33">
    <cfRule type="expression" dxfId="170" priority="5">
      <formula>MOD(ROW(),2)=1</formula>
    </cfRule>
  </conditionalFormatting>
  <conditionalFormatting sqref="E33:I33">
    <cfRule type="expression" dxfId="169" priority="4">
      <formula>MOD(ROW(),2)=1</formula>
    </cfRule>
  </conditionalFormatting>
  <conditionalFormatting sqref="G36">
    <cfRule type="expression" dxfId="168" priority="3">
      <formula>MOD(ROW(),2)=1</formula>
    </cfRule>
  </conditionalFormatting>
  <conditionalFormatting sqref="H37">
    <cfRule type="expression" dxfId="167" priority="1">
      <formula>MOD(ROW(),2)=1</formula>
    </cfRule>
  </conditionalFormatting>
  <conditionalFormatting sqref="G37">
    <cfRule type="expression" dxfId="166" priority="2">
      <formula>MOD(ROW(),2)=1</formula>
    </cfRule>
  </conditionalFormatting>
  <pageMargins left="0.5" right="0.5" top="0.5" bottom="0.5" header="0.3" footer="0.3"/>
  <pageSetup scale="70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>
    <tabColor theme="3"/>
    <pageSetUpPr fitToPage="1"/>
  </sheetPr>
  <dimension ref="A1:K58"/>
  <sheetViews>
    <sheetView zoomScaleNormal="100" zoomScaleSheetLayoutView="90" workbookViewId="0">
      <selection activeCell="H12" sqref="H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26.25" customHeight="1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92</v>
      </c>
      <c r="C6" s="963" t="s">
        <v>142</v>
      </c>
      <c r="D6" s="963"/>
      <c r="E6" s="963"/>
      <c r="F6" s="963"/>
      <c r="G6" s="963"/>
      <c r="H6" s="963"/>
      <c r="I6" s="963"/>
    </row>
    <row r="7" spans="1:11" ht="16" thickBot="1" x14ac:dyDescent="0.25">
      <c r="C7" s="7" t="s">
        <v>556</v>
      </c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F9:I10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v>0</v>
      </c>
      <c r="C10" s="36">
        <v>0</v>
      </c>
      <c r="D10" s="230">
        <f t="shared" si="0"/>
        <v>0</v>
      </c>
      <c r="E10" s="550">
        <f>+D10</f>
        <v>0</v>
      </c>
      <c r="F10" s="412">
        <f>+E10</f>
        <v>0</v>
      </c>
      <c r="G10" s="49">
        <f t="shared" si="1"/>
        <v>0</v>
      </c>
      <c r="H10" s="228">
        <f t="shared" si="1"/>
        <v>0</v>
      </c>
      <c r="I10" s="50">
        <f t="shared" si="1"/>
        <v>0</v>
      </c>
      <c r="K10" s="7">
        <v>200</v>
      </c>
    </row>
    <row r="11" spans="1:11" x14ac:dyDescent="0.2">
      <c r="A11" s="9" t="s">
        <v>6</v>
      </c>
      <c r="B11" s="34">
        <f>11360474+5937143</f>
        <v>17297617</v>
      </c>
      <c r="C11" s="34">
        <v>17286549</v>
      </c>
      <c r="D11" s="227">
        <f>+C11</f>
        <v>17286549</v>
      </c>
      <c r="E11" s="115">
        <f>+D11+E22+E23+E24+E27</f>
        <v>9797739</v>
      </c>
      <c r="F11" s="563">
        <f>+E11+F22+F23+F24</f>
        <v>9797739</v>
      </c>
      <c r="G11" s="165">
        <f>+F11+G27+G29</f>
        <v>9797739</v>
      </c>
      <c r="H11" s="229">
        <f>+G11+H29</f>
        <v>14797739</v>
      </c>
      <c r="I11" s="118">
        <f>+H11</f>
        <v>14797739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>+D12</f>
        <v>0</v>
      </c>
      <c r="F12" s="548">
        <f t="shared" ref="F12:G15" si="2">+E12</f>
        <v>0</v>
      </c>
      <c r="G12" s="36">
        <f t="shared" si="2"/>
        <v>0</v>
      </c>
      <c r="H12" s="230">
        <f t="shared" ref="H12:I15" si="3">+G12</f>
        <v>0</v>
      </c>
      <c r="I12" s="37">
        <f t="shared" si="3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>+D13</f>
        <v>0</v>
      </c>
      <c r="F13" s="411">
        <f t="shared" si="2"/>
        <v>0</v>
      </c>
      <c r="G13" s="34">
        <f t="shared" si="2"/>
        <v>0</v>
      </c>
      <c r="H13" s="227">
        <f t="shared" si="3"/>
        <v>0</v>
      </c>
      <c r="I13" s="35">
        <f t="shared" si="3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>+D14</f>
        <v>0</v>
      </c>
      <c r="F14" s="548">
        <f t="shared" si="2"/>
        <v>0</v>
      </c>
      <c r="G14" s="36">
        <f t="shared" si="2"/>
        <v>0</v>
      </c>
      <c r="H14" s="230">
        <f t="shared" si="3"/>
        <v>0</v>
      </c>
      <c r="I14" s="37">
        <f t="shared" si="3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>+D15</f>
        <v>0</v>
      </c>
      <c r="F15" s="549">
        <f t="shared" si="2"/>
        <v>0</v>
      </c>
      <c r="G15" s="38">
        <f t="shared" si="2"/>
        <v>0</v>
      </c>
      <c r="H15" s="231">
        <f t="shared" si="3"/>
        <v>0</v>
      </c>
      <c r="I15" s="39">
        <f t="shared" si="3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17297617</v>
      </c>
      <c r="C16" s="40">
        <f t="shared" ref="C16:I16" si="4">SUM(C9:C15)</f>
        <v>17286549</v>
      </c>
      <c r="D16" s="40">
        <f t="shared" si="4"/>
        <v>17286549</v>
      </c>
      <c r="E16" s="573">
        <f t="shared" si="4"/>
        <v>9797739</v>
      </c>
      <c r="F16" s="40">
        <f t="shared" si="4"/>
        <v>9797739</v>
      </c>
      <c r="G16" s="40">
        <f t="shared" si="4"/>
        <v>9797739</v>
      </c>
      <c r="H16" s="40">
        <f t="shared" si="4"/>
        <v>14797739</v>
      </c>
      <c r="I16" s="40">
        <f t="shared" si="4"/>
        <v>14797739</v>
      </c>
    </row>
    <row r="18" spans="1:10" x14ac:dyDescent="0.2">
      <c r="E18" s="416">
        <f>+E16-D16</f>
        <v>-7488810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9"/>
      <c r="C20" s="76"/>
      <c r="D20" s="74"/>
      <c r="E20" s="74"/>
      <c r="F20" s="74"/>
      <c r="G20" s="74"/>
      <c r="H20" s="74"/>
      <c r="I20" s="74"/>
    </row>
    <row r="21" spans="1:10" ht="12.75" customHeight="1" x14ac:dyDescent="0.2">
      <c r="A21" s="324" t="s">
        <v>358</v>
      </c>
      <c r="B21" s="85"/>
      <c r="C21" s="75"/>
      <c r="D21" s="70"/>
      <c r="E21" s="70"/>
      <c r="F21" s="70"/>
      <c r="G21" s="70"/>
      <c r="H21" s="70"/>
      <c r="I21" s="70"/>
    </row>
    <row r="22" spans="1:10" ht="12.75" customHeight="1" x14ac:dyDescent="0.2">
      <c r="A22" s="660" t="s">
        <v>394</v>
      </c>
      <c r="B22" s="93"/>
      <c r="C22" s="633" t="s">
        <v>167</v>
      </c>
      <c r="D22" s="95"/>
      <c r="E22" s="95">
        <v>-150000</v>
      </c>
      <c r="F22" s="95"/>
      <c r="G22" s="106"/>
      <c r="H22" s="95"/>
      <c r="I22" s="95"/>
      <c r="J22" s="17"/>
    </row>
    <row r="23" spans="1:10" ht="12.75" customHeight="1" x14ac:dyDescent="0.2">
      <c r="A23" s="658" t="s">
        <v>388</v>
      </c>
      <c r="B23" s="154"/>
      <c r="C23" s="659" t="s">
        <v>167</v>
      </c>
      <c r="D23" s="145"/>
      <c r="E23" s="145">
        <v>-144010</v>
      </c>
      <c r="F23" s="145"/>
      <c r="G23" s="145"/>
      <c r="H23" s="145"/>
      <c r="I23" s="145"/>
      <c r="J23" s="17"/>
    </row>
    <row r="24" spans="1:10" ht="12.75" customHeight="1" x14ac:dyDescent="0.2">
      <c r="A24" s="940" t="s">
        <v>873</v>
      </c>
      <c r="B24" s="90"/>
      <c r="C24" s="802" t="s">
        <v>167</v>
      </c>
      <c r="D24" s="92"/>
      <c r="E24" s="92">
        <v>-2194800</v>
      </c>
      <c r="F24" s="92"/>
      <c r="G24" s="92"/>
      <c r="H24" s="92"/>
      <c r="I24" s="92"/>
      <c r="J24" s="17"/>
    </row>
    <row r="25" spans="1:10" ht="12.75" customHeight="1" x14ac:dyDescent="0.2">
      <c r="A25" s="901" t="s">
        <v>450</v>
      </c>
      <c r="B25" s="154"/>
      <c r="C25" s="186"/>
      <c r="D25" s="145"/>
      <c r="E25" s="145"/>
      <c r="F25" s="145"/>
      <c r="G25" s="145"/>
      <c r="H25" s="145"/>
      <c r="I25" s="145"/>
      <c r="J25" s="17"/>
    </row>
    <row r="26" spans="1:10" ht="12.75" customHeight="1" x14ac:dyDescent="0.2">
      <c r="A26" s="881" t="s">
        <v>747</v>
      </c>
      <c r="B26" s="79"/>
      <c r="C26" s="641"/>
      <c r="D26" s="74"/>
      <c r="E26" s="74"/>
      <c r="F26" s="74"/>
      <c r="G26" s="74"/>
      <c r="H26" s="74"/>
      <c r="I26" s="74"/>
      <c r="J26" s="17"/>
    </row>
    <row r="27" spans="1:10" ht="12.75" customHeight="1" x14ac:dyDescent="0.2">
      <c r="A27" s="902" t="s">
        <v>750</v>
      </c>
      <c r="B27" s="85"/>
      <c r="C27" s="75" t="s">
        <v>167</v>
      </c>
      <c r="D27" s="70"/>
      <c r="E27" s="70">
        <v>-5000000</v>
      </c>
      <c r="F27" s="70"/>
      <c r="G27" s="70">
        <v>5000000</v>
      </c>
      <c r="H27" s="70"/>
      <c r="I27" s="70"/>
      <c r="J27" s="17"/>
    </row>
    <row r="28" spans="1:10" ht="12.75" customHeight="1" x14ac:dyDescent="0.2">
      <c r="A28" s="952" t="s">
        <v>911</v>
      </c>
      <c r="B28" s="93"/>
      <c r="C28" s="633"/>
      <c r="D28" s="95"/>
      <c r="E28" s="95"/>
      <c r="F28" s="95"/>
      <c r="G28" s="106"/>
      <c r="H28" s="95"/>
      <c r="I28" s="95"/>
      <c r="J28" s="17"/>
    </row>
    <row r="29" spans="1:10" ht="12.75" customHeight="1" x14ac:dyDescent="0.2">
      <c r="A29" s="902" t="s">
        <v>999</v>
      </c>
      <c r="B29" s="85"/>
      <c r="C29" s="75" t="s">
        <v>167</v>
      </c>
      <c r="D29" s="70"/>
      <c r="E29" s="70"/>
      <c r="F29" s="70"/>
      <c r="G29" s="70">
        <v>-5000000</v>
      </c>
      <c r="H29" s="70">
        <v>5000000</v>
      </c>
      <c r="I29" s="70"/>
      <c r="J29" s="17"/>
    </row>
    <row r="30" spans="1:10" ht="12.75" customHeight="1" x14ac:dyDescent="0.2">
      <c r="A30" s="660"/>
      <c r="B30" s="93"/>
      <c r="C30" s="633"/>
      <c r="D30" s="95"/>
      <c r="E30" s="95"/>
      <c r="F30" s="95"/>
      <c r="G30" s="106"/>
      <c r="H30" s="95"/>
      <c r="I30" s="95"/>
      <c r="J30" s="17"/>
    </row>
    <row r="31" spans="1:10" ht="13" customHeight="1" x14ac:dyDescent="0.2">
      <c r="A31" s="324"/>
      <c r="B31" s="85"/>
      <c r="C31" s="75"/>
      <c r="D31" s="70"/>
      <c r="E31" s="70"/>
      <c r="F31" s="70"/>
      <c r="G31" s="70"/>
      <c r="H31" s="70"/>
      <c r="I31" s="70"/>
      <c r="J31" s="17"/>
    </row>
    <row r="32" spans="1:10" ht="13" customHeight="1" x14ac:dyDescent="0.2">
      <c r="A32" s="660"/>
      <c r="B32" s="93"/>
      <c r="C32" s="633"/>
      <c r="D32" s="95"/>
      <c r="E32" s="95"/>
      <c r="F32" s="95"/>
      <c r="G32" s="106"/>
      <c r="H32" s="95"/>
      <c r="I32" s="95"/>
      <c r="J32" s="17"/>
    </row>
    <row r="33" spans="1:10" ht="13" customHeight="1" x14ac:dyDescent="0.2">
      <c r="A33" s="324"/>
      <c r="B33" s="85"/>
      <c r="C33" s="75"/>
      <c r="D33" s="70"/>
      <c r="E33" s="70"/>
      <c r="F33" s="70"/>
      <c r="G33" s="70"/>
      <c r="H33" s="70"/>
      <c r="I33" s="70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80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x14ac:dyDescent="0.2">
      <c r="A57" s="78"/>
      <c r="B57" s="79"/>
      <c r="C57" s="76"/>
      <c r="D57" s="74"/>
      <c r="E57" s="74"/>
      <c r="F57" s="74"/>
      <c r="G57" s="74"/>
    </row>
    <row r="58" spans="1:10" x14ac:dyDescent="0.2">
      <c r="A58" s="78"/>
      <c r="B58" s="79"/>
      <c r="C58" s="76"/>
      <c r="D58" s="74"/>
      <c r="E58" s="74"/>
      <c r="F58" s="74"/>
      <c r="G58" s="74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5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theme="3"/>
    <pageSetUpPr fitToPage="1"/>
  </sheetPr>
  <dimension ref="A1:K52"/>
  <sheetViews>
    <sheetView topLeftCell="A14" zoomScaleNormal="100" zoomScaleSheetLayoutView="90" workbookViewId="0">
      <selection activeCell="E36" sqref="E3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52</v>
      </c>
      <c r="C6" s="963" t="s">
        <v>141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38004616</v>
      </c>
      <c r="C9" s="34">
        <v>40633647</v>
      </c>
      <c r="D9" s="227">
        <f>+C9+D24+D25+D26+D27+D28</f>
        <v>41140877</v>
      </c>
      <c r="E9" s="115">
        <f>+D9+E22+E30+E31+E24+E25+E26+E33+E34+E36+E27+E28</f>
        <v>35549343</v>
      </c>
      <c r="F9" s="411">
        <f>+E9+F30+F31+F33</f>
        <v>35602683</v>
      </c>
      <c r="G9" s="34">
        <f>+F9+G31+G34+G36+G39</f>
        <v>35615861</v>
      </c>
      <c r="H9" s="227">
        <f>+G9+H31+H39</f>
        <v>44310753</v>
      </c>
      <c r="I9" s="51">
        <f t="shared" ref="F9:I15" si="0">+H9</f>
        <v>44310753</v>
      </c>
      <c r="K9" s="7">
        <v>100</v>
      </c>
    </row>
    <row r="10" spans="1:11" x14ac:dyDescent="0.2">
      <c r="A10" s="10" t="s">
        <v>5</v>
      </c>
      <c r="B10" s="36">
        <v>2289223</v>
      </c>
      <c r="C10" s="36">
        <v>2824077</v>
      </c>
      <c r="D10" s="230">
        <f t="shared" ref="D10:F11" si="1">+C10</f>
        <v>2824077</v>
      </c>
      <c r="E10" s="550">
        <f>+D10+E37</f>
        <v>2259262</v>
      </c>
      <c r="F10" s="548">
        <f t="shared" si="1"/>
        <v>2259262</v>
      </c>
      <c r="G10" s="36">
        <f>+F10+G37+G40</f>
        <v>2259262</v>
      </c>
      <c r="H10" s="230">
        <f>+G10+H40</f>
        <v>2824077</v>
      </c>
      <c r="I10" s="37">
        <f t="shared" si="0"/>
        <v>2824077</v>
      </c>
      <c r="K10" s="7">
        <v>200</v>
      </c>
    </row>
    <row r="11" spans="1:11" x14ac:dyDescent="0.2">
      <c r="A11" s="9" t="s">
        <v>6</v>
      </c>
      <c r="B11" s="34">
        <f>2194670+107986+1</f>
        <v>2302657</v>
      </c>
      <c r="C11" s="34">
        <v>2302659</v>
      </c>
      <c r="D11" s="227">
        <f t="shared" si="1"/>
        <v>2302659</v>
      </c>
      <c r="E11" s="115">
        <f>+D11+E38</f>
        <v>1842128</v>
      </c>
      <c r="F11" s="411">
        <f t="shared" si="1"/>
        <v>1842128</v>
      </c>
      <c r="G11" s="34">
        <f>+F11+G38+G41</f>
        <v>1842128</v>
      </c>
      <c r="H11" s="227">
        <f>+G11+H41</f>
        <v>2302659</v>
      </c>
      <c r="I11" s="35">
        <f t="shared" si="0"/>
        <v>2302659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2">+C12</f>
        <v>0</v>
      </c>
      <c r="E12" s="550">
        <f t="shared" ref="E12:E15" si="3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3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3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3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42596496</v>
      </c>
      <c r="C16" s="40">
        <f t="shared" ref="C16:I16" si="4">SUM(C9:C15)</f>
        <v>45760383</v>
      </c>
      <c r="D16" s="40">
        <f t="shared" si="4"/>
        <v>46267613</v>
      </c>
      <c r="E16" s="573">
        <f t="shared" si="4"/>
        <v>39650733</v>
      </c>
      <c r="F16" s="40">
        <f t="shared" si="4"/>
        <v>39704073</v>
      </c>
      <c r="G16" s="40">
        <f t="shared" si="4"/>
        <v>39717251</v>
      </c>
      <c r="H16" s="40">
        <f t="shared" si="4"/>
        <v>49437489</v>
      </c>
      <c r="I16" s="40">
        <f t="shared" si="4"/>
        <v>49437489</v>
      </c>
    </row>
    <row r="18" spans="1:10" x14ac:dyDescent="0.2">
      <c r="E18" s="416">
        <f>+E16-D16</f>
        <v>-6616880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6"/>
      <c r="D20" s="74"/>
      <c r="E20" s="74"/>
      <c r="F20" s="74"/>
      <c r="G20" s="74"/>
      <c r="H20" s="74"/>
      <c r="I20" s="74"/>
    </row>
    <row r="21" spans="1:10" ht="12.75" customHeight="1" x14ac:dyDescent="0.2">
      <c r="A21" s="729" t="s">
        <v>403</v>
      </c>
      <c r="B21" s="146"/>
      <c r="C21" s="146"/>
      <c r="D21" s="146"/>
      <c r="E21" s="70"/>
      <c r="F21" s="145"/>
      <c r="G21" s="145"/>
      <c r="H21" s="145"/>
      <c r="I21" s="145"/>
      <c r="J21" s="17"/>
    </row>
    <row r="22" spans="1:10" ht="12.75" customHeight="1" x14ac:dyDescent="0.2">
      <c r="A22" s="730" t="s">
        <v>462</v>
      </c>
      <c r="B22" s="90"/>
      <c r="C22" s="91">
        <v>100</v>
      </c>
      <c r="D22" s="92"/>
      <c r="E22" s="92">
        <v>2300000</v>
      </c>
      <c r="F22" s="92"/>
      <c r="G22" s="92"/>
      <c r="H22" s="92"/>
      <c r="I22" s="92"/>
      <c r="J22" s="17"/>
    </row>
    <row r="23" spans="1:10" ht="12.75" customHeight="1" x14ac:dyDescent="0.2">
      <c r="A23" s="887" t="s">
        <v>450</v>
      </c>
      <c r="B23" s="146"/>
      <c r="C23" s="186"/>
      <c r="D23" s="145"/>
      <c r="E23" s="70"/>
      <c r="F23" s="70"/>
      <c r="G23" s="70"/>
      <c r="H23" s="70"/>
      <c r="I23" s="70"/>
      <c r="J23" s="17"/>
    </row>
    <row r="24" spans="1:10" ht="12.75" customHeight="1" x14ac:dyDescent="0.2">
      <c r="A24" s="926" t="s">
        <v>824</v>
      </c>
      <c r="B24" s="93"/>
      <c r="C24" s="94">
        <v>100</v>
      </c>
      <c r="D24" s="925">
        <v>56695</v>
      </c>
      <c r="E24" s="925">
        <v>340169</v>
      </c>
      <c r="F24" s="95"/>
      <c r="G24" s="74"/>
      <c r="H24" s="74"/>
      <c r="I24" s="74"/>
      <c r="J24" s="17"/>
    </row>
    <row r="25" spans="1:10" ht="12.75" customHeight="1" x14ac:dyDescent="0.2">
      <c r="A25" s="926" t="s">
        <v>899</v>
      </c>
      <c r="B25" s="146"/>
      <c r="C25" s="186">
        <v>100</v>
      </c>
      <c r="D25" s="925">
        <v>152750</v>
      </c>
      <c r="E25" s="925">
        <v>-152750</v>
      </c>
      <c r="F25" s="70"/>
      <c r="G25" s="70"/>
      <c r="H25" s="70"/>
      <c r="I25" s="70"/>
      <c r="J25" s="17"/>
    </row>
    <row r="26" spans="1:10" ht="12.75" customHeight="1" x14ac:dyDescent="0.2">
      <c r="A26" s="926" t="s">
        <v>839</v>
      </c>
      <c r="B26" s="93"/>
      <c r="C26" s="94">
        <v>100</v>
      </c>
      <c r="D26" s="925">
        <v>11946</v>
      </c>
      <c r="E26" s="925">
        <v>71678</v>
      </c>
      <c r="F26" s="95"/>
      <c r="G26" s="74"/>
      <c r="H26" s="74"/>
      <c r="I26" s="74"/>
      <c r="J26" s="17"/>
    </row>
    <row r="27" spans="1:10" ht="12.75" customHeight="1" x14ac:dyDescent="0.2">
      <c r="A27" s="926" t="s">
        <v>947</v>
      </c>
      <c r="B27" s="146"/>
      <c r="C27" s="186">
        <v>100</v>
      </c>
      <c r="D27" s="925">
        <v>59589</v>
      </c>
      <c r="E27" s="925">
        <v>297945</v>
      </c>
      <c r="F27" s="70"/>
      <c r="G27" s="70"/>
      <c r="H27" s="70"/>
      <c r="I27" s="70"/>
      <c r="J27" s="17"/>
    </row>
    <row r="28" spans="1:10" ht="12.75" customHeight="1" x14ac:dyDescent="0.2">
      <c r="A28" s="926" t="s">
        <v>948</v>
      </c>
      <c r="B28" s="93"/>
      <c r="C28" s="94">
        <v>100</v>
      </c>
      <c r="D28" s="925">
        <v>226250</v>
      </c>
      <c r="E28" s="925">
        <v>-226250</v>
      </c>
      <c r="F28" s="95"/>
      <c r="G28" s="74"/>
      <c r="H28" s="74"/>
      <c r="I28" s="74"/>
      <c r="J28" s="17"/>
    </row>
    <row r="29" spans="1:10" ht="12.75" customHeight="1" x14ac:dyDescent="0.2">
      <c r="A29" s="928" t="s">
        <v>625</v>
      </c>
      <c r="B29" s="146"/>
      <c r="C29" s="186"/>
      <c r="D29" s="925"/>
      <c r="E29" s="925"/>
      <c r="F29" s="70"/>
      <c r="G29" s="70"/>
      <c r="H29" s="70"/>
      <c r="I29" s="70"/>
      <c r="J29" s="17"/>
    </row>
    <row r="30" spans="1:10" ht="12.75" customHeight="1" x14ac:dyDescent="0.2">
      <c r="A30" s="926" t="s">
        <v>651</v>
      </c>
      <c r="B30" s="93"/>
      <c r="C30" s="94">
        <v>100</v>
      </c>
      <c r="D30" s="925"/>
      <c r="E30" s="925">
        <v>77177</v>
      </c>
      <c r="F30" s="95">
        <f>81721-E30</f>
        <v>4544</v>
      </c>
      <c r="G30" s="74"/>
      <c r="H30" s="74"/>
      <c r="I30" s="74"/>
      <c r="J30" s="17"/>
    </row>
    <row r="31" spans="1:10" ht="12.75" customHeight="1" x14ac:dyDescent="0.2">
      <c r="A31" s="926" t="s">
        <v>652</v>
      </c>
      <c r="B31" s="146"/>
      <c r="C31" s="186">
        <v>100</v>
      </c>
      <c r="D31" s="925"/>
      <c r="E31" s="925">
        <v>423030</v>
      </c>
      <c r="F31" s="70">
        <f>436065-E31</f>
        <v>13035</v>
      </c>
      <c r="G31" s="70">
        <f>449243-F31-E31</f>
        <v>13178</v>
      </c>
      <c r="H31" s="70">
        <f>457363-G31-F31-E31</f>
        <v>8120</v>
      </c>
      <c r="I31" s="70"/>
      <c r="J31" s="17"/>
    </row>
    <row r="32" spans="1:10" ht="12.75" customHeight="1" x14ac:dyDescent="0.2">
      <c r="A32" s="928" t="s">
        <v>748</v>
      </c>
      <c r="B32" s="93"/>
      <c r="C32" s="94"/>
      <c r="D32" s="925"/>
      <c r="E32" s="925"/>
      <c r="F32" s="95"/>
      <c r="G32" s="74"/>
      <c r="H32" s="74"/>
      <c r="I32" s="74"/>
      <c r="J32" s="17"/>
    </row>
    <row r="33" spans="1:10" ht="12.75" customHeight="1" x14ac:dyDescent="0.2">
      <c r="A33" s="926" t="s">
        <v>908</v>
      </c>
      <c r="B33" s="146"/>
      <c r="C33" s="186">
        <v>100</v>
      </c>
      <c r="D33" s="925"/>
      <c r="E33" s="925">
        <v>-35761</v>
      </c>
      <c r="F33" s="70">
        <v>35761</v>
      </c>
      <c r="G33" s="70"/>
      <c r="H33" s="70"/>
      <c r="I33" s="70"/>
      <c r="J33" s="17"/>
    </row>
    <row r="34" spans="1:10" ht="12.75" customHeight="1" x14ac:dyDescent="0.2">
      <c r="A34" s="890" t="s">
        <v>866</v>
      </c>
      <c r="B34" s="79"/>
      <c r="C34" s="76">
        <v>100</v>
      </c>
      <c r="D34" s="74"/>
      <c r="E34" s="74">
        <v>-9712118</v>
      </c>
      <c r="F34" s="74"/>
      <c r="G34" s="74">
        <v>9712118</v>
      </c>
      <c r="H34" s="74"/>
      <c r="I34" s="74"/>
      <c r="J34" s="17"/>
    </row>
    <row r="35" spans="1:10" ht="12.75" customHeight="1" x14ac:dyDescent="0.2">
      <c r="A35" s="928" t="s">
        <v>913</v>
      </c>
      <c r="B35" s="146"/>
      <c r="C35" s="186"/>
      <c r="D35" s="925"/>
      <c r="E35" s="925"/>
      <c r="F35" s="70"/>
      <c r="G35" s="70"/>
      <c r="H35" s="70"/>
      <c r="I35" s="70"/>
      <c r="J35" s="17"/>
    </row>
    <row r="36" spans="1:10" ht="12.75" customHeight="1" x14ac:dyDescent="0.2">
      <c r="A36" s="890" t="s">
        <v>1000</v>
      </c>
      <c r="B36" s="79"/>
      <c r="C36" s="76">
        <v>100</v>
      </c>
      <c r="D36" s="74"/>
      <c r="E36" s="74">
        <v>1025346</v>
      </c>
      <c r="F36" s="74"/>
      <c r="G36" s="74">
        <v>-1025346</v>
      </c>
      <c r="H36" s="74"/>
      <c r="I36" s="74"/>
      <c r="J36" s="17"/>
    </row>
    <row r="37" spans="1:10" ht="12.75" customHeight="1" x14ac:dyDescent="0.2">
      <c r="A37" s="926" t="s">
        <v>1001</v>
      </c>
      <c r="B37" s="146"/>
      <c r="C37" s="186">
        <v>200</v>
      </c>
      <c r="D37" s="925"/>
      <c r="E37" s="925">
        <v>-564815</v>
      </c>
      <c r="F37" s="70"/>
      <c r="G37" s="70">
        <v>564815</v>
      </c>
      <c r="H37" s="70"/>
      <c r="I37" s="70"/>
      <c r="J37" s="17"/>
    </row>
    <row r="38" spans="1:10" ht="12.75" customHeight="1" x14ac:dyDescent="0.2">
      <c r="A38" s="890" t="s">
        <v>1002</v>
      </c>
      <c r="B38" s="79"/>
      <c r="C38" s="899" t="s">
        <v>167</v>
      </c>
      <c r="D38" s="74"/>
      <c r="E38" s="74">
        <v>-460531</v>
      </c>
      <c r="F38" s="74"/>
      <c r="G38" s="74">
        <v>460531</v>
      </c>
      <c r="H38" s="74"/>
      <c r="I38" s="74"/>
      <c r="J38" s="17"/>
    </row>
    <row r="39" spans="1:10" ht="12.75" customHeight="1" x14ac:dyDescent="0.2">
      <c r="A39" s="926" t="s">
        <v>1003</v>
      </c>
      <c r="B39" s="146"/>
      <c r="C39" s="186">
        <v>100</v>
      </c>
      <c r="D39" s="925"/>
      <c r="E39" s="925"/>
      <c r="F39" s="70"/>
      <c r="G39" s="70">
        <f>-9712118+1025346</f>
        <v>-8686772</v>
      </c>
      <c r="H39" s="70">
        <v>8686772</v>
      </c>
      <c r="I39" s="70"/>
      <c r="J39" s="17"/>
    </row>
    <row r="40" spans="1:10" ht="12.75" customHeight="1" x14ac:dyDescent="0.2">
      <c r="A40" s="890"/>
      <c r="B40" s="79"/>
      <c r="C40" s="899">
        <v>200</v>
      </c>
      <c r="D40" s="74"/>
      <c r="E40" s="74"/>
      <c r="F40" s="74"/>
      <c r="G40" s="74">
        <v>-564815</v>
      </c>
      <c r="H40" s="74">
        <v>564815</v>
      </c>
      <c r="I40" s="74"/>
      <c r="J40" s="17"/>
    </row>
    <row r="41" spans="1:10" ht="12.75" customHeight="1" x14ac:dyDescent="0.2">
      <c r="A41" s="926"/>
      <c r="B41" s="146"/>
      <c r="C41" s="946" t="s">
        <v>167</v>
      </c>
      <c r="D41" s="925"/>
      <c r="E41" s="925"/>
      <c r="F41" s="70"/>
      <c r="G41" s="70">
        <v>-460531</v>
      </c>
      <c r="H41" s="70">
        <v>460531</v>
      </c>
      <c r="I41" s="70"/>
      <c r="J41" s="17"/>
    </row>
    <row r="42" spans="1:10" ht="12.75" customHeight="1" x14ac:dyDescent="0.2">
      <c r="A42" s="890"/>
      <c r="B42" s="79"/>
      <c r="C42" s="899"/>
      <c r="D42" s="74"/>
      <c r="E42" s="74"/>
      <c r="F42" s="74"/>
      <c r="G42" s="74"/>
      <c r="H42" s="74"/>
      <c r="I42" s="74"/>
    </row>
    <row r="43" spans="1:10" ht="12.75" customHeight="1" x14ac:dyDescent="0.2">
      <c r="A43" s="926"/>
      <c r="B43" s="146"/>
      <c r="C43" s="186"/>
      <c r="D43" s="925"/>
      <c r="E43" s="925"/>
      <c r="F43" s="70"/>
      <c r="G43" s="70"/>
      <c r="H43" s="70"/>
      <c r="I43" s="70"/>
    </row>
    <row r="44" spans="1:10" ht="12.75" customHeight="1" x14ac:dyDescent="0.2">
      <c r="A44" s="890"/>
      <c r="B44" s="79"/>
      <c r="C44" s="899"/>
      <c r="D44" s="74"/>
      <c r="E44" s="74"/>
      <c r="F44" s="74"/>
      <c r="G44" s="74"/>
      <c r="H44" s="74"/>
      <c r="I44" s="74"/>
    </row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165" priority="14">
      <formula>MOD(ROW(),2)=1</formula>
    </cfRule>
  </conditionalFormatting>
  <conditionalFormatting sqref="D24:E25">
    <cfRule type="expression" dxfId="164" priority="13">
      <formula>MOD(ROW(),2)=1</formula>
    </cfRule>
  </conditionalFormatting>
  <conditionalFormatting sqref="A26 A29:A33">
    <cfRule type="expression" dxfId="163" priority="10">
      <formula>MOD(ROW(),2)=1</formula>
    </cfRule>
  </conditionalFormatting>
  <conditionalFormatting sqref="D26:E26 D29:E33">
    <cfRule type="expression" dxfId="162" priority="9">
      <formula>MOD(ROW(),2)=1</formula>
    </cfRule>
  </conditionalFormatting>
  <conditionalFormatting sqref="A35 A37 A39">
    <cfRule type="expression" dxfId="161" priority="8">
      <formula>MOD(ROW(),2)=1</formula>
    </cfRule>
  </conditionalFormatting>
  <conditionalFormatting sqref="D35:E35 D37:E37 D39:E39">
    <cfRule type="expression" dxfId="160" priority="7">
      <formula>MOD(ROW(),2)=1</formula>
    </cfRule>
  </conditionalFormatting>
  <conditionalFormatting sqref="A27">
    <cfRule type="expression" dxfId="159" priority="6">
      <formula>MOD(ROW(),2)=1</formula>
    </cfRule>
  </conditionalFormatting>
  <conditionalFormatting sqref="D27:E27">
    <cfRule type="expression" dxfId="158" priority="5">
      <formula>MOD(ROW(),2)=1</formula>
    </cfRule>
  </conditionalFormatting>
  <conditionalFormatting sqref="A28">
    <cfRule type="expression" dxfId="157" priority="4">
      <formula>MOD(ROW(),2)=1</formula>
    </cfRule>
  </conditionalFormatting>
  <conditionalFormatting sqref="D28:E28">
    <cfRule type="expression" dxfId="156" priority="3">
      <formula>MOD(ROW(),2)=1</formula>
    </cfRule>
  </conditionalFormatting>
  <conditionalFormatting sqref="A41 A43">
    <cfRule type="expression" dxfId="155" priority="2">
      <formula>MOD(ROW(),2)=1</formula>
    </cfRule>
  </conditionalFormatting>
  <conditionalFormatting sqref="D41:E41 D43:E43">
    <cfRule type="expression" dxfId="154" priority="1">
      <formula>MOD(ROW(),2)=1</formula>
    </cfRule>
  </conditionalFormatting>
  <pageMargins left="0.5" right="0.5" top="0.5" bottom="0.5" header="0.3" footer="0.3"/>
  <pageSetup scale="70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theme="3"/>
    <pageSetUpPr fitToPage="1"/>
  </sheetPr>
  <dimension ref="A1:K58"/>
  <sheetViews>
    <sheetView zoomScaleNormal="100" zoomScaleSheetLayoutView="90" workbookViewId="0">
      <selection activeCell="G14" sqref="G14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54</v>
      </c>
      <c r="C6" s="963" t="s">
        <v>140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2071428</v>
      </c>
      <c r="C9" s="34">
        <v>2323714</v>
      </c>
      <c r="D9" s="227">
        <f>+C9+D21+D22+D23+D24+D25+D26</f>
        <v>2360050</v>
      </c>
      <c r="E9" s="115">
        <f>+D9+E28+E30+E22+E23+E24+E31+E25+E26</f>
        <v>2360285</v>
      </c>
      <c r="F9" s="411">
        <f>+E9+F31</f>
        <v>2369175</v>
      </c>
      <c r="G9" s="34">
        <f>+F9+G30+G33</f>
        <v>2369175</v>
      </c>
      <c r="H9" s="227">
        <f>+G9+H33</f>
        <v>2527862</v>
      </c>
      <c r="I9" s="51">
        <f t="shared" ref="F9:I15" si="0">+H9</f>
        <v>2527862</v>
      </c>
      <c r="K9" s="7">
        <v>100</v>
      </c>
    </row>
    <row r="10" spans="1:11" x14ac:dyDescent="0.2">
      <c r="A10" s="10" t="s">
        <v>5</v>
      </c>
      <c r="B10" s="36">
        <v>33162</v>
      </c>
      <c r="C10" s="36">
        <v>34657</v>
      </c>
      <c r="D10" s="230">
        <f t="shared" ref="D10:D15" si="1">+C10</f>
        <v>34657</v>
      </c>
      <c r="E10" s="550">
        <f>+D10</f>
        <v>34657</v>
      </c>
      <c r="F10" s="548">
        <f t="shared" si="0"/>
        <v>34657</v>
      </c>
      <c r="G10" s="36">
        <f t="shared" si="0"/>
        <v>34657</v>
      </c>
      <c r="H10" s="230">
        <f t="shared" si="0"/>
        <v>34657</v>
      </c>
      <c r="I10" s="37">
        <f t="shared" si="0"/>
        <v>34657</v>
      </c>
      <c r="K10" s="7">
        <v>200</v>
      </c>
    </row>
    <row r="11" spans="1:11" x14ac:dyDescent="0.2">
      <c r="A11" s="9" t="s">
        <v>6</v>
      </c>
      <c r="B11" s="34">
        <f>22667-1</f>
        <v>22666</v>
      </c>
      <c r="C11" s="34">
        <v>28031</v>
      </c>
      <c r="D11" s="227">
        <f>+C11</f>
        <v>28031</v>
      </c>
      <c r="E11" s="115">
        <f>+D11</f>
        <v>28031</v>
      </c>
      <c r="F11" s="411">
        <f>+E11</f>
        <v>28031</v>
      </c>
      <c r="G11" s="34">
        <f t="shared" si="0"/>
        <v>28031</v>
      </c>
      <c r="H11" s="227">
        <f t="shared" si="0"/>
        <v>28031</v>
      </c>
      <c r="I11" s="35">
        <f t="shared" si="0"/>
        <v>28031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2127256</v>
      </c>
      <c r="C16" s="40">
        <f t="shared" ref="C16:I16" si="3">SUM(C9:C15)</f>
        <v>2386402</v>
      </c>
      <c r="D16" s="40">
        <f t="shared" si="3"/>
        <v>2422738</v>
      </c>
      <c r="E16" s="573">
        <f t="shared" si="3"/>
        <v>2422973</v>
      </c>
      <c r="F16" s="40">
        <f t="shared" si="3"/>
        <v>2431863</v>
      </c>
      <c r="G16" s="40">
        <f t="shared" si="3"/>
        <v>2431863</v>
      </c>
      <c r="H16" s="40">
        <f t="shared" si="3"/>
        <v>2590550</v>
      </c>
      <c r="I16" s="40">
        <f t="shared" si="3"/>
        <v>2590550</v>
      </c>
    </row>
    <row r="17" spans="1:11" x14ac:dyDescent="0.2">
      <c r="E17" s="415"/>
    </row>
    <row r="18" spans="1:11" x14ac:dyDescent="0.2">
      <c r="E18" s="416">
        <f>+E16-D16</f>
        <v>235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833" t="s">
        <v>494</v>
      </c>
      <c r="B20" s="834"/>
      <c r="C20" s="241"/>
      <c r="D20" s="835"/>
      <c r="E20" s="74"/>
      <c r="F20" s="74"/>
      <c r="G20" s="74"/>
      <c r="H20" s="74"/>
      <c r="I20" s="74"/>
    </row>
    <row r="21" spans="1:11" ht="13" customHeight="1" x14ac:dyDescent="0.2">
      <c r="A21" s="303" t="s">
        <v>502</v>
      </c>
      <c r="B21" s="304"/>
      <c r="C21" s="249">
        <v>100</v>
      </c>
      <c r="D21" s="250">
        <v>15000</v>
      </c>
      <c r="E21" s="145"/>
      <c r="F21" s="145"/>
      <c r="G21" s="145"/>
      <c r="H21" s="145"/>
      <c r="I21" s="145"/>
      <c r="J21" s="17"/>
    </row>
    <row r="22" spans="1:11" s="59" customFormat="1" ht="13" customHeight="1" x14ac:dyDescent="0.2">
      <c r="A22" s="926" t="s">
        <v>830</v>
      </c>
      <c r="B22" s="93"/>
      <c r="C22" s="94">
        <v>100</v>
      </c>
      <c r="D22" s="925">
        <v>4894</v>
      </c>
      <c r="E22" s="925">
        <v>29182</v>
      </c>
      <c r="F22" s="95"/>
      <c r="G22" s="74"/>
      <c r="H22" s="74"/>
      <c r="I22" s="74"/>
      <c r="J22" s="82"/>
      <c r="K22" s="7"/>
    </row>
    <row r="23" spans="1:11" ht="13" customHeight="1" x14ac:dyDescent="0.2">
      <c r="A23" s="926" t="s">
        <v>900</v>
      </c>
      <c r="B23" s="146"/>
      <c r="C23" s="186">
        <v>100</v>
      </c>
      <c r="D23" s="925">
        <v>12900</v>
      </c>
      <c r="E23" s="925">
        <v>-12900</v>
      </c>
      <c r="F23" s="70"/>
      <c r="G23" s="70"/>
      <c r="H23" s="70"/>
      <c r="I23" s="70"/>
      <c r="J23" s="17"/>
    </row>
    <row r="24" spans="1:11" ht="13" customHeight="1" x14ac:dyDescent="0.2">
      <c r="A24" s="926" t="s">
        <v>837</v>
      </c>
      <c r="B24" s="93"/>
      <c r="C24" s="94">
        <v>100</v>
      </c>
      <c r="D24" s="925">
        <v>1230</v>
      </c>
      <c r="E24" s="925">
        <v>7382</v>
      </c>
      <c r="F24" s="95"/>
      <c r="G24" s="74"/>
      <c r="H24" s="74"/>
      <c r="I24" s="74"/>
      <c r="J24" s="17"/>
    </row>
    <row r="25" spans="1:11" ht="13" customHeight="1" x14ac:dyDescent="0.2">
      <c r="A25" s="926" t="s">
        <v>947</v>
      </c>
      <c r="B25" s="146"/>
      <c r="C25" s="186">
        <v>100</v>
      </c>
      <c r="D25" s="925">
        <v>462</v>
      </c>
      <c r="E25" s="925">
        <v>2311</v>
      </c>
      <c r="F25" s="70"/>
      <c r="G25" s="70"/>
      <c r="H25" s="70"/>
      <c r="I25" s="70"/>
      <c r="J25" s="17"/>
    </row>
    <row r="26" spans="1:11" ht="13" customHeight="1" x14ac:dyDescent="0.2">
      <c r="A26" s="926" t="s">
        <v>930</v>
      </c>
      <c r="B26" s="93"/>
      <c r="C26" s="94">
        <v>100</v>
      </c>
      <c r="D26" s="925">
        <v>1850</v>
      </c>
      <c r="E26" s="925">
        <v>-1850</v>
      </c>
      <c r="F26" s="95"/>
      <c r="G26" s="74"/>
      <c r="H26" s="74"/>
      <c r="I26" s="74"/>
      <c r="J26" s="17"/>
    </row>
    <row r="27" spans="1:11" ht="13" customHeight="1" x14ac:dyDescent="0.2">
      <c r="A27" s="928" t="s">
        <v>625</v>
      </c>
      <c r="B27" s="146"/>
      <c r="C27" s="186"/>
      <c r="D27" s="925"/>
      <c r="E27" s="925"/>
      <c r="F27" s="70"/>
      <c r="G27" s="70"/>
      <c r="H27" s="70"/>
      <c r="I27" s="70"/>
      <c r="J27" s="17"/>
    </row>
    <row r="28" spans="1:11" ht="13" customHeight="1" x14ac:dyDescent="0.2">
      <c r="A28" s="926" t="s">
        <v>653</v>
      </c>
      <c r="B28" s="93"/>
      <c r="C28" s="94">
        <v>100</v>
      </c>
      <c r="D28" s="925"/>
      <c r="E28" s="925">
        <v>143687</v>
      </c>
      <c r="F28" s="95"/>
      <c r="G28" s="74"/>
      <c r="H28" s="74"/>
      <c r="I28" s="74"/>
      <c r="J28" s="17"/>
    </row>
    <row r="29" spans="1:11" ht="13" customHeight="1" x14ac:dyDescent="0.2">
      <c r="A29" s="928" t="s">
        <v>748</v>
      </c>
      <c r="B29" s="146"/>
      <c r="C29" s="186"/>
      <c r="D29" s="925"/>
      <c r="E29" s="925"/>
      <c r="F29" s="70"/>
      <c r="G29" s="70"/>
      <c r="H29" s="70"/>
      <c r="I29" s="70"/>
      <c r="J29" s="17"/>
    </row>
    <row r="30" spans="1:11" ht="13" customHeight="1" x14ac:dyDescent="0.2">
      <c r="A30" s="926" t="s">
        <v>802</v>
      </c>
      <c r="B30" s="93"/>
      <c r="C30" s="94">
        <v>100</v>
      </c>
      <c r="D30" s="925"/>
      <c r="E30" s="925">
        <v>-158687</v>
      </c>
      <c r="F30" s="95"/>
      <c r="G30" s="74">
        <v>158687</v>
      </c>
      <c r="H30" s="74"/>
      <c r="I30" s="74"/>
      <c r="J30" s="17"/>
    </row>
    <row r="31" spans="1:11" ht="13" customHeight="1" x14ac:dyDescent="0.2">
      <c r="A31" s="926" t="s">
        <v>907</v>
      </c>
      <c r="B31" s="146"/>
      <c r="C31" s="186">
        <v>100</v>
      </c>
      <c r="D31" s="925"/>
      <c r="E31" s="925">
        <v>-8890</v>
      </c>
      <c r="F31" s="70">
        <v>8890</v>
      </c>
      <c r="G31" s="70"/>
      <c r="H31" s="70"/>
      <c r="I31" s="70"/>
      <c r="J31" s="17"/>
    </row>
    <row r="32" spans="1:11" ht="13" customHeight="1" x14ac:dyDescent="0.2">
      <c r="A32" s="460" t="s">
        <v>913</v>
      </c>
      <c r="B32" s="93"/>
      <c r="C32" s="94"/>
      <c r="D32" s="95"/>
      <c r="E32" s="95"/>
      <c r="F32" s="95"/>
      <c r="G32" s="95"/>
      <c r="H32" s="95"/>
      <c r="I32" s="95"/>
      <c r="J32" s="17"/>
    </row>
    <row r="33" spans="1:10" ht="13" customHeight="1" x14ac:dyDescent="0.2">
      <c r="A33" s="926" t="s">
        <v>999</v>
      </c>
      <c r="B33" s="146"/>
      <c r="C33" s="186">
        <v>100</v>
      </c>
      <c r="D33" s="925"/>
      <c r="E33" s="925"/>
      <c r="F33" s="70"/>
      <c r="G33" s="70">
        <v>-158687</v>
      </c>
      <c r="H33" s="70">
        <v>158687</v>
      </c>
      <c r="I33" s="70"/>
      <c r="J33" s="17"/>
    </row>
    <row r="34" spans="1:10" ht="13" customHeight="1" x14ac:dyDescent="0.2">
      <c r="A34" s="926"/>
      <c r="B34" s="93"/>
      <c r="C34" s="94"/>
      <c r="D34" s="925"/>
      <c r="E34" s="925"/>
      <c r="F34" s="95"/>
      <c r="G34" s="74"/>
      <c r="H34" s="74"/>
      <c r="I34" s="74"/>
      <c r="J34" s="17"/>
    </row>
    <row r="35" spans="1:10" ht="12.75" customHeight="1" x14ac:dyDescent="0.2">
      <c r="A35" s="926"/>
      <c r="B35" s="146"/>
      <c r="C35" s="186"/>
      <c r="D35" s="925"/>
      <c r="E35" s="925"/>
      <c r="F35" s="70"/>
      <c r="G35" s="70"/>
      <c r="H35" s="70"/>
      <c r="I35" s="70"/>
      <c r="J35" s="17"/>
    </row>
    <row r="36" spans="1:10" ht="13" customHeight="1" x14ac:dyDescent="0.2">
      <c r="A36" s="926"/>
      <c r="B36" s="93"/>
      <c r="C36" s="94"/>
      <c r="D36" s="925"/>
      <c r="E36" s="925"/>
      <c r="F36" s="95"/>
      <c r="G36" s="74"/>
      <c r="H36" s="74"/>
      <c r="I36" s="74"/>
      <c r="J36" s="17"/>
    </row>
    <row r="37" spans="1:10" ht="13" customHeight="1" x14ac:dyDescent="0.2">
      <c r="A37" s="926"/>
      <c r="B37" s="146"/>
      <c r="C37" s="186"/>
      <c r="D37" s="925"/>
      <c r="E37" s="925"/>
      <c r="F37" s="70"/>
      <c r="G37" s="70"/>
      <c r="H37" s="70"/>
      <c r="I37" s="70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78"/>
      <c r="B49" s="79"/>
      <c r="C49" s="76"/>
      <c r="D49" s="74"/>
      <c r="E49" s="74"/>
      <c r="F49" s="74"/>
      <c r="G49" s="74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17"/>
    </row>
    <row r="55" spans="1:10" ht="13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17"/>
    </row>
    <row r="56" spans="1:10" ht="13" customHeight="1" x14ac:dyDescent="0.2">
      <c r="A56" s="82"/>
      <c r="B56" s="82"/>
      <c r="C56" s="82"/>
      <c r="D56" s="82"/>
      <c r="E56" s="82"/>
      <c r="F56" s="82"/>
      <c r="G56" s="82"/>
      <c r="H56" s="82"/>
      <c r="I56" s="82"/>
      <c r="J56" s="17"/>
    </row>
    <row r="57" spans="1:10" x14ac:dyDescent="0.2">
      <c r="A57" s="82"/>
      <c r="B57" s="82"/>
      <c r="C57" s="82"/>
      <c r="D57" s="82"/>
      <c r="E57" s="82"/>
      <c r="F57" s="82"/>
      <c r="G57" s="82"/>
      <c r="H57" s="82"/>
      <c r="I57" s="82"/>
    </row>
    <row r="58" spans="1:10" x14ac:dyDescent="0.2">
      <c r="A58" s="82"/>
      <c r="B58" s="82"/>
      <c r="C58" s="82"/>
      <c r="D58" s="82"/>
      <c r="E58" s="82"/>
      <c r="F58" s="82"/>
      <c r="G58" s="82"/>
      <c r="H58" s="82"/>
      <c r="I58" s="82"/>
    </row>
  </sheetData>
  <mergeCells count="6">
    <mergeCell ref="A1:I1"/>
    <mergeCell ref="A2:I2"/>
    <mergeCell ref="A3:I3"/>
    <mergeCell ref="A4:I4"/>
    <mergeCell ref="C6:I6"/>
    <mergeCell ref="C5:I5"/>
  </mergeCells>
  <conditionalFormatting sqref="A22:A23">
    <cfRule type="expression" dxfId="153" priority="16">
      <formula>MOD(ROW(),2)=1</formula>
    </cfRule>
  </conditionalFormatting>
  <conditionalFormatting sqref="D22:E23">
    <cfRule type="expression" dxfId="152" priority="15">
      <formula>MOD(ROW(),2)=1</formula>
    </cfRule>
  </conditionalFormatting>
  <conditionalFormatting sqref="A24 A27:A30">
    <cfRule type="expression" dxfId="151" priority="12">
      <formula>MOD(ROW(),2)=1</formula>
    </cfRule>
  </conditionalFormatting>
  <conditionalFormatting sqref="D24:E24 D27:E30">
    <cfRule type="expression" dxfId="150" priority="11">
      <formula>MOD(ROW(),2)=1</formula>
    </cfRule>
  </conditionalFormatting>
  <conditionalFormatting sqref="A31">
    <cfRule type="expression" dxfId="149" priority="10">
      <formula>MOD(ROW(),2)=1</formula>
    </cfRule>
  </conditionalFormatting>
  <conditionalFormatting sqref="D31:E31">
    <cfRule type="expression" dxfId="148" priority="9">
      <formula>MOD(ROW(),2)=1</formula>
    </cfRule>
  </conditionalFormatting>
  <conditionalFormatting sqref="A33 A35 A37">
    <cfRule type="expression" dxfId="147" priority="8">
      <formula>MOD(ROW(),2)=1</formula>
    </cfRule>
  </conditionalFormatting>
  <conditionalFormatting sqref="D33:E33 D35:E35 D37:E37">
    <cfRule type="expression" dxfId="146" priority="7">
      <formula>MOD(ROW(),2)=1</formula>
    </cfRule>
  </conditionalFormatting>
  <conditionalFormatting sqref="A34 A36">
    <cfRule type="expression" dxfId="145" priority="6">
      <formula>MOD(ROW(),2)=1</formula>
    </cfRule>
  </conditionalFormatting>
  <conditionalFormatting sqref="D34:E34 D36:E36">
    <cfRule type="expression" dxfId="144" priority="5">
      <formula>MOD(ROW(),2)=1</formula>
    </cfRule>
  </conditionalFormatting>
  <conditionalFormatting sqref="A25">
    <cfRule type="expression" dxfId="143" priority="4">
      <formula>MOD(ROW(),2)=1</formula>
    </cfRule>
  </conditionalFormatting>
  <conditionalFormatting sqref="D25:E25">
    <cfRule type="expression" dxfId="142" priority="3">
      <formula>MOD(ROW(),2)=1</formula>
    </cfRule>
  </conditionalFormatting>
  <conditionalFormatting sqref="A26">
    <cfRule type="expression" dxfId="141" priority="2">
      <formula>MOD(ROW(),2)=1</formula>
    </cfRule>
  </conditionalFormatting>
  <conditionalFormatting sqref="D26:E26">
    <cfRule type="expression" dxfId="140" priority="1">
      <formula>MOD(ROW(),2)=1</formula>
    </cfRule>
  </conditionalFormatting>
  <pageMargins left="0.5" right="0.5" top="0.5" bottom="0.5" header="0.3" footer="0.3"/>
  <pageSetup scale="69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rgb="FF92D050"/>
    <pageSetUpPr fitToPage="1"/>
  </sheetPr>
  <dimension ref="A1:K66"/>
  <sheetViews>
    <sheetView zoomScaleNormal="100" zoomScaleSheetLayoutView="90" workbookViewId="0">
      <selection activeCell="C8" sqref="C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22</v>
      </c>
      <c r="C6" s="963" t="s">
        <v>139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22738842</v>
      </c>
      <c r="C9" s="34">
        <v>27646449</v>
      </c>
      <c r="D9" s="227">
        <f>+C9+D26+D30+D31+D32+D33+D34+D35+D36</f>
        <v>28714875</v>
      </c>
      <c r="E9" s="115">
        <f>+D9+E27+E41+E30+E31+E32+E43+E33+E34+E35+E36</f>
        <v>31673433.420000002</v>
      </c>
      <c r="F9" s="411">
        <f>+E9+F27+F43</f>
        <v>31757866.420000002</v>
      </c>
      <c r="G9" s="34">
        <f>+F9+G27+G41+G45</f>
        <v>31772866.420000002</v>
      </c>
      <c r="H9" s="227">
        <f>+G9+H45</f>
        <v>32201357.420000002</v>
      </c>
      <c r="I9" s="51">
        <f t="shared" ref="F9:I15" si="0">+H9</f>
        <v>32201357.420000002</v>
      </c>
      <c r="K9" s="7">
        <v>100</v>
      </c>
    </row>
    <row r="10" spans="1:11" x14ac:dyDescent="0.2">
      <c r="A10" s="10" t="s">
        <v>5</v>
      </c>
      <c r="B10" s="36">
        <v>82756805</v>
      </c>
      <c r="C10" s="36">
        <v>89248594</v>
      </c>
      <c r="D10" s="230">
        <f>+C10</f>
        <v>89248594</v>
      </c>
      <c r="E10" s="550">
        <f>+D10+E22+E24+E28+E38+E39+E42</f>
        <v>129305230</v>
      </c>
      <c r="F10" s="548">
        <f>+E10+F22+F24+F28</f>
        <v>136414196</v>
      </c>
      <c r="G10" s="36">
        <f>+F10+G24+G28+G42+G46</f>
        <v>140600954</v>
      </c>
      <c r="H10" s="230">
        <f>+G10+H28+H46</f>
        <v>155887523</v>
      </c>
      <c r="I10" s="37">
        <f>+H10</f>
        <v>155887523</v>
      </c>
      <c r="K10" s="7">
        <v>200</v>
      </c>
    </row>
    <row r="11" spans="1:11" x14ac:dyDescent="0.2">
      <c r="A11" s="9" t="s">
        <v>6</v>
      </c>
      <c r="B11" s="34">
        <f>541633+1216496</f>
        <v>1758129</v>
      </c>
      <c r="C11" s="34">
        <v>2069970</v>
      </c>
      <c r="D11" s="227">
        <f>+C11</f>
        <v>2069970</v>
      </c>
      <c r="E11" s="115">
        <f>+D11+E29</f>
        <v>2111970</v>
      </c>
      <c r="F11" s="411">
        <f t="shared" si="0"/>
        <v>2111970</v>
      </c>
      <c r="G11" s="34">
        <f t="shared" si="0"/>
        <v>2111970</v>
      </c>
      <c r="H11" s="227">
        <f>+G11</f>
        <v>2111970</v>
      </c>
      <c r="I11" s="35">
        <f t="shared" si="0"/>
        <v>2111970</v>
      </c>
      <c r="K11" s="7" t="s">
        <v>167</v>
      </c>
    </row>
    <row r="12" spans="1:11" x14ac:dyDescent="0.2">
      <c r="A12" s="10" t="s">
        <v>7</v>
      </c>
      <c r="B12" s="36">
        <v>193679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107447455</v>
      </c>
      <c r="C16" s="40">
        <f t="shared" ref="C16:I16" si="3">SUM(C9:C15)</f>
        <v>118965013</v>
      </c>
      <c r="D16" s="40">
        <f t="shared" si="3"/>
        <v>120033439</v>
      </c>
      <c r="E16" s="573">
        <f t="shared" si="3"/>
        <v>163090633.42000002</v>
      </c>
      <c r="F16" s="40">
        <f t="shared" si="3"/>
        <v>170284032.42000002</v>
      </c>
      <c r="G16" s="40">
        <f t="shared" si="3"/>
        <v>174485790.42000002</v>
      </c>
      <c r="H16" s="40">
        <f t="shared" si="3"/>
        <v>190200850.42000002</v>
      </c>
      <c r="I16" s="40">
        <f t="shared" si="3"/>
        <v>190200850.42000002</v>
      </c>
    </row>
    <row r="17" spans="1:10" x14ac:dyDescent="0.2">
      <c r="E17" s="213"/>
    </row>
    <row r="18" spans="1:10" x14ac:dyDescent="0.2">
      <c r="E18" s="415">
        <f>+E16-D16</f>
        <v>43057194.420000017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6"/>
      <c r="D20" s="74"/>
      <c r="E20" s="74"/>
      <c r="F20" s="74"/>
      <c r="G20" s="74"/>
      <c r="H20" s="74"/>
      <c r="I20" s="74"/>
    </row>
    <row r="21" spans="1:10" ht="13" customHeight="1" x14ac:dyDescent="0.2">
      <c r="A21" s="822" t="s">
        <v>503</v>
      </c>
      <c r="B21" s="146"/>
      <c r="C21" s="146"/>
      <c r="D21" s="146"/>
      <c r="E21" s="146"/>
      <c r="F21" s="146"/>
      <c r="G21" s="146"/>
      <c r="H21" s="70"/>
      <c r="I21" s="70"/>
      <c r="J21" s="17"/>
    </row>
    <row r="22" spans="1:10" ht="13" customHeight="1" x14ac:dyDescent="0.2">
      <c r="A22" s="174" t="s">
        <v>235</v>
      </c>
      <c r="B22" s="93"/>
      <c r="C22" s="94">
        <v>200</v>
      </c>
      <c r="D22" s="95"/>
      <c r="E22" s="95">
        <v>653691</v>
      </c>
      <c r="F22" s="95">
        <v>531125</v>
      </c>
      <c r="G22" s="74"/>
      <c r="H22" s="74"/>
      <c r="I22" s="74"/>
      <c r="J22" s="17"/>
    </row>
    <row r="23" spans="1:10" ht="13" customHeight="1" x14ac:dyDescent="0.2">
      <c r="A23" s="822" t="s">
        <v>504</v>
      </c>
      <c r="B23" s="146"/>
      <c r="C23" s="146"/>
      <c r="D23" s="146"/>
      <c r="E23" s="146"/>
      <c r="F23" s="146"/>
      <c r="G23" s="145"/>
      <c r="H23" s="145"/>
      <c r="I23" s="145"/>
      <c r="J23" s="17"/>
    </row>
    <row r="24" spans="1:10" ht="13" customHeight="1" x14ac:dyDescent="0.2">
      <c r="A24" s="838" t="s">
        <v>374</v>
      </c>
      <c r="B24" s="221"/>
      <c r="C24" s="91">
        <v>200</v>
      </c>
      <c r="D24" s="92"/>
      <c r="E24" s="92">
        <v>29645</v>
      </c>
      <c r="F24" s="92">
        <v>30534</v>
      </c>
      <c r="G24" s="92">
        <v>-1048339</v>
      </c>
      <c r="H24" s="92"/>
      <c r="I24" s="92"/>
      <c r="J24" s="17"/>
    </row>
    <row r="25" spans="1:10" ht="13" customHeight="1" x14ac:dyDescent="0.2">
      <c r="A25" s="836" t="s">
        <v>494</v>
      </c>
      <c r="B25" s="582"/>
      <c r="C25" s="837"/>
      <c r="D25" s="201"/>
      <c r="E25" s="151"/>
      <c r="F25" s="151"/>
      <c r="G25" s="151"/>
      <c r="H25" s="151"/>
      <c r="I25" s="151"/>
      <c r="J25" s="17"/>
    </row>
    <row r="26" spans="1:10" ht="13" customHeight="1" x14ac:dyDescent="0.2">
      <c r="A26" s="306" t="s">
        <v>502</v>
      </c>
      <c r="B26" s="305"/>
      <c r="C26" s="251">
        <v>100</v>
      </c>
      <c r="D26" s="252">
        <v>64101</v>
      </c>
      <c r="E26" s="74"/>
      <c r="F26" s="74"/>
      <c r="G26" s="74"/>
      <c r="H26" s="74"/>
      <c r="I26" s="74"/>
      <c r="J26" s="17"/>
    </row>
    <row r="27" spans="1:10" ht="13" customHeight="1" x14ac:dyDescent="0.2">
      <c r="A27" s="877" t="s">
        <v>590</v>
      </c>
      <c r="B27" s="146"/>
      <c r="C27" s="186">
        <v>100</v>
      </c>
      <c r="D27" s="145"/>
      <c r="E27" s="70">
        <v>3040180</v>
      </c>
      <c r="F27" s="70">
        <v>40000</v>
      </c>
      <c r="G27" s="70">
        <v>15000</v>
      </c>
      <c r="H27" s="70"/>
      <c r="I27" s="70"/>
      <c r="J27" s="17"/>
    </row>
    <row r="28" spans="1:10" ht="12.75" customHeight="1" x14ac:dyDescent="0.2">
      <c r="A28" s="174"/>
      <c r="B28" s="93"/>
      <c r="C28" s="94">
        <v>200</v>
      </c>
      <c r="D28" s="95"/>
      <c r="E28" s="95">
        <v>53321784</v>
      </c>
      <c r="F28" s="95">
        <f>59869091-53321784</f>
        <v>6547307</v>
      </c>
      <c r="G28" s="74">
        <f>65104188-59869091</f>
        <v>5235097</v>
      </c>
      <c r="H28" s="74">
        <f>63640178-65104188</f>
        <v>-1464010</v>
      </c>
      <c r="I28" s="74"/>
      <c r="J28" s="17"/>
    </row>
    <row r="29" spans="1:10" ht="12.75" customHeight="1" x14ac:dyDescent="0.2">
      <c r="A29" s="878"/>
      <c r="B29" s="146"/>
      <c r="C29" s="923" t="s">
        <v>167</v>
      </c>
      <c r="D29" s="146"/>
      <c r="E29" s="70">
        <v>42000</v>
      </c>
      <c r="F29" s="70"/>
      <c r="G29" s="70"/>
      <c r="H29" s="70"/>
      <c r="I29" s="70"/>
      <c r="J29" s="17"/>
    </row>
    <row r="30" spans="1:10" ht="12.75" customHeight="1" x14ac:dyDescent="0.2">
      <c r="A30" s="926" t="s">
        <v>827</v>
      </c>
      <c r="B30" s="93"/>
      <c r="C30" s="94">
        <v>100</v>
      </c>
      <c r="D30" s="925">
        <v>51273</v>
      </c>
      <c r="E30" s="925">
        <v>307639</v>
      </c>
      <c r="F30" s="74"/>
      <c r="G30" s="74"/>
      <c r="H30" s="74"/>
      <c r="I30" s="74"/>
      <c r="J30" s="17"/>
    </row>
    <row r="31" spans="1:10" ht="12.75" customHeight="1" x14ac:dyDescent="0.2">
      <c r="A31" s="926" t="s">
        <v>901</v>
      </c>
      <c r="B31" s="146"/>
      <c r="C31" s="923">
        <v>100</v>
      </c>
      <c r="D31" s="925">
        <v>543950</v>
      </c>
      <c r="E31" s="925">
        <v>-543950</v>
      </c>
      <c r="F31" s="70"/>
      <c r="G31" s="70"/>
      <c r="H31" s="70"/>
      <c r="I31" s="70"/>
      <c r="J31" s="17"/>
    </row>
    <row r="32" spans="1:10" ht="12.75" customHeight="1" x14ac:dyDescent="0.2">
      <c r="A32" s="174" t="s">
        <v>838</v>
      </c>
      <c r="B32" s="93"/>
      <c r="C32" s="94">
        <v>100</v>
      </c>
      <c r="D32" s="95">
        <v>7407</v>
      </c>
      <c r="E32" s="95">
        <v>44440</v>
      </c>
      <c r="F32" s="95"/>
      <c r="G32" s="74"/>
      <c r="H32" s="74"/>
      <c r="I32" s="74"/>
      <c r="J32" s="17"/>
    </row>
    <row r="33" spans="1:10" ht="12.75" customHeight="1" x14ac:dyDescent="0.2">
      <c r="A33" s="926" t="s">
        <v>941</v>
      </c>
      <c r="B33" s="146"/>
      <c r="C33" s="923">
        <v>100</v>
      </c>
      <c r="D33" s="925">
        <v>42727</v>
      </c>
      <c r="E33" s="925">
        <v>213634</v>
      </c>
      <c r="F33" s="70"/>
      <c r="G33" s="70"/>
      <c r="H33" s="70"/>
      <c r="I33" s="70"/>
      <c r="J33" s="17"/>
    </row>
    <row r="34" spans="1:10" ht="12.75" customHeight="1" x14ac:dyDescent="0.2">
      <c r="A34" s="892" t="s">
        <v>942</v>
      </c>
      <c r="B34" s="93"/>
      <c r="C34" s="94">
        <v>100</v>
      </c>
      <c r="D34" s="95">
        <v>126950</v>
      </c>
      <c r="E34" s="95">
        <v>-126950</v>
      </c>
      <c r="F34" s="95"/>
      <c r="G34" s="74"/>
      <c r="H34" s="74"/>
      <c r="I34" s="74"/>
      <c r="J34" s="17"/>
    </row>
    <row r="35" spans="1:10" ht="12.75" customHeight="1" x14ac:dyDescent="0.2">
      <c r="A35" s="926" t="s">
        <v>960</v>
      </c>
      <c r="B35" s="146"/>
      <c r="C35" s="923">
        <v>100</v>
      </c>
      <c r="D35" s="925">
        <v>121418</v>
      </c>
      <c r="E35" s="925">
        <v>607089.42000000004</v>
      </c>
      <c r="F35" s="70"/>
      <c r="G35" s="70"/>
      <c r="H35" s="70"/>
      <c r="I35" s="70"/>
      <c r="J35" s="17"/>
    </row>
    <row r="36" spans="1:10" ht="12.75" customHeight="1" x14ac:dyDescent="0.2">
      <c r="A36" s="892" t="s">
        <v>961</v>
      </c>
      <c r="B36" s="93"/>
      <c r="C36" s="94">
        <v>100</v>
      </c>
      <c r="D36" s="95">
        <v>110600</v>
      </c>
      <c r="E36" s="95">
        <v>-110600</v>
      </c>
      <c r="F36" s="95"/>
      <c r="G36" s="74"/>
      <c r="H36" s="74"/>
      <c r="I36" s="74"/>
      <c r="J36" s="17"/>
    </row>
    <row r="37" spans="1:10" ht="12.75" customHeight="1" x14ac:dyDescent="0.2">
      <c r="A37" s="822" t="s">
        <v>638</v>
      </c>
      <c r="B37" s="146"/>
      <c r="C37" s="923"/>
      <c r="D37" s="146"/>
      <c r="E37" s="70"/>
      <c r="F37" s="70"/>
      <c r="G37" s="70"/>
      <c r="H37" s="70"/>
      <c r="I37" s="70"/>
      <c r="J37" s="17"/>
    </row>
    <row r="38" spans="1:10" ht="12.75" customHeight="1" x14ac:dyDescent="0.2">
      <c r="A38" s="174" t="s">
        <v>639</v>
      </c>
      <c r="B38" s="93"/>
      <c r="C38" s="94">
        <v>200</v>
      </c>
      <c r="D38" s="95"/>
      <c r="E38" s="95">
        <v>603000</v>
      </c>
      <c r="F38" s="95"/>
      <c r="G38" s="74"/>
      <c r="H38" s="74"/>
      <c r="I38" s="74"/>
      <c r="J38" s="17"/>
    </row>
    <row r="39" spans="1:10" ht="12.75" customHeight="1" x14ac:dyDescent="0.2">
      <c r="A39" s="878" t="s">
        <v>718</v>
      </c>
      <c r="B39" s="146"/>
      <c r="C39" s="923">
        <v>200</v>
      </c>
      <c r="D39" s="146"/>
      <c r="E39" s="70">
        <v>2199095</v>
      </c>
      <c r="F39" s="70"/>
      <c r="G39" s="70"/>
      <c r="H39" s="70"/>
      <c r="I39" s="70"/>
    </row>
    <row r="40" spans="1:10" ht="12.75" customHeight="1" x14ac:dyDescent="0.2">
      <c r="A40" s="460" t="s">
        <v>748</v>
      </c>
      <c r="B40" s="93"/>
      <c r="C40" s="94"/>
      <c r="D40" s="95"/>
      <c r="E40" s="95"/>
      <c r="F40" s="95"/>
      <c r="G40" s="74"/>
      <c r="H40" s="74"/>
      <c r="I40" s="74"/>
    </row>
    <row r="41" spans="1:10" ht="12.75" customHeight="1" x14ac:dyDescent="0.2">
      <c r="A41" s="878" t="s">
        <v>809</v>
      </c>
      <c r="B41" s="146"/>
      <c r="C41" s="923">
        <v>100</v>
      </c>
      <c r="D41" s="146"/>
      <c r="E41" s="70">
        <f>-428490-1</f>
        <v>-428491</v>
      </c>
      <c r="F41" s="70"/>
      <c r="G41" s="70">
        <v>428491</v>
      </c>
      <c r="H41" s="70"/>
      <c r="I41" s="70"/>
    </row>
    <row r="42" spans="1:10" ht="12.75" customHeight="1" x14ac:dyDescent="0.2">
      <c r="A42" s="174" t="s">
        <v>789</v>
      </c>
      <c r="B42" s="93"/>
      <c r="C42" s="94">
        <v>200</v>
      </c>
      <c r="D42" s="95"/>
      <c r="E42" s="95">
        <v>-16750579</v>
      </c>
      <c r="F42" s="95"/>
      <c r="G42" s="74">
        <v>16750579</v>
      </c>
      <c r="H42" s="74"/>
      <c r="I42" s="74"/>
    </row>
    <row r="43" spans="1:10" ht="12.75" customHeight="1" x14ac:dyDescent="0.2">
      <c r="A43" s="888" t="s">
        <v>905</v>
      </c>
      <c r="B43" s="146"/>
      <c r="C43" s="923">
        <v>100</v>
      </c>
      <c r="D43" s="146"/>
      <c r="E43" s="70">
        <v>-44433</v>
      </c>
      <c r="F43" s="70">
        <v>44433</v>
      </c>
      <c r="G43" s="70"/>
      <c r="H43" s="70"/>
      <c r="I43" s="70"/>
    </row>
    <row r="44" spans="1:10" ht="12.75" customHeight="1" x14ac:dyDescent="0.2">
      <c r="A44" s="460" t="s">
        <v>913</v>
      </c>
      <c r="B44" s="93"/>
      <c r="C44" s="94"/>
      <c r="D44" s="95"/>
      <c r="E44" s="95"/>
      <c r="F44" s="95"/>
      <c r="G44" s="74"/>
      <c r="H44" s="74"/>
      <c r="I44" s="74"/>
    </row>
    <row r="45" spans="1:10" ht="12.75" customHeight="1" x14ac:dyDescent="0.2">
      <c r="A45" s="888" t="s">
        <v>999</v>
      </c>
      <c r="B45" s="146"/>
      <c r="C45" s="923">
        <v>100</v>
      </c>
      <c r="D45" s="146"/>
      <c r="E45" s="70"/>
      <c r="F45" s="70"/>
      <c r="G45" s="70">
        <f>-428490-1</f>
        <v>-428491</v>
      </c>
      <c r="H45" s="70">
        <v>428491</v>
      </c>
      <c r="I45" s="70"/>
    </row>
    <row r="46" spans="1:10" ht="12.75" customHeight="1" x14ac:dyDescent="0.2">
      <c r="A46" s="174"/>
      <c r="B46" s="93"/>
      <c r="C46" s="94">
        <v>200</v>
      </c>
      <c r="D46" s="95"/>
      <c r="E46" s="95"/>
      <c r="F46" s="95"/>
      <c r="G46" s="95">
        <v>-16750579</v>
      </c>
      <c r="H46" s="74">
        <v>16750579</v>
      </c>
      <c r="I46" s="74"/>
    </row>
    <row r="47" spans="1:10" ht="12.75" customHeight="1" x14ac:dyDescent="0.2"/>
    <row r="48" spans="1:10" ht="12.75" customHeight="1" x14ac:dyDescent="0.2"/>
    <row r="49" spans="1:9" ht="12.75" customHeight="1" x14ac:dyDescent="0.2"/>
    <row r="50" spans="1:9" ht="12.75" customHeight="1" x14ac:dyDescent="0.2"/>
    <row r="51" spans="1:9" ht="12.75" customHeight="1" x14ac:dyDescent="0.2"/>
    <row r="52" spans="1:9" ht="12.75" customHeight="1" x14ac:dyDescent="0.2"/>
    <row r="53" spans="1:9" ht="12.75" customHeight="1" x14ac:dyDescent="0.2"/>
    <row r="54" spans="1:9" ht="12.75" customHeight="1" x14ac:dyDescent="0.2"/>
    <row r="55" spans="1:9" ht="12.75" customHeight="1" x14ac:dyDescent="0.2"/>
    <row r="64" spans="1:9" x14ac:dyDescent="0.2">
      <c r="A64" s="527" t="s">
        <v>316</v>
      </c>
      <c r="B64" s="522"/>
      <c r="C64" s="523">
        <v>100</v>
      </c>
      <c r="D64" s="524">
        <f>ROUND(216083*0.259,0)</f>
        <v>55965</v>
      </c>
      <c r="E64" s="524"/>
      <c r="F64" s="524"/>
      <c r="G64" s="524"/>
      <c r="H64" s="524"/>
      <c r="I64" s="524"/>
    </row>
    <row r="65" spans="1:9" x14ac:dyDescent="0.2">
      <c r="A65" s="350" t="s">
        <v>317</v>
      </c>
      <c r="B65" s="516"/>
      <c r="C65" s="520">
        <v>100</v>
      </c>
      <c r="D65" s="521">
        <f>ROUND(4138836*0.259,0)</f>
        <v>1071959</v>
      </c>
      <c r="E65" s="521">
        <f>ROUND(2351341*0.259,0)</f>
        <v>608997</v>
      </c>
      <c r="F65" s="521"/>
      <c r="G65" s="521"/>
      <c r="H65" s="521"/>
      <c r="I65" s="521"/>
    </row>
    <row r="66" spans="1:9" x14ac:dyDescent="0.2">
      <c r="A66" s="528" t="s">
        <v>323</v>
      </c>
      <c r="B66" s="522"/>
      <c r="C66" s="525"/>
      <c r="D66" s="526"/>
      <c r="E66" s="526"/>
      <c r="F66" s="526"/>
      <c r="G66" s="526"/>
      <c r="H66" s="526"/>
      <c r="I66" s="526"/>
    </row>
  </sheetData>
  <mergeCells count="6">
    <mergeCell ref="A1:I1"/>
    <mergeCell ref="A2:I2"/>
    <mergeCell ref="A3:I3"/>
    <mergeCell ref="A4:I4"/>
    <mergeCell ref="C6:I6"/>
    <mergeCell ref="C5:I5"/>
  </mergeCells>
  <conditionalFormatting sqref="A30:A31">
    <cfRule type="expression" dxfId="139" priority="8">
      <formula>MOD(ROW(),2)=1</formula>
    </cfRule>
  </conditionalFormatting>
  <conditionalFormatting sqref="D30:F31">
    <cfRule type="expression" dxfId="138" priority="7">
      <formula>MOD(ROW(),2)=1</formula>
    </cfRule>
  </conditionalFormatting>
  <conditionalFormatting sqref="A33">
    <cfRule type="expression" dxfId="137" priority="4">
      <formula>MOD(ROW(),2)=1</formula>
    </cfRule>
  </conditionalFormatting>
  <conditionalFormatting sqref="D33:F33">
    <cfRule type="expression" dxfId="136" priority="3">
      <formula>MOD(ROW(),2)=1</formula>
    </cfRule>
  </conditionalFormatting>
  <conditionalFormatting sqref="A35">
    <cfRule type="expression" dxfId="135" priority="2">
      <formula>MOD(ROW(),2)=1</formula>
    </cfRule>
  </conditionalFormatting>
  <conditionalFormatting sqref="D35:F35">
    <cfRule type="expression" dxfId="134" priority="1">
      <formula>MOD(ROW(),2)=1</formula>
    </cfRule>
  </conditionalFormatting>
  <pageMargins left="0.5" right="0.5" top="0.5" bottom="0.5" header="0.3" footer="0.3"/>
  <pageSetup scale="72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theme="3"/>
    <pageSetUpPr fitToPage="1"/>
  </sheetPr>
  <dimension ref="A1:K55"/>
  <sheetViews>
    <sheetView zoomScaleNormal="100" zoomScaleSheetLayoutView="90" workbookViewId="0">
      <selection activeCell="H8" sqref="H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54</v>
      </c>
      <c r="C6" s="963" t="s">
        <v>223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1586766</v>
      </c>
      <c r="C9" s="34">
        <v>2065091</v>
      </c>
      <c r="D9" s="227">
        <f>+C9+SUMIF($C$20:$C$31,K9,$D$20:$D$31)</f>
        <v>2121104</v>
      </c>
      <c r="E9" s="115">
        <f>+D9+E32+E35+E42+E45+E47</f>
        <v>2395467</v>
      </c>
      <c r="F9" s="411">
        <f>+E9+F45</f>
        <v>2435180</v>
      </c>
      <c r="G9" s="34">
        <f>+F9+G42+G49</f>
        <v>2435180</v>
      </c>
      <c r="H9" s="227">
        <f>+G9+H49</f>
        <v>2656104</v>
      </c>
      <c r="I9" s="51">
        <f t="shared" ref="F9:I15" si="0">+H9</f>
        <v>2656104</v>
      </c>
      <c r="K9" s="7">
        <v>100</v>
      </c>
    </row>
    <row r="10" spans="1:11" x14ac:dyDescent="0.2">
      <c r="A10" s="10" t="s">
        <v>5</v>
      </c>
      <c r="B10" s="36">
        <v>171473</v>
      </c>
      <c r="C10" s="36">
        <v>321277</v>
      </c>
      <c r="D10" s="230">
        <f>+C10+SUMIF($C$20:$C$31,K10,$D$20:$D$31)</f>
        <v>330317</v>
      </c>
      <c r="E10" s="550">
        <f>+D10+E22+E24+E25+E33+E37+E40+E43+E48</f>
        <v>357217</v>
      </c>
      <c r="F10" s="548">
        <f>+E10+F22+F37+F48</f>
        <v>198817</v>
      </c>
      <c r="G10" s="36">
        <f>+F10+G24+G43+G50</f>
        <v>298817</v>
      </c>
      <c r="H10" s="230">
        <f>+G10+H50</f>
        <v>388317</v>
      </c>
      <c r="I10" s="37">
        <f t="shared" si="0"/>
        <v>388317</v>
      </c>
      <c r="K10" s="7">
        <v>200</v>
      </c>
    </row>
    <row r="11" spans="1:11" x14ac:dyDescent="0.2">
      <c r="A11" s="9" t="s">
        <v>6</v>
      </c>
      <c r="B11" s="34">
        <v>11292</v>
      </c>
      <c r="C11" s="34">
        <v>68460</v>
      </c>
      <c r="D11" s="227">
        <f>+C11+SUMIF($C$20:$C$31,K11,$D$20:$D$31)</f>
        <v>59420</v>
      </c>
      <c r="E11" s="115">
        <f>+D11+E26+E34+E36+E38+E39+E44</f>
        <v>86420</v>
      </c>
      <c r="F11" s="411">
        <f>+E11+F38+F39</f>
        <v>25420</v>
      </c>
      <c r="G11" s="34">
        <f>+F11+G44+G51</f>
        <v>25420</v>
      </c>
      <c r="H11" s="227">
        <f>+G11+H51</f>
        <v>27420</v>
      </c>
      <c r="I11" s="35">
        <f t="shared" si="0"/>
        <v>27420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1769531</v>
      </c>
      <c r="C16" s="40">
        <f t="shared" ref="C16:I16" si="3">SUM(C9:C15)</f>
        <v>2454828</v>
      </c>
      <c r="D16" s="40">
        <f t="shared" si="3"/>
        <v>2510841</v>
      </c>
      <c r="E16" s="573">
        <f t="shared" si="3"/>
        <v>2839104</v>
      </c>
      <c r="F16" s="40">
        <f t="shared" si="3"/>
        <v>2659417</v>
      </c>
      <c r="G16" s="40">
        <f t="shared" si="3"/>
        <v>2759417</v>
      </c>
      <c r="H16" s="40">
        <f t="shared" si="3"/>
        <v>3071841</v>
      </c>
      <c r="I16" s="40">
        <f t="shared" si="3"/>
        <v>3071841</v>
      </c>
    </row>
    <row r="18" spans="1:11" x14ac:dyDescent="0.2">
      <c r="E18" s="415">
        <f>+E16-D16</f>
        <v>328263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2.75" customHeight="1" thickTop="1" x14ac:dyDescent="0.2">
      <c r="A20" s="237" t="s">
        <v>444</v>
      </c>
      <c r="B20" s="288"/>
      <c r="C20" s="249"/>
      <c r="D20" s="250"/>
      <c r="E20" s="250"/>
      <c r="F20" s="70"/>
      <c r="G20" s="70"/>
      <c r="H20" s="70"/>
      <c r="I20" s="70"/>
    </row>
    <row r="21" spans="1:11" s="59" customFormat="1" ht="12.75" customHeight="1" x14ac:dyDescent="0.2">
      <c r="A21" s="478" t="s">
        <v>299</v>
      </c>
      <c r="B21" s="79"/>
      <c r="C21" s="76"/>
      <c r="D21" s="74"/>
      <c r="E21" s="74"/>
      <c r="F21" s="74"/>
      <c r="G21" s="74"/>
      <c r="H21" s="74"/>
      <c r="I21" s="74"/>
      <c r="J21" s="82"/>
      <c r="K21" s="7"/>
    </row>
    <row r="22" spans="1:11" ht="13" customHeight="1" x14ac:dyDescent="0.2">
      <c r="A22" s="177" t="s">
        <v>303</v>
      </c>
      <c r="B22" s="154"/>
      <c r="C22" s="186">
        <v>200</v>
      </c>
      <c r="D22" s="145"/>
      <c r="E22" s="145">
        <v>100000</v>
      </c>
      <c r="F22" s="145">
        <v>-100000</v>
      </c>
      <c r="G22" s="145"/>
      <c r="H22" s="145"/>
      <c r="I22" s="145"/>
      <c r="J22" s="17"/>
    </row>
    <row r="23" spans="1:11" ht="13" customHeight="1" x14ac:dyDescent="0.2">
      <c r="A23" s="169" t="s">
        <v>358</v>
      </c>
      <c r="B23" s="79"/>
      <c r="C23" s="72"/>
      <c r="D23" s="74"/>
      <c r="E23" s="74"/>
      <c r="F23" s="74"/>
      <c r="G23" s="74"/>
      <c r="H23" s="74"/>
      <c r="I23" s="74"/>
      <c r="J23" s="17"/>
    </row>
    <row r="24" spans="1:11" ht="13" customHeight="1" x14ac:dyDescent="0.2">
      <c r="A24" s="653" t="s">
        <v>382</v>
      </c>
      <c r="B24" s="85"/>
      <c r="C24" s="68">
        <v>200</v>
      </c>
      <c r="D24" s="70"/>
      <c r="E24" s="70">
        <v>-100000</v>
      </c>
      <c r="F24" s="70"/>
      <c r="G24" s="70">
        <v>100000</v>
      </c>
      <c r="H24" s="70"/>
      <c r="I24" s="70"/>
      <c r="J24" s="619" t="s">
        <v>349</v>
      </c>
    </row>
    <row r="25" spans="1:11" ht="13" customHeight="1" x14ac:dyDescent="0.2">
      <c r="A25" s="840" t="s">
        <v>457</v>
      </c>
      <c r="B25" s="79"/>
      <c r="C25" s="89">
        <v>200</v>
      </c>
      <c r="D25" s="74"/>
      <c r="E25" s="74">
        <v>-12000</v>
      </c>
      <c r="F25" s="74"/>
      <c r="G25" s="74"/>
      <c r="H25" s="74"/>
      <c r="I25" s="74"/>
      <c r="J25" s="17"/>
    </row>
    <row r="26" spans="1:11" ht="13" customHeight="1" x14ac:dyDescent="0.2">
      <c r="A26" s="841"/>
      <c r="B26" s="140"/>
      <c r="C26" s="842" t="s">
        <v>167</v>
      </c>
      <c r="D26" s="139"/>
      <c r="E26" s="139">
        <v>-45000</v>
      </c>
      <c r="F26" s="139"/>
      <c r="G26" s="139"/>
      <c r="H26" s="139"/>
      <c r="I26" s="139"/>
      <c r="J26" s="17"/>
    </row>
    <row r="27" spans="1:11" ht="13" customHeight="1" x14ac:dyDescent="0.2">
      <c r="A27" s="839" t="s">
        <v>494</v>
      </c>
      <c r="B27" s="305"/>
      <c r="C27" s="251"/>
      <c r="D27" s="252"/>
      <c r="E27" s="74"/>
      <c r="F27" s="74"/>
      <c r="G27" s="74"/>
      <c r="H27" s="74"/>
      <c r="I27" s="74"/>
      <c r="J27" s="17"/>
    </row>
    <row r="28" spans="1:11" ht="13" customHeight="1" x14ac:dyDescent="0.2">
      <c r="A28" s="308" t="s">
        <v>502</v>
      </c>
      <c r="B28" s="582"/>
      <c r="C28" s="837">
        <v>100</v>
      </c>
      <c r="D28" s="201">
        <v>56013</v>
      </c>
      <c r="E28" s="70"/>
      <c r="F28" s="70"/>
      <c r="G28" s="70"/>
      <c r="H28" s="70"/>
      <c r="I28" s="70"/>
      <c r="J28" s="17"/>
    </row>
    <row r="29" spans="1:11" ht="13" customHeight="1" x14ac:dyDescent="0.2">
      <c r="A29" s="184" t="s">
        <v>549</v>
      </c>
      <c r="B29" s="79"/>
      <c r="C29" s="72">
        <v>200</v>
      </c>
      <c r="D29" s="74">
        <v>9040</v>
      </c>
      <c r="E29" s="74"/>
      <c r="F29" s="74"/>
      <c r="G29" s="74"/>
      <c r="H29" s="74"/>
      <c r="I29" s="74"/>
      <c r="J29" s="17"/>
    </row>
    <row r="30" spans="1:11" ht="13" customHeight="1" x14ac:dyDescent="0.2">
      <c r="A30" s="653"/>
      <c r="B30" s="85"/>
      <c r="C30" s="68" t="s">
        <v>167</v>
      </c>
      <c r="D30" s="70">
        <v>-9040</v>
      </c>
      <c r="E30" s="70"/>
      <c r="F30" s="70"/>
      <c r="G30" s="70"/>
      <c r="H30" s="70"/>
      <c r="I30" s="70"/>
      <c r="J30" s="17"/>
    </row>
    <row r="31" spans="1:11" ht="13" customHeight="1" x14ac:dyDescent="0.2">
      <c r="A31" s="194" t="s">
        <v>614</v>
      </c>
      <c r="B31" s="79"/>
      <c r="C31" s="72"/>
      <c r="D31" s="74"/>
      <c r="E31" s="74"/>
      <c r="F31" s="74"/>
      <c r="G31" s="74"/>
      <c r="H31" s="74"/>
      <c r="I31" s="74"/>
      <c r="J31" s="17"/>
    </row>
    <row r="32" spans="1:11" ht="13" customHeight="1" x14ac:dyDescent="0.2">
      <c r="A32" s="653" t="s">
        <v>683</v>
      </c>
      <c r="B32" s="85"/>
      <c r="C32" s="68">
        <v>100</v>
      </c>
      <c r="D32" s="70"/>
      <c r="E32" s="70">
        <v>335000</v>
      </c>
      <c r="F32" s="70"/>
      <c r="G32" s="70"/>
      <c r="H32" s="70"/>
      <c r="I32" s="70"/>
      <c r="J32" s="17"/>
    </row>
    <row r="33" spans="1:10" ht="13" customHeight="1" x14ac:dyDescent="0.2">
      <c r="A33" s="184"/>
      <c r="B33" s="79"/>
      <c r="C33" s="72">
        <v>200</v>
      </c>
      <c r="D33" s="74"/>
      <c r="E33" s="74">
        <v>20000</v>
      </c>
      <c r="F33" s="74"/>
      <c r="G33" s="74"/>
      <c r="H33" s="74"/>
      <c r="I33" s="74"/>
      <c r="J33" s="17"/>
    </row>
    <row r="34" spans="1:10" ht="12.75" customHeight="1" x14ac:dyDescent="0.2">
      <c r="A34" s="653"/>
      <c r="B34" s="85"/>
      <c r="C34" s="68" t="s">
        <v>167</v>
      </c>
      <c r="D34" s="70"/>
      <c r="E34" s="70">
        <v>5000</v>
      </c>
      <c r="F34" s="70"/>
      <c r="G34" s="70"/>
      <c r="H34" s="70"/>
      <c r="I34" s="70"/>
      <c r="J34" s="17"/>
    </row>
    <row r="35" spans="1:10" ht="13" customHeight="1" x14ac:dyDescent="0.2">
      <c r="A35" s="184" t="s">
        <v>615</v>
      </c>
      <c r="B35" s="79"/>
      <c r="C35" s="72">
        <v>100</v>
      </c>
      <c r="D35" s="74"/>
      <c r="E35" s="74">
        <v>150000</v>
      </c>
      <c r="F35" s="74"/>
      <c r="G35" s="74"/>
      <c r="H35" s="74"/>
      <c r="I35" s="74"/>
      <c r="J35" s="17"/>
    </row>
    <row r="36" spans="1:10" ht="13" customHeight="1" x14ac:dyDescent="0.2">
      <c r="A36" s="653"/>
      <c r="B36" s="85"/>
      <c r="C36" s="68" t="s">
        <v>167</v>
      </c>
      <c r="D36" s="70"/>
      <c r="E36" s="70">
        <v>3000</v>
      </c>
      <c r="F36" s="70"/>
      <c r="G36" s="70"/>
      <c r="H36" s="70"/>
      <c r="I36" s="70"/>
      <c r="J36" s="17"/>
    </row>
    <row r="37" spans="1:10" ht="13" customHeight="1" x14ac:dyDescent="0.2">
      <c r="A37" s="184" t="s">
        <v>616</v>
      </c>
      <c r="B37" s="79"/>
      <c r="C37" s="72">
        <v>200</v>
      </c>
      <c r="D37" s="74"/>
      <c r="E37" s="74">
        <v>41400</v>
      </c>
      <c r="F37" s="74">
        <v>-41400</v>
      </c>
      <c r="G37" s="74"/>
      <c r="H37" s="74"/>
      <c r="I37" s="74"/>
      <c r="J37" s="17"/>
    </row>
    <row r="38" spans="1:10" ht="13" customHeight="1" x14ac:dyDescent="0.2">
      <c r="A38" s="653"/>
      <c r="B38" s="85"/>
      <c r="C38" s="68" t="s">
        <v>167</v>
      </c>
      <c r="D38" s="70"/>
      <c r="E38" s="70">
        <v>56000</v>
      </c>
      <c r="F38" s="70">
        <v>-56000</v>
      </c>
      <c r="G38" s="70"/>
      <c r="H38" s="70"/>
      <c r="I38" s="70"/>
      <c r="J38" s="17"/>
    </row>
    <row r="39" spans="1:10" ht="13" customHeight="1" x14ac:dyDescent="0.2">
      <c r="A39" s="184" t="s">
        <v>617</v>
      </c>
      <c r="B39" s="79"/>
      <c r="C39" s="72" t="s">
        <v>167</v>
      </c>
      <c r="D39" s="74"/>
      <c r="E39" s="74">
        <f>1000+9000</f>
        <v>10000</v>
      </c>
      <c r="F39" s="74">
        <v>-5000</v>
      </c>
      <c r="G39" s="74"/>
      <c r="H39" s="74"/>
      <c r="I39" s="74"/>
      <c r="J39" s="17"/>
    </row>
    <row r="40" spans="1:10" ht="13" customHeight="1" x14ac:dyDescent="0.2">
      <c r="A40" s="653" t="s">
        <v>680</v>
      </c>
      <c r="B40" s="85"/>
      <c r="C40" s="68">
        <v>200</v>
      </c>
      <c r="D40" s="70"/>
      <c r="E40" s="70">
        <v>50000</v>
      </c>
      <c r="F40" s="70"/>
      <c r="G40" s="70"/>
      <c r="H40" s="70"/>
      <c r="I40" s="70"/>
      <c r="J40" s="17"/>
    </row>
    <row r="41" spans="1:10" ht="13" customHeight="1" x14ac:dyDescent="0.2">
      <c r="A41" s="194" t="s">
        <v>747</v>
      </c>
      <c r="B41" s="79"/>
      <c r="C41" s="72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653" t="s">
        <v>754</v>
      </c>
      <c r="B42" s="85"/>
      <c r="C42" s="68">
        <v>100</v>
      </c>
      <c r="D42" s="70"/>
      <c r="E42" s="70">
        <v>-220924</v>
      </c>
      <c r="F42" s="70"/>
      <c r="G42" s="70">
        <v>220924</v>
      </c>
      <c r="H42" s="70"/>
      <c r="I42" s="70"/>
      <c r="J42" s="17"/>
    </row>
    <row r="43" spans="1:10" ht="13" customHeight="1" x14ac:dyDescent="0.2">
      <c r="A43" s="184" t="s">
        <v>752</v>
      </c>
      <c r="B43" s="79"/>
      <c r="C43" s="72">
        <v>200</v>
      </c>
      <c r="D43" s="74"/>
      <c r="E43" s="74">
        <v>-89500</v>
      </c>
      <c r="F43" s="74"/>
      <c r="G43" s="74">
        <v>89500</v>
      </c>
      <c r="H43" s="74"/>
      <c r="I43" s="74"/>
      <c r="J43" s="17"/>
    </row>
    <row r="44" spans="1:10" ht="13" customHeight="1" x14ac:dyDescent="0.2">
      <c r="A44" s="653" t="s">
        <v>753</v>
      </c>
      <c r="B44" s="85"/>
      <c r="C44" s="68" t="s">
        <v>167</v>
      </c>
      <c r="D44" s="70"/>
      <c r="E44" s="70">
        <v>-2000</v>
      </c>
      <c r="F44" s="70"/>
      <c r="G44" s="70">
        <v>2000</v>
      </c>
      <c r="H44" s="70"/>
      <c r="I44" s="70"/>
      <c r="J44" s="17"/>
    </row>
    <row r="45" spans="1:10" ht="13" customHeight="1" x14ac:dyDescent="0.2">
      <c r="A45" s="184" t="s">
        <v>910</v>
      </c>
      <c r="B45" s="79"/>
      <c r="C45" s="72">
        <v>100</v>
      </c>
      <c r="D45" s="74"/>
      <c r="E45" s="74">
        <v>-39713</v>
      </c>
      <c r="F45" s="74">
        <v>39713</v>
      </c>
      <c r="G45" s="74"/>
      <c r="H45" s="74"/>
      <c r="I45" s="74"/>
      <c r="J45" s="17"/>
    </row>
    <row r="46" spans="1:10" ht="13" customHeight="1" x14ac:dyDescent="0.2">
      <c r="A46" s="402" t="s">
        <v>911</v>
      </c>
      <c r="B46" s="85"/>
      <c r="C46" s="68"/>
      <c r="D46" s="70"/>
      <c r="E46" s="70"/>
      <c r="F46" s="70"/>
      <c r="G46" s="70"/>
      <c r="H46" s="70"/>
      <c r="I46" s="70"/>
      <c r="J46" s="17"/>
    </row>
    <row r="47" spans="1:10" ht="13" customHeight="1" x14ac:dyDescent="0.2">
      <c r="A47" s="184" t="s">
        <v>924</v>
      </c>
      <c r="B47" s="79"/>
      <c r="C47" s="72">
        <v>100</v>
      </c>
      <c r="D47" s="74"/>
      <c r="E47" s="74">
        <v>50000</v>
      </c>
      <c r="F47" s="74"/>
      <c r="G47" s="74"/>
      <c r="H47" s="74"/>
      <c r="I47" s="74"/>
      <c r="J47" s="17"/>
    </row>
    <row r="48" spans="1:10" ht="13" customHeight="1" x14ac:dyDescent="0.2">
      <c r="A48" s="898" t="s">
        <v>1004</v>
      </c>
      <c r="B48" s="85"/>
      <c r="C48" s="68">
        <v>200</v>
      </c>
      <c r="D48" s="70"/>
      <c r="E48" s="70">
        <v>17000</v>
      </c>
      <c r="F48" s="70">
        <v>-17000</v>
      </c>
      <c r="G48" s="70"/>
      <c r="H48" s="70"/>
      <c r="I48" s="70"/>
      <c r="J48" s="17"/>
    </row>
    <row r="49" spans="1:10" ht="13" customHeight="1" x14ac:dyDescent="0.2">
      <c r="A49" s="184" t="s">
        <v>996</v>
      </c>
      <c r="B49" s="79"/>
      <c r="C49" s="72">
        <v>100</v>
      </c>
      <c r="D49" s="74"/>
      <c r="E49" s="74"/>
      <c r="F49" s="74"/>
      <c r="G49" s="74">
        <v>-220924</v>
      </c>
      <c r="H49" s="74">
        <v>220924</v>
      </c>
      <c r="I49" s="74"/>
      <c r="J49" s="17"/>
    </row>
    <row r="50" spans="1:10" ht="13" customHeight="1" x14ac:dyDescent="0.2">
      <c r="A50" s="653"/>
      <c r="B50" s="85"/>
      <c r="C50" s="68">
        <v>200</v>
      </c>
      <c r="D50" s="70"/>
      <c r="E50" s="70"/>
      <c r="F50" s="70"/>
      <c r="G50" s="70">
        <v>-89500</v>
      </c>
      <c r="H50" s="70">
        <v>89500</v>
      </c>
      <c r="I50" s="70"/>
      <c r="J50" s="17"/>
    </row>
    <row r="51" spans="1:10" ht="13" customHeight="1" x14ac:dyDescent="0.2">
      <c r="A51" s="184"/>
      <c r="B51" s="79"/>
      <c r="C51" s="72">
        <v>300</v>
      </c>
      <c r="D51" s="74"/>
      <c r="E51" s="74"/>
      <c r="F51" s="74"/>
      <c r="G51" s="74">
        <v>-2000</v>
      </c>
      <c r="H51" s="74">
        <v>2000</v>
      </c>
      <c r="I51" s="74"/>
      <c r="J51" s="17"/>
    </row>
    <row r="52" spans="1:10" ht="13" customHeight="1" x14ac:dyDescent="0.2">
      <c r="A52" s="82"/>
      <c r="B52" s="82"/>
      <c r="C52" s="82"/>
      <c r="D52" s="82"/>
      <c r="E52" s="82"/>
      <c r="F52" s="82"/>
      <c r="G52" s="82"/>
      <c r="H52" s="82"/>
      <c r="I52" s="82"/>
      <c r="J52" s="17"/>
    </row>
    <row r="53" spans="1:10" ht="13" customHeight="1" x14ac:dyDescent="0.2">
      <c r="A53" s="82"/>
      <c r="B53" s="82"/>
      <c r="C53" s="82"/>
      <c r="D53" s="82"/>
      <c r="E53" s="82"/>
      <c r="F53" s="82"/>
      <c r="G53" s="82"/>
      <c r="H53" s="82"/>
      <c r="I53" s="82"/>
      <c r="J53" s="17"/>
    </row>
    <row r="54" spans="1:10" ht="13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17"/>
    </row>
    <row r="55" spans="1:10" x14ac:dyDescent="0.2">
      <c r="A55" s="17"/>
      <c r="B55" s="17"/>
      <c r="C55" s="17"/>
      <c r="D55" s="17"/>
      <c r="E55" s="17"/>
      <c r="F55" s="17"/>
      <c r="G55" s="17"/>
      <c r="H55" s="17"/>
      <c r="I55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theme="3"/>
    <pageSetUpPr fitToPage="1"/>
  </sheetPr>
  <dimension ref="A1:K52"/>
  <sheetViews>
    <sheetView zoomScaleNormal="100" zoomScaleSheetLayoutView="90" workbookViewId="0">
      <selection sqref="A1:I1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44</v>
      </c>
      <c r="C6" s="963" t="s">
        <v>138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8802032</v>
      </c>
      <c r="C9" s="34">
        <v>9427335</v>
      </c>
      <c r="D9" s="227">
        <f>+C9+D26+D27+D28+D29+D30+D31</f>
        <v>9715678</v>
      </c>
      <c r="E9" s="115">
        <f>+D9+E24+E27+E28+E29+E33+E34+E36+E30+E31</f>
        <v>9520003</v>
      </c>
      <c r="F9" s="411">
        <f>+E9+F24+F33</f>
        <v>9709239</v>
      </c>
      <c r="G9" s="34">
        <f>+F9+G24+G34+G36+G39</f>
        <v>9759239</v>
      </c>
      <c r="H9" s="227">
        <f>+G9+H24+H39</f>
        <v>9922239</v>
      </c>
      <c r="I9" s="51">
        <f>+H9</f>
        <v>9922239</v>
      </c>
      <c r="K9" s="7">
        <v>100</v>
      </c>
    </row>
    <row r="10" spans="1:11" x14ac:dyDescent="0.2">
      <c r="A10" s="10" t="s">
        <v>5</v>
      </c>
      <c r="B10" s="36">
        <f>6384498+39843-1</f>
        <v>6424340</v>
      </c>
      <c r="C10" s="36">
        <v>6409034</v>
      </c>
      <c r="D10" s="230">
        <f>+C10</f>
        <v>6409034</v>
      </c>
      <c r="E10" s="550">
        <f>+D10+E22+E37</f>
        <v>5309427</v>
      </c>
      <c r="F10" s="548">
        <f>+E10+F22</f>
        <v>5409427</v>
      </c>
      <c r="G10" s="36">
        <f>+F10+G37+G40</f>
        <v>5409427</v>
      </c>
      <c r="H10" s="230">
        <f>+G10+H40</f>
        <v>6409034</v>
      </c>
      <c r="I10" s="37">
        <f t="shared" ref="F10:I15" si="0">+H10</f>
        <v>6409034</v>
      </c>
      <c r="K10" s="7">
        <v>200</v>
      </c>
    </row>
    <row r="11" spans="1:11" x14ac:dyDescent="0.2">
      <c r="A11" s="9" t="s">
        <v>6</v>
      </c>
      <c r="B11" s="34">
        <f>202317+34130</f>
        <v>236447</v>
      </c>
      <c r="C11" s="34">
        <v>248676</v>
      </c>
      <c r="D11" s="227">
        <f>+C11</f>
        <v>248676</v>
      </c>
      <c r="E11" s="115">
        <f>+D11+E38</f>
        <v>184676</v>
      </c>
      <c r="F11" s="411">
        <f t="shared" si="0"/>
        <v>184676</v>
      </c>
      <c r="G11" s="34">
        <f>+F11+G38+G41</f>
        <v>184676</v>
      </c>
      <c r="H11" s="227">
        <f>+G11+H41</f>
        <v>248676</v>
      </c>
      <c r="I11" s="35">
        <f t="shared" si="0"/>
        <v>248676</v>
      </c>
      <c r="K11" s="7" t="s">
        <v>167</v>
      </c>
    </row>
    <row r="12" spans="1:11" x14ac:dyDescent="0.2">
      <c r="A12" s="10" t="s">
        <v>7</v>
      </c>
      <c r="B12" s="43">
        <v>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15462819</v>
      </c>
      <c r="C16" s="40">
        <f t="shared" ref="C16:I16" si="3">SUM(C9:C15)</f>
        <v>16085045</v>
      </c>
      <c r="D16" s="40">
        <f t="shared" si="3"/>
        <v>16373388</v>
      </c>
      <c r="E16" s="573">
        <f t="shared" si="3"/>
        <v>15014106</v>
      </c>
      <c r="F16" s="40">
        <f t="shared" si="3"/>
        <v>15303342</v>
      </c>
      <c r="G16" s="40">
        <f>SUM(G9:G15)</f>
        <v>15353342</v>
      </c>
      <c r="H16" s="40">
        <f t="shared" si="3"/>
        <v>16579949</v>
      </c>
      <c r="I16" s="40">
        <f t="shared" si="3"/>
        <v>16579949</v>
      </c>
    </row>
    <row r="18" spans="1:10" x14ac:dyDescent="0.2">
      <c r="E18" s="415">
        <f>+E16-D16</f>
        <v>-1359282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9"/>
      <c r="C20" s="72"/>
      <c r="D20" s="73"/>
      <c r="E20" s="73"/>
      <c r="F20" s="73"/>
      <c r="G20" s="73"/>
      <c r="H20" s="73"/>
      <c r="I20" s="74"/>
    </row>
    <row r="21" spans="1:10" ht="12.75" customHeight="1" x14ac:dyDescent="0.2">
      <c r="A21" s="239" t="s">
        <v>299</v>
      </c>
      <c r="B21" s="85"/>
      <c r="C21" s="75"/>
      <c r="D21" s="70"/>
      <c r="E21" s="70"/>
      <c r="F21" s="70"/>
      <c r="G21" s="144"/>
      <c r="H21" s="145"/>
      <c r="I21" s="145"/>
      <c r="J21" s="17"/>
    </row>
    <row r="22" spans="1:10" ht="12.75" customHeight="1" x14ac:dyDescent="0.2">
      <c r="A22" s="576" t="s">
        <v>328</v>
      </c>
      <c r="B22" s="93"/>
      <c r="C22" s="94">
        <v>200</v>
      </c>
      <c r="D22" s="95"/>
      <c r="E22" s="95">
        <v>-100000</v>
      </c>
      <c r="F22" s="95">
        <v>100000</v>
      </c>
      <c r="G22" s="74"/>
      <c r="H22" s="74"/>
      <c r="I22" s="74"/>
      <c r="J22" s="17"/>
    </row>
    <row r="23" spans="1:10" ht="12.75" customHeight="1" x14ac:dyDescent="0.2">
      <c r="A23" s="173" t="s">
        <v>358</v>
      </c>
      <c r="B23" s="85"/>
      <c r="C23" s="68"/>
      <c r="D23" s="69"/>
      <c r="E23" s="69"/>
      <c r="F23" s="69"/>
      <c r="G23" s="69"/>
      <c r="H23" s="70"/>
      <c r="I23" s="70"/>
      <c r="J23" s="17"/>
    </row>
    <row r="24" spans="1:10" ht="12.75" customHeight="1" x14ac:dyDescent="0.2">
      <c r="A24" s="400" t="s">
        <v>461</v>
      </c>
      <c r="B24" s="122"/>
      <c r="C24" s="122">
        <v>100</v>
      </c>
      <c r="D24" s="92"/>
      <c r="E24" s="92">
        <v>50000</v>
      </c>
      <c r="F24" s="92">
        <v>50000</v>
      </c>
      <c r="G24" s="92">
        <v>50000</v>
      </c>
      <c r="H24" s="92">
        <v>50000</v>
      </c>
      <c r="I24" s="92"/>
      <c r="J24" s="17"/>
    </row>
    <row r="25" spans="1:10" ht="12.75" customHeight="1" x14ac:dyDescent="0.2">
      <c r="A25" s="833" t="s">
        <v>494</v>
      </c>
      <c r="B25" s="834"/>
      <c r="C25" s="241"/>
      <c r="D25" s="835"/>
      <c r="E25" s="74"/>
      <c r="F25" s="74"/>
      <c r="G25" s="74"/>
      <c r="H25" s="74"/>
      <c r="I25" s="74"/>
      <c r="J25" s="17"/>
    </row>
    <row r="26" spans="1:10" ht="12.75" customHeight="1" x14ac:dyDescent="0.2">
      <c r="A26" s="303" t="s">
        <v>502</v>
      </c>
      <c r="B26" s="304"/>
      <c r="C26" s="249">
        <v>100</v>
      </c>
      <c r="D26" s="250">
        <v>271741</v>
      </c>
      <c r="E26" s="145"/>
      <c r="F26" s="145"/>
      <c r="G26" s="145"/>
      <c r="H26" s="145"/>
      <c r="I26" s="145"/>
      <c r="J26" s="17"/>
    </row>
    <row r="27" spans="1:10" ht="12.75" customHeight="1" x14ac:dyDescent="0.2">
      <c r="A27" s="896" t="s">
        <v>830</v>
      </c>
      <c r="B27" s="59"/>
      <c r="C27" s="896">
        <v>100</v>
      </c>
      <c r="D27" s="74">
        <v>657</v>
      </c>
      <c r="E27" s="74">
        <v>3942</v>
      </c>
      <c r="F27" s="74"/>
      <c r="G27" s="74"/>
      <c r="H27" s="74"/>
      <c r="I27" s="74"/>
      <c r="J27" s="17"/>
    </row>
    <row r="28" spans="1:10" ht="12.75" customHeight="1" x14ac:dyDescent="0.2">
      <c r="A28" s="303" t="s">
        <v>900</v>
      </c>
      <c r="B28" s="304"/>
      <c r="C28" s="249">
        <v>100</v>
      </c>
      <c r="D28" s="250">
        <v>2300</v>
      </c>
      <c r="E28" s="145">
        <v>-2300</v>
      </c>
      <c r="F28" s="145"/>
      <c r="G28" s="145"/>
      <c r="H28" s="145"/>
      <c r="I28" s="145"/>
      <c r="J28" s="17"/>
    </row>
    <row r="29" spans="1:10" ht="12.75" customHeight="1" x14ac:dyDescent="0.2">
      <c r="A29" s="896" t="s">
        <v>837</v>
      </c>
      <c r="B29" s="59"/>
      <c r="C29" s="896">
        <v>100</v>
      </c>
      <c r="D29" s="74">
        <v>300</v>
      </c>
      <c r="E29" s="74">
        <v>1797</v>
      </c>
      <c r="F29" s="74"/>
      <c r="G29" s="74"/>
      <c r="H29" s="74"/>
      <c r="I29" s="74"/>
      <c r="J29" s="17"/>
    </row>
    <row r="30" spans="1:10" ht="12.75" customHeight="1" x14ac:dyDescent="0.2">
      <c r="A30" s="303" t="s">
        <v>945</v>
      </c>
      <c r="B30" s="304"/>
      <c r="C30" s="249">
        <v>100</v>
      </c>
      <c r="D30" s="250">
        <v>2745</v>
      </c>
      <c r="E30" s="145">
        <v>13722</v>
      </c>
      <c r="F30" s="145"/>
      <c r="G30" s="145"/>
      <c r="H30" s="145"/>
      <c r="I30" s="145"/>
      <c r="J30" s="17"/>
    </row>
    <row r="31" spans="1:10" ht="12.75" customHeight="1" x14ac:dyDescent="0.2">
      <c r="A31" s="896" t="s">
        <v>946</v>
      </c>
      <c r="B31" s="59"/>
      <c r="C31" s="896">
        <v>100</v>
      </c>
      <c r="D31" s="74">
        <v>10600</v>
      </c>
      <c r="E31" s="74">
        <v>-10600</v>
      </c>
      <c r="F31" s="74"/>
      <c r="G31" s="74"/>
      <c r="H31" s="74"/>
      <c r="I31" s="74"/>
      <c r="J31" s="17"/>
    </row>
    <row r="32" spans="1:10" ht="12.75" customHeight="1" x14ac:dyDescent="0.2">
      <c r="A32" s="901" t="s">
        <v>748</v>
      </c>
      <c r="B32" s="304"/>
      <c r="C32" s="249"/>
      <c r="D32" s="250"/>
      <c r="E32" s="145"/>
      <c r="F32" s="145"/>
      <c r="G32" s="145"/>
      <c r="H32" s="145"/>
      <c r="I32" s="145"/>
    </row>
    <row r="33" spans="1:10" ht="12.75" customHeight="1" x14ac:dyDescent="0.2">
      <c r="A33" s="896" t="s">
        <v>909</v>
      </c>
      <c r="B33" s="59"/>
      <c r="C33" s="896">
        <v>100</v>
      </c>
      <c r="D33" s="74"/>
      <c r="E33" s="74">
        <v>-139236</v>
      </c>
      <c r="F33" s="74">
        <v>139236</v>
      </c>
      <c r="G33" s="74"/>
      <c r="H33" s="74"/>
      <c r="I33" s="74"/>
      <c r="J33" s="17"/>
    </row>
    <row r="34" spans="1:10" ht="12.75" customHeight="1" x14ac:dyDescent="0.2">
      <c r="A34" s="303" t="s">
        <v>867</v>
      </c>
      <c r="B34" s="304"/>
      <c r="C34" s="249">
        <v>100</v>
      </c>
      <c r="D34" s="250"/>
      <c r="E34" s="145">
        <f>-1800000+139236</f>
        <v>-1660764</v>
      </c>
      <c r="F34" s="145"/>
      <c r="G34" s="145">
        <v>1660764</v>
      </c>
      <c r="H34" s="145"/>
      <c r="I34" s="145"/>
    </row>
    <row r="35" spans="1:10" ht="12.75" customHeight="1" x14ac:dyDescent="0.2">
      <c r="A35" s="831" t="s">
        <v>911</v>
      </c>
      <c r="B35" s="59"/>
      <c r="C35" s="896"/>
      <c r="D35" s="74"/>
      <c r="E35" s="74"/>
      <c r="F35" s="74"/>
      <c r="G35" s="74"/>
      <c r="H35" s="74"/>
      <c r="I35" s="74"/>
    </row>
    <row r="36" spans="1:10" ht="12.75" customHeight="1" x14ac:dyDescent="0.2">
      <c r="A36" s="303" t="s">
        <v>920</v>
      </c>
      <c r="B36" s="304"/>
      <c r="C36" s="249">
        <v>100</v>
      </c>
      <c r="D36" s="250"/>
      <c r="E36" s="145">
        <v>1547764</v>
      </c>
      <c r="F36" s="145"/>
      <c r="G36" s="145">
        <v>-1547764</v>
      </c>
      <c r="H36" s="145"/>
      <c r="I36" s="145"/>
    </row>
    <row r="37" spans="1:10" ht="12.75" customHeight="1" x14ac:dyDescent="0.2">
      <c r="A37" s="896"/>
      <c r="B37" s="59"/>
      <c r="C37" s="896">
        <v>200</v>
      </c>
      <c r="D37" s="74"/>
      <c r="E37" s="74">
        <v>-999607</v>
      </c>
      <c r="F37" s="74"/>
      <c r="G37" s="74">
        <v>999607</v>
      </c>
      <c r="H37" s="74"/>
      <c r="I37" s="74"/>
    </row>
    <row r="38" spans="1:10" ht="12.75" customHeight="1" x14ac:dyDescent="0.2">
      <c r="A38" s="303"/>
      <c r="B38" s="304"/>
      <c r="C38" s="944" t="s">
        <v>167</v>
      </c>
      <c r="D38" s="250"/>
      <c r="E38" s="145">
        <v>-64000</v>
      </c>
      <c r="F38" s="145"/>
      <c r="G38" s="145">
        <v>64000</v>
      </c>
      <c r="H38" s="145"/>
      <c r="I38" s="145"/>
    </row>
    <row r="39" spans="1:10" ht="12.75" customHeight="1" x14ac:dyDescent="0.2">
      <c r="A39" s="896" t="s">
        <v>997</v>
      </c>
      <c r="B39" s="59"/>
      <c r="C39" s="896">
        <v>100</v>
      </c>
      <c r="D39" s="74"/>
      <c r="E39" s="74"/>
      <c r="F39" s="74"/>
      <c r="G39" s="74">
        <v>-113000</v>
      </c>
      <c r="H39" s="74">
        <v>113000</v>
      </c>
      <c r="I39" s="74"/>
    </row>
    <row r="40" spans="1:10" ht="12.75" customHeight="1" x14ac:dyDescent="0.2">
      <c r="A40" s="303"/>
      <c r="B40" s="304"/>
      <c r="C40" s="249">
        <v>200</v>
      </c>
      <c r="D40" s="250"/>
      <c r="E40" s="145"/>
      <c r="F40" s="145"/>
      <c r="G40" s="145">
        <v>-999607</v>
      </c>
      <c r="H40" s="145">
        <v>999607</v>
      </c>
      <c r="I40" s="145"/>
    </row>
    <row r="41" spans="1:10" ht="12.75" customHeight="1" x14ac:dyDescent="0.2">
      <c r="A41" s="896"/>
      <c r="B41" s="59"/>
      <c r="C41" s="953" t="s">
        <v>167</v>
      </c>
      <c r="D41" s="74"/>
      <c r="E41" s="74"/>
      <c r="F41" s="74"/>
      <c r="G41" s="74">
        <v>-64000</v>
      </c>
      <c r="H41" s="74">
        <v>64000</v>
      </c>
      <c r="I41" s="74"/>
    </row>
    <row r="42" spans="1:10" ht="12.75" customHeight="1" x14ac:dyDescent="0.2">
      <c r="A42" s="303"/>
      <c r="B42" s="304"/>
      <c r="C42" s="249"/>
      <c r="D42" s="250"/>
      <c r="E42" s="145"/>
      <c r="F42" s="145"/>
      <c r="G42" s="145"/>
      <c r="H42" s="145"/>
      <c r="I42" s="145"/>
    </row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tabColor theme="3"/>
    <pageSetUpPr fitToPage="1"/>
  </sheetPr>
  <dimension ref="A1:K54"/>
  <sheetViews>
    <sheetView topLeftCell="A11" zoomScaleNormal="100" zoomScaleSheetLayoutView="90" workbookViewId="0">
      <selection activeCell="E26" sqref="E2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26</v>
      </c>
      <c r="C6" s="963" t="s">
        <v>137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23626633</v>
      </c>
      <c r="C9" s="34">
        <v>25967209</v>
      </c>
      <c r="D9" s="227">
        <f>+C9+D29+D30+D32+D33+D34+D35+D36</f>
        <v>26811159</v>
      </c>
      <c r="E9" s="115">
        <f>+D9+E30+E39+E42+E32+E33+E34+E45+E35+E36</f>
        <v>23970217</v>
      </c>
      <c r="F9" s="411">
        <f>+E9+F45</f>
        <v>24013753</v>
      </c>
      <c r="G9" s="34">
        <f>+F9+G25+G42+G48</f>
        <v>23633753</v>
      </c>
      <c r="H9" s="227">
        <f>+G9+H48</f>
        <v>26201698</v>
      </c>
      <c r="I9" s="51">
        <f>+H9</f>
        <v>26201698</v>
      </c>
      <c r="K9" s="7">
        <v>100</v>
      </c>
    </row>
    <row r="10" spans="1:11" x14ac:dyDescent="0.2">
      <c r="A10" s="10" t="s">
        <v>5</v>
      </c>
      <c r="B10" s="36">
        <f>13430528+33638</f>
        <v>13464166</v>
      </c>
      <c r="C10" s="36">
        <v>14403945</v>
      </c>
      <c r="D10" s="230">
        <f>+C10+D37</f>
        <v>12403945</v>
      </c>
      <c r="E10" s="550">
        <f>+D10+E22+E26+E43+E47+E37</f>
        <v>13447002</v>
      </c>
      <c r="F10" s="548">
        <f>+E10+F23</f>
        <v>13055703</v>
      </c>
      <c r="G10" s="36">
        <f>+F10+G23+G26+G43+G49</f>
        <v>12779453</v>
      </c>
      <c r="H10" s="230">
        <f>+G10+H49</f>
        <v>14279453</v>
      </c>
      <c r="I10" s="37">
        <f t="shared" ref="F10:I15" si="0">+H10</f>
        <v>14279453</v>
      </c>
      <c r="K10" s="7">
        <v>200</v>
      </c>
    </row>
    <row r="11" spans="1:11" x14ac:dyDescent="0.2">
      <c r="A11" s="9" t="s">
        <v>6</v>
      </c>
      <c r="B11" s="34">
        <f>510030+422282</f>
        <v>932312</v>
      </c>
      <c r="C11" s="34">
        <v>911397</v>
      </c>
      <c r="D11" s="227">
        <f>+C11+D31</f>
        <v>1165241</v>
      </c>
      <c r="E11" s="115">
        <f>+D11+E27+E31+E40+E44</f>
        <v>834475</v>
      </c>
      <c r="F11" s="411">
        <f>+E11</f>
        <v>834475</v>
      </c>
      <c r="G11" s="34">
        <f>+F11+G44+G50</f>
        <v>834475</v>
      </c>
      <c r="H11" s="227">
        <f>+G11+H50</f>
        <v>934475</v>
      </c>
      <c r="I11" s="35">
        <f t="shared" si="0"/>
        <v>934475</v>
      </c>
      <c r="K11" s="7" t="s">
        <v>167</v>
      </c>
    </row>
    <row r="12" spans="1:11" x14ac:dyDescent="0.2">
      <c r="A12" s="10" t="s">
        <v>7</v>
      </c>
      <c r="B12" s="36">
        <v>288595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38311706</v>
      </c>
      <c r="C16" s="40">
        <f t="shared" ref="C16:I16" si="3">SUM(C9:C15)</f>
        <v>41282551</v>
      </c>
      <c r="D16" s="40">
        <f t="shared" si="3"/>
        <v>40380345</v>
      </c>
      <c r="E16" s="573">
        <f t="shared" si="3"/>
        <v>38251694</v>
      </c>
      <c r="F16" s="40">
        <f t="shared" si="3"/>
        <v>37903931</v>
      </c>
      <c r="G16" s="40">
        <f t="shared" si="3"/>
        <v>37247681</v>
      </c>
      <c r="H16" s="40">
        <f t="shared" si="3"/>
        <v>41415626</v>
      </c>
      <c r="I16" s="40">
        <f t="shared" si="3"/>
        <v>41415626</v>
      </c>
    </row>
    <row r="18" spans="1:10" x14ac:dyDescent="0.2">
      <c r="E18" s="415">
        <f>+E16-D16</f>
        <v>-2128651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2"/>
      <c r="D20" s="73"/>
      <c r="E20" s="73"/>
      <c r="F20" s="73"/>
      <c r="G20" s="73"/>
      <c r="H20" s="73"/>
      <c r="I20" s="74"/>
    </row>
    <row r="21" spans="1:10" ht="12.75" customHeight="1" x14ac:dyDescent="0.2">
      <c r="A21" s="173" t="s">
        <v>358</v>
      </c>
      <c r="B21" s="146"/>
      <c r="C21" s="68"/>
      <c r="D21" s="69"/>
      <c r="E21" s="155"/>
      <c r="F21" s="144"/>
      <c r="G21" s="144"/>
      <c r="H21" s="144"/>
      <c r="I21" s="144"/>
      <c r="J21" s="95"/>
    </row>
    <row r="22" spans="1:10" ht="12.75" customHeight="1" x14ac:dyDescent="0.2">
      <c r="A22" s="632" t="s">
        <v>360</v>
      </c>
      <c r="B22" s="82"/>
      <c r="C22" s="103">
        <v>200</v>
      </c>
      <c r="D22" s="73"/>
      <c r="E22" s="73">
        <v>159492</v>
      </c>
      <c r="F22" s="73"/>
      <c r="G22" s="73"/>
      <c r="H22" s="73"/>
      <c r="I22" s="73"/>
    </row>
    <row r="23" spans="1:10" ht="12.75" customHeight="1" x14ac:dyDescent="0.2">
      <c r="A23" s="634" t="s">
        <v>364</v>
      </c>
      <c r="B23" s="146"/>
      <c r="C23" s="132">
        <v>200</v>
      </c>
      <c r="D23" s="69"/>
      <c r="E23" s="69"/>
      <c r="F23" s="69">
        <v>-391299</v>
      </c>
      <c r="G23" s="69">
        <v>-656250</v>
      </c>
      <c r="H23" s="146"/>
      <c r="I23" s="146"/>
    </row>
    <row r="24" spans="1:10" ht="12.75" customHeight="1" x14ac:dyDescent="0.2">
      <c r="A24" s="347" t="s">
        <v>404</v>
      </c>
      <c r="B24" s="59"/>
      <c r="C24" s="636"/>
      <c r="D24" s="73"/>
      <c r="E24" s="73"/>
      <c r="F24" s="73"/>
      <c r="G24" s="59"/>
      <c r="H24" s="59"/>
      <c r="I24" s="59"/>
    </row>
    <row r="25" spans="1:10" ht="12.75" customHeight="1" x14ac:dyDescent="0.2">
      <c r="A25" s="845" t="s">
        <v>406</v>
      </c>
      <c r="B25" s="146"/>
      <c r="C25" s="683">
        <v>100</v>
      </c>
      <c r="D25" s="69"/>
      <c r="E25" s="69"/>
      <c r="F25" s="146"/>
      <c r="G25" s="69">
        <v>-380000</v>
      </c>
      <c r="H25" s="69"/>
      <c r="I25" s="146"/>
    </row>
    <row r="26" spans="1:10" ht="12.75" customHeight="1" x14ac:dyDescent="0.2">
      <c r="A26" s="59"/>
      <c r="B26" s="59"/>
      <c r="C26" s="82">
        <v>200</v>
      </c>
      <c r="D26" s="73"/>
      <c r="E26" s="73">
        <v>76922</v>
      </c>
      <c r="F26" s="73"/>
      <c r="G26" s="73">
        <v>380000</v>
      </c>
      <c r="H26" s="73"/>
      <c r="I26" s="59"/>
    </row>
    <row r="27" spans="1:10" ht="12.75" customHeight="1" x14ac:dyDescent="0.2">
      <c r="A27" s="189"/>
      <c r="B27" s="189"/>
      <c r="C27" s="803" t="s">
        <v>167</v>
      </c>
      <c r="D27" s="138"/>
      <c r="E27" s="138">
        <v>-76922</v>
      </c>
      <c r="F27" s="138"/>
      <c r="G27" s="189"/>
      <c r="H27" s="189"/>
      <c r="I27" s="189"/>
    </row>
    <row r="28" spans="1:10" ht="12.75" customHeight="1" x14ac:dyDescent="0.2">
      <c r="A28" s="833" t="s">
        <v>494</v>
      </c>
      <c r="B28" s="834"/>
      <c r="C28" s="241"/>
      <c r="D28" s="835"/>
      <c r="E28" s="74"/>
      <c r="F28" s="74"/>
      <c r="G28" s="74"/>
      <c r="H28" s="74"/>
      <c r="I28" s="74"/>
    </row>
    <row r="29" spans="1:10" ht="12.75" customHeight="1" x14ac:dyDescent="0.2">
      <c r="A29" s="303" t="s">
        <v>544</v>
      </c>
      <c r="B29" s="304"/>
      <c r="C29" s="249">
        <v>100</v>
      </c>
      <c r="D29" s="250">
        <v>-380000</v>
      </c>
      <c r="E29" s="70"/>
      <c r="F29" s="70"/>
      <c r="G29" s="70"/>
      <c r="H29" s="70"/>
      <c r="I29" s="70"/>
    </row>
    <row r="30" spans="1:10" ht="12.75" customHeight="1" x14ac:dyDescent="0.2">
      <c r="A30" s="184" t="s">
        <v>720</v>
      </c>
      <c r="B30" s="79"/>
      <c r="C30" s="72">
        <v>100</v>
      </c>
      <c r="D30" s="74">
        <v>960108</v>
      </c>
      <c r="E30" s="74">
        <v>-960108</v>
      </c>
      <c r="F30" s="74"/>
      <c r="G30" s="74"/>
      <c r="H30" s="74"/>
      <c r="I30" s="74"/>
    </row>
    <row r="31" spans="1:10" ht="12.75" customHeight="1" x14ac:dyDescent="0.2">
      <c r="A31" s="653"/>
      <c r="B31" s="85"/>
      <c r="C31" s="857" t="s">
        <v>167</v>
      </c>
      <c r="D31" s="70">
        <v>253844</v>
      </c>
      <c r="E31" s="70">
        <v>-253844</v>
      </c>
      <c r="F31" s="70"/>
      <c r="G31" s="70"/>
      <c r="H31" s="70"/>
      <c r="I31" s="70"/>
    </row>
    <row r="32" spans="1:10" ht="12.75" customHeight="1" x14ac:dyDescent="0.2">
      <c r="A32" s="926" t="s">
        <v>827</v>
      </c>
      <c r="B32" s="79"/>
      <c r="C32" s="891">
        <v>100</v>
      </c>
      <c r="D32" s="925">
        <v>28938</v>
      </c>
      <c r="E32" s="925">
        <v>173630</v>
      </c>
      <c r="F32" s="74"/>
      <c r="G32" s="74"/>
      <c r="H32" s="74"/>
      <c r="I32" s="74"/>
    </row>
    <row r="33" spans="1:9" ht="12.75" customHeight="1" x14ac:dyDescent="0.2">
      <c r="A33" s="926" t="s">
        <v>901</v>
      </c>
      <c r="B33" s="85"/>
      <c r="C33" s="857">
        <v>100</v>
      </c>
      <c r="D33" s="925">
        <v>71650</v>
      </c>
      <c r="E33" s="925">
        <v>-71650</v>
      </c>
      <c r="F33" s="70"/>
      <c r="G33" s="70"/>
      <c r="H33" s="70"/>
      <c r="I33" s="70"/>
    </row>
    <row r="34" spans="1:9" ht="12.75" customHeight="1" x14ac:dyDescent="0.2">
      <c r="A34" s="926" t="s">
        <v>835</v>
      </c>
      <c r="B34" s="79"/>
      <c r="C34" s="891">
        <v>100</v>
      </c>
      <c r="D34" s="925">
        <v>6898</v>
      </c>
      <c r="E34" s="925">
        <v>41386</v>
      </c>
      <c r="F34" s="74"/>
      <c r="G34" s="74"/>
      <c r="H34" s="74"/>
      <c r="I34" s="74"/>
    </row>
    <row r="35" spans="1:9" ht="12.75" customHeight="1" x14ac:dyDescent="0.2">
      <c r="A35" s="926" t="s">
        <v>941</v>
      </c>
      <c r="B35" s="85"/>
      <c r="C35" s="857">
        <v>100</v>
      </c>
      <c r="D35" s="925">
        <v>37706</v>
      </c>
      <c r="E35" s="925">
        <v>188529</v>
      </c>
      <c r="F35" s="70"/>
      <c r="G35" s="70"/>
      <c r="H35" s="70"/>
      <c r="I35" s="70"/>
    </row>
    <row r="36" spans="1:9" ht="12.75" customHeight="1" x14ac:dyDescent="0.2">
      <c r="A36" s="926" t="s">
        <v>942</v>
      </c>
      <c r="B36" s="79"/>
      <c r="C36" s="891">
        <v>100</v>
      </c>
      <c r="D36" s="925">
        <v>118650</v>
      </c>
      <c r="E36" s="925">
        <v>-118650</v>
      </c>
      <c r="F36" s="74"/>
      <c r="G36" s="74"/>
      <c r="H36" s="74"/>
      <c r="I36" s="74"/>
    </row>
    <row r="37" spans="1:9" ht="12.75" customHeight="1" x14ac:dyDescent="0.2">
      <c r="A37" s="653" t="s">
        <v>993</v>
      </c>
      <c r="B37" s="85"/>
      <c r="C37" s="857">
        <v>200</v>
      </c>
      <c r="D37" s="70">
        <v>-2000000</v>
      </c>
      <c r="E37" s="70">
        <v>2000000</v>
      </c>
      <c r="F37" s="70"/>
      <c r="G37" s="70"/>
      <c r="H37" s="70"/>
      <c r="I37" s="70"/>
    </row>
    <row r="38" spans="1:9" ht="12.75" customHeight="1" x14ac:dyDescent="0.2">
      <c r="A38" s="928" t="s">
        <v>625</v>
      </c>
      <c r="B38" s="79"/>
      <c r="C38" s="891"/>
      <c r="D38" s="925"/>
      <c r="E38" s="925"/>
      <c r="F38" s="74"/>
      <c r="G38" s="74"/>
      <c r="H38" s="74"/>
      <c r="I38" s="74"/>
    </row>
    <row r="39" spans="1:9" ht="12.75" customHeight="1" x14ac:dyDescent="0.2">
      <c r="A39" s="653" t="s">
        <v>663</v>
      </c>
      <c r="B39" s="85"/>
      <c r="C39" s="857">
        <v>100</v>
      </c>
      <c r="D39" s="70"/>
      <c r="E39" s="70">
        <v>517402</v>
      </c>
      <c r="F39" s="70"/>
      <c r="G39" s="70"/>
      <c r="H39" s="70"/>
      <c r="I39" s="70"/>
    </row>
    <row r="40" spans="1:9" ht="12.75" customHeight="1" x14ac:dyDescent="0.2">
      <c r="A40" s="926"/>
      <c r="B40" s="79"/>
      <c r="C40" s="891" t="s">
        <v>167</v>
      </c>
      <c r="D40" s="925"/>
      <c r="E40" s="925">
        <v>100000</v>
      </c>
      <c r="F40" s="74"/>
      <c r="G40" s="74"/>
      <c r="H40" s="74"/>
      <c r="I40" s="74"/>
    </row>
    <row r="41" spans="1:9" ht="12.75" customHeight="1" x14ac:dyDescent="0.2">
      <c r="A41" s="402" t="s">
        <v>748</v>
      </c>
      <c r="B41" s="85"/>
      <c r="C41" s="857"/>
      <c r="D41" s="70"/>
      <c r="E41" s="70"/>
      <c r="F41" s="70"/>
      <c r="G41" s="70"/>
      <c r="H41" s="70"/>
      <c r="I41" s="70"/>
    </row>
    <row r="42" spans="1:9" ht="12.75" customHeight="1" x14ac:dyDescent="0.2">
      <c r="A42" s="926" t="s">
        <v>777</v>
      </c>
      <c r="B42" s="79"/>
      <c r="C42" s="891">
        <v>100</v>
      </c>
      <c r="D42" s="925"/>
      <c r="E42" s="925">
        <v>-2567945</v>
      </c>
      <c r="F42" s="74"/>
      <c r="G42" s="74">
        <v>2567945</v>
      </c>
      <c r="H42" s="74"/>
      <c r="I42" s="74"/>
    </row>
    <row r="43" spans="1:9" ht="12.75" customHeight="1" x14ac:dyDescent="0.2">
      <c r="A43" s="653" t="s">
        <v>776</v>
      </c>
      <c r="B43" s="85"/>
      <c r="C43" s="857">
        <v>200</v>
      </c>
      <c r="D43" s="70"/>
      <c r="E43" s="70">
        <v>-1500000</v>
      </c>
      <c r="F43" s="70"/>
      <c r="G43" s="70">
        <v>1500000</v>
      </c>
      <c r="H43" s="70"/>
      <c r="I43" s="70"/>
    </row>
    <row r="44" spans="1:9" ht="12.75" customHeight="1" x14ac:dyDescent="0.2">
      <c r="A44" s="926" t="s">
        <v>775</v>
      </c>
      <c r="B44" s="79"/>
      <c r="C44" s="891" t="s">
        <v>167</v>
      </c>
      <c r="D44" s="925"/>
      <c r="E44" s="925">
        <v>-100000</v>
      </c>
      <c r="F44" s="74"/>
      <c r="G44" s="74">
        <v>100000</v>
      </c>
      <c r="H44" s="74"/>
      <c r="I44" s="74"/>
    </row>
    <row r="45" spans="1:9" ht="12.75" customHeight="1" x14ac:dyDescent="0.2">
      <c r="A45" s="653" t="s">
        <v>910</v>
      </c>
      <c r="B45" s="85"/>
      <c r="C45" s="857">
        <v>100</v>
      </c>
      <c r="D45" s="70"/>
      <c r="E45" s="70">
        <v>-43536</v>
      </c>
      <c r="F45" s="70">
        <v>43536</v>
      </c>
      <c r="G45" s="70"/>
      <c r="H45" s="70"/>
      <c r="I45" s="70"/>
    </row>
    <row r="46" spans="1:9" ht="12.75" customHeight="1" x14ac:dyDescent="0.2">
      <c r="A46" s="928" t="s">
        <v>913</v>
      </c>
      <c r="B46" s="79"/>
      <c r="C46" s="891"/>
      <c r="D46" s="925"/>
      <c r="E46" s="925"/>
      <c r="F46" s="74"/>
      <c r="G46" s="74"/>
      <c r="H46" s="74"/>
      <c r="I46" s="74"/>
    </row>
    <row r="47" spans="1:9" ht="12.75" customHeight="1" x14ac:dyDescent="0.2">
      <c r="A47" s="653" t="s">
        <v>916</v>
      </c>
      <c r="B47" s="85"/>
      <c r="C47" s="857">
        <v>200</v>
      </c>
      <c r="D47" s="70"/>
      <c r="E47" s="70">
        <v>306643</v>
      </c>
      <c r="F47" s="70"/>
      <c r="G47" s="70"/>
      <c r="H47" s="70"/>
      <c r="I47" s="70"/>
    </row>
    <row r="48" spans="1:9" ht="12.75" customHeight="1" x14ac:dyDescent="0.2">
      <c r="A48" s="926" t="s">
        <v>997</v>
      </c>
      <c r="B48" s="79"/>
      <c r="C48" s="891">
        <v>100</v>
      </c>
      <c r="D48" s="925"/>
      <c r="E48" s="925"/>
      <c r="F48" s="74"/>
      <c r="G48" s="925">
        <v>-2567945</v>
      </c>
      <c r="H48" s="74">
        <v>2567945</v>
      </c>
      <c r="I48" s="74"/>
    </row>
    <row r="49" spans="1:9" ht="12.75" customHeight="1" x14ac:dyDescent="0.2">
      <c r="A49" s="653"/>
      <c r="B49" s="85"/>
      <c r="C49" s="857">
        <v>200</v>
      </c>
      <c r="D49" s="70"/>
      <c r="E49" s="70"/>
      <c r="F49" s="70"/>
      <c r="G49" s="70">
        <v>-1500000</v>
      </c>
      <c r="H49" s="70">
        <v>1500000</v>
      </c>
      <c r="I49" s="70"/>
    </row>
    <row r="50" spans="1:9" ht="12.75" customHeight="1" x14ac:dyDescent="0.2">
      <c r="A50" s="926"/>
      <c r="B50" s="79"/>
      <c r="C50" s="891" t="s">
        <v>167</v>
      </c>
      <c r="D50" s="925"/>
      <c r="E50" s="925"/>
      <c r="F50" s="74"/>
      <c r="G50" s="925">
        <v>-100000</v>
      </c>
      <c r="H50" s="74">
        <v>100000</v>
      </c>
      <c r="I50" s="74"/>
    </row>
    <row r="51" spans="1:9" ht="12.75" customHeight="1" x14ac:dyDescent="0.2">
      <c r="A51" s="653"/>
      <c r="B51" s="85"/>
      <c r="C51" s="857"/>
      <c r="D51" s="70"/>
      <c r="E51" s="70"/>
      <c r="F51" s="70"/>
      <c r="G51" s="70"/>
      <c r="H51" s="70"/>
      <c r="I51" s="70"/>
    </row>
    <row r="52" spans="1:9" ht="12.75" customHeight="1" x14ac:dyDescent="0.2"/>
    <row r="53" spans="1:9" ht="12.75" customHeight="1" x14ac:dyDescent="0.2"/>
    <row r="54" spans="1:9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32:A33">
    <cfRule type="expression" dxfId="133" priority="32">
      <formula>MOD(ROW(),2)=1</formula>
    </cfRule>
  </conditionalFormatting>
  <conditionalFormatting sqref="D32:E33">
    <cfRule type="expression" dxfId="132" priority="31">
      <formula>MOD(ROW(),2)=1</formula>
    </cfRule>
  </conditionalFormatting>
  <conditionalFormatting sqref="A34">
    <cfRule type="expression" dxfId="131" priority="28">
      <formula>MOD(ROW(),2)=1</formula>
    </cfRule>
  </conditionalFormatting>
  <conditionalFormatting sqref="D34:E34">
    <cfRule type="expression" dxfId="130" priority="27">
      <formula>MOD(ROW(),2)=1</formula>
    </cfRule>
  </conditionalFormatting>
  <conditionalFormatting sqref="D36:E36">
    <cfRule type="expression" dxfId="129" priority="22">
      <formula>MOD(ROW(),2)=1</formula>
    </cfRule>
  </conditionalFormatting>
  <conditionalFormatting sqref="A35">
    <cfRule type="expression" dxfId="128" priority="25">
      <formula>MOD(ROW(),2)=1</formula>
    </cfRule>
  </conditionalFormatting>
  <conditionalFormatting sqref="D35:E35">
    <cfRule type="expression" dxfId="127" priority="24">
      <formula>MOD(ROW(),2)=1</formula>
    </cfRule>
  </conditionalFormatting>
  <conditionalFormatting sqref="A36">
    <cfRule type="expression" dxfId="126" priority="23">
      <formula>MOD(ROW(),2)=1</formula>
    </cfRule>
  </conditionalFormatting>
  <conditionalFormatting sqref="A38 A40 A42 A44 A46 A48">
    <cfRule type="expression" dxfId="125" priority="5">
      <formula>MOD(ROW(),2)=1</formula>
    </cfRule>
  </conditionalFormatting>
  <conditionalFormatting sqref="D38:E38 D40:E40 D42:E42 D44:E44 D46:E46 D48:E48">
    <cfRule type="expression" dxfId="124" priority="4">
      <formula>MOD(ROW(),2)=1</formula>
    </cfRule>
  </conditionalFormatting>
  <conditionalFormatting sqref="A50">
    <cfRule type="expression" dxfId="123" priority="3">
      <formula>MOD(ROW(),2)=1</formula>
    </cfRule>
  </conditionalFormatting>
  <conditionalFormatting sqref="D50:E50">
    <cfRule type="expression" dxfId="122" priority="2">
      <formula>MOD(ROW(),2)=1</formula>
    </cfRule>
  </conditionalFormatting>
  <conditionalFormatting sqref="G48 G50">
    <cfRule type="expression" dxfId="121" priority="1">
      <formula>MOD(ROW(),2)=1</formula>
    </cfRule>
  </conditionalFormatting>
  <pageMargins left="0.5" right="0.5" top="0.5" bottom="0.5" header="0.3" footer="0.3"/>
  <pageSetup scale="69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theme="3"/>
    <pageSetUpPr fitToPage="1"/>
  </sheetPr>
  <dimension ref="A1:K60"/>
  <sheetViews>
    <sheetView zoomScaleNormal="100" zoomScaleSheetLayoutView="90" workbookViewId="0">
      <selection activeCell="A17" sqref="A17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29</v>
      </c>
      <c r="C6" s="963" t="s">
        <v>136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83562</v>
      </c>
      <c r="C9" s="34">
        <v>80366</v>
      </c>
      <c r="D9" s="227">
        <f>+C9+D21</f>
        <v>80602</v>
      </c>
      <c r="E9" s="115">
        <f>+D9+E21</f>
        <v>82018</v>
      </c>
      <c r="F9" s="411">
        <f>+E9</f>
        <v>82018</v>
      </c>
      <c r="G9" s="34">
        <f t="shared" ref="F9:I15" si="0">+F9</f>
        <v>82018</v>
      </c>
      <c r="H9" s="227">
        <f t="shared" si="0"/>
        <v>82018</v>
      </c>
      <c r="I9" s="51">
        <f t="shared" si="0"/>
        <v>82018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ref="D10:D15" si="1">+C10</f>
        <v>0</v>
      </c>
      <c r="E10" s="550">
        <f t="shared" ref="E10:E15" si="2">+D10</f>
        <v>0</v>
      </c>
      <c r="F10" s="548">
        <f t="shared" si="0"/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1"/>
        <v>0</v>
      </c>
      <c r="E11" s="115">
        <f t="shared" si="2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2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83562</v>
      </c>
      <c r="C16" s="40">
        <f t="shared" ref="C16:I16" si="3">SUM(C9:C15)</f>
        <v>80366</v>
      </c>
      <c r="D16" s="40">
        <f t="shared" si="3"/>
        <v>80602</v>
      </c>
      <c r="E16" s="573">
        <f t="shared" si="3"/>
        <v>82018</v>
      </c>
      <c r="F16" s="40">
        <f t="shared" si="3"/>
        <v>82018</v>
      </c>
      <c r="G16" s="40">
        <f t="shared" si="3"/>
        <v>82018</v>
      </c>
      <c r="H16" s="40">
        <f t="shared" si="3"/>
        <v>82018</v>
      </c>
      <c r="I16" s="40">
        <f t="shared" si="3"/>
        <v>82018</v>
      </c>
    </row>
    <row r="18" spans="1:11" x14ac:dyDescent="0.2">
      <c r="E18" s="415">
        <f>+E16-D16</f>
        <v>1416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194" t="s">
        <v>450</v>
      </c>
      <c r="B20" s="79"/>
      <c r="C20" s="72"/>
      <c r="D20" s="73"/>
      <c r="E20" s="73"/>
      <c r="F20" s="73"/>
      <c r="G20" s="73"/>
      <c r="H20" s="73"/>
      <c r="I20" s="74"/>
    </row>
    <row r="21" spans="1:11" ht="13" customHeight="1" x14ac:dyDescent="0.2">
      <c r="A21" s="926" t="s">
        <v>840</v>
      </c>
      <c r="B21" s="85"/>
      <c r="C21" s="68">
        <v>100</v>
      </c>
      <c r="D21" s="925">
        <v>236</v>
      </c>
      <c r="E21" s="925">
        <v>1416</v>
      </c>
      <c r="F21" s="69"/>
      <c r="G21" s="69"/>
      <c r="H21" s="70"/>
      <c r="I21" s="70"/>
      <c r="J21" s="17"/>
    </row>
    <row r="22" spans="1:11" s="59" customFormat="1" ht="13" customHeight="1" x14ac:dyDescent="0.2">
      <c r="A22" s="120"/>
      <c r="B22" s="79"/>
      <c r="C22" s="72"/>
      <c r="D22" s="73"/>
      <c r="E22" s="73"/>
      <c r="F22" s="73"/>
      <c r="G22" s="73"/>
      <c r="H22" s="74"/>
      <c r="I22" s="74"/>
      <c r="J22" s="82"/>
      <c r="K22" s="7"/>
    </row>
    <row r="23" spans="1:11" ht="13" customHeight="1" x14ac:dyDescent="0.2">
      <c r="A23" s="105"/>
      <c r="B23" s="93"/>
      <c r="C23" s="103"/>
      <c r="D23" s="104"/>
      <c r="E23" s="106"/>
      <c r="F23" s="104"/>
      <c r="G23" s="104"/>
      <c r="H23" s="95"/>
      <c r="I23" s="95"/>
      <c r="J23" s="17"/>
    </row>
    <row r="24" spans="1:11" ht="13" customHeight="1" x14ac:dyDescent="0.2">
      <c r="A24" s="78"/>
      <c r="B24" s="79"/>
      <c r="C24" s="72"/>
      <c r="D24" s="73"/>
      <c r="E24" s="73"/>
      <c r="F24" s="73"/>
      <c r="G24" s="73"/>
      <c r="H24" s="74"/>
      <c r="I24" s="74"/>
      <c r="J24" s="17"/>
    </row>
    <row r="25" spans="1:11" ht="12.75" customHeight="1" x14ac:dyDescent="0.2">
      <c r="A25" s="78"/>
      <c r="B25" s="79"/>
      <c r="C25" s="72"/>
      <c r="D25" s="73"/>
      <c r="E25" s="73"/>
      <c r="F25" s="73"/>
      <c r="G25" s="73"/>
      <c r="H25" s="74"/>
      <c r="I25" s="74"/>
      <c r="J25" s="17"/>
    </row>
    <row r="26" spans="1:11" ht="12.75" customHeight="1" x14ac:dyDescent="0.2">
      <c r="A26" s="78"/>
      <c r="B26" s="79"/>
      <c r="C26" s="72"/>
      <c r="D26" s="73"/>
      <c r="E26" s="73"/>
      <c r="F26" s="73"/>
      <c r="G26" s="73"/>
      <c r="H26" s="74"/>
      <c r="I26" s="74"/>
      <c r="J26" s="17"/>
    </row>
    <row r="27" spans="1:11" ht="12.75" customHeight="1" x14ac:dyDescent="0.2">
      <c r="A27" s="78"/>
      <c r="B27" s="79"/>
      <c r="C27" s="72"/>
      <c r="D27" s="73"/>
      <c r="E27" s="73"/>
      <c r="F27" s="73"/>
      <c r="G27" s="73"/>
      <c r="H27" s="74"/>
      <c r="I27" s="74"/>
      <c r="J27" s="17"/>
    </row>
    <row r="28" spans="1:11" ht="12.75" customHeight="1" x14ac:dyDescent="0.2">
      <c r="A28" s="78"/>
      <c r="B28" s="79"/>
      <c r="C28" s="72"/>
      <c r="D28" s="73"/>
      <c r="E28" s="73"/>
      <c r="F28" s="73"/>
      <c r="G28" s="73"/>
      <c r="H28" s="74"/>
      <c r="I28" s="74"/>
      <c r="J28" s="17"/>
    </row>
    <row r="29" spans="1:11" ht="12.75" customHeight="1" x14ac:dyDescent="0.2">
      <c r="A29" s="78"/>
      <c r="B29" s="79"/>
      <c r="C29" s="72"/>
      <c r="D29" s="73"/>
      <c r="E29" s="73"/>
      <c r="F29" s="73"/>
      <c r="G29" s="73"/>
      <c r="H29" s="74"/>
      <c r="I29" s="74"/>
      <c r="J29" s="17"/>
    </row>
    <row r="30" spans="1:11" ht="12.75" customHeight="1" x14ac:dyDescent="0.2">
      <c r="A30" s="78"/>
      <c r="B30" s="79"/>
      <c r="C30" s="72"/>
      <c r="D30" s="73"/>
      <c r="E30" s="73"/>
      <c r="F30" s="73"/>
      <c r="G30" s="73"/>
      <c r="H30" s="74"/>
      <c r="I30" s="74"/>
      <c r="J30" s="17"/>
    </row>
    <row r="31" spans="1:11" ht="12.75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1" ht="12.75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2.75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2.75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2.75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2.75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2.75" customHeight="1" x14ac:dyDescent="0.2">
      <c r="A41" s="80"/>
      <c r="B41" s="79"/>
      <c r="C41" s="72"/>
      <c r="D41" s="73"/>
      <c r="E41" s="73"/>
      <c r="F41" s="73"/>
      <c r="G41" s="73"/>
      <c r="H41" s="74"/>
      <c r="I41" s="74"/>
      <c r="J41" s="17"/>
    </row>
    <row r="42" spans="1:10" ht="12.75" customHeight="1" x14ac:dyDescent="0.2">
      <c r="A42" s="78"/>
      <c r="B42" s="79"/>
      <c r="C42" s="72"/>
      <c r="D42" s="73"/>
      <c r="E42" s="73"/>
      <c r="F42" s="73"/>
      <c r="G42" s="73"/>
      <c r="H42" s="74"/>
      <c r="I42" s="74"/>
      <c r="J42" s="17"/>
    </row>
    <row r="43" spans="1:10" ht="12.75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2.75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2.75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2.75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2.75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2.75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17"/>
    </row>
    <row r="60" spans="1:10" ht="13" customHeight="1" x14ac:dyDescent="0.2">
      <c r="A60" s="82"/>
      <c r="B60" s="82"/>
      <c r="C60" s="82"/>
      <c r="D60" s="82"/>
      <c r="E60" s="82"/>
      <c r="F60" s="82"/>
      <c r="G60" s="82"/>
      <c r="H60" s="82"/>
      <c r="I60" s="82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">
    <cfRule type="expression" dxfId="120" priority="2">
      <formula>MOD(ROW(),2)=1</formula>
    </cfRule>
  </conditionalFormatting>
  <conditionalFormatting sqref="D21:E21">
    <cfRule type="expression" dxfId="119" priority="1">
      <formula>MOD(ROW(),2)=1</formula>
    </cfRule>
  </conditionalFormatting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K55"/>
  <sheetViews>
    <sheetView zoomScaleNormal="100" zoomScaleSheetLayoutView="90" workbookViewId="0">
      <selection activeCell="A3" sqref="A3:I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2">
        <v>18</v>
      </c>
      <c r="C6" s="963" t="s">
        <v>111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497</v>
      </c>
      <c r="D8" s="338" t="s">
        <v>436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>+C9</f>
        <v>0</v>
      </c>
      <c r="E9" s="115">
        <f>+D9+E21+E23</f>
        <v>0</v>
      </c>
      <c r="F9" s="411">
        <f>+E9+F21+F23</f>
        <v>0</v>
      </c>
      <c r="G9" s="34">
        <f t="shared" ref="G9:I9" si="0">+F9</f>
        <v>0</v>
      </c>
      <c r="H9" s="34">
        <f t="shared" si="0"/>
        <v>0</v>
      </c>
      <c r="I9" s="34">
        <f t="shared" si="0"/>
        <v>0</v>
      </c>
      <c r="K9" s="7">
        <v>100</v>
      </c>
    </row>
    <row r="10" spans="1:11" x14ac:dyDescent="0.2">
      <c r="A10" s="10" t="s">
        <v>5</v>
      </c>
      <c r="B10" s="43">
        <v>0</v>
      </c>
      <c r="C10" s="36">
        <v>0</v>
      </c>
      <c r="D10" s="230">
        <f>+C10+D22</f>
        <v>0</v>
      </c>
      <c r="E10" s="550">
        <f>+D10+E22</f>
        <v>0</v>
      </c>
      <c r="F10" s="548">
        <f t="shared" ref="F10:I10" si="1">+E10</f>
        <v>0</v>
      </c>
      <c r="G10" s="36">
        <f t="shared" si="1"/>
        <v>0</v>
      </c>
      <c r="H10" s="36">
        <f t="shared" si="1"/>
        <v>0</v>
      </c>
      <c r="I10" s="36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E15" si="2">+C11</f>
        <v>0</v>
      </c>
      <c r="E11" s="115">
        <f t="shared" si="2"/>
        <v>0</v>
      </c>
      <c r="F11" s="411">
        <f t="shared" ref="F11:I11" si="3">+E11</f>
        <v>0</v>
      </c>
      <c r="G11" s="34">
        <f t="shared" si="3"/>
        <v>0</v>
      </c>
      <c r="H11" s="34">
        <f t="shared" si="3"/>
        <v>0</v>
      </c>
      <c r="I11" s="34">
        <f t="shared" si="3"/>
        <v>0</v>
      </c>
      <c r="K11" s="7" t="s">
        <v>167</v>
      </c>
    </row>
    <row r="12" spans="1:11" x14ac:dyDescent="0.2">
      <c r="A12" s="10" t="s">
        <v>7</v>
      </c>
      <c r="B12" s="43">
        <v>250000</v>
      </c>
      <c r="C12" s="36">
        <v>0</v>
      </c>
      <c r="D12" s="230">
        <f>+C12+D26</f>
        <v>0</v>
      </c>
      <c r="E12" s="550">
        <v>0</v>
      </c>
      <c r="F12" s="548">
        <f>+E12</f>
        <v>0</v>
      </c>
      <c r="G12" s="36">
        <f t="shared" ref="G12:I12" si="4">+F12</f>
        <v>0</v>
      </c>
      <c r="H12" s="36">
        <f t="shared" si="4"/>
        <v>0</v>
      </c>
      <c r="I12" s="36">
        <f t="shared" si="4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2"/>
        <v>0</v>
      </c>
      <c r="F13" s="411">
        <f t="shared" ref="F13:I13" si="5">+E13</f>
        <v>0</v>
      </c>
      <c r="G13" s="34">
        <f t="shared" si="5"/>
        <v>0</v>
      </c>
      <c r="H13" s="34">
        <f t="shared" si="5"/>
        <v>0</v>
      </c>
      <c r="I13" s="34">
        <f t="shared" si="5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2"/>
        <v>0</v>
      </c>
      <c r="F14" s="548">
        <f t="shared" ref="F14:I14" si="6">+E14</f>
        <v>0</v>
      </c>
      <c r="G14" s="36">
        <f t="shared" si="6"/>
        <v>0</v>
      </c>
      <c r="H14" s="36">
        <f t="shared" si="6"/>
        <v>0</v>
      </c>
      <c r="I14" s="36">
        <f t="shared" si="6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2"/>
        <v>0</v>
      </c>
      <c r="F15" s="549">
        <f t="shared" ref="F15:I15" si="7">+E15</f>
        <v>0</v>
      </c>
      <c r="G15" s="38">
        <f t="shared" si="7"/>
        <v>0</v>
      </c>
      <c r="H15" s="38">
        <f t="shared" si="7"/>
        <v>0</v>
      </c>
      <c r="I15" s="38">
        <f t="shared" si="7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250000</v>
      </c>
      <c r="C16" s="40">
        <f t="shared" ref="C16:I16" si="8">SUM(C9:C15)</f>
        <v>0</v>
      </c>
      <c r="D16" s="40">
        <f t="shared" si="8"/>
        <v>0</v>
      </c>
      <c r="E16" s="573">
        <f t="shared" si="8"/>
        <v>0</v>
      </c>
      <c r="F16" s="40">
        <f t="shared" si="8"/>
        <v>0</v>
      </c>
      <c r="G16" s="40">
        <f t="shared" si="8"/>
        <v>0</v>
      </c>
      <c r="H16" s="40">
        <f t="shared" si="8"/>
        <v>0</v>
      </c>
      <c r="I16" s="40">
        <f t="shared" si="8"/>
        <v>0</v>
      </c>
    </row>
    <row r="18" spans="1:10" x14ac:dyDescent="0.2">
      <c r="E18" s="416">
        <f>+E16-D16</f>
        <v>0</v>
      </c>
    </row>
    <row r="19" spans="1:10" ht="16" thickBot="1" x14ac:dyDescent="0.25">
      <c r="A19" s="25" t="s">
        <v>12</v>
      </c>
      <c r="B19" s="25"/>
      <c r="C19" s="25" t="s">
        <v>13</v>
      </c>
      <c r="D19" s="46" t="s">
        <v>89</v>
      </c>
      <c r="E19" s="46" t="s">
        <v>206</v>
      </c>
      <c r="F19" s="46" t="s">
        <v>225</v>
      </c>
      <c r="G19" s="46" t="s">
        <v>249</v>
      </c>
      <c r="H19" s="46" t="s">
        <v>308</v>
      </c>
      <c r="I19" s="46" t="s">
        <v>438</v>
      </c>
    </row>
    <row r="20" spans="1:10" ht="15" customHeight="1" thickTop="1" x14ac:dyDescent="0.2">
      <c r="A20" s="236"/>
      <c r="B20" s="127"/>
      <c r="C20" s="127"/>
      <c r="D20" s="128"/>
      <c r="E20" s="128"/>
      <c r="F20" s="128"/>
      <c r="G20" s="128"/>
      <c r="H20" s="128"/>
      <c r="I20" s="128"/>
    </row>
    <row r="21" spans="1:10" ht="13" customHeight="1" x14ac:dyDescent="0.2">
      <c r="A21" s="447"/>
      <c r="B21" s="825"/>
      <c r="C21" s="826" t="s">
        <v>717</v>
      </c>
      <c r="D21" s="448"/>
      <c r="E21" s="448"/>
      <c r="F21" s="203"/>
      <c r="G21" s="449"/>
      <c r="H21" s="449"/>
      <c r="I21" s="449"/>
      <c r="J21" s="17"/>
    </row>
    <row r="22" spans="1:10" ht="13" customHeight="1" x14ac:dyDescent="0.2">
      <c r="A22" s="696"/>
      <c r="B22" s="86"/>
      <c r="C22" s="86"/>
      <c r="D22" s="74"/>
      <c r="E22" s="74"/>
      <c r="F22" s="74"/>
      <c r="G22" s="73"/>
      <c r="H22" s="73"/>
      <c r="I22" s="73"/>
      <c r="J22" s="17"/>
    </row>
    <row r="23" spans="1:10" ht="13" customHeight="1" x14ac:dyDescent="0.2">
      <c r="A23" s="188"/>
      <c r="B23" s="133"/>
      <c r="C23" s="133"/>
      <c r="D23" s="70"/>
      <c r="E23" s="70"/>
      <c r="F23" s="70"/>
      <c r="G23" s="69"/>
      <c r="H23" s="69"/>
      <c r="I23" s="69"/>
      <c r="J23" s="17"/>
    </row>
    <row r="24" spans="1:10" ht="13" customHeight="1" x14ac:dyDescent="0.2">
      <c r="A24" s="105"/>
      <c r="B24" s="289"/>
      <c r="C24" s="289"/>
      <c r="D24" s="95"/>
      <c r="E24" s="95"/>
      <c r="F24" s="95"/>
      <c r="G24" s="104"/>
      <c r="H24" s="104"/>
      <c r="I24" s="104"/>
      <c r="J24" s="17"/>
    </row>
    <row r="25" spans="1:10" ht="13" customHeight="1" x14ac:dyDescent="0.2">
      <c r="A25" s="695"/>
      <c r="B25" s="85"/>
      <c r="C25" s="75"/>
      <c r="D25" s="69"/>
      <c r="E25" s="69"/>
      <c r="F25" s="69"/>
      <c r="G25" s="69"/>
      <c r="H25" s="69"/>
      <c r="I25" s="69"/>
      <c r="J25" s="17"/>
    </row>
    <row r="26" spans="1:10" ht="13" customHeight="1" x14ac:dyDescent="0.2">
      <c r="A26" s="692"/>
      <c r="B26" s="79"/>
      <c r="C26" s="76"/>
      <c r="D26" s="73"/>
      <c r="E26" s="73"/>
      <c r="F26" s="73"/>
      <c r="G26" s="73"/>
      <c r="H26" s="73"/>
      <c r="I26" s="73"/>
      <c r="J26" s="17"/>
    </row>
    <row r="27" spans="1:10" ht="13" customHeight="1" x14ac:dyDescent="0.2">
      <c r="A27" s="84"/>
      <c r="B27" s="85"/>
      <c r="C27" s="75"/>
      <c r="D27" s="69"/>
      <c r="E27" s="69"/>
      <c r="F27" s="69"/>
      <c r="G27" s="69"/>
      <c r="H27" s="69"/>
      <c r="I27" s="69"/>
      <c r="J27" s="17"/>
    </row>
    <row r="28" spans="1:10" ht="13" customHeight="1" x14ac:dyDescent="0.2">
      <c r="A28" s="78"/>
      <c r="B28" s="79"/>
      <c r="C28" s="76"/>
      <c r="D28" s="73"/>
      <c r="E28" s="73"/>
      <c r="F28" s="73"/>
      <c r="G28" s="73"/>
      <c r="H28" s="73"/>
      <c r="I28" s="73"/>
      <c r="J28" s="17"/>
    </row>
    <row r="29" spans="1:10" ht="13" customHeight="1" x14ac:dyDescent="0.2">
      <c r="A29" s="78"/>
      <c r="B29" s="79"/>
      <c r="C29" s="76"/>
      <c r="D29" s="73"/>
      <c r="E29" s="73"/>
      <c r="F29" s="73"/>
      <c r="G29" s="73"/>
      <c r="H29" s="73"/>
      <c r="I29" s="73"/>
      <c r="J29" s="17"/>
    </row>
    <row r="30" spans="1:10" ht="13" customHeight="1" x14ac:dyDescent="0.2">
      <c r="A30" s="78"/>
      <c r="B30" s="79"/>
      <c r="C30" s="76"/>
      <c r="D30" s="73"/>
      <c r="E30" s="73"/>
      <c r="F30" s="73"/>
      <c r="G30" s="73"/>
      <c r="H30" s="73"/>
      <c r="I30" s="73"/>
      <c r="J30" s="17"/>
    </row>
    <row r="31" spans="1:10" ht="13" customHeight="1" x14ac:dyDescent="0.2">
      <c r="A31" s="78"/>
      <c r="B31" s="79"/>
      <c r="C31" s="76"/>
      <c r="D31" s="74"/>
      <c r="E31" s="74"/>
      <c r="F31" s="74"/>
      <c r="G31" s="74"/>
      <c r="H31" s="74"/>
      <c r="I31" s="74"/>
      <c r="J31" s="17"/>
    </row>
    <row r="32" spans="1:10" ht="13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6.5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3"/>
      <c r="E39" s="73"/>
      <c r="F39" s="73"/>
      <c r="G39" s="73"/>
      <c r="H39" s="73"/>
      <c r="I39" s="73"/>
      <c r="J39" s="17"/>
    </row>
    <row r="40" spans="1:10" ht="13" customHeight="1" x14ac:dyDescent="0.2">
      <c r="A40" s="78"/>
      <c r="B40" s="79"/>
      <c r="C40" s="76"/>
      <c r="D40" s="73"/>
      <c r="E40" s="73"/>
      <c r="F40" s="73"/>
      <c r="G40" s="73"/>
      <c r="H40" s="73"/>
      <c r="I40" s="73"/>
      <c r="J40" s="17"/>
    </row>
    <row r="41" spans="1:10" ht="13" customHeight="1" x14ac:dyDescent="0.2">
      <c r="A41" s="78"/>
      <c r="B41" s="79"/>
      <c r="C41" s="76"/>
      <c r="D41" s="73"/>
      <c r="E41" s="73"/>
      <c r="F41" s="73"/>
      <c r="G41" s="73"/>
      <c r="H41" s="73"/>
      <c r="I41" s="73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17"/>
    </row>
    <row r="46" spans="1:10" ht="13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17"/>
    </row>
    <row r="47" spans="1:10" ht="13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17"/>
    </row>
    <row r="48" spans="1:10" ht="13" customHeight="1" x14ac:dyDescent="0.2">
      <c r="A48" s="82"/>
      <c r="B48" s="82"/>
      <c r="C48" s="82"/>
      <c r="D48" s="82"/>
      <c r="E48" s="82"/>
      <c r="F48" s="82"/>
      <c r="G48" s="82"/>
      <c r="H48" s="82"/>
      <c r="I48" s="82"/>
      <c r="J48" s="17"/>
    </row>
    <row r="49" spans="1:10" ht="13" customHeight="1" x14ac:dyDescent="0.2">
      <c r="A49" s="82"/>
      <c r="B49" s="82"/>
      <c r="C49" s="82"/>
      <c r="D49" s="82"/>
      <c r="E49" s="82"/>
      <c r="F49" s="82"/>
      <c r="G49" s="82"/>
      <c r="H49" s="82"/>
      <c r="I49" s="82"/>
      <c r="J49" s="17"/>
    </row>
    <row r="50" spans="1:10" ht="13" customHeight="1" x14ac:dyDescent="0.2">
      <c r="A50" s="82"/>
      <c r="B50" s="82"/>
      <c r="C50" s="82"/>
      <c r="D50" s="82"/>
      <c r="E50" s="82"/>
      <c r="F50" s="82"/>
      <c r="G50" s="82"/>
      <c r="H50" s="82"/>
      <c r="I50" s="82"/>
      <c r="J50" s="17"/>
    </row>
    <row r="51" spans="1:10" ht="13" customHeight="1" x14ac:dyDescent="0.2">
      <c r="A51" s="82"/>
      <c r="B51" s="82"/>
      <c r="C51" s="82"/>
      <c r="D51" s="82"/>
      <c r="E51" s="82"/>
      <c r="F51" s="82"/>
      <c r="G51" s="82"/>
      <c r="H51" s="82"/>
      <c r="I51" s="82"/>
      <c r="J51" s="17"/>
    </row>
    <row r="52" spans="1:10" ht="13" customHeight="1" x14ac:dyDescent="0.2">
      <c r="A52" s="82"/>
      <c r="B52" s="82"/>
      <c r="C52" s="82"/>
      <c r="D52" s="82"/>
      <c r="E52" s="82"/>
      <c r="F52" s="82"/>
      <c r="G52" s="82"/>
      <c r="H52" s="82"/>
      <c r="I52" s="82"/>
      <c r="J52" s="17"/>
    </row>
    <row r="53" spans="1:10" ht="13" customHeight="1" x14ac:dyDescent="0.2">
      <c r="A53" s="82"/>
      <c r="B53" s="82"/>
      <c r="C53" s="82"/>
      <c r="D53" s="82"/>
      <c r="E53" s="82"/>
      <c r="F53" s="82"/>
      <c r="G53" s="82"/>
      <c r="H53" s="82"/>
      <c r="I53" s="82"/>
      <c r="J53" s="17"/>
    </row>
    <row r="54" spans="1:10" ht="13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17"/>
    </row>
    <row r="55" spans="1:10" ht="13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theme="3"/>
    <pageSetUpPr fitToPage="1"/>
  </sheetPr>
  <dimension ref="A1:K60"/>
  <sheetViews>
    <sheetView topLeftCell="A8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27</v>
      </c>
      <c r="C6" s="963" t="s">
        <v>135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129561</v>
      </c>
      <c r="C9" s="34">
        <v>163434</v>
      </c>
      <c r="D9" s="227">
        <f>+C9+D21+D22+D23+D24</f>
        <v>165175</v>
      </c>
      <c r="E9" s="115">
        <f>+D9+E21+E22+E23+E24</f>
        <v>165635</v>
      </c>
      <c r="F9" s="411">
        <f>+E9</f>
        <v>165635</v>
      </c>
      <c r="G9" s="34">
        <f>+F9</f>
        <v>165635</v>
      </c>
      <c r="H9" s="227">
        <f t="shared" ref="F9:I15" si="0">+G9</f>
        <v>165635</v>
      </c>
      <c r="I9" s="51">
        <f t="shared" si="0"/>
        <v>165635</v>
      </c>
      <c r="K9" s="7">
        <v>100</v>
      </c>
    </row>
    <row r="10" spans="1:11" x14ac:dyDescent="0.2">
      <c r="A10" s="10" t="s">
        <v>5</v>
      </c>
      <c r="B10" s="43">
        <v>10436</v>
      </c>
      <c r="C10" s="36">
        <v>10436</v>
      </c>
      <c r="D10" s="230">
        <f>+C10</f>
        <v>10436</v>
      </c>
      <c r="E10" s="550">
        <f>+D10</f>
        <v>10436</v>
      </c>
      <c r="F10" s="548">
        <f t="shared" si="0"/>
        <v>10436</v>
      </c>
      <c r="G10" s="36">
        <f t="shared" si="0"/>
        <v>10436</v>
      </c>
      <c r="H10" s="230">
        <f t="shared" si="0"/>
        <v>10436</v>
      </c>
      <c r="I10" s="37">
        <f t="shared" si="0"/>
        <v>10436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ref="E11:E15" si="2">+D11</f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2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139997</v>
      </c>
      <c r="C16" s="40">
        <f t="shared" ref="C16:I16" si="3">SUM(C9:C15)</f>
        <v>173870</v>
      </c>
      <c r="D16" s="40">
        <f t="shared" si="3"/>
        <v>175611</v>
      </c>
      <c r="E16" s="573">
        <f t="shared" si="3"/>
        <v>176071</v>
      </c>
      <c r="F16" s="40">
        <f t="shared" si="3"/>
        <v>176071</v>
      </c>
      <c r="G16" s="40">
        <f t="shared" si="3"/>
        <v>176071</v>
      </c>
      <c r="H16" s="40">
        <f t="shared" si="3"/>
        <v>176071</v>
      </c>
      <c r="I16" s="40">
        <f t="shared" si="3"/>
        <v>176071</v>
      </c>
    </row>
    <row r="17" spans="1:10" x14ac:dyDescent="0.2">
      <c r="E17" s="213"/>
      <c r="F17" s="213"/>
    </row>
    <row r="18" spans="1:10" x14ac:dyDescent="0.2">
      <c r="E18" s="415">
        <f>+E16-D16</f>
        <v>460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450</v>
      </c>
      <c r="B20" s="79"/>
      <c r="C20" s="72"/>
      <c r="D20" s="73"/>
      <c r="E20" s="73"/>
      <c r="F20" s="73"/>
      <c r="G20" s="73"/>
      <c r="H20" s="73"/>
      <c r="I20" s="74"/>
    </row>
    <row r="21" spans="1:10" ht="12.75" customHeight="1" x14ac:dyDescent="0.2">
      <c r="A21" s="926" t="s">
        <v>824</v>
      </c>
      <c r="B21" s="85"/>
      <c r="C21" s="68">
        <v>100</v>
      </c>
      <c r="D21" s="925">
        <v>159</v>
      </c>
      <c r="E21" s="925">
        <v>951</v>
      </c>
      <c r="F21" s="69"/>
      <c r="G21" s="69"/>
      <c r="H21" s="70"/>
      <c r="I21" s="70"/>
    </row>
    <row r="22" spans="1:10" ht="13" customHeight="1" x14ac:dyDescent="0.2">
      <c r="A22" s="926" t="s">
        <v>899</v>
      </c>
      <c r="B22" s="93"/>
      <c r="C22" s="103">
        <v>100</v>
      </c>
      <c r="D22" s="925">
        <v>700</v>
      </c>
      <c r="E22" s="925">
        <v>-700</v>
      </c>
      <c r="F22" s="104"/>
      <c r="G22" s="104"/>
      <c r="H22" s="95"/>
      <c r="I22" s="95"/>
      <c r="J22" s="17"/>
    </row>
    <row r="23" spans="1:10" ht="13" customHeight="1" x14ac:dyDescent="0.2">
      <c r="A23" s="308" t="s">
        <v>949</v>
      </c>
      <c r="B23" s="154"/>
      <c r="C23" s="155">
        <v>100</v>
      </c>
      <c r="D23" s="144">
        <v>182</v>
      </c>
      <c r="E23" s="131">
        <v>909</v>
      </c>
      <c r="F23" s="144"/>
      <c r="G23" s="144"/>
      <c r="H23" s="145"/>
      <c r="I23" s="145"/>
      <c r="J23" s="17"/>
    </row>
    <row r="24" spans="1:10" ht="13" customHeight="1" x14ac:dyDescent="0.2">
      <c r="A24" s="306" t="s">
        <v>950</v>
      </c>
      <c r="B24" s="79"/>
      <c r="C24" s="72">
        <v>100</v>
      </c>
      <c r="D24" s="73">
        <v>700</v>
      </c>
      <c r="E24" s="106">
        <v>-700</v>
      </c>
      <c r="F24" s="73"/>
      <c r="G24" s="73"/>
      <c r="H24" s="74"/>
      <c r="I24" s="74"/>
      <c r="J24" s="17"/>
    </row>
    <row r="25" spans="1:10" ht="13" customHeight="1" x14ac:dyDescent="0.2">
      <c r="A25" s="101"/>
      <c r="B25" s="79"/>
      <c r="C25" s="72"/>
      <c r="D25" s="73"/>
      <c r="E25" s="106"/>
      <c r="F25" s="73"/>
      <c r="G25" s="73"/>
      <c r="H25" s="74"/>
      <c r="I25" s="74"/>
      <c r="J25" s="17"/>
    </row>
    <row r="26" spans="1:10" ht="13" customHeight="1" x14ac:dyDescent="0.2">
      <c r="A26" s="101"/>
      <c r="B26" s="79"/>
      <c r="C26" s="72"/>
      <c r="D26" s="73"/>
      <c r="E26" s="106"/>
      <c r="F26" s="73"/>
      <c r="G26" s="73"/>
      <c r="H26" s="74"/>
      <c r="I26" s="74"/>
      <c r="J26" s="17"/>
    </row>
    <row r="27" spans="1:10" ht="13" customHeight="1" x14ac:dyDescent="0.2">
      <c r="A27" s="101"/>
      <c r="B27" s="79"/>
      <c r="C27" s="72"/>
      <c r="D27" s="73"/>
      <c r="E27" s="106"/>
      <c r="F27" s="73"/>
      <c r="G27" s="73"/>
      <c r="H27" s="74"/>
      <c r="I27" s="74"/>
      <c r="J27" s="17"/>
    </row>
    <row r="28" spans="1:10" ht="13" customHeight="1" x14ac:dyDescent="0.2">
      <c r="A28" s="105"/>
      <c r="B28" s="93"/>
      <c r="C28" s="103"/>
      <c r="D28" s="104"/>
      <c r="E28" s="106"/>
      <c r="F28" s="104"/>
      <c r="G28" s="104"/>
      <c r="H28" s="95"/>
      <c r="I28" s="95"/>
      <c r="J28" s="17"/>
    </row>
    <row r="29" spans="1:10" ht="13" customHeight="1" x14ac:dyDescent="0.2">
      <c r="A29" s="174"/>
      <c r="B29" s="93"/>
      <c r="C29" s="103"/>
      <c r="D29" s="104"/>
      <c r="E29" s="104"/>
      <c r="F29" s="104"/>
      <c r="G29" s="104"/>
      <c r="H29" s="95"/>
      <c r="I29" s="95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4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0" ht="13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80"/>
      <c r="B41" s="79"/>
      <c r="C41" s="72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2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17"/>
    </row>
    <row r="60" spans="1:10" ht="13" customHeight="1" x14ac:dyDescent="0.2">
      <c r="A60" s="82"/>
      <c r="B60" s="82"/>
      <c r="C60" s="82"/>
      <c r="D60" s="82"/>
      <c r="E60" s="82"/>
      <c r="F60" s="82"/>
      <c r="G60" s="82"/>
      <c r="H60" s="82"/>
      <c r="I60" s="82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:A22">
    <cfRule type="expression" dxfId="118" priority="2">
      <formula>MOD(ROW(),2)=1</formula>
    </cfRule>
  </conditionalFormatting>
  <conditionalFormatting sqref="D21:E22">
    <cfRule type="expression" dxfId="117" priority="1">
      <formula>MOD(ROW(),2)=1</formula>
    </cfRule>
  </conditionalFormatting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theme="3"/>
  </sheetPr>
  <dimension ref="A1:K182"/>
  <sheetViews>
    <sheetView topLeftCell="A38" zoomScaleNormal="100" zoomScaleSheetLayoutView="90" workbookViewId="0">
      <selection activeCell="D62" sqref="D6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9.1640625" style="7"/>
    <col min="11" max="11" width="9.6640625" style="7" bestFit="1" customWidth="1"/>
    <col min="12" max="12" width="9.1640625" style="7"/>
    <col min="13" max="14" width="9.5" style="7" bestFit="1" customWidth="1"/>
    <col min="15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10</v>
      </c>
      <c r="C6" s="963" t="s">
        <v>134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16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20519487</v>
      </c>
      <c r="C9" s="34">
        <v>23170579</v>
      </c>
      <c r="D9" s="227">
        <f>+C9+D43+D45+D47+D49+D51+D53+D56+D58+D59+D61+D62+D66+D67+D68+D69+D70</f>
        <v>50147542</v>
      </c>
      <c r="E9" s="115">
        <f>+D9+E22+E30+E47+E43+E45+E49+E51+E53+E56+E58+E59+E61+E74+E76+E80+E81+E72+E83+E85+E89+E91+E93+E95+E96+E98+E62+E100+E66+E67+E103+E68+E107+E69+E70+E110+E112+E117+609297</f>
        <v>36119907</v>
      </c>
      <c r="F9" s="411">
        <f>+E9+F28+F30+F85+F93+F95+F103+F121</f>
        <v>36216142</v>
      </c>
      <c r="G9" s="34">
        <f>+F9+G93+G100+G122</f>
        <v>36444735</v>
      </c>
      <c r="H9" s="227">
        <f>+G9+H93+H122</f>
        <v>41732760</v>
      </c>
      <c r="I9" s="51">
        <f>+H9+I93</f>
        <v>41770105</v>
      </c>
      <c r="K9" s="7">
        <v>100</v>
      </c>
    </row>
    <row r="10" spans="1:11" x14ac:dyDescent="0.2">
      <c r="A10" s="10" t="s">
        <v>5</v>
      </c>
      <c r="B10" s="36">
        <f>75180133-'10LS-MDO-Legal Svcs'!B10+83695</f>
        <v>23689437</v>
      </c>
      <c r="C10" s="36">
        <v>30973162</v>
      </c>
      <c r="D10" s="230">
        <f>+C10+D42+D44+D46+D50+D52+D54+D55+D57+D60+D63+D109</f>
        <v>59119663</v>
      </c>
      <c r="E10" s="550">
        <f>+D10+E23+E25+E27+E29+E31+E33+E34+E35+E37+E38+E39+E40+E42+E44+E46+E50+E52+E54+E55+E57+E60+E73+E82+E75+E77+E78+E79+E84+E86+E88+E90+E92+E94+E97+E63+E101+E104+E106+E108+E109+E116+E118+E119+E120</f>
        <v>31588550</v>
      </c>
      <c r="F10" s="548">
        <f>+E10+F25+F29+F31+F88+F94+F97+F109</f>
        <v>32731938</v>
      </c>
      <c r="G10" s="36">
        <f>+F10+G25+G27+G29+G40+G101+G104+G123</f>
        <v>32754440</v>
      </c>
      <c r="H10" s="230">
        <f>+G10+H25+H27+H29+H123</f>
        <v>41578754</v>
      </c>
      <c r="I10" s="37">
        <f>+H10</f>
        <v>41578754</v>
      </c>
      <c r="K10" s="7">
        <v>200</v>
      </c>
    </row>
    <row r="11" spans="1:11" x14ac:dyDescent="0.2">
      <c r="A11" s="9" t="s">
        <v>6</v>
      </c>
      <c r="B11" s="34">
        <f>512627+325169</f>
        <v>837796</v>
      </c>
      <c r="C11" s="34">
        <v>1136979</v>
      </c>
      <c r="D11" s="227">
        <f>+C11+D48+D64</f>
        <v>41339979</v>
      </c>
      <c r="E11" s="115">
        <f>+D11+E32+E48+E87+E64+E102+E111+E113</f>
        <v>1556787</v>
      </c>
      <c r="F11" s="411">
        <f>+E11+F32+F87+F64+F113</f>
        <v>1190059</v>
      </c>
      <c r="G11" s="34">
        <f>+F11+G102+G124</f>
        <v>1190059</v>
      </c>
      <c r="H11" s="227">
        <f>+G11+H124</f>
        <v>1598979</v>
      </c>
      <c r="I11" s="35">
        <f>+H11</f>
        <v>1598979</v>
      </c>
      <c r="K11" s="7" t="s">
        <v>167</v>
      </c>
    </row>
    <row r="12" spans="1:11" x14ac:dyDescent="0.2">
      <c r="A12" s="10" t="s">
        <v>7</v>
      </c>
      <c r="B12" s="36">
        <v>258205</v>
      </c>
      <c r="C12" s="36">
        <v>0</v>
      </c>
      <c r="D12" s="230">
        <f>+C12+D65</f>
        <v>10000000</v>
      </c>
      <c r="E12" s="550">
        <f>+D12+E65+E114+E115</f>
        <v>1350000</v>
      </c>
      <c r="F12" s="548">
        <f>+E12</f>
        <v>1350000</v>
      </c>
      <c r="G12" s="36">
        <f t="shared" ref="E12:I15" si="0">+F12</f>
        <v>1350000</v>
      </c>
      <c r="H12" s="230">
        <f t="shared" si="0"/>
        <v>1350000</v>
      </c>
      <c r="I12" s="37">
        <f t="shared" si="0"/>
        <v>1350000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45304925</v>
      </c>
      <c r="C16" s="40">
        <f t="shared" ref="C16:I16" si="2">SUM(C9:C15)</f>
        <v>55280720</v>
      </c>
      <c r="D16" s="40">
        <f t="shared" si="2"/>
        <v>160607184</v>
      </c>
      <c r="E16" s="573">
        <f t="shared" si="2"/>
        <v>70615244</v>
      </c>
      <c r="F16" s="40">
        <f t="shared" si="2"/>
        <v>71488139</v>
      </c>
      <c r="G16" s="40">
        <f t="shared" si="2"/>
        <v>71739234</v>
      </c>
      <c r="H16" s="40">
        <f t="shared" si="2"/>
        <v>86260493</v>
      </c>
      <c r="I16" s="40">
        <f t="shared" si="2"/>
        <v>86297838</v>
      </c>
    </row>
    <row r="17" spans="1:9" x14ac:dyDescent="0.2">
      <c r="B17" s="855">
        <f>+'10LS-MDO-Legal Svcs'!B16</f>
        <v>51574391</v>
      </c>
      <c r="D17" s="437"/>
      <c r="E17" s="438"/>
    </row>
    <row r="18" spans="1:9" x14ac:dyDescent="0.2">
      <c r="B18" s="854">
        <f>+B17+B16</f>
        <v>96879316</v>
      </c>
      <c r="D18" s="437"/>
      <c r="E18" s="415">
        <f>+E16-D16</f>
        <v>-89991940</v>
      </c>
    </row>
    <row r="19" spans="1:9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9" ht="16" thickTop="1" x14ac:dyDescent="0.2">
      <c r="A20" s="236" t="s">
        <v>444</v>
      </c>
      <c r="B20" s="79"/>
      <c r="C20" s="72"/>
      <c r="D20" s="73"/>
      <c r="E20" s="73"/>
      <c r="F20" s="73"/>
      <c r="G20" s="73"/>
      <c r="H20" s="73"/>
      <c r="I20" s="74"/>
    </row>
    <row r="21" spans="1:9" ht="12.75" customHeight="1" x14ac:dyDescent="0.2">
      <c r="A21" s="168" t="s">
        <v>300</v>
      </c>
      <c r="B21" s="146"/>
      <c r="C21" s="242"/>
      <c r="D21" s="146"/>
      <c r="E21" s="146"/>
      <c r="F21" s="146"/>
      <c r="G21" s="146"/>
      <c r="H21" s="146"/>
      <c r="I21" s="146"/>
    </row>
    <row r="22" spans="1:9" ht="12.75" customHeight="1" x14ac:dyDescent="0.2">
      <c r="A22" s="341" t="s">
        <v>289</v>
      </c>
      <c r="C22" s="76">
        <v>100</v>
      </c>
      <c r="D22" s="74"/>
      <c r="E22" s="74">
        <v>-19074</v>
      </c>
      <c r="F22" s="74"/>
      <c r="G22" s="59"/>
      <c r="H22" s="59"/>
      <c r="I22" s="59"/>
    </row>
    <row r="23" spans="1:9" ht="12.75" customHeight="1" x14ac:dyDescent="0.2">
      <c r="A23" s="188"/>
      <c r="B23" s="146"/>
      <c r="C23" s="75">
        <v>200</v>
      </c>
      <c r="D23" s="70"/>
      <c r="E23" s="70">
        <v>-75472</v>
      </c>
      <c r="F23" s="70"/>
      <c r="G23" s="146"/>
      <c r="H23" s="146"/>
      <c r="I23" s="146"/>
    </row>
    <row r="24" spans="1:9" ht="12.75" customHeight="1" x14ac:dyDescent="0.2">
      <c r="A24" s="169" t="s">
        <v>309</v>
      </c>
      <c r="C24" s="76"/>
      <c r="D24" s="74"/>
      <c r="E24" s="74"/>
      <c r="F24" s="252"/>
      <c r="G24" s="252"/>
      <c r="H24" s="252"/>
      <c r="I24" s="252"/>
    </row>
    <row r="25" spans="1:9" ht="12.75" customHeight="1" x14ac:dyDescent="0.2">
      <c r="A25" s="188" t="s">
        <v>356</v>
      </c>
      <c r="B25" s="146"/>
      <c r="C25" s="75">
        <v>200</v>
      </c>
      <c r="D25" s="70"/>
      <c r="E25" s="70">
        <f>698462-681427</f>
        <v>17035</v>
      </c>
      <c r="F25" s="70">
        <v>17462</v>
      </c>
      <c r="G25" s="70">
        <v>17898</v>
      </c>
      <c r="H25" s="70">
        <v>18345</v>
      </c>
      <c r="I25" s="70"/>
    </row>
    <row r="26" spans="1:9" ht="12.75" customHeight="1" x14ac:dyDescent="0.2">
      <c r="A26" s="169" t="s">
        <v>358</v>
      </c>
      <c r="B26" s="59"/>
      <c r="C26" s="76"/>
      <c r="D26" s="74"/>
      <c r="E26" s="74"/>
      <c r="F26" s="74"/>
      <c r="G26" s="78"/>
      <c r="H26" s="78"/>
      <c r="I26" s="78"/>
    </row>
    <row r="27" spans="1:9" ht="12.75" customHeight="1" x14ac:dyDescent="0.2">
      <c r="A27" s="308" t="s">
        <v>365</v>
      </c>
      <c r="B27" s="146"/>
      <c r="C27" s="818">
        <v>200</v>
      </c>
      <c r="D27" s="637"/>
      <c r="E27" s="637">
        <v>-250000</v>
      </c>
      <c r="F27" s="637"/>
      <c r="G27" s="637">
        <v>250000</v>
      </c>
      <c r="H27" s="637">
        <v>-250000</v>
      </c>
      <c r="I27" s="637"/>
    </row>
    <row r="28" spans="1:9" ht="12.75" customHeight="1" x14ac:dyDescent="0.2">
      <c r="A28" s="306" t="s">
        <v>366</v>
      </c>
      <c r="B28" s="59"/>
      <c r="C28" s="594">
        <v>100</v>
      </c>
      <c r="D28" s="533"/>
      <c r="E28" s="533"/>
      <c r="F28" s="533">
        <v>73303</v>
      </c>
      <c r="G28" s="533"/>
      <c r="H28" s="533"/>
      <c r="I28" s="533"/>
    </row>
    <row r="29" spans="1:9" ht="12.75" customHeight="1" x14ac:dyDescent="0.2">
      <c r="A29" s="308"/>
      <c r="B29" s="146"/>
      <c r="C29" s="818">
        <v>200</v>
      </c>
      <c r="D29" s="637"/>
      <c r="E29" s="637">
        <v>324004</v>
      </c>
      <c r="F29" s="637">
        <v>1747117</v>
      </c>
      <c r="G29" s="637">
        <v>4604</v>
      </c>
      <c r="H29" s="637">
        <v>52669</v>
      </c>
      <c r="I29" s="637"/>
    </row>
    <row r="30" spans="1:9" ht="12.75" customHeight="1" x14ac:dyDescent="0.2">
      <c r="A30" s="306" t="s">
        <v>460</v>
      </c>
      <c r="B30" s="59"/>
      <c r="C30" s="594">
        <v>100</v>
      </c>
      <c r="D30" s="533"/>
      <c r="E30" s="533">
        <v>-354167</v>
      </c>
      <c r="F30" s="533">
        <v>-329166</v>
      </c>
      <c r="G30" s="533"/>
      <c r="H30" s="533"/>
      <c r="I30" s="533"/>
    </row>
    <row r="31" spans="1:9" ht="12.75" customHeight="1" x14ac:dyDescent="0.2">
      <c r="A31" s="308"/>
      <c r="B31" s="146"/>
      <c r="C31" s="818">
        <v>200</v>
      </c>
      <c r="D31" s="637"/>
      <c r="E31" s="637">
        <v>-133000</v>
      </c>
      <c r="F31" s="637">
        <v>-93000</v>
      </c>
      <c r="G31" s="637"/>
      <c r="H31" s="637"/>
      <c r="I31" s="637"/>
    </row>
    <row r="32" spans="1:9" ht="12.75" customHeight="1" x14ac:dyDescent="0.2">
      <c r="A32" s="306"/>
      <c r="B32" s="59"/>
      <c r="C32" s="594" t="s">
        <v>167</v>
      </c>
      <c r="D32" s="533"/>
      <c r="E32" s="533">
        <v>-51000</v>
      </c>
      <c r="F32" s="533">
        <v>-15000</v>
      </c>
      <c r="G32" s="533"/>
      <c r="H32" s="533"/>
      <c r="I32" s="533"/>
    </row>
    <row r="33" spans="1:9" ht="12.75" customHeight="1" x14ac:dyDescent="0.2">
      <c r="A33" s="308" t="s">
        <v>458</v>
      </c>
      <c r="B33" s="146"/>
      <c r="C33" s="818">
        <v>200</v>
      </c>
      <c r="D33" s="637"/>
      <c r="E33" s="637">
        <v>-295000</v>
      </c>
      <c r="F33" s="637"/>
      <c r="G33" s="70"/>
      <c r="H33" s="70"/>
      <c r="I33" s="70"/>
    </row>
    <row r="34" spans="1:9" ht="12.75" customHeight="1" x14ac:dyDescent="0.2">
      <c r="A34" s="82" t="s">
        <v>389</v>
      </c>
      <c r="B34" s="59"/>
      <c r="C34" s="89">
        <v>200</v>
      </c>
      <c r="D34" s="59"/>
      <c r="E34" s="74">
        <v>-100000</v>
      </c>
      <c r="F34" s="74"/>
      <c r="G34" s="74"/>
      <c r="H34" s="74"/>
      <c r="I34" s="74"/>
    </row>
    <row r="35" spans="1:9" ht="12.75" customHeight="1" x14ac:dyDescent="0.2">
      <c r="A35" s="308" t="s">
        <v>395</v>
      </c>
      <c r="B35" s="146"/>
      <c r="C35" s="818">
        <v>200</v>
      </c>
      <c r="D35" s="637"/>
      <c r="E35" s="637">
        <v>90000</v>
      </c>
      <c r="F35" s="637"/>
      <c r="G35" s="146"/>
      <c r="H35" s="146"/>
      <c r="I35" s="146"/>
    </row>
    <row r="36" spans="1:9" ht="12.75" customHeight="1" x14ac:dyDescent="0.2">
      <c r="A36" s="169" t="s">
        <v>358</v>
      </c>
      <c r="B36" s="59"/>
      <c r="C36" s="89"/>
      <c r="D36" s="59"/>
      <c r="E36" s="74"/>
      <c r="F36" s="59"/>
      <c r="G36" s="59"/>
      <c r="H36" s="59"/>
      <c r="I36" s="59"/>
    </row>
    <row r="37" spans="1:9" ht="12.75" customHeight="1" x14ac:dyDescent="0.2">
      <c r="A37" s="308" t="s">
        <v>407</v>
      </c>
      <c r="B37" s="146"/>
      <c r="C37" s="818">
        <v>200</v>
      </c>
      <c r="D37" s="637"/>
      <c r="E37" s="637">
        <v>-750000</v>
      </c>
      <c r="F37" s="637"/>
      <c r="G37" s="146"/>
      <c r="H37" s="146"/>
      <c r="I37" s="146"/>
    </row>
    <row r="38" spans="1:9" ht="12.75" customHeight="1" x14ac:dyDescent="0.2">
      <c r="A38" s="306" t="s">
        <v>415</v>
      </c>
      <c r="B38" s="59"/>
      <c r="C38" s="688">
        <v>200</v>
      </c>
      <c r="D38" s="59"/>
      <c r="E38" s="689">
        <v>-218000</v>
      </c>
      <c r="F38" s="689"/>
      <c r="G38" s="59"/>
      <c r="H38" s="59"/>
      <c r="I38" s="59"/>
    </row>
    <row r="39" spans="1:9" ht="12.75" customHeight="1" x14ac:dyDescent="0.2">
      <c r="A39" s="308" t="s">
        <v>423</v>
      </c>
      <c r="B39" s="146"/>
      <c r="C39" s="819">
        <v>200</v>
      </c>
      <c r="D39" s="146"/>
      <c r="E39" s="820">
        <v>-55000</v>
      </c>
      <c r="F39" s="820"/>
      <c r="G39" s="821"/>
      <c r="H39" s="146"/>
      <c r="I39" s="146"/>
    </row>
    <row r="40" spans="1:9" ht="12.75" customHeight="1" x14ac:dyDescent="0.2">
      <c r="A40" s="400" t="s">
        <v>459</v>
      </c>
      <c r="B40" s="221"/>
      <c r="C40" s="722">
        <v>200</v>
      </c>
      <c r="D40" s="221"/>
      <c r="E40" s="723">
        <v>250000</v>
      </c>
      <c r="F40" s="723"/>
      <c r="G40" s="723">
        <v>-250000</v>
      </c>
      <c r="H40" s="723"/>
      <c r="I40" s="221"/>
    </row>
    <row r="41" spans="1:9" ht="12.75" customHeight="1" x14ac:dyDescent="0.2">
      <c r="A41" s="822" t="s">
        <v>494</v>
      </c>
      <c r="B41" s="146"/>
      <c r="C41" s="87"/>
      <c r="D41" s="146"/>
      <c r="E41" s="70"/>
      <c r="F41" s="146"/>
      <c r="G41" s="146"/>
      <c r="H41" s="146"/>
      <c r="I41" s="146"/>
    </row>
    <row r="42" spans="1:9" ht="12.75" customHeight="1" x14ac:dyDescent="0.2">
      <c r="A42" s="880" t="s">
        <v>570</v>
      </c>
      <c r="B42" s="59"/>
      <c r="C42" s="89">
        <v>200</v>
      </c>
      <c r="D42" s="74">
        <f>852000+475792</f>
        <v>1327792</v>
      </c>
      <c r="E42" s="74">
        <f>-1327792</f>
        <v>-1327792</v>
      </c>
      <c r="F42" s="74"/>
      <c r="G42" s="74"/>
      <c r="H42" s="74"/>
      <c r="I42" s="74"/>
    </row>
    <row r="43" spans="1:9" ht="12.75" customHeight="1" x14ac:dyDescent="0.2">
      <c r="A43" s="308" t="s">
        <v>501</v>
      </c>
      <c r="B43" s="146"/>
      <c r="C43" s="87">
        <v>100</v>
      </c>
      <c r="D43" s="70">
        <v>481334</v>
      </c>
      <c r="E43" s="70"/>
      <c r="F43" s="146"/>
      <c r="G43" s="146"/>
      <c r="H43" s="146"/>
      <c r="I43" s="146"/>
    </row>
    <row r="44" spans="1:9" ht="12.75" customHeight="1" x14ac:dyDescent="0.2">
      <c r="A44" s="306" t="s">
        <v>523</v>
      </c>
      <c r="B44" s="59"/>
      <c r="C44" s="594">
        <v>200</v>
      </c>
      <c r="D44" s="533">
        <v>144000</v>
      </c>
      <c r="E44" s="533">
        <v>-144000</v>
      </c>
      <c r="F44" s="533"/>
      <c r="G44" s="533"/>
      <c r="H44" s="533"/>
      <c r="I44" s="533"/>
    </row>
    <row r="45" spans="1:9" ht="12.75" customHeight="1" x14ac:dyDescent="0.2">
      <c r="A45" s="308" t="s">
        <v>545</v>
      </c>
      <c r="B45" s="146"/>
      <c r="C45" s="818">
        <v>100</v>
      </c>
      <c r="D45" s="637">
        <v>380000</v>
      </c>
      <c r="E45" s="637"/>
      <c r="F45" s="637"/>
      <c r="G45" s="637"/>
      <c r="H45" s="637"/>
      <c r="I45" s="637"/>
    </row>
    <row r="46" spans="1:9" ht="12.75" customHeight="1" x14ac:dyDescent="0.2">
      <c r="A46" s="306" t="s">
        <v>522</v>
      </c>
      <c r="B46" s="59"/>
      <c r="C46" s="594">
        <v>200</v>
      </c>
      <c r="D46" s="533">
        <v>-173300</v>
      </c>
      <c r="E46" s="533">
        <v>173300</v>
      </c>
      <c r="F46" s="533"/>
      <c r="G46" s="533"/>
      <c r="H46" s="533"/>
      <c r="I46" s="533"/>
    </row>
    <row r="47" spans="1:9" ht="12.75" customHeight="1" x14ac:dyDescent="0.2">
      <c r="A47" s="308"/>
      <c r="B47" s="146"/>
      <c r="C47" s="818">
        <v>100</v>
      </c>
      <c r="D47" s="637">
        <v>109200</v>
      </c>
      <c r="E47" s="637">
        <v>-109200</v>
      </c>
      <c r="F47" s="637"/>
      <c r="G47" s="70"/>
      <c r="H47" s="70"/>
      <c r="I47" s="70"/>
    </row>
    <row r="48" spans="1:9" ht="12.75" customHeight="1" x14ac:dyDescent="0.2">
      <c r="A48" s="82"/>
      <c r="B48" s="59"/>
      <c r="C48" s="594" t="s">
        <v>167</v>
      </c>
      <c r="D48" s="533">
        <v>203000</v>
      </c>
      <c r="E48" s="74">
        <v>-203000</v>
      </c>
      <c r="F48" s="74"/>
      <c r="G48" s="74"/>
      <c r="H48" s="74"/>
      <c r="I48" s="74"/>
    </row>
    <row r="49" spans="1:9" ht="12.75" customHeight="1" x14ac:dyDescent="0.2">
      <c r="A49" s="308" t="s">
        <v>507</v>
      </c>
      <c r="B49" s="146"/>
      <c r="C49" s="818">
        <v>100</v>
      </c>
      <c r="D49" s="637">
        <f>183500+39750</f>
        <v>223250</v>
      </c>
      <c r="E49" s="637"/>
      <c r="F49" s="637"/>
      <c r="G49" s="637"/>
      <c r="H49" s="637"/>
      <c r="I49" s="637"/>
    </row>
    <row r="50" spans="1:9" ht="12.75" customHeight="1" x14ac:dyDescent="0.2">
      <c r="A50" s="306" t="s">
        <v>571</v>
      </c>
      <c r="B50" s="59"/>
      <c r="C50" s="594">
        <v>200</v>
      </c>
      <c r="D50" s="533">
        <v>83200</v>
      </c>
      <c r="E50" s="533">
        <v>-83200</v>
      </c>
      <c r="F50" s="533"/>
      <c r="G50" s="533"/>
      <c r="H50" s="533"/>
      <c r="I50" s="533"/>
    </row>
    <row r="51" spans="1:9" ht="12.75" customHeight="1" x14ac:dyDescent="0.2">
      <c r="A51" s="308" t="s">
        <v>572</v>
      </c>
      <c r="B51" s="146"/>
      <c r="C51" s="818">
        <v>100</v>
      </c>
      <c r="D51" s="637">
        <v>236964</v>
      </c>
      <c r="E51" s="637">
        <v>-236964</v>
      </c>
      <c r="F51" s="637"/>
      <c r="G51" s="146"/>
      <c r="H51" s="146"/>
      <c r="I51" s="146"/>
    </row>
    <row r="52" spans="1:9" ht="12.75" customHeight="1" x14ac:dyDescent="0.2">
      <c r="A52" s="306" t="s">
        <v>573</v>
      </c>
      <c r="B52" s="59"/>
      <c r="C52" s="594">
        <v>200</v>
      </c>
      <c r="D52" s="533">
        <v>750000</v>
      </c>
      <c r="E52" s="533">
        <v>-750000</v>
      </c>
      <c r="F52" s="533"/>
      <c r="G52" s="533"/>
      <c r="H52" s="533"/>
      <c r="I52" s="533"/>
    </row>
    <row r="53" spans="1:9" ht="12.75" customHeight="1" x14ac:dyDescent="0.2">
      <c r="A53" s="308" t="s">
        <v>574</v>
      </c>
      <c r="B53" s="146"/>
      <c r="C53" s="818">
        <v>100</v>
      </c>
      <c r="D53" s="637">
        <v>175000</v>
      </c>
      <c r="E53" s="637">
        <v>-175000</v>
      </c>
      <c r="F53" s="637"/>
      <c r="G53" s="70"/>
      <c r="H53" s="70"/>
      <c r="I53" s="70"/>
    </row>
    <row r="54" spans="1:9" ht="12.75" customHeight="1" x14ac:dyDescent="0.2">
      <c r="A54" s="832"/>
      <c r="B54" s="59"/>
      <c r="C54" s="594">
        <v>200</v>
      </c>
      <c r="D54" s="533">
        <v>575000</v>
      </c>
      <c r="E54" s="74">
        <v>-575000</v>
      </c>
      <c r="F54" s="74"/>
      <c r="G54" s="74"/>
      <c r="H54" s="74"/>
      <c r="I54" s="74"/>
    </row>
    <row r="55" spans="1:9" ht="12.75" customHeight="1" x14ac:dyDescent="0.2">
      <c r="A55" s="308" t="s">
        <v>575</v>
      </c>
      <c r="B55" s="146"/>
      <c r="C55" s="818">
        <v>200</v>
      </c>
      <c r="D55" s="637">
        <v>250000</v>
      </c>
      <c r="E55" s="637">
        <v>-250000</v>
      </c>
      <c r="F55" s="637"/>
      <c r="G55" s="637"/>
      <c r="H55" s="637"/>
      <c r="I55" s="637"/>
    </row>
    <row r="56" spans="1:9" ht="12.75" customHeight="1" x14ac:dyDescent="0.2">
      <c r="A56" s="306" t="s">
        <v>576</v>
      </c>
      <c r="B56" s="59"/>
      <c r="C56" s="594">
        <v>100</v>
      </c>
      <c r="D56" s="533">
        <v>220000</v>
      </c>
      <c r="E56" s="533">
        <v>-220000</v>
      </c>
      <c r="F56" s="533"/>
      <c r="G56" s="533"/>
      <c r="H56" s="533"/>
      <c r="I56" s="533"/>
    </row>
    <row r="57" spans="1:9" ht="12.75" customHeight="1" x14ac:dyDescent="0.2">
      <c r="A57" s="308" t="s">
        <v>577</v>
      </c>
      <c r="B57" s="146"/>
      <c r="C57" s="818">
        <v>200</v>
      </c>
      <c r="D57" s="637">
        <v>150000</v>
      </c>
      <c r="E57" s="637">
        <v>-150000</v>
      </c>
      <c r="F57" s="637"/>
      <c r="G57" s="146"/>
      <c r="H57" s="146"/>
      <c r="I57" s="146"/>
    </row>
    <row r="58" spans="1:9" ht="12.75" customHeight="1" x14ac:dyDescent="0.2">
      <c r="A58" s="306" t="s">
        <v>578</v>
      </c>
      <c r="B58" s="59"/>
      <c r="C58" s="594">
        <v>100</v>
      </c>
      <c r="D58" s="533">
        <v>62500</v>
      </c>
      <c r="E58" s="533">
        <v>-62500</v>
      </c>
      <c r="F58" s="533"/>
      <c r="G58" s="533"/>
      <c r="H58" s="533"/>
      <c r="I58" s="533"/>
    </row>
    <row r="59" spans="1:9" ht="12.75" customHeight="1" x14ac:dyDescent="0.2">
      <c r="A59" s="308" t="s">
        <v>579</v>
      </c>
      <c r="B59" s="146"/>
      <c r="C59" s="818">
        <v>100</v>
      </c>
      <c r="D59" s="637">
        <v>50000</v>
      </c>
      <c r="E59" s="637">
        <v>-50000</v>
      </c>
      <c r="F59" s="637"/>
      <c r="G59" s="70"/>
      <c r="H59" s="70"/>
      <c r="I59" s="70"/>
    </row>
    <row r="60" spans="1:9" ht="12.75" customHeight="1" x14ac:dyDescent="0.2">
      <c r="A60" s="832" t="s">
        <v>547</v>
      </c>
      <c r="B60" s="59"/>
      <c r="C60" s="594">
        <v>200</v>
      </c>
      <c r="D60" s="533">
        <v>488000</v>
      </c>
      <c r="E60" s="74">
        <v>-488000</v>
      </c>
      <c r="F60" s="74"/>
      <c r="G60" s="74"/>
      <c r="H60" s="74"/>
      <c r="I60" s="74"/>
    </row>
    <row r="61" spans="1:9" ht="12.75" customHeight="1" x14ac:dyDescent="0.2">
      <c r="A61" s="308" t="s">
        <v>595</v>
      </c>
      <c r="B61" s="146"/>
      <c r="C61" s="818">
        <v>100</v>
      </c>
      <c r="D61" s="637">
        <v>-220000</v>
      </c>
      <c r="E61" s="637">
        <v>220000</v>
      </c>
      <c r="F61" s="637"/>
      <c r="G61" s="637"/>
      <c r="H61" s="637"/>
      <c r="I61" s="637"/>
    </row>
    <row r="62" spans="1:9" x14ac:dyDescent="0.2">
      <c r="A62" s="896" t="s">
        <v>810</v>
      </c>
      <c r="B62" s="59"/>
      <c r="C62" s="899">
        <v>100</v>
      </c>
      <c r="D62" s="533">
        <v>25000000</v>
      </c>
      <c r="E62" s="74">
        <v>-25000000</v>
      </c>
      <c r="F62" s="74"/>
      <c r="G62" s="74"/>
      <c r="H62" s="74"/>
      <c r="I62" s="74"/>
    </row>
    <row r="63" spans="1:9" x14ac:dyDescent="0.2">
      <c r="A63" s="308"/>
      <c r="B63" s="146"/>
      <c r="C63" s="818">
        <v>200</v>
      </c>
      <c r="D63" s="637">
        <v>25000000</v>
      </c>
      <c r="E63" s="637">
        <v>-25000000</v>
      </c>
      <c r="F63" s="637"/>
      <c r="G63" s="637"/>
      <c r="H63" s="637"/>
      <c r="I63" s="637"/>
    </row>
    <row r="64" spans="1:9" x14ac:dyDescent="0.2">
      <c r="A64" s="896"/>
      <c r="B64" s="59"/>
      <c r="C64" s="899" t="s">
        <v>167</v>
      </c>
      <c r="D64" s="533">
        <f>25000000+15000000</f>
        <v>40000000</v>
      </c>
      <c r="E64" s="74">
        <v>-40000000</v>
      </c>
      <c r="F64" s="74"/>
      <c r="G64" s="74"/>
      <c r="H64" s="74"/>
      <c r="I64" s="74"/>
    </row>
    <row r="65" spans="1:11" x14ac:dyDescent="0.2">
      <c r="A65" s="308"/>
      <c r="B65" s="146"/>
      <c r="C65" s="818">
        <v>500</v>
      </c>
      <c r="D65" s="637">
        <v>10000000</v>
      </c>
      <c r="E65" s="637">
        <v>-10000000</v>
      </c>
      <c r="F65" s="637"/>
      <c r="G65" s="637"/>
      <c r="H65" s="637"/>
      <c r="I65" s="637"/>
    </row>
    <row r="66" spans="1:11" x14ac:dyDescent="0.2">
      <c r="A66" s="896" t="s">
        <v>823</v>
      </c>
      <c r="B66" s="59"/>
      <c r="C66" s="899">
        <v>100</v>
      </c>
      <c r="D66" s="533">
        <v>362</v>
      </c>
      <c r="E66" s="74">
        <v>25169</v>
      </c>
      <c r="F66" s="74"/>
      <c r="G66" s="74"/>
      <c r="H66" s="74"/>
      <c r="I66" s="74"/>
    </row>
    <row r="67" spans="1:11" x14ac:dyDescent="0.2">
      <c r="A67" s="308" t="s">
        <v>928</v>
      </c>
      <c r="B67" s="146"/>
      <c r="C67" s="818">
        <v>100</v>
      </c>
      <c r="D67" s="637">
        <v>1150</v>
      </c>
      <c r="E67" s="637">
        <v>-1150</v>
      </c>
      <c r="F67" s="637"/>
      <c r="G67" s="637"/>
      <c r="H67" s="637"/>
      <c r="I67" s="637"/>
    </row>
    <row r="68" spans="1:11" ht="12.75" customHeight="1" x14ac:dyDescent="0.2">
      <c r="A68" s="896" t="s">
        <v>887</v>
      </c>
      <c r="B68" s="59"/>
      <c r="C68" s="899">
        <v>100</v>
      </c>
      <c r="D68" s="533">
        <v>220000</v>
      </c>
      <c r="E68" s="74"/>
      <c r="F68" s="74"/>
      <c r="G68" s="74"/>
      <c r="H68" s="74"/>
      <c r="I68" s="74"/>
    </row>
    <row r="69" spans="1:11" ht="12.75" customHeight="1" x14ac:dyDescent="0.2">
      <c r="A69" s="308" t="s">
        <v>933</v>
      </c>
      <c r="B69" s="146"/>
      <c r="C69" s="818">
        <v>100</v>
      </c>
      <c r="D69" s="637">
        <v>8403</v>
      </c>
      <c r="E69" s="637">
        <v>42012</v>
      </c>
      <c r="F69" s="637"/>
      <c r="G69" s="637"/>
      <c r="H69" s="637"/>
      <c r="I69" s="637"/>
    </row>
    <row r="70" spans="1:11" ht="12.75" customHeight="1" x14ac:dyDescent="0.2">
      <c r="A70" s="896" t="s">
        <v>934</v>
      </c>
      <c r="B70" s="59"/>
      <c r="C70" s="899">
        <v>100</v>
      </c>
      <c r="D70" s="533">
        <v>28800</v>
      </c>
      <c r="E70" s="74">
        <v>-28800</v>
      </c>
      <c r="F70" s="74"/>
      <c r="G70" s="74"/>
      <c r="H70" s="74"/>
      <c r="I70" s="74"/>
    </row>
    <row r="71" spans="1:11" x14ac:dyDescent="0.2">
      <c r="A71" s="323" t="s">
        <v>596</v>
      </c>
      <c r="B71" s="146"/>
      <c r="C71" s="818"/>
      <c r="D71" s="637"/>
      <c r="E71" s="637"/>
      <c r="F71" s="637"/>
      <c r="G71" s="637"/>
      <c r="H71" s="637"/>
      <c r="I71" s="637"/>
    </row>
    <row r="72" spans="1:11" ht="12.75" customHeight="1" x14ac:dyDescent="0.2">
      <c r="A72" s="896" t="s">
        <v>666</v>
      </c>
      <c r="B72" s="59"/>
      <c r="C72" s="899">
        <v>100</v>
      </c>
      <c r="D72" s="533"/>
      <c r="E72" s="74">
        <f>11400+83200</f>
        <v>94600</v>
      </c>
      <c r="F72" s="74"/>
      <c r="G72" s="74"/>
      <c r="H72" s="74"/>
      <c r="I72" s="74"/>
    </row>
    <row r="73" spans="1:11" ht="12.75" customHeight="1" x14ac:dyDescent="0.2">
      <c r="A73" s="308"/>
      <c r="B73" s="146"/>
      <c r="C73" s="818">
        <v>200</v>
      </c>
      <c r="D73" s="637"/>
      <c r="E73" s="637">
        <f>83200+580835</f>
        <v>664035</v>
      </c>
      <c r="F73" s="637"/>
      <c r="G73" s="637"/>
      <c r="H73" s="637"/>
      <c r="I73" s="637"/>
      <c r="J73" s="7" t="s">
        <v>398</v>
      </c>
      <c r="K73" s="214"/>
    </row>
    <row r="74" spans="1:11" ht="12.75" customHeight="1" x14ac:dyDescent="0.2">
      <c r="A74" s="896" t="s">
        <v>715</v>
      </c>
      <c r="B74" s="59"/>
      <c r="C74" s="899">
        <v>100</v>
      </c>
      <c r="D74" s="533"/>
      <c r="E74" s="74">
        <f>236964+91702</f>
        <v>328666</v>
      </c>
      <c r="F74" s="74"/>
      <c r="G74" s="74"/>
      <c r="H74" s="74"/>
      <c r="I74" s="74"/>
      <c r="J74" s="7" t="s">
        <v>398</v>
      </c>
    </row>
    <row r="75" spans="1:11" ht="12.75" customHeight="1" x14ac:dyDescent="0.2">
      <c r="A75" s="308" t="s">
        <v>601</v>
      </c>
      <c r="B75" s="146"/>
      <c r="C75" s="818">
        <v>200</v>
      </c>
      <c r="D75" s="637"/>
      <c r="E75" s="637">
        <f>750000+250000</f>
        <v>1000000</v>
      </c>
      <c r="F75" s="637"/>
      <c r="G75" s="637"/>
      <c r="H75" s="637"/>
      <c r="I75" s="637"/>
      <c r="J75" s="7" t="s">
        <v>398</v>
      </c>
    </row>
    <row r="76" spans="1:11" ht="12.75" customHeight="1" x14ac:dyDescent="0.2">
      <c r="A76" s="896" t="s">
        <v>602</v>
      </c>
      <c r="B76" s="59"/>
      <c r="C76" s="899">
        <v>100</v>
      </c>
      <c r="D76" s="533"/>
      <c r="E76" s="74">
        <v>175000</v>
      </c>
      <c r="F76" s="74"/>
      <c r="G76" s="74"/>
      <c r="H76" s="74"/>
      <c r="I76" s="74"/>
      <c r="J76" s="7" t="s">
        <v>398</v>
      </c>
    </row>
    <row r="77" spans="1:11" ht="12.75" customHeight="1" x14ac:dyDescent="0.2">
      <c r="A77" s="308"/>
      <c r="B77" s="146"/>
      <c r="C77" s="818">
        <v>200</v>
      </c>
      <c r="D77" s="637"/>
      <c r="E77" s="637">
        <v>575000</v>
      </c>
      <c r="F77" s="637"/>
      <c r="G77" s="637"/>
      <c r="H77" s="637"/>
      <c r="I77" s="637"/>
      <c r="J77" s="7" t="s">
        <v>398</v>
      </c>
    </row>
    <row r="78" spans="1:11" ht="12.75" customHeight="1" x14ac:dyDescent="0.2">
      <c r="A78" s="896" t="s">
        <v>603</v>
      </c>
      <c r="B78" s="59"/>
      <c r="C78" s="899">
        <v>200</v>
      </c>
      <c r="D78" s="533"/>
      <c r="E78" s="74">
        <v>250000</v>
      </c>
      <c r="F78" s="74"/>
      <c r="G78" s="74"/>
      <c r="H78" s="74"/>
      <c r="I78" s="74"/>
      <c r="J78" s="7" t="s">
        <v>398</v>
      </c>
    </row>
    <row r="79" spans="1:11" ht="12.75" customHeight="1" x14ac:dyDescent="0.2">
      <c r="A79" s="308" t="s">
        <v>604</v>
      </c>
      <c r="B79" s="146"/>
      <c r="C79" s="818">
        <v>200</v>
      </c>
      <c r="D79" s="637"/>
      <c r="E79" s="637">
        <v>150000</v>
      </c>
      <c r="F79" s="637"/>
      <c r="G79" s="637"/>
      <c r="H79" s="637"/>
      <c r="I79" s="637"/>
      <c r="J79" s="7" t="s">
        <v>398</v>
      </c>
    </row>
    <row r="80" spans="1:11" ht="12.75" customHeight="1" x14ac:dyDescent="0.2">
      <c r="A80" s="896" t="s">
        <v>605</v>
      </c>
      <c r="B80" s="59"/>
      <c r="C80" s="899">
        <v>100</v>
      </c>
      <c r="D80" s="533"/>
      <c r="E80" s="74">
        <v>125000</v>
      </c>
      <c r="F80" s="74"/>
      <c r="G80" s="74"/>
      <c r="H80" s="74"/>
      <c r="I80" s="74"/>
      <c r="J80" s="7" t="s">
        <v>398</v>
      </c>
    </row>
    <row r="81" spans="1:10" ht="12.75" customHeight="1" x14ac:dyDescent="0.2">
      <c r="A81" s="308" t="s">
        <v>606</v>
      </c>
      <c r="B81" s="146"/>
      <c r="C81" s="818">
        <v>100</v>
      </c>
      <c r="D81" s="637"/>
      <c r="E81" s="637">
        <v>100000</v>
      </c>
      <c r="F81" s="637"/>
      <c r="G81" s="637"/>
      <c r="H81" s="637"/>
      <c r="I81" s="637"/>
      <c r="J81" s="7" t="s">
        <v>398</v>
      </c>
    </row>
    <row r="82" spans="1:10" ht="12.75" customHeight="1" x14ac:dyDescent="0.2">
      <c r="A82" s="896" t="s">
        <v>600</v>
      </c>
      <c r="B82" s="59"/>
      <c r="C82" s="899">
        <v>200</v>
      </c>
      <c r="D82" s="533"/>
      <c r="E82" s="74">
        <f>1327792+1667853</f>
        <v>2995645</v>
      </c>
      <c r="F82" s="74"/>
      <c r="G82" s="74"/>
      <c r="H82" s="74"/>
      <c r="I82" s="74"/>
      <c r="J82" s="7" t="s">
        <v>398</v>
      </c>
    </row>
    <row r="83" spans="1:10" ht="12.75" customHeight="1" x14ac:dyDescent="0.2">
      <c r="A83" s="308" t="s">
        <v>667</v>
      </c>
      <c r="B83" s="146"/>
      <c r="C83" s="818">
        <v>100</v>
      </c>
      <c r="D83" s="637"/>
      <c r="E83" s="637">
        <v>183500</v>
      </c>
      <c r="F83" s="637"/>
      <c r="G83" s="637"/>
      <c r="H83" s="637"/>
      <c r="I83" s="637"/>
      <c r="J83" s="7" t="s">
        <v>398</v>
      </c>
    </row>
    <row r="84" spans="1:10" ht="12.75" customHeight="1" x14ac:dyDescent="0.2">
      <c r="A84" s="896" t="s">
        <v>694</v>
      </c>
      <c r="B84" s="59"/>
      <c r="C84" s="899">
        <v>200</v>
      </c>
      <c r="D84" s="533"/>
      <c r="E84" s="74">
        <v>188000</v>
      </c>
      <c r="F84" s="74"/>
      <c r="G84" s="74"/>
      <c r="H84" s="74"/>
      <c r="I84" s="74"/>
    </row>
    <row r="85" spans="1:10" ht="12.75" customHeight="1" x14ac:dyDescent="0.2">
      <c r="A85" s="308" t="s">
        <v>695</v>
      </c>
      <c r="B85" s="146"/>
      <c r="C85" s="818">
        <v>100</v>
      </c>
      <c r="D85" s="637"/>
      <c r="E85" s="637">
        <v>443076</v>
      </c>
      <c r="F85" s="637">
        <f>951345-E85</f>
        <v>508269</v>
      </c>
      <c r="G85" s="637"/>
      <c r="H85" s="637"/>
      <c r="I85" s="637"/>
    </row>
    <row r="86" spans="1:10" ht="12.75" customHeight="1" x14ac:dyDescent="0.2">
      <c r="A86" s="896"/>
      <c r="B86" s="59"/>
      <c r="C86" s="899">
        <v>200</v>
      </c>
      <c r="D86" s="533"/>
      <c r="E86" s="74">
        <v>1000</v>
      </c>
      <c r="F86" s="74"/>
      <c r="G86" s="74"/>
      <c r="H86" s="74"/>
      <c r="I86" s="74"/>
    </row>
    <row r="87" spans="1:10" ht="12.75" customHeight="1" x14ac:dyDescent="0.2">
      <c r="A87" s="308"/>
      <c r="B87" s="146"/>
      <c r="C87" s="818" t="s">
        <v>167</v>
      </c>
      <c r="D87" s="637"/>
      <c r="E87" s="637">
        <v>50000</v>
      </c>
      <c r="F87" s="637">
        <f>18000-E87</f>
        <v>-32000</v>
      </c>
      <c r="G87" s="637"/>
      <c r="H87" s="637"/>
      <c r="I87" s="637"/>
    </row>
    <row r="88" spans="1:10" ht="12.75" customHeight="1" x14ac:dyDescent="0.2">
      <c r="A88" s="896" t="s">
        <v>668</v>
      </c>
      <c r="B88" s="59"/>
      <c r="C88" s="899">
        <v>200</v>
      </c>
      <c r="D88" s="533"/>
      <c r="E88" s="74">
        <v>250000</v>
      </c>
      <c r="F88" s="74">
        <v>-250000</v>
      </c>
      <c r="G88" s="74"/>
      <c r="H88" s="74"/>
      <c r="I88" s="74"/>
    </row>
    <row r="89" spans="1:10" ht="12.75" customHeight="1" x14ac:dyDescent="0.2">
      <c r="A89" s="308" t="s">
        <v>673</v>
      </c>
      <c r="B89" s="146"/>
      <c r="C89" s="818">
        <v>100</v>
      </c>
      <c r="D89" s="637"/>
      <c r="E89" s="637">
        <v>470000</v>
      </c>
      <c r="F89" s="637"/>
      <c r="G89" s="637"/>
      <c r="H89" s="637"/>
      <c r="I89" s="637"/>
    </row>
    <row r="90" spans="1:10" ht="12.75" customHeight="1" x14ac:dyDescent="0.2">
      <c r="A90" s="896"/>
      <c r="B90" s="59"/>
      <c r="C90" s="899">
        <v>200</v>
      </c>
      <c r="D90" s="533"/>
      <c r="E90" s="74">
        <v>1555000</v>
      </c>
      <c r="F90" s="74"/>
      <c r="G90" s="74"/>
      <c r="H90" s="74"/>
      <c r="I90" s="74"/>
    </row>
    <row r="91" spans="1:10" ht="12.75" customHeight="1" x14ac:dyDescent="0.2">
      <c r="A91" s="308" t="s">
        <v>674</v>
      </c>
      <c r="B91" s="146"/>
      <c r="C91" s="818">
        <v>100</v>
      </c>
      <c r="D91" s="637"/>
      <c r="E91" s="637">
        <v>65000</v>
      </c>
      <c r="F91" s="637"/>
      <c r="G91" s="637"/>
      <c r="H91" s="637"/>
      <c r="I91" s="637"/>
    </row>
    <row r="92" spans="1:10" x14ac:dyDescent="0.2">
      <c r="A92" s="896" t="s">
        <v>676</v>
      </c>
      <c r="B92" s="59"/>
      <c r="C92" s="899">
        <v>200</v>
      </c>
      <c r="D92" s="533"/>
      <c r="E92" s="74">
        <v>250000</v>
      </c>
      <c r="F92" s="74"/>
      <c r="G92" s="74"/>
      <c r="H92" s="74"/>
      <c r="I92" s="74"/>
    </row>
    <row r="93" spans="1:10" x14ac:dyDescent="0.2">
      <c r="A93" s="308" t="s">
        <v>696</v>
      </c>
      <c r="B93" s="146"/>
      <c r="C93" s="818">
        <v>100</v>
      </c>
      <c r="D93" s="637"/>
      <c r="E93" s="637">
        <v>327109</v>
      </c>
      <c r="F93" s="637">
        <f>831522-E93</f>
        <v>504413</v>
      </c>
      <c r="G93" s="637">
        <f>1060115-F93-E93</f>
        <v>228593</v>
      </c>
      <c r="H93" s="637">
        <f>1102823-G93-F93-E93</f>
        <v>42708</v>
      </c>
      <c r="I93" s="637">
        <f>1140168-H93-G93-F93-E93</f>
        <v>37345</v>
      </c>
    </row>
    <row r="94" spans="1:10" x14ac:dyDescent="0.2">
      <c r="A94" s="896"/>
      <c r="B94" s="59"/>
      <c r="C94" s="899">
        <v>200</v>
      </c>
      <c r="D94" s="533"/>
      <c r="E94" s="74">
        <v>245000</v>
      </c>
      <c r="F94" s="74">
        <f>665000-E94</f>
        <v>420000</v>
      </c>
      <c r="G94" s="74"/>
      <c r="H94" s="74"/>
      <c r="I94" s="74"/>
    </row>
    <row r="95" spans="1:10" x14ac:dyDescent="0.2">
      <c r="A95" s="308" t="s">
        <v>699</v>
      </c>
      <c r="B95" s="146"/>
      <c r="C95" s="818">
        <v>100</v>
      </c>
      <c r="D95" s="637"/>
      <c r="E95" s="637">
        <v>355983</v>
      </c>
      <c r="F95" s="637">
        <v>-355983</v>
      </c>
      <c r="G95" s="637"/>
      <c r="H95" s="637"/>
      <c r="I95" s="637"/>
    </row>
    <row r="96" spans="1:10" x14ac:dyDescent="0.2">
      <c r="A96" s="896" t="s">
        <v>703</v>
      </c>
      <c r="B96" s="59"/>
      <c r="C96" s="899">
        <v>100</v>
      </c>
      <c r="D96" s="533"/>
      <c r="E96" s="74">
        <v>200000</v>
      </c>
      <c r="F96" s="74"/>
      <c r="G96" s="74"/>
      <c r="H96" s="74"/>
      <c r="I96" s="74"/>
    </row>
    <row r="97" spans="1:9" x14ac:dyDescent="0.2">
      <c r="A97" s="308"/>
      <c r="B97" s="146"/>
      <c r="C97" s="818">
        <v>200</v>
      </c>
      <c r="D97" s="637"/>
      <c r="E97" s="637">
        <v>799250</v>
      </c>
      <c r="F97" s="637">
        <f>549250-E97</f>
        <v>-250000</v>
      </c>
      <c r="G97" s="637"/>
      <c r="H97" s="637"/>
      <c r="I97" s="637"/>
    </row>
    <row r="98" spans="1:9" x14ac:dyDescent="0.2">
      <c r="A98" s="896" t="s">
        <v>704</v>
      </c>
      <c r="B98" s="59"/>
      <c r="C98" s="899">
        <v>100</v>
      </c>
      <c r="D98" s="533"/>
      <c r="E98" s="74">
        <v>165000</v>
      </c>
      <c r="F98" s="74"/>
      <c r="G98" s="74"/>
      <c r="H98" s="74"/>
      <c r="I98" s="74"/>
    </row>
    <row r="99" spans="1:9" x14ac:dyDescent="0.2">
      <c r="A99" s="323" t="s">
        <v>748</v>
      </c>
      <c r="B99" s="146"/>
      <c r="C99" s="818"/>
      <c r="D99" s="637"/>
      <c r="E99" s="637"/>
      <c r="F99" s="637"/>
      <c r="G99" s="637"/>
      <c r="H99" s="637"/>
      <c r="I99" s="637"/>
    </row>
    <row r="100" spans="1:9" x14ac:dyDescent="0.2">
      <c r="A100" s="896" t="s">
        <v>891</v>
      </c>
      <c r="B100" s="59"/>
      <c r="C100" s="899">
        <v>100</v>
      </c>
      <c r="D100" s="533"/>
      <c r="E100" s="74">
        <v>-5245317</v>
      </c>
      <c r="F100" s="74"/>
      <c r="G100" s="74">
        <v>5245317</v>
      </c>
      <c r="H100" s="74"/>
      <c r="I100" s="74"/>
    </row>
    <row r="101" spans="1:9" x14ac:dyDescent="0.2">
      <c r="A101" s="308" t="s">
        <v>789</v>
      </c>
      <c r="B101" s="146"/>
      <c r="C101" s="818">
        <v>200</v>
      </c>
      <c r="D101" s="637"/>
      <c r="E101" s="637">
        <f>-5532031+2034360</f>
        <v>-3497671</v>
      </c>
      <c r="F101" s="637"/>
      <c r="G101" s="637">
        <v>3497671</v>
      </c>
      <c r="H101" s="637"/>
      <c r="I101" s="637"/>
    </row>
    <row r="102" spans="1:9" x14ac:dyDescent="0.2">
      <c r="A102" s="896" t="s">
        <v>805</v>
      </c>
      <c r="B102" s="59"/>
      <c r="C102" s="899" t="s">
        <v>167</v>
      </c>
      <c r="D102" s="533"/>
      <c r="E102" s="74">
        <v>-408920</v>
      </c>
      <c r="F102" s="74"/>
      <c r="G102" s="74">
        <v>408920</v>
      </c>
      <c r="H102" s="74"/>
      <c r="I102" s="74"/>
    </row>
    <row r="103" spans="1:9" x14ac:dyDescent="0.2">
      <c r="A103" s="308" t="s">
        <v>910</v>
      </c>
      <c r="B103" s="146"/>
      <c r="C103" s="818">
        <v>100</v>
      </c>
      <c r="D103" s="637"/>
      <c r="E103" s="637">
        <v>-304696</v>
      </c>
      <c r="F103" s="637">
        <v>304696</v>
      </c>
      <c r="G103" s="637"/>
      <c r="H103" s="637"/>
      <c r="I103" s="637"/>
    </row>
    <row r="104" spans="1:9" x14ac:dyDescent="0.2">
      <c r="A104" s="896" t="s">
        <v>868</v>
      </c>
      <c r="B104" s="59"/>
      <c r="C104" s="899">
        <v>200</v>
      </c>
      <c r="D104" s="533"/>
      <c r="E104" s="74">
        <v>-5505629</v>
      </c>
      <c r="F104" s="74"/>
      <c r="G104" s="74">
        <v>5505629</v>
      </c>
      <c r="H104" s="74"/>
      <c r="I104" s="74"/>
    </row>
    <row r="105" spans="1:9" x14ac:dyDescent="0.2">
      <c r="A105" s="323" t="s">
        <v>913</v>
      </c>
      <c r="B105" s="146"/>
      <c r="C105" s="818"/>
      <c r="D105" s="637"/>
      <c r="E105" s="637"/>
      <c r="F105" s="637"/>
      <c r="G105" s="637"/>
      <c r="H105" s="637"/>
      <c r="I105" s="637"/>
    </row>
    <row r="106" spans="1:9" x14ac:dyDescent="0.2">
      <c r="A106" s="896" t="s">
        <v>915</v>
      </c>
      <c r="B106" s="59"/>
      <c r="C106" s="899">
        <v>200</v>
      </c>
      <c r="D106" s="533"/>
      <c r="E106" s="74">
        <v>-200000</v>
      </c>
      <c r="F106" s="74"/>
      <c r="G106" s="74"/>
      <c r="H106" s="74"/>
      <c r="I106" s="74"/>
    </row>
    <row r="107" spans="1:9" x14ac:dyDescent="0.2">
      <c r="A107" s="308" t="s">
        <v>918</v>
      </c>
      <c r="B107" s="146"/>
      <c r="C107" s="818">
        <v>100</v>
      </c>
      <c r="D107" s="637"/>
      <c r="E107" s="637">
        <v>-200000</v>
      </c>
      <c r="F107" s="637"/>
      <c r="G107" s="637"/>
      <c r="H107" s="637"/>
      <c r="I107" s="637"/>
    </row>
    <row r="108" spans="1:9" x14ac:dyDescent="0.2">
      <c r="A108" s="896"/>
      <c r="B108" s="59"/>
      <c r="C108" s="899">
        <v>200</v>
      </c>
      <c r="D108" s="533"/>
      <c r="E108" s="74">
        <v>200000</v>
      </c>
      <c r="F108" s="74"/>
      <c r="G108" s="74"/>
      <c r="H108" s="74"/>
      <c r="I108" s="74"/>
    </row>
    <row r="109" spans="1:9" x14ac:dyDescent="0.2">
      <c r="A109" s="308" t="s">
        <v>927</v>
      </c>
      <c r="B109" s="146"/>
      <c r="C109" s="818">
        <v>200</v>
      </c>
      <c r="D109" s="637">
        <v>-448191</v>
      </c>
      <c r="E109" s="637">
        <f>448191+448191</f>
        <v>896382</v>
      </c>
      <c r="F109" s="637">
        <v>-448191</v>
      </c>
      <c r="G109" s="637"/>
      <c r="H109" s="637"/>
      <c r="I109" s="637"/>
    </row>
    <row r="110" spans="1:9" x14ac:dyDescent="0.2">
      <c r="A110" s="896" t="s">
        <v>973</v>
      </c>
      <c r="B110" s="59"/>
      <c r="C110" s="899">
        <v>100</v>
      </c>
      <c r="D110" s="533"/>
      <c r="E110" s="74">
        <v>11792051</v>
      </c>
      <c r="F110" s="74"/>
      <c r="G110" s="74"/>
      <c r="H110" s="74"/>
      <c r="I110" s="74"/>
    </row>
    <row r="111" spans="1:9" x14ac:dyDescent="0.2">
      <c r="A111" s="308"/>
      <c r="B111" s="146"/>
      <c r="C111" s="895" t="s">
        <v>167</v>
      </c>
      <c r="D111" s="637"/>
      <c r="E111" s="637">
        <v>510000</v>
      </c>
      <c r="F111" s="637"/>
      <c r="G111" s="637"/>
      <c r="H111" s="637"/>
      <c r="I111" s="637"/>
    </row>
    <row r="112" spans="1:9" x14ac:dyDescent="0.2">
      <c r="A112" s="896" t="s">
        <v>1013</v>
      </c>
      <c r="B112" s="59"/>
      <c r="C112" s="899">
        <v>100</v>
      </c>
      <c r="D112" s="533"/>
      <c r="E112" s="74">
        <v>1592150</v>
      </c>
      <c r="F112" s="74"/>
      <c r="G112" s="74"/>
      <c r="H112" s="74"/>
      <c r="I112" s="74"/>
    </row>
    <row r="113" spans="1:9" x14ac:dyDescent="0.2">
      <c r="A113" s="308"/>
      <c r="B113" s="146"/>
      <c r="C113" s="895" t="s">
        <v>167</v>
      </c>
      <c r="D113" s="637"/>
      <c r="E113" s="637">
        <v>319728</v>
      </c>
      <c r="F113" s="637">
        <v>-319728</v>
      </c>
      <c r="G113" s="637"/>
      <c r="H113" s="637"/>
      <c r="I113" s="637"/>
    </row>
    <row r="114" spans="1:9" x14ac:dyDescent="0.2">
      <c r="A114" s="896" t="s">
        <v>975</v>
      </c>
      <c r="B114" s="59"/>
      <c r="C114" s="899">
        <v>500</v>
      </c>
      <c r="D114" s="533"/>
      <c r="E114" s="74">
        <v>1000000</v>
      </c>
      <c r="F114" s="74"/>
      <c r="G114" s="74"/>
      <c r="H114" s="74"/>
      <c r="I114" s="74"/>
    </row>
    <row r="115" spans="1:9" x14ac:dyDescent="0.2">
      <c r="A115" s="308" t="s">
        <v>978</v>
      </c>
      <c r="B115" s="146"/>
      <c r="C115" s="818">
        <v>500</v>
      </c>
      <c r="D115" s="637"/>
      <c r="E115" s="637">
        <v>350000</v>
      </c>
      <c r="F115" s="637"/>
      <c r="G115" s="637"/>
      <c r="H115" s="637"/>
      <c r="I115" s="637"/>
    </row>
    <row r="116" spans="1:9" x14ac:dyDescent="0.2">
      <c r="A116" s="896" t="s">
        <v>979</v>
      </c>
      <c r="B116" s="59"/>
      <c r="C116" s="899">
        <v>200</v>
      </c>
      <c r="D116" s="533"/>
      <c r="E116" s="74">
        <v>788000</v>
      </c>
      <c r="F116" s="74"/>
      <c r="G116" s="74"/>
      <c r="H116" s="74"/>
      <c r="I116" s="74"/>
    </row>
    <row r="117" spans="1:9" x14ac:dyDescent="0.2">
      <c r="A117" s="308"/>
      <c r="B117" s="146"/>
      <c r="C117" s="818">
        <v>100</v>
      </c>
      <c r="D117" s="637"/>
      <c r="E117" s="637">
        <v>665620</v>
      </c>
      <c r="F117" s="637"/>
      <c r="G117" s="637"/>
      <c r="H117" s="637"/>
      <c r="I117" s="637"/>
    </row>
    <row r="118" spans="1:9" x14ac:dyDescent="0.2">
      <c r="A118" s="896" t="s">
        <v>980</v>
      </c>
      <c r="B118" s="59"/>
      <c r="C118" s="899">
        <v>200</v>
      </c>
      <c r="D118" s="533"/>
      <c r="E118" s="74">
        <v>55000</v>
      </c>
      <c r="F118" s="74"/>
      <c r="G118" s="74"/>
      <c r="H118" s="74"/>
      <c r="I118" s="74"/>
    </row>
    <row r="119" spans="1:9" x14ac:dyDescent="0.2">
      <c r="A119" s="308" t="s">
        <v>985</v>
      </c>
      <c r="B119" s="146"/>
      <c r="C119" s="818">
        <v>200</v>
      </c>
      <c r="D119" s="637"/>
      <c r="E119" s="637">
        <v>200000</v>
      </c>
      <c r="F119" s="637"/>
      <c r="G119" s="637"/>
      <c r="H119" s="637"/>
      <c r="I119" s="637"/>
    </row>
    <row r="120" spans="1:9" x14ac:dyDescent="0.2">
      <c r="A120" s="896" t="s">
        <v>988</v>
      </c>
      <c r="B120" s="59"/>
      <c r="C120" s="899">
        <v>200</v>
      </c>
      <c r="D120" s="533"/>
      <c r="E120" s="74">
        <v>400000</v>
      </c>
      <c r="F120" s="74"/>
      <c r="G120" s="74"/>
      <c r="H120" s="74"/>
      <c r="I120" s="74"/>
    </row>
    <row r="121" spans="1:9" x14ac:dyDescent="0.2">
      <c r="A121" s="308" t="s">
        <v>992</v>
      </c>
      <c r="B121" s="146"/>
      <c r="C121" s="818">
        <v>100</v>
      </c>
      <c r="D121" s="637"/>
      <c r="E121" s="637">
        <v>609297</v>
      </c>
      <c r="F121" s="637">
        <v>-609297</v>
      </c>
      <c r="G121" s="637"/>
      <c r="H121" s="637"/>
      <c r="I121" s="637"/>
    </row>
    <row r="122" spans="1:9" x14ac:dyDescent="0.2">
      <c r="A122" s="896" t="s">
        <v>1005</v>
      </c>
      <c r="B122" s="59"/>
      <c r="C122" s="899">
        <v>100</v>
      </c>
      <c r="D122" s="533"/>
      <c r="E122" s="74"/>
      <c r="F122" s="74"/>
      <c r="G122" s="74">
        <v>-5245317</v>
      </c>
      <c r="H122" s="74">
        <v>5245317</v>
      </c>
      <c r="I122" s="74"/>
    </row>
    <row r="123" spans="1:9" x14ac:dyDescent="0.2">
      <c r="A123" s="308"/>
      <c r="B123" s="146"/>
      <c r="C123" s="818">
        <v>200</v>
      </c>
      <c r="D123" s="637"/>
      <c r="E123" s="637"/>
      <c r="F123" s="637"/>
      <c r="G123" s="637">
        <f>-3497671-5505629</f>
        <v>-9003300</v>
      </c>
      <c r="H123" s="637">
        <v>9003300</v>
      </c>
      <c r="I123" s="637"/>
    </row>
    <row r="124" spans="1:9" x14ac:dyDescent="0.2">
      <c r="A124" s="896"/>
      <c r="B124" s="59"/>
      <c r="C124" s="899" t="s">
        <v>167</v>
      </c>
      <c r="D124" s="533"/>
      <c r="E124" s="74"/>
      <c r="F124" s="74"/>
      <c r="G124" s="74">
        <v>-408920</v>
      </c>
      <c r="H124" s="74">
        <v>408920</v>
      </c>
      <c r="I124" s="74"/>
    </row>
    <row r="125" spans="1:9" x14ac:dyDescent="0.2">
      <c r="A125" s="308"/>
      <c r="B125" s="146"/>
      <c r="C125" s="818"/>
      <c r="D125" s="637"/>
      <c r="E125" s="637"/>
      <c r="F125" s="637"/>
      <c r="G125" s="637"/>
      <c r="H125" s="637"/>
      <c r="I125" s="637"/>
    </row>
    <row r="126" spans="1:9" x14ac:dyDescent="0.2">
      <c r="A126" s="896"/>
      <c r="B126" s="59"/>
      <c r="C126" s="899"/>
      <c r="D126" s="533"/>
      <c r="E126" s="74"/>
      <c r="F126" s="74"/>
      <c r="G126" s="74"/>
      <c r="H126" s="74"/>
      <c r="I126" s="74"/>
    </row>
    <row r="127" spans="1:9" x14ac:dyDescent="0.2">
      <c r="A127" s="308"/>
      <c r="B127" s="146"/>
      <c r="C127" s="818"/>
      <c r="D127" s="637"/>
      <c r="E127" s="637"/>
      <c r="F127" s="637"/>
      <c r="G127" s="637"/>
      <c r="H127" s="637"/>
      <c r="I127" s="637"/>
    </row>
    <row r="128" spans="1:9" x14ac:dyDescent="0.2">
      <c r="A128" s="896"/>
      <c r="B128" s="59"/>
      <c r="C128" s="899"/>
      <c r="D128" s="533"/>
      <c r="E128" s="74"/>
      <c r="F128" s="74"/>
      <c r="G128" s="74"/>
      <c r="H128" s="74"/>
      <c r="I128" s="74"/>
    </row>
    <row r="129" spans="1:9" x14ac:dyDescent="0.2">
      <c r="A129" s="308"/>
      <c r="B129" s="146"/>
      <c r="C129" s="818"/>
      <c r="D129" s="637"/>
      <c r="E129" s="637"/>
      <c r="F129" s="637"/>
      <c r="G129" s="637"/>
      <c r="H129" s="637"/>
      <c r="I129" s="637"/>
    </row>
    <row r="130" spans="1:9" x14ac:dyDescent="0.2">
      <c r="A130" s="896"/>
      <c r="B130" s="59"/>
      <c r="C130" s="899"/>
      <c r="D130" s="533"/>
      <c r="E130" s="74"/>
      <c r="F130" s="74"/>
      <c r="G130" s="74"/>
      <c r="H130" s="74"/>
      <c r="I130" s="74"/>
    </row>
    <row r="131" spans="1:9" x14ac:dyDescent="0.2">
      <c r="A131" s="308"/>
      <c r="B131" s="146"/>
      <c r="C131" s="818"/>
      <c r="D131" s="637"/>
      <c r="E131" s="637"/>
      <c r="F131" s="637"/>
      <c r="G131" s="637"/>
      <c r="H131" s="637"/>
      <c r="I131" s="637"/>
    </row>
    <row r="132" spans="1:9" x14ac:dyDescent="0.2">
      <c r="A132" s="896"/>
      <c r="B132" s="59"/>
      <c r="C132" s="899"/>
      <c r="D132" s="533"/>
      <c r="E132" s="74"/>
      <c r="F132" s="74"/>
      <c r="G132" s="74"/>
      <c r="H132" s="74"/>
      <c r="I132" s="74"/>
    </row>
    <row r="133" spans="1:9" x14ac:dyDescent="0.2">
      <c r="A133" s="308"/>
      <c r="B133" s="146"/>
      <c r="C133" s="818"/>
      <c r="D133" s="637"/>
      <c r="E133" s="637"/>
      <c r="F133" s="637"/>
      <c r="G133" s="637"/>
      <c r="H133" s="637"/>
      <c r="I133" s="637"/>
    </row>
    <row r="134" spans="1:9" x14ac:dyDescent="0.2">
      <c r="A134" s="896"/>
      <c r="B134" s="59"/>
      <c r="C134" s="899"/>
      <c r="D134" s="533"/>
      <c r="E134" s="74"/>
      <c r="F134" s="74"/>
      <c r="G134" s="74"/>
      <c r="H134" s="74"/>
      <c r="I134" s="74"/>
    </row>
    <row r="135" spans="1:9" x14ac:dyDescent="0.2">
      <c r="A135" s="308"/>
      <c r="B135" s="146"/>
      <c r="C135" s="818"/>
      <c r="D135" s="637"/>
      <c r="E135" s="637"/>
      <c r="F135" s="637"/>
      <c r="G135" s="637"/>
      <c r="H135" s="637"/>
      <c r="I135" s="637"/>
    </row>
    <row r="136" spans="1:9" x14ac:dyDescent="0.2">
      <c r="A136" s="896"/>
      <c r="B136" s="59"/>
      <c r="C136" s="899"/>
      <c r="D136" s="533"/>
      <c r="E136" s="74"/>
      <c r="F136" s="74"/>
      <c r="G136" s="74"/>
      <c r="H136" s="74"/>
      <c r="I136" s="74"/>
    </row>
    <row r="137" spans="1:9" x14ac:dyDescent="0.2">
      <c r="A137" s="308"/>
      <c r="B137" s="146"/>
      <c r="C137" s="818"/>
      <c r="D137" s="637"/>
      <c r="E137" s="637"/>
      <c r="F137" s="637"/>
      <c r="G137" s="637"/>
      <c r="H137" s="637"/>
      <c r="I137" s="637"/>
    </row>
    <row r="138" spans="1:9" x14ac:dyDescent="0.2">
      <c r="A138" s="896"/>
      <c r="B138" s="59"/>
      <c r="C138" s="899"/>
      <c r="D138" s="533"/>
      <c r="E138" s="74"/>
      <c r="F138" s="74"/>
      <c r="G138" s="74"/>
      <c r="H138" s="74"/>
      <c r="I138" s="74"/>
    </row>
    <row r="139" spans="1:9" x14ac:dyDescent="0.2">
      <c r="A139" s="308"/>
      <c r="B139" s="146"/>
      <c r="C139" s="818"/>
      <c r="D139" s="637"/>
      <c r="E139" s="637"/>
      <c r="F139" s="637"/>
      <c r="G139" s="637"/>
      <c r="H139" s="637"/>
      <c r="I139" s="637"/>
    </row>
    <row r="140" spans="1:9" x14ac:dyDescent="0.2">
      <c r="A140" s="896"/>
      <c r="B140" s="59"/>
      <c r="C140" s="899"/>
      <c r="D140" s="533"/>
      <c r="E140" s="74"/>
      <c r="F140" s="74"/>
      <c r="G140" s="74"/>
      <c r="H140" s="74"/>
      <c r="I140" s="74"/>
    </row>
    <row r="141" spans="1:9" x14ac:dyDescent="0.2">
      <c r="A141" s="308"/>
      <c r="B141" s="146"/>
      <c r="C141" s="818"/>
      <c r="D141" s="637"/>
      <c r="E141" s="637"/>
      <c r="F141" s="637"/>
      <c r="G141" s="637"/>
      <c r="H141" s="637"/>
      <c r="I141" s="637"/>
    </row>
    <row r="142" spans="1:9" x14ac:dyDescent="0.2">
      <c r="A142" s="896"/>
      <c r="B142" s="59"/>
      <c r="C142" s="899"/>
      <c r="D142" s="533"/>
      <c r="E142" s="74"/>
      <c r="F142" s="74"/>
      <c r="G142" s="74"/>
      <c r="H142" s="74"/>
      <c r="I142" s="74"/>
    </row>
    <row r="143" spans="1:9" x14ac:dyDescent="0.2">
      <c r="A143" s="308"/>
      <c r="B143" s="146"/>
      <c r="C143" s="818"/>
      <c r="D143" s="637"/>
      <c r="E143" s="637"/>
      <c r="F143" s="637"/>
      <c r="G143" s="637"/>
      <c r="H143" s="637"/>
      <c r="I143" s="637"/>
    </row>
    <row r="144" spans="1:9" x14ac:dyDescent="0.2">
      <c r="A144" s="896"/>
      <c r="B144" s="59"/>
      <c r="C144" s="899"/>
      <c r="D144" s="533"/>
      <c r="E144" s="74"/>
      <c r="F144" s="74"/>
      <c r="G144" s="74"/>
      <c r="H144" s="74"/>
      <c r="I144" s="74"/>
    </row>
    <row r="145" spans="1:9" x14ac:dyDescent="0.2">
      <c r="A145" s="308"/>
      <c r="B145" s="146"/>
      <c r="C145" s="818"/>
      <c r="D145" s="637"/>
      <c r="E145" s="637"/>
      <c r="F145" s="637"/>
      <c r="G145" s="637"/>
      <c r="H145" s="637"/>
      <c r="I145" s="637"/>
    </row>
    <row r="146" spans="1:9" x14ac:dyDescent="0.2">
      <c r="A146" s="896"/>
      <c r="B146" s="59"/>
      <c r="C146" s="899"/>
      <c r="D146" s="533"/>
      <c r="E146" s="74"/>
      <c r="F146" s="74"/>
      <c r="G146" s="74"/>
      <c r="H146" s="74"/>
      <c r="I146" s="74"/>
    </row>
    <row r="147" spans="1:9" x14ac:dyDescent="0.2">
      <c r="A147" s="308"/>
      <c r="B147" s="146"/>
      <c r="C147" s="818"/>
      <c r="D147" s="637"/>
      <c r="E147" s="637"/>
      <c r="F147" s="637"/>
      <c r="G147" s="637"/>
      <c r="H147" s="637"/>
      <c r="I147" s="637"/>
    </row>
    <row r="148" spans="1:9" x14ac:dyDescent="0.2">
      <c r="A148" s="896"/>
      <c r="B148" s="59"/>
      <c r="C148" s="899"/>
      <c r="D148" s="533"/>
      <c r="E148" s="74"/>
      <c r="F148" s="74"/>
      <c r="G148" s="74"/>
      <c r="H148" s="74"/>
      <c r="I148" s="74"/>
    </row>
    <row r="149" spans="1:9" x14ac:dyDescent="0.2">
      <c r="A149" s="308"/>
      <c r="B149" s="146"/>
      <c r="C149" s="818"/>
      <c r="D149" s="637"/>
      <c r="E149" s="637"/>
      <c r="F149" s="637"/>
      <c r="G149" s="637"/>
      <c r="H149" s="637"/>
      <c r="I149" s="637"/>
    </row>
    <row r="150" spans="1:9" x14ac:dyDescent="0.2">
      <c r="A150" s="896"/>
      <c r="B150" s="59"/>
      <c r="C150" s="899"/>
      <c r="D150" s="533"/>
      <c r="E150" s="74"/>
      <c r="F150" s="74"/>
      <c r="G150" s="74"/>
      <c r="H150" s="74"/>
      <c r="I150" s="74"/>
    </row>
    <row r="151" spans="1:9" x14ac:dyDescent="0.2">
      <c r="A151" s="308"/>
      <c r="B151" s="146"/>
      <c r="C151" s="818"/>
      <c r="D151" s="637"/>
      <c r="E151" s="637"/>
      <c r="F151" s="637"/>
      <c r="G151" s="637"/>
      <c r="H151" s="637"/>
      <c r="I151" s="637"/>
    </row>
    <row r="152" spans="1:9" x14ac:dyDescent="0.2">
      <c r="A152" s="896"/>
      <c r="B152" s="59"/>
      <c r="C152" s="899"/>
      <c r="D152" s="533"/>
      <c r="E152" s="74"/>
      <c r="F152" s="74"/>
      <c r="G152" s="74"/>
      <c r="H152" s="74"/>
      <c r="I152" s="74"/>
    </row>
    <row r="153" spans="1:9" x14ac:dyDescent="0.2">
      <c r="A153" s="308"/>
      <c r="B153" s="146"/>
      <c r="C153" s="818"/>
      <c r="D153" s="637"/>
      <c r="E153" s="637"/>
      <c r="F153" s="637"/>
      <c r="G153" s="637"/>
      <c r="H153" s="637"/>
      <c r="I153" s="637"/>
    </row>
    <row r="154" spans="1:9" x14ac:dyDescent="0.2">
      <c r="A154" s="896"/>
      <c r="B154" s="59"/>
      <c r="C154" s="899"/>
      <c r="D154" s="533"/>
      <c r="E154" s="74"/>
      <c r="F154" s="74"/>
      <c r="G154" s="74"/>
      <c r="H154" s="74"/>
      <c r="I154" s="74"/>
    </row>
    <row r="155" spans="1:9" x14ac:dyDescent="0.2">
      <c r="A155" s="308"/>
      <c r="B155" s="146"/>
      <c r="C155" s="818"/>
      <c r="D155" s="637"/>
      <c r="E155" s="637"/>
      <c r="F155" s="637"/>
      <c r="G155" s="637"/>
      <c r="H155" s="637"/>
      <c r="I155" s="637"/>
    </row>
    <row r="156" spans="1:9" x14ac:dyDescent="0.2">
      <c r="A156" s="896"/>
      <c r="B156" s="59"/>
      <c r="C156" s="899"/>
      <c r="D156" s="533"/>
      <c r="E156" s="74"/>
      <c r="F156" s="74"/>
      <c r="G156" s="74"/>
      <c r="H156" s="74"/>
      <c r="I156" s="74"/>
    </row>
    <row r="157" spans="1:9" x14ac:dyDescent="0.2">
      <c r="A157" s="308"/>
      <c r="B157" s="146"/>
      <c r="C157" s="818"/>
      <c r="D157" s="637"/>
      <c r="E157" s="637"/>
      <c r="F157" s="637"/>
      <c r="G157" s="637"/>
      <c r="H157" s="637"/>
      <c r="I157" s="637"/>
    </row>
    <row r="158" spans="1:9" x14ac:dyDescent="0.2">
      <c r="A158" s="896"/>
      <c r="B158" s="59"/>
      <c r="C158" s="899"/>
      <c r="D158" s="533"/>
      <c r="E158" s="74"/>
      <c r="F158" s="74"/>
      <c r="G158" s="74"/>
      <c r="H158" s="74"/>
      <c r="I158" s="74"/>
    </row>
    <row r="159" spans="1:9" x14ac:dyDescent="0.2">
      <c r="A159" s="308"/>
      <c r="B159" s="146"/>
      <c r="C159" s="818"/>
      <c r="D159" s="637"/>
      <c r="E159" s="637"/>
      <c r="F159" s="637"/>
      <c r="G159" s="637"/>
      <c r="H159" s="637"/>
      <c r="I159" s="637"/>
    </row>
    <row r="160" spans="1:9" x14ac:dyDescent="0.2">
      <c r="A160" s="896"/>
      <c r="B160" s="59"/>
      <c r="C160" s="899"/>
      <c r="D160" s="533"/>
      <c r="E160" s="74"/>
      <c r="F160" s="74"/>
      <c r="G160" s="74"/>
      <c r="H160" s="74"/>
      <c r="I160" s="74"/>
    </row>
    <row r="161" spans="1:9" x14ac:dyDescent="0.2">
      <c r="A161" s="308"/>
      <c r="B161" s="146"/>
      <c r="C161" s="818"/>
      <c r="D161" s="637"/>
      <c r="E161" s="637"/>
      <c r="F161" s="637"/>
      <c r="G161" s="637"/>
      <c r="H161" s="637"/>
      <c r="I161" s="637"/>
    </row>
    <row r="162" spans="1:9" x14ac:dyDescent="0.2">
      <c r="A162" s="896"/>
      <c r="B162" s="59"/>
      <c r="C162" s="899"/>
      <c r="D162" s="533"/>
      <c r="E162" s="74"/>
      <c r="F162" s="74"/>
      <c r="G162" s="74"/>
      <c r="H162" s="74"/>
      <c r="I162" s="74"/>
    </row>
    <row r="163" spans="1:9" x14ac:dyDescent="0.2">
      <c r="A163" s="308"/>
      <c r="B163" s="146"/>
      <c r="C163" s="818"/>
      <c r="D163" s="637"/>
      <c r="E163" s="637"/>
      <c r="F163" s="637"/>
      <c r="G163" s="637"/>
      <c r="H163" s="637"/>
      <c r="I163" s="637"/>
    </row>
    <row r="164" spans="1:9" x14ac:dyDescent="0.2">
      <c r="A164" s="896"/>
      <c r="B164" s="59"/>
      <c r="C164" s="899"/>
      <c r="D164" s="533"/>
      <c r="E164" s="74"/>
      <c r="F164" s="74"/>
      <c r="G164" s="74"/>
      <c r="H164" s="74"/>
      <c r="I164" s="74"/>
    </row>
    <row r="165" spans="1:9" x14ac:dyDescent="0.2">
      <c r="A165" s="308"/>
      <c r="B165" s="146"/>
      <c r="C165" s="818"/>
      <c r="D165" s="637"/>
      <c r="E165" s="637"/>
      <c r="F165" s="637"/>
      <c r="G165" s="637"/>
      <c r="H165" s="637"/>
      <c r="I165" s="637"/>
    </row>
    <row r="166" spans="1:9" x14ac:dyDescent="0.2">
      <c r="A166" s="896"/>
      <c r="B166" s="59"/>
      <c r="C166" s="899"/>
      <c r="D166" s="533"/>
      <c r="E166" s="74"/>
      <c r="F166" s="74"/>
      <c r="G166" s="74"/>
      <c r="H166" s="74"/>
      <c r="I166" s="74"/>
    </row>
    <row r="167" spans="1:9" x14ac:dyDescent="0.2">
      <c r="A167" s="308"/>
      <c r="B167" s="146"/>
      <c r="C167" s="818"/>
      <c r="D167" s="637"/>
      <c r="E167" s="637"/>
      <c r="F167" s="637"/>
      <c r="G167" s="637"/>
      <c r="H167" s="637"/>
      <c r="I167" s="637"/>
    </row>
    <row r="168" spans="1:9" x14ac:dyDescent="0.2">
      <c r="A168" s="896"/>
      <c r="B168" s="59"/>
      <c r="C168" s="899"/>
      <c r="D168" s="533"/>
      <c r="E168" s="74"/>
      <c r="F168" s="74"/>
      <c r="G168" s="74"/>
      <c r="H168" s="74"/>
      <c r="I168" s="74"/>
    </row>
    <row r="169" spans="1:9" x14ac:dyDescent="0.2">
      <c r="A169" s="308"/>
      <c r="B169" s="146"/>
      <c r="C169" s="818"/>
      <c r="D169" s="637"/>
      <c r="E169" s="637"/>
      <c r="F169" s="637"/>
      <c r="G169" s="637"/>
      <c r="H169" s="637"/>
      <c r="I169" s="637"/>
    </row>
    <row r="170" spans="1:9" x14ac:dyDescent="0.2">
      <c r="A170" s="896"/>
      <c r="B170" s="59"/>
      <c r="C170" s="899"/>
      <c r="D170" s="533"/>
      <c r="E170" s="74"/>
      <c r="F170" s="74"/>
      <c r="G170" s="74"/>
      <c r="H170" s="74"/>
      <c r="I170" s="74"/>
    </row>
    <row r="171" spans="1:9" x14ac:dyDescent="0.2">
      <c r="A171" s="308"/>
      <c r="B171" s="146"/>
      <c r="C171" s="818"/>
      <c r="D171" s="637"/>
      <c r="E171" s="637"/>
      <c r="F171" s="637"/>
      <c r="G171" s="637"/>
      <c r="H171" s="637"/>
      <c r="I171" s="637"/>
    </row>
    <row r="172" spans="1:9" x14ac:dyDescent="0.2">
      <c r="A172" s="896"/>
      <c r="B172" s="59"/>
      <c r="C172" s="899"/>
      <c r="D172" s="533"/>
      <c r="E172" s="74"/>
      <c r="F172" s="74"/>
      <c r="G172" s="74"/>
      <c r="H172" s="74"/>
      <c r="I172" s="74"/>
    </row>
    <row r="173" spans="1:9" x14ac:dyDescent="0.2">
      <c r="A173" s="308"/>
      <c r="B173" s="146"/>
      <c r="C173" s="818"/>
      <c r="D173" s="637"/>
      <c r="E173" s="637"/>
      <c r="F173" s="637"/>
      <c r="G173" s="637"/>
      <c r="H173" s="637"/>
      <c r="I173" s="637"/>
    </row>
    <row r="174" spans="1:9" x14ac:dyDescent="0.2">
      <c r="A174" s="896"/>
      <c r="B174" s="59"/>
      <c r="C174" s="899"/>
      <c r="D174" s="533"/>
      <c r="E174" s="74"/>
      <c r="F174" s="74"/>
      <c r="G174" s="74"/>
      <c r="H174" s="74"/>
      <c r="I174" s="74"/>
    </row>
    <row r="175" spans="1:9" x14ac:dyDescent="0.2">
      <c r="A175" s="308"/>
      <c r="B175" s="146"/>
      <c r="C175" s="818"/>
      <c r="D175" s="637"/>
      <c r="E175" s="637"/>
      <c r="F175" s="637"/>
      <c r="G175" s="637"/>
      <c r="H175" s="637"/>
      <c r="I175" s="637"/>
    </row>
    <row r="176" spans="1:9" x14ac:dyDescent="0.2">
      <c r="A176" s="896"/>
      <c r="B176" s="59"/>
      <c r="C176" s="899"/>
      <c r="D176" s="533"/>
      <c r="E176" s="74"/>
      <c r="F176" s="74"/>
      <c r="G176" s="74"/>
      <c r="H176" s="74"/>
      <c r="I176" s="74"/>
    </row>
    <row r="177" spans="1:9" x14ac:dyDescent="0.2">
      <c r="A177" s="308"/>
      <c r="B177" s="146"/>
      <c r="C177" s="818"/>
      <c r="D177" s="637"/>
      <c r="E177" s="637"/>
      <c r="F177" s="637"/>
      <c r="G177" s="637"/>
      <c r="H177" s="637"/>
      <c r="I177" s="637"/>
    </row>
    <row r="178" spans="1:9" x14ac:dyDescent="0.2">
      <c r="A178" s="896"/>
      <c r="B178" s="59"/>
      <c r="C178" s="899"/>
      <c r="D178" s="533"/>
      <c r="E178" s="74"/>
      <c r="F178" s="74"/>
      <c r="G178" s="74"/>
      <c r="H178" s="74"/>
      <c r="I178" s="74"/>
    </row>
    <row r="179" spans="1:9" x14ac:dyDescent="0.2">
      <c r="A179" s="308"/>
      <c r="B179" s="146"/>
      <c r="C179" s="818"/>
      <c r="D179" s="637"/>
      <c r="E179" s="637"/>
      <c r="F179" s="637"/>
      <c r="G179" s="637"/>
      <c r="H179" s="637"/>
      <c r="I179" s="637"/>
    </row>
    <row r="180" spans="1:9" x14ac:dyDescent="0.2">
      <c r="A180" s="896"/>
      <c r="B180" s="59"/>
      <c r="C180" s="899"/>
      <c r="D180" s="533"/>
      <c r="E180" s="74"/>
      <c r="F180" s="74"/>
      <c r="G180" s="74"/>
      <c r="H180" s="74"/>
      <c r="I180" s="74"/>
    </row>
    <row r="181" spans="1:9" x14ac:dyDescent="0.2">
      <c r="A181" s="896"/>
      <c r="B181" s="59"/>
      <c r="C181" s="899"/>
      <c r="D181" s="533"/>
      <c r="E181" s="74"/>
      <c r="F181" s="74"/>
      <c r="G181" s="74"/>
      <c r="H181" s="74"/>
      <c r="I181" s="74"/>
    </row>
    <row r="182" spans="1:9" x14ac:dyDescent="0.2">
      <c r="A182" s="880"/>
      <c r="B182" s="59"/>
      <c r="C182" s="899"/>
      <c r="D182" s="533"/>
      <c r="E182" s="74"/>
      <c r="F182" s="74"/>
      <c r="G182" s="74"/>
      <c r="H182" s="74"/>
      <c r="I182" s="74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theme="3"/>
    <pageSetUpPr fitToPage="1"/>
  </sheetPr>
  <dimension ref="A1:K62"/>
  <sheetViews>
    <sheetView topLeftCell="A2" zoomScaleNormal="100" zoomScaleSheetLayoutView="90" workbookViewId="0">
      <selection activeCell="E22" sqref="E2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57</v>
      </c>
      <c r="C6" s="963" t="s">
        <v>552</v>
      </c>
      <c r="D6" s="963"/>
      <c r="E6" s="963"/>
      <c r="F6" s="963"/>
      <c r="G6" s="963"/>
      <c r="H6" s="963"/>
      <c r="I6" s="963"/>
    </row>
    <row r="7" spans="1:11" ht="16" thickBot="1" x14ac:dyDescent="0.25">
      <c r="A7" s="97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v>51574391</v>
      </c>
      <c r="C10" s="55">
        <v>50938541</v>
      </c>
      <c r="D10" s="230">
        <f>+C10</f>
        <v>50938541</v>
      </c>
      <c r="E10" s="550">
        <f>+D10+E22+E24</f>
        <v>50104181</v>
      </c>
      <c r="F10" s="548">
        <f>+E10</f>
        <v>50104181</v>
      </c>
      <c r="G10" s="36">
        <f>+F10+G22+G25</f>
        <v>50104181</v>
      </c>
      <c r="H10" s="230">
        <f>+G10+H25</f>
        <v>52138541</v>
      </c>
      <c r="I10" s="37">
        <f>+H10</f>
        <v>52138541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51574391</v>
      </c>
      <c r="C16" s="40">
        <f t="shared" ref="C16:I16" si="2">SUM(C9:C15)</f>
        <v>50938541</v>
      </c>
      <c r="D16" s="40">
        <f t="shared" si="2"/>
        <v>50938541</v>
      </c>
      <c r="E16" s="573">
        <f t="shared" si="2"/>
        <v>50104181</v>
      </c>
      <c r="F16" s="40">
        <f t="shared" si="2"/>
        <v>50104181</v>
      </c>
      <c r="G16" s="40">
        <f t="shared" si="2"/>
        <v>50104181</v>
      </c>
      <c r="H16" s="40">
        <f t="shared" si="2"/>
        <v>52138541</v>
      </c>
      <c r="I16" s="40">
        <f t="shared" si="2"/>
        <v>52138541</v>
      </c>
    </row>
    <row r="18" spans="1:10" x14ac:dyDescent="0.2">
      <c r="E18" s="416">
        <f>+E16-D16</f>
        <v>-834360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450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453" t="s">
        <v>748</v>
      </c>
      <c r="B21" s="143"/>
      <c r="C21" s="143"/>
      <c r="D21" s="143"/>
      <c r="E21" s="131"/>
      <c r="F21" s="131"/>
      <c r="G21" s="145"/>
      <c r="H21" s="145"/>
      <c r="I21" s="145"/>
      <c r="J21" s="17"/>
    </row>
    <row r="22" spans="1:10" ht="13" customHeight="1" x14ac:dyDescent="0.2">
      <c r="A22" s="892" t="s">
        <v>816</v>
      </c>
      <c r="B22" s="20"/>
      <c r="C22" s="20"/>
      <c r="D22" s="20"/>
      <c r="E22" s="106">
        <v>-2034360</v>
      </c>
      <c r="F22" s="106"/>
      <c r="G22" s="95">
        <v>2034360</v>
      </c>
      <c r="H22" s="95"/>
      <c r="I22" s="95"/>
      <c r="J22" s="17"/>
    </row>
    <row r="23" spans="1:10" ht="13" customHeight="1" x14ac:dyDescent="0.2">
      <c r="A23" s="822" t="s">
        <v>913</v>
      </c>
      <c r="B23" s="143"/>
      <c r="C23" s="143"/>
      <c r="D23" s="352"/>
      <c r="E23" s="131"/>
      <c r="F23" s="131"/>
      <c r="G23" s="145"/>
      <c r="H23" s="145"/>
      <c r="I23" s="145"/>
      <c r="J23" s="17"/>
    </row>
    <row r="24" spans="1:10" ht="13" customHeight="1" x14ac:dyDescent="0.2">
      <c r="A24" s="892" t="s">
        <v>369</v>
      </c>
      <c r="B24" s="20"/>
      <c r="C24" s="20"/>
      <c r="D24" s="724"/>
      <c r="E24" s="106">
        <v>1200000</v>
      </c>
      <c r="F24" s="106"/>
      <c r="G24" s="95"/>
      <c r="H24" s="95"/>
      <c r="I24" s="95"/>
      <c r="J24" s="17"/>
    </row>
    <row r="25" spans="1:10" ht="13" customHeight="1" x14ac:dyDescent="0.2">
      <c r="A25" s="447" t="s">
        <v>997</v>
      </c>
      <c r="B25" s="203"/>
      <c r="C25" s="203"/>
      <c r="D25" s="203"/>
      <c r="E25" s="203"/>
      <c r="F25" s="131"/>
      <c r="G25" s="145">
        <v>-2034360</v>
      </c>
      <c r="H25" s="145">
        <v>2034360</v>
      </c>
      <c r="I25" s="145"/>
      <c r="J25" s="17"/>
    </row>
    <row r="26" spans="1:10" ht="13" customHeight="1" x14ac:dyDescent="0.2">
      <c r="A26" s="725"/>
      <c r="B26" s="20"/>
      <c r="C26" s="20"/>
      <c r="D26" s="106"/>
      <c r="E26" s="106"/>
      <c r="F26" s="106"/>
      <c r="G26" s="95"/>
      <c r="H26" s="95"/>
      <c r="I26" s="95"/>
      <c r="J26" s="17"/>
    </row>
    <row r="27" spans="1:10" ht="13" customHeight="1" x14ac:dyDescent="0.2">
      <c r="A27" s="726"/>
      <c r="B27" s="143"/>
      <c r="C27" s="143"/>
      <c r="D27" s="352"/>
      <c r="E27" s="131"/>
      <c r="F27" s="131"/>
      <c r="G27" s="145"/>
      <c r="H27" s="145"/>
      <c r="I27" s="145"/>
      <c r="J27" s="17"/>
    </row>
    <row r="28" spans="1:10" ht="13" customHeight="1" x14ac:dyDescent="0.2">
      <c r="A28" s="727"/>
      <c r="B28" s="20"/>
      <c r="C28" s="20"/>
      <c r="D28" s="20"/>
      <c r="E28" s="106"/>
      <c r="F28" s="106"/>
      <c r="G28" s="95"/>
      <c r="H28" s="95"/>
      <c r="I28" s="95"/>
      <c r="J28" s="17"/>
    </row>
    <row r="29" spans="1:10" ht="13" customHeight="1" x14ac:dyDescent="0.2">
      <c r="A29" s="728"/>
      <c r="B29" s="143"/>
      <c r="C29" s="143"/>
      <c r="D29" s="143"/>
      <c r="E29" s="131"/>
      <c r="F29" s="131"/>
      <c r="G29" s="145"/>
      <c r="H29" s="145"/>
      <c r="I29" s="145"/>
      <c r="J29" s="17"/>
    </row>
    <row r="30" spans="1:10" ht="13" customHeight="1" x14ac:dyDescent="0.2">
      <c r="A30" s="676"/>
      <c r="F30" s="83"/>
      <c r="G30" s="74"/>
      <c r="H30" s="95"/>
      <c r="I30" s="95"/>
      <c r="J30" s="17"/>
    </row>
    <row r="31" spans="1:10" ht="13" customHeight="1" x14ac:dyDescent="0.2">
      <c r="A31" s="680"/>
      <c r="B31" s="143"/>
      <c r="C31" s="143"/>
      <c r="D31" s="131"/>
      <c r="E31" s="131"/>
      <c r="F31" s="131"/>
      <c r="G31" s="131"/>
      <c r="H31" s="131"/>
      <c r="I31" s="131"/>
      <c r="J31" s="17"/>
    </row>
    <row r="32" spans="1:10" ht="13" customHeight="1" x14ac:dyDescent="0.2">
      <c r="A32" s="698" t="s">
        <v>433</v>
      </c>
      <c r="F32" s="83"/>
      <c r="G32" s="74"/>
      <c r="H32" s="95"/>
      <c r="I32" s="95"/>
      <c r="J32" s="17"/>
    </row>
    <row r="33" spans="1:10" ht="13" customHeight="1" x14ac:dyDescent="0.2">
      <c r="A33" s="78"/>
      <c r="B33" s="71"/>
      <c r="C33" s="72"/>
      <c r="D33" s="73"/>
      <c r="E33" s="73"/>
      <c r="F33" s="74"/>
      <c r="G33" s="74"/>
      <c r="H33" s="74"/>
      <c r="I33" s="74"/>
      <c r="J33" s="17"/>
    </row>
    <row r="34" spans="1:10" ht="13" customHeight="1" x14ac:dyDescent="0.2">
      <c r="A34" s="147" t="s">
        <v>177</v>
      </c>
      <c r="B34" s="148"/>
      <c r="C34" s="149"/>
      <c r="D34" s="150"/>
      <c r="E34" s="150"/>
      <c r="F34" s="151"/>
      <c r="G34" s="151"/>
      <c r="H34" s="152"/>
      <c r="I34" s="152"/>
      <c r="J34" s="17"/>
    </row>
    <row r="35" spans="1:10" ht="13" customHeight="1" x14ac:dyDescent="0.2">
      <c r="A35" s="153" t="s">
        <v>175</v>
      </c>
      <c r="B35" s="154"/>
      <c r="C35" s="144">
        <v>48483359</v>
      </c>
      <c r="D35" s="144">
        <v>48483359</v>
      </c>
      <c r="E35" s="144">
        <v>48483359</v>
      </c>
      <c r="F35" s="144">
        <v>48483359</v>
      </c>
      <c r="G35" s="144">
        <v>48483359</v>
      </c>
      <c r="H35" s="144">
        <v>48483359</v>
      </c>
      <c r="I35" s="144">
        <v>48483359</v>
      </c>
      <c r="J35" s="17"/>
    </row>
    <row r="36" spans="1:10" ht="13" customHeight="1" x14ac:dyDescent="0.2">
      <c r="A36" s="153" t="s">
        <v>176</v>
      </c>
      <c r="B36" s="154"/>
      <c r="C36" s="144">
        <v>2389482</v>
      </c>
      <c r="D36" s="144">
        <v>2389482</v>
      </c>
      <c r="E36" s="144">
        <v>2389482</v>
      </c>
      <c r="F36" s="144">
        <v>2389482</v>
      </c>
      <c r="G36" s="144">
        <v>2389482</v>
      </c>
      <c r="H36" s="144">
        <v>2389482</v>
      </c>
      <c r="I36" s="144">
        <v>2389482</v>
      </c>
      <c r="J36" s="17"/>
    </row>
    <row r="37" spans="1:10" ht="13" customHeight="1" x14ac:dyDescent="0.2">
      <c r="A37" s="153" t="s">
        <v>178</v>
      </c>
      <c r="B37" s="154"/>
      <c r="C37" s="145">
        <v>65700</v>
      </c>
      <c r="D37" s="145">
        <v>65700</v>
      </c>
      <c r="E37" s="145">
        <v>65700</v>
      </c>
      <c r="F37" s="145">
        <v>65700</v>
      </c>
      <c r="G37" s="145">
        <v>65700</v>
      </c>
      <c r="H37" s="145">
        <v>65700</v>
      </c>
      <c r="I37" s="145">
        <v>65700</v>
      </c>
      <c r="J37" s="17"/>
    </row>
    <row r="38" spans="1:10" ht="13" customHeight="1" x14ac:dyDescent="0.2">
      <c r="A38" s="156"/>
      <c r="B38" s="157"/>
      <c r="C38" s="157">
        <f t="shared" ref="C38:D38" si="3">+C37+C36+C35</f>
        <v>50938541</v>
      </c>
      <c r="D38" s="157">
        <f t="shared" si="3"/>
        <v>50938541</v>
      </c>
      <c r="E38" s="157">
        <f t="shared" ref="E38:H38" si="4">+E37+E36+E35</f>
        <v>50938541</v>
      </c>
      <c r="F38" s="157">
        <f t="shared" si="4"/>
        <v>50938541</v>
      </c>
      <c r="G38" s="157">
        <f t="shared" si="4"/>
        <v>50938541</v>
      </c>
      <c r="H38" s="158">
        <f t="shared" si="4"/>
        <v>50938541</v>
      </c>
      <c r="I38" s="158">
        <f>SUM(I35:I37)</f>
        <v>50938541</v>
      </c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4">
        <f t="shared" ref="C40:D40" si="5">+C38-C16</f>
        <v>0</v>
      </c>
      <c r="D40" s="74">
        <f t="shared" si="5"/>
        <v>0</v>
      </c>
      <c r="E40" s="74">
        <f t="shared" ref="E40:H40" si="6">+E38-E16</f>
        <v>834360</v>
      </c>
      <c r="F40" s="74">
        <f t="shared" si="6"/>
        <v>834360</v>
      </c>
      <c r="G40" s="74">
        <f t="shared" si="6"/>
        <v>834360</v>
      </c>
      <c r="H40" s="74">
        <f t="shared" si="6"/>
        <v>-1200000</v>
      </c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2"/>
      <c r="D46" s="73"/>
      <c r="E46" s="73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2"/>
      <c r="D47" s="73"/>
      <c r="E47" s="73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2"/>
      <c r="D48" s="73"/>
      <c r="E48" s="73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2"/>
      <c r="D49" s="73"/>
      <c r="E49" s="73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2"/>
      <c r="D50" s="73"/>
      <c r="E50" s="73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2"/>
      <c r="D51" s="73"/>
      <c r="E51" s="73"/>
      <c r="F51" s="74"/>
      <c r="G51" s="74"/>
      <c r="H51" s="74"/>
      <c r="I51" s="74"/>
      <c r="J51" s="17"/>
    </row>
    <row r="52" spans="1:10" ht="13" customHeight="1" x14ac:dyDescent="0.2">
      <c r="A52" s="78"/>
      <c r="B52" s="71"/>
      <c r="C52" s="72"/>
      <c r="D52" s="73"/>
      <c r="E52" s="73"/>
      <c r="F52" s="74"/>
      <c r="G52" s="74"/>
      <c r="H52" s="74"/>
      <c r="I52" s="74"/>
      <c r="J52" s="17"/>
    </row>
    <row r="53" spans="1:10" ht="13" customHeight="1" x14ac:dyDescent="0.2">
      <c r="A53" s="78"/>
      <c r="B53" s="71"/>
      <c r="C53" s="72"/>
      <c r="D53" s="73"/>
      <c r="E53" s="73"/>
      <c r="F53" s="74"/>
      <c r="G53" s="74"/>
      <c r="H53" s="74"/>
      <c r="I53" s="74"/>
      <c r="J53" s="17"/>
    </row>
    <row r="54" spans="1:10" ht="13" customHeight="1" x14ac:dyDescent="0.2">
      <c r="A54" s="78"/>
      <c r="B54" s="71"/>
      <c r="C54" s="72"/>
      <c r="D54" s="73"/>
      <c r="E54" s="73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  <row r="61" spans="1:10" ht="13" customHeight="1" x14ac:dyDescent="0.2">
      <c r="A61" s="82"/>
      <c r="B61" s="82"/>
      <c r="C61" s="82"/>
      <c r="D61" s="82"/>
      <c r="E61" s="82"/>
      <c r="F61" s="82"/>
      <c r="G61" s="82"/>
      <c r="H61" s="82"/>
      <c r="I61" s="82"/>
      <c r="J61" s="17"/>
    </row>
    <row r="62" spans="1:10" ht="13" customHeight="1" x14ac:dyDescent="0.2">
      <c r="A62" s="82"/>
      <c r="B62" s="82"/>
      <c r="C62" s="82"/>
      <c r="D62" s="82"/>
      <c r="E62" s="82"/>
      <c r="F62" s="82"/>
      <c r="G62" s="82"/>
      <c r="H62" s="82"/>
      <c r="I62" s="82"/>
      <c r="J62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theme="3"/>
    <pageSetUpPr fitToPage="1"/>
  </sheetPr>
  <dimension ref="A1:K50"/>
  <sheetViews>
    <sheetView zoomScaleNormal="100" zoomScaleSheetLayoutView="90" workbookViewId="0">
      <selection activeCell="G8" sqref="G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59</v>
      </c>
      <c r="C6" s="963" t="s">
        <v>133</v>
      </c>
      <c r="D6" s="963"/>
      <c r="E6" s="963"/>
      <c r="F6" s="963"/>
      <c r="G6" s="963"/>
      <c r="H6" s="963"/>
      <c r="I6" s="963"/>
    </row>
    <row r="7" spans="1:11" ht="16" thickBot="1" x14ac:dyDescent="0.25">
      <c r="E7" s="479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4779593</v>
      </c>
      <c r="C9" s="34">
        <v>5393827</v>
      </c>
      <c r="D9" s="227">
        <f>+C9+D25</f>
        <v>5578480</v>
      </c>
      <c r="E9" s="115">
        <f>+D9+E27+E29+E31+E33+E36+E39+130000</f>
        <v>5775991</v>
      </c>
      <c r="F9" s="411">
        <f>+E9+F39</f>
        <v>5892600</v>
      </c>
      <c r="G9" s="34">
        <f>+F9+G33+G42</f>
        <v>5892600</v>
      </c>
      <c r="H9" s="227">
        <f>+G9+H42</f>
        <v>6472930</v>
      </c>
      <c r="I9" s="51">
        <f t="shared" ref="E9:I15" si="0">+H9</f>
        <v>6472930</v>
      </c>
      <c r="K9" s="7">
        <v>100</v>
      </c>
    </row>
    <row r="10" spans="1:11" x14ac:dyDescent="0.2">
      <c r="A10" s="10" t="s">
        <v>5</v>
      </c>
      <c r="B10" s="36">
        <v>641167</v>
      </c>
      <c r="C10" s="36">
        <v>684965</v>
      </c>
      <c r="D10" s="230">
        <f>+C10</f>
        <v>684965</v>
      </c>
      <c r="E10" s="550">
        <f>+D10+E22+E30+E34+E37</f>
        <v>646260</v>
      </c>
      <c r="F10" s="548">
        <f>+E10</f>
        <v>646260</v>
      </c>
      <c r="G10" s="36">
        <f>+F10+G30+G34+G43</f>
        <v>596260</v>
      </c>
      <c r="H10" s="230">
        <f>+G10+H30+H43</f>
        <v>684965</v>
      </c>
      <c r="I10" s="37">
        <f t="shared" si="0"/>
        <v>684965</v>
      </c>
      <c r="K10" s="7">
        <v>200</v>
      </c>
    </row>
    <row r="11" spans="1:11" x14ac:dyDescent="0.2">
      <c r="A11" s="9" t="s">
        <v>6</v>
      </c>
      <c r="B11" s="34">
        <v>14978</v>
      </c>
      <c r="C11" s="34">
        <v>34841</v>
      </c>
      <c r="D11" s="227">
        <f>+C11</f>
        <v>34841</v>
      </c>
      <c r="E11" s="115">
        <f>+D11+E23+E28+E35+E38</f>
        <v>41341</v>
      </c>
      <c r="F11" s="411">
        <f>+E11</f>
        <v>41341</v>
      </c>
      <c r="G11" s="34">
        <f>+F11+G35+G44</f>
        <v>41341</v>
      </c>
      <c r="H11" s="227">
        <f>+G11+H44</f>
        <v>51841</v>
      </c>
      <c r="I11" s="35">
        <f t="shared" si="0"/>
        <v>51841</v>
      </c>
      <c r="K11" s="7" t="s">
        <v>167</v>
      </c>
    </row>
    <row r="12" spans="1:11" x14ac:dyDescent="0.2">
      <c r="A12" s="10" t="s">
        <v>7</v>
      </c>
      <c r="B12" s="43">
        <f>181000-'05S-Mayor-Schol'!B12</f>
        <v>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5435738</v>
      </c>
      <c r="C16" s="40">
        <f t="shared" ref="C16:I16" si="2">SUM(C9:C15)</f>
        <v>6113633</v>
      </c>
      <c r="D16" s="40">
        <f t="shared" si="2"/>
        <v>6298286</v>
      </c>
      <c r="E16" s="573">
        <f t="shared" si="2"/>
        <v>6463592</v>
      </c>
      <c r="F16" s="40">
        <f t="shared" si="2"/>
        <v>6580201</v>
      </c>
      <c r="G16" s="40">
        <f t="shared" si="2"/>
        <v>6530201</v>
      </c>
      <c r="H16" s="40">
        <f t="shared" si="2"/>
        <v>7209736</v>
      </c>
      <c r="I16" s="40">
        <f t="shared" si="2"/>
        <v>7209736</v>
      </c>
    </row>
    <row r="17" spans="1:10" x14ac:dyDescent="0.2">
      <c r="B17" s="855">
        <f>+'05S-Mayor-Schol'!B16</f>
        <v>181000</v>
      </c>
    </row>
    <row r="18" spans="1:10" x14ac:dyDescent="0.2">
      <c r="B18" s="854">
        <f>+B17+B16</f>
        <v>5616738</v>
      </c>
      <c r="E18" s="416">
        <f>+E16-D16</f>
        <v>165306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211"/>
      <c r="C20" s="211"/>
      <c r="D20" s="211"/>
      <c r="E20" s="211"/>
      <c r="F20" s="211"/>
      <c r="G20" s="211"/>
      <c r="H20" s="211"/>
      <c r="I20" s="211"/>
    </row>
    <row r="21" spans="1:10" ht="12.75" customHeight="1" x14ac:dyDescent="0.2">
      <c r="A21" s="173" t="s">
        <v>358</v>
      </c>
      <c r="B21" s="154"/>
      <c r="C21" s="186"/>
      <c r="D21" s="145"/>
      <c r="E21" s="145"/>
      <c r="F21" s="145"/>
      <c r="G21" s="145"/>
      <c r="H21" s="145"/>
      <c r="I21" s="145"/>
      <c r="J21" s="17"/>
    </row>
    <row r="22" spans="1:10" ht="12.75" customHeight="1" x14ac:dyDescent="0.2">
      <c r="A22" s="808" t="s">
        <v>479</v>
      </c>
      <c r="B22" s="93"/>
      <c r="C22" s="175">
        <v>200</v>
      </c>
      <c r="D22" s="104"/>
      <c r="E22" s="104">
        <v>-25000</v>
      </c>
      <c r="F22" s="104"/>
      <c r="G22" s="104"/>
      <c r="H22" s="95"/>
      <c r="I22" s="95"/>
      <c r="J22" s="17"/>
    </row>
    <row r="23" spans="1:10" ht="12.75" customHeight="1" x14ac:dyDescent="0.2">
      <c r="A23" s="234" t="s">
        <v>492</v>
      </c>
      <c r="B23" s="140"/>
      <c r="C23" s="809" t="s">
        <v>167</v>
      </c>
      <c r="D23" s="139"/>
      <c r="E23" s="139">
        <v>-2000</v>
      </c>
      <c r="F23" s="139"/>
      <c r="G23" s="139"/>
      <c r="H23" s="139"/>
      <c r="I23" s="139"/>
      <c r="J23" s="17"/>
    </row>
    <row r="24" spans="1:10" ht="12.75" customHeight="1" x14ac:dyDescent="0.2">
      <c r="A24" s="833" t="s">
        <v>494</v>
      </c>
      <c r="B24" s="834"/>
      <c r="C24" s="241"/>
      <c r="D24" s="835"/>
      <c r="E24" s="74"/>
      <c r="F24" s="74"/>
      <c r="G24" s="74"/>
      <c r="H24" s="74"/>
      <c r="I24" s="74"/>
      <c r="J24" s="17"/>
    </row>
    <row r="25" spans="1:10" ht="12.75" customHeight="1" x14ac:dyDescent="0.2">
      <c r="A25" s="303" t="s">
        <v>502</v>
      </c>
      <c r="B25" s="304"/>
      <c r="C25" s="249">
        <v>100</v>
      </c>
      <c r="D25" s="250">
        <v>184653</v>
      </c>
      <c r="E25" s="70"/>
      <c r="F25" s="70"/>
      <c r="G25" s="70"/>
      <c r="H25" s="70"/>
      <c r="I25" s="70"/>
      <c r="J25" s="17"/>
    </row>
    <row r="26" spans="1:10" ht="12.75" customHeight="1" x14ac:dyDescent="0.2">
      <c r="A26" s="833" t="s">
        <v>598</v>
      </c>
      <c r="B26" s="834"/>
      <c r="C26" s="241"/>
      <c r="D26" s="835"/>
      <c r="E26" s="74"/>
      <c r="F26" s="74"/>
      <c r="G26" s="74"/>
      <c r="H26" s="74"/>
      <c r="I26" s="74"/>
      <c r="J26" s="17"/>
    </row>
    <row r="27" spans="1:10" ht="12.75" customHeight="1" x14ac:dyDescent="0.2">
      <c r="A27" s="303" t="s">
        <v>591</v>
      </c>
      <c r="B27" s="304"/>
      <c r="C27" s="249">
        <v>100</v>
      </c>
      <c r="D27" s="250"/>
      <c r="E27" s="70">
        <v>-9000</v>
      </c>
      <c r="F27" s="70"/>
      <c r="G27" s="70"/>
      <c r="H27" s="70"/>
      <c r="I27" s="70"/>
      <c r="J27" s="17"/>
    </row>
    <row r="28" spans="1:10" ht="12.75" customHeight="1" x14ac:dyDescent="0.2">
      <c r="A28" s="833"/>
      <c r="B28" s="834"/>
      <c r="C28" s="241" t="s">
        <v>167</v>
      </c>
      <c r="D28" s="835"/>
      <c r="E28" s="74">
        <v>9000</v>
      </c>
      <c r="F28" s="74"/>
      <c r="G28" s="74"/>
      <c r="H28" s="74"/>
      <c r="I28" s="74"/>
    </row>
    <row r="29" spans="1:10" ht="12.75" customHeight="1" x14ac:dyDescent="0.2">
      <c r="A29" s="303" t="s">
        <v>618</v>
      </c>
      <c r="B29" s="304"/>
      <c r="C29" s="249">
        <v>100</v>
      </c>
      <c r="D29" s="250"/>
      <c r="E29" s="70">
        <v>398500</v>
      </c>
      <c r="F29" s="70"/>
      <c r="G29" s="70"/>
      <c r="H29" s="70"/>
      <c r="I29" s="70"/>
    </row>
    <row r="30" spans="1:10" ht="12.75" customHeight="1" x14ac:dyDescent="0.2">
      <c r="A30" s="929" t="s">
        <v>619</v>
      </c>
      <c r="B30" s="834"/>
      <c r="C30" s="241">
        <v>200</v>
      </c>
      <c r="D30" s="835"/>
      <c r="E30" s="74">
        <v>100000</v>
      </c>
      <c r="F30" s="74"/>
      <c r="G30" s="74">
        <v>-50000</v>
      </c>
      <c r="H30" s="74">
        <v>-50000</v>
      </c>
      <c r="I30" s="74"/>
    </row>
    <row r="31" spans="1:10" ht="12.75" customHeight="1" x14ac:dyDescent="0.2">
      <c r="A31" s="303" t="s">
        <v>620</v>
      </c>
      <c r="B31" s="304"/>
      <c r="C31" s="249">
        <v>100</v>
      </c>
      <c r="D31" s="250"/>
      <c r="E31" s="70">
        <v>55000</v>
      </c>
      <c r="F31" s="70"/>
      <c r="G31" s="70"/>
      <c r="H31" s="70"/>
      <c r="I31" s="70"/>
    </row>
    <row r="32" spans="1:10" ht="12.75" customHeight="1" x14ac:dyDescent="0.2">
      <c r="A32" s="833" t="s">
        <v>748</v>
      </c>
      <c r="B32" s="834"/>
      <c r="C32" s="241"/>
      <c r="D32" s="835"/>
      <c r="E32" s="74"/>
      <c r="F32" s="74"/>
      <c r="G32" s="74"/>
      <c r="H32" s="74"/>
      <c r="I32" s="74"/>
    </row>
    <row r="33" spans="1:9" ht="12.75" customHeight="1" x14ac:dyDescent="0.2">
      <c r="A33" s="303" t="s">
        <v>725</v>
      </c>
      <c r="B33" s="304"/>
      <c r="C33" s="249">
        <v>100</v>
      </c>
      <c r="D33" s="250"/>
      <c r="E33" s="70">
        <f>-623863+43533</f>
        <v>-580330</v>
      </c>
      <c r="F33" s="70"/>
      <c r="G33" s="70">
        <v>580330</v>
      </c>
      <c r="H33" s="70"/>
      <c r="I33" s="70"/>
    </row>
    <row r="34" spans="1:9" ht="12.75" customHeight="1" x14ac:dyDescent="0.2">
      <c r="A34" s="929" t="s">
        <v>726</v>
      </c>
      <c r="B34" s="834"/>
      <c r="C34" s="241">
        <v>200</v>
      </c>
      <c r="D34" s="835"/>
      <c r="E34" s="74">
        <v>-138705</v>
      </c>
      <c r="F34" s="74"/>
      <c r="G34" s="74">
        <v>138705</v>
      </c>
      <c r="H34" s="74"/>
      <c r="I34" s="74"/>
    </row>
    <row r="35" spans="1:9" ht="12.75" customHeight="1" x14ac:dyDescent="0.2">
      <c r="A35" s="303" t="s">
        <v>727</v>
      </c>
      <c r="B35" s="304"/>
      <c r="C35" s="249" t="s">
        <v>167</v>
      </c>
      <c r="D35" s="250"/>
      <c r="E35" s="70">
        <v>-10500</v>
      </c>
      <c r="F35" s="70"/>
      <c r="G35" s="70">
        <v>10500</v>
      </c>
      <c r="H35" s="70"/>
      <c r="I35" s="70"/>
    </row>
    <row r="36" spans="1:9" ht="12.75" customHeight="1" x14ac:dyDescent="0.2">
      <c r="A36" s="929" t="s">
        <v>813</v>
      </c>
      <c r="B36" s="834"/>
      <c r="C36" s="241">
        <v>100</v>
      </c>
      <c r="D36" s="835"/>
      <c r="E36" s="74">
        <v>319950</v>
      </c>
      <c r="F36" s="74"/>
      <c r="G36" s="74"/>
      <c r="H36" s="74"/>
      <c r="I36" s="74"/>
    </row>
    <row r="37" spans="1:9" ht="12.75" customHeight="1" x14ac:dyDescent="0.2">
      <c r="A37" s="303"/>
      <c r="B37" s="304"/>
      <c r="C37" s="249">
        <v>200</v>
      </c>
      <c r="D37" s="250"/>
      <c r="E37" s="70">
        <v>25000</v>
      </c>
      <c r="F37" s="70"/>
      <c r="G37" s="70"/>
      <c r="H37" s="70"/>
      <c r="I37" s="70"/>
    </row>
    <row r="38" spans="1:9" ht="12.75" customHeight="1" x14ac:dyDescent="0.2">
      <c r="A38" s="833"/>
      <c r="B38" s="834"/>
      <c r="C38" s="241" t="s">
        <v>167</v>
      </c>
      <c r="D38" s="835"/>
      <c r="E38" s="74">
        <v>10000</v>
      </c>
      <c r="F38" s="74"/>
      <c r="G38" s="74"/>
      <c r="H38" s="74"/>
      <c r="I38" s="74"/>
    </row>
    <row r="39" spans="1:9" ht="12.75" customHeight="1" x14ac:dyDescent="0.2">
      <c r="A39" s="303" t="s">
        <v>909</v>
      </c>
      <c r="B39" s="304"/>
      <c r="C39" s="249">
        <v>100</v>
      </c>
      <c r="D39" s="250"/>
      <c r="E39" s="70">
        <v>-116609</v>
      </c>
      <c r="F39" s="70">
        <v>116609</v>
      </c>
      <c r="G39" s="70"/>
      <c r="H39" s="70"/>
      <c r="I39" s="70"/>
    </row>
    <row r="40" spans="1:9" ht="12.75" customHeight="1" x14ac:dyDescent="0.2">
      <c r="A40" s="928" t="s">
        <v>913</v>
      </c>
      <c r="B40" s="305"/>
      <c r="C40" s="251"/>
      <c r="D40" s="252"/>
      <c r="E40" s="252"/>
      <c r="F40" s="74"/>
      <c r="G40" s="74"/>
      <c r="H40" s="74"/>
      <c r="I40" s="74"/>
    </row>
    <row r="41" spans="1:9" ht="12.75" customHeight="1" x14ac:dyDescent="0.2">
      <c r="A41" s="303" t="s">
        <v>1006</v>
      </c>
      <c r="B41" s="304"/>
      <c r="C41" s="249">
        <v>100</v>
      </c>
      <c r="D41" s="250"/>
      <c r="E41" s="70">
        <v>130000</v>
      </c>
      <c r="F41" s="70"/>
      <c r="G41" s="70"/>
      <c r="H41" s="70"/>
      <c r="I41" s="70"/>
    </row>
    <row r="42" spans="1:9" ht="12.75" customHeight="1" x14ac:dyDescent="0.2">
      <c r="A42" s="929" t="s">
        <v>997</v>
      </c>
      <c r="B42" s="834"/>
      <c r="C42" s="241">
        <v>100</v>
      </c>
      <c r="D42" s="835"/>
      <c r="E42" s="74"/>
      <c r="F42" s="74"/>
      <c r="G42" s="74">
        <v>-580330</v>
      </c>
      <c r="H42" s="74">
        <v>580330</v>
      </c>
      <c r="I42" s="74"/>
    </row>
    <row r="43" spans="1:9" ht="12.75" customHeight="1" x14ac:dyDescent="0.2">
      <c r="A43" s="303"/>
      <c r="B43" s="304"/>
      <c r="C43" s="249">
        <v>200</v>
      </c>
      <c r="D43" s="250"/>
      <c r="E43" s="70"/>
      <c r="F43" s="70"/>
      <c r="G43" s="70">
        <v>-138705</v>
      </c>
      <c r="H43" s="70">
        <v>138705</v>
      </c>
      <c r="I43" s="70"/>
    </row>
    <row r="44" spans="1:9" ht="12.75" customHeight="1" x14ac:dyDescent="0.2">
      <c r="A44" s="834"/>
      <c r="B44" s="834"/>
      <c r="C44" s="241" t="s">
        <v>167</v>
      </c>
      <c r="D44" s="835"/>
      <c r="E44" s="74"/>
      <c r="F44" s="74"/>
      <c r="G44" s="74">
        <v>-10500</v>
      </c>
      <c r="H44" s="74">
        <v>10500</v>
      </c>
      <c r="I44" s="74"/>
    </row>
    <row r="45" spans="1:9" ht="12.75" customHeight="1" x14ac:dyDescent="0.2">
      <c r="A45" s="304"/>
      <c r="B45" s="304"/>
      <c r="C45" s="249"/>
      <c r="D45" s="250"/>
      <c r="E45" s="70"/>
      <c r="F45" s="70"/>
      <c r="G45" s="70"/>
      <c r="H45" s="70"/>
      <c r="I45" s="70"/>
    </row>
    <row r="46" spans="1:9" ht="12.75" customHeight="1" x14ac:dyDescent="0.2">
      <c r="A46" s="834"/>
      <c r="B46" s="834"/>
      <c r="C46" s="241"/>
      <c r="D46" s="835"/>
      <c r="E46" s="74"/>
      <c r="F46" s="74"/>
      <c r="G46" s="74"/>
      <c r="H46" s="74"/>
      <c r="I46" s="74"/>
    </row>
    <row r="47" spans="1:9" ht="12.75" customHeight="1" x14ac:dyDescent="0.2">
      <c r="A47" s="304"/>
      <c r="B47" s="304"/>
      <c r="C47" s="249"/>
      <c r="D47" s="250"/>
      <c r="E47" s="70"/>
      <c r="F47" s="70"/>
      <c r="G47" s="70"/>
      <c r="H47" s="70"/>
      <c r="I47" s="70"/>
    </row>
    <row r="48" spans="1:9" ht="12.75" customHeight="1" x14ac:dyDescent="0.2">
      <c r="B48" s="834"/>
      <c r="C48" s="241"/>
      <c r="D48" s="835"/>
      <c r="E48" s="74"/>
      <c r="F48" s="74"/>
      <c r="G48" s="74"/>
      <c r="H48" s="74"/>
      <c r="I48" s="74"/>
    </row>
    <row r="49" ht="12.75" customHeight="1" x14ac:dyDescent="0.2"/>
    <row r="50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40">
    <cfRule type="expression" dxfId="116" priority="1">
      <formula>MOD(ROW(),2)=1</formula>
    </cfRule>
  </conditionalFormatting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theme="3"/>
    <pageSetUpPr fitToPage="1"/>
  </sheetPr>
  <dimension ref="A1:K60"/>
  <sheetViews>
    <sheetView topLeftCell="A9" zoomScaleNormal="100" zoomScaleSheetLayoutView="90" workbookViewId="0">
      <selection activeCell="H9" sqref="H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61</v>
      </c>
      <c r="C6" s="963" t="s">
        <v>132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36">
        <v>0</v>
      </c>
      <c r="C10" s="36">
        <v>0</v>
      </c>
      <c r="D10" s="230">
        <f t="shared" si="0"/>
        <v>0</v>
      </c>
      <c r="E10" s="550">
        <f t="shared" si="1"/>
        <v>0</v>
      </c>
      <c r="F10" s="548">
        <f t="shared" si="1"/>
        <v>0</v>
      </c>
      <c r="G10" s="36">
        <f t="shared" si="1"/>
        <v>0</v>
      </c>
      <c r="H10" s="230">
        <f t="shared" si="1"/>
        <v>0</v>
      </c>
      <c r="I10" s="37">
        <f t="shared" si="1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181000</v>
      </c>
      <c r="C12" s="36">
        <v>200000</v>
      </c>
      <c r="D12" s="230">
        <f t="shared" si="0"/>
        <v>200000</v>
      </c>
      <c r="E12" s="550">
        <f>+D12+E21</f>
        <v>100000</v>
      </c>
      <c r="F12" s="548">
        <f t="shared" si="1"/>
        <v>100000</v>
      </c>
      <c r="G12" s="36">
        <f>+F12+G21+G23</f>
        <v>100000</v>
      </c>
      <c r="H12" s="230">
        <f>+G12+H23</f>
        <v>200000</v>
      </c>
      <c r="I12" s="37">
        <f t="shared" si="1"/>
        <v>200000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181000</v>
      </c>
      <c r="C16" s="40">
        <f t="shared" ref="C16:I16" si="2">SUM(C9:C15)</f>
        <v>200000</v>
      </c>
      <c r="D16" s="40">
        <f t="shared" si="2"/>
        <v>200000</v>
      </c>
      <c r="E16" s="573">
        <f t="shared" si="2"/>
        <v>100000</v>
      </c>
      <c r="F16" s="40">
        <f t="shared" si="2"/>
        <v>100000</v>
      </c>
      <c r="G16" s="40">
        <f t="shared" si="2"/>
        <v>100000</v>
      </c>
      <c r="H16" s="40">
        <f t="shared" si="2"/>
        <v>200000</v>
      </c>
      <c r="I16" s="40">
        <f t="shared" si="2"/>
        <v>200000</v>
      </c>
    </row>
    <row r="18" spans="1:11" x14ac:dyDescent="0.2">
      <c r="E18" s="416">
        <f>+E16-D16</f>
        <v>-100000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123" t="s">
        <v>728</v>
      </c>
      <c r="B20" s="79"/>
      <c r="C20" s="72"/>
      <c r="D20" s="73"/>
      <c r="E20" s="73"/>
      <c r="F20" s="73"/>
      <c r="G20" s="73"/>
      <c r="H20" s="73"/>
      <c r="I20" s="74"/>
    </row>
    <row r="21" spans="1:11" ht="13" customHeight="1" x14ac:dyDescent="0.2">
      <c r="A21" s="898" t="s">
        <v>729</v>
      </c>
      <c r="B21" s="85"/>
      <c r="C21" s="68">
        <v>500</v>
      </c>
      <c r="D21" s="69"/>
      <c r="E21" s="69">
        <v>-100000</v>
      </c>
      <c r="F21" s="69"/>
      <c r="G21" s="69">
        <v>100000</v>
      </c>
      <c r="H21" s="70"/>
      <c r="I21" s="70"/>
      <c r="J21" s="17"/>
    </row>
    <row r="22" spans="1:11" s="59" customFormat="1" ht="13" customHeight="1" x14ac:dyDescent="0.2">
      <c r="A22" s="160" t="s">
        <v>1007</v>
      </c>
      <c r="B22" s="79"/>
      <c r="C22" s="72"/>
      <c r="D22" s="73"/>
      <c r="E22" s="73"/>
      <c r="F22" s="73"/>
      <c r="G22" s="73"/>
      <c r="H22" s="74"/>
      <c r="I22" s="74"/>
      <c r="J22" s="82"/>
      <c r="K22" s="7"/>
    </row>
    <row r="23" spans="1:11" ht="13" customHeight="1" x14ac:dyDescent="0.2">
      <c r="A23" s="898" t="s">
        <v>999</v>
      </c>
      <c r="B23" s="85"/>
      <c r="C23" s="68">
        <v>500</v>
      </c>
      <c r="D23" s="69"/>
      <c r="E23" s="69"/>
      <c r="F23" s="69"/>
      <c r="G23" s="69">
        <v>-100000</v>
      </c>
      <c r="H23" s="70">
        <v>100000</v>
      </c>
      <c r="I23" s="70"/>
      <c r="J23" s="17"/>
    </row>
    <row r="24" spans="1:11" s="59" customFormat="1" ht="13" customHeight="1" x14ac:dyDescent="0.2">
      <c r="A24" s="78"/>
      <c r="B24" s="79"/>
      <c r="C24" s="72"/>
      <c r="D24" s="73"/>
      <c r="E24" s="73"/>
      <c r="F24" s="73"/>
      <c r="G24" s="73"/>
      <c r="H24" s="74"/>
      <c r="I24" s="74"/>
      <c r="J24" s="82"/>
      <c r="K24" s="7"/>
    </row>
    <row r="25" spans="1:11" ht="13" customHeight="1" x14ac:dyDescent="0.2">
      <c r="A25" s="78"/>
      <c r="B25" s="79"/>
      <c r="C25" s="72"/>
      <c r="D25" s="73"/>
      <c r="E25" s="73"/>
      <c r="F25" s="73"/>
      <c r="G25" s="73"/>
      <c r="H25" s="74"/>
      <c r="I25" s="74"/>
      <c r="J25" s="17"/>
    </row>
    <row r="26" spans="1:11" ht="13" customHeight="1" x14ac:dyDescent="0.2">
      <c r="A26" s="78"/>
      <c r="B26" s="79"/>
      <c r="C26" s="72"/>
      <c r="D26" s="73"/>
      <c r="E26" s="73"/>
      <c r="F26" s="73"/>
      <c r="G26" s="73"/>
      <c r="H26" s="74"/>
      <c r="I26" s="74"/>
      <c r="J26" s="17"/>
    </row>
    <row r="27" spans="1:11" ht="13" customHeight="1" x14ac:dyDescent="0.2">
      <c r="A27" s="78"/>
      <c r="B27" s="79"/>
      <c r="C27" s="72"/>
      <c r="D27" s="73"/>
      <c r="E27" s="73"/>
      <c r="F27" s="73"/>
      <c r="G27" s="73"/>
      <c r="H27" s="74"/>
      <c r="I27" s="74"/>
      <c r="J27" s="17"/>
    </row>
    <row r="28" spans="1:11" ht="13" customHeight="1" x14ac:dyDescent="0.2">
      <c r="A28" s="78"/>
      <c r="B28" s="79"/>
      <c r="C28" s="72"/>
      <c r="D28" s="73"/>
      <c r="E28" s="73"/>
      <c r="F28" s="73"/>
      <c r="G28" s="73"/>
      <c r="H28" s="74"/>
      <c r="I28" s="74"/>
      <c r="J28" s="17"/>
    </row>
    <row r="29" spans="1:11" ht="13" customHeight="1" x14ac:dyDescent="0.2">
      <c r="A29" s="78"/>
      <c r="B29" s="79"/>
      <c r="C29" s="72"/>
      <c r="D29" s="73"/>
      <c r="E29" s="73"/>
      <c r="F29" s="73"/>
      <c r="G29" s="73"/>
      <c r="H29" s="74"/>
      <c r="I29" s="74"/>
      <c r="J29" s="17"/>
    </row>
    <row r="30" spans="1:11" ht="13" customHeight="1" x14ac:dyDescent="0.2">
      <c r="A30" s="78"/>
      <c r="B30" s="79"/>
      <c r="C30" s="72"/>
      <c r="D30" s="73"/>
      <c r="E30" s="73"/>
      <c r="F30" s="73"/>
      <c r="G30" s="73"/>
      <c r="H30" s="74"/>
      <c r="I30" s="74"/>
      <c r="J30" s="17"/>
    </row>
    <row r="31" spans="1:11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1" ht="13" customHeight="1" x14ac:dyDescent="0.2">
      <c r="A32" s="78"/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1">
    <tabColor theme="3"/>
    <pageSetUpPr fitToPage="1"/>
  </sheetPr>
  <dimension ref="A1:K54"/>
  <sheetViews>
    <sheetView zoomScaleNormal="100" zoomScaleSheetLayoutView="90" workbookViewId="0">
      <selection activeCell="A20" sqref="A20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50</v>
      </c>
      <c r="C6" s="963" t="s">
        <v>131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587931</v>
      </c>
      <c r="C9" s="34">
        <v>638987</v>
      </c>
      <c r="D9" s="227">
        <f>+C9+D25+D27+D29</f>
        <v>649569</v>
      </c>
      <c r="E9" s="115">
        <f>+D9+E22+E34+E36</f>
        <v>578952</v>
      </c>
      <c r="F9" s="411">
        <f>+E9+F36</f>
        <v>586569</v>
      </c>
      <c r="G9" s="34">
        <f>+F9+G34+G39</f>
        <v>586569</v>
      </c>
      <c r="H9" s="227">
        <f>+G9+H39</f>
        <v>629569</v>
      </c>
      <c r="I9" s="51">
        <f t="shared" ref="E9:I15" si="0">+H9</f>
        <v>629569</v>
      </c>
      <c r="K9" s="7">
        <v>100</v>
      </c>
    </row>
    <row r="10" spans="1:11" x14ac:dyDescent="0.2">
      <c r="A10" s="10" t="s">
        <v>5</v>
      </c>
      <c r="B10" s="36">
        <f>1450615+328681</f>
        <v>1779296</v>
      </c>
      <c r="C10" s="36">
        <v>1860615</v>
      </c>
      <c r="D10" s="230">
        <f>+C10+D26+D28+D30</f>
        <v>1895615</v>
      </c>
      <c r="E10" s="550">
        <f>+D10+E23+E26+E32+E35+E38</f>
        <v>1545610</v>
      </c>
      <c r="F10" s="548">
        <f>+E10</f>
        <v>1545610</v>
      </c>
      <c r="G10" s="36">
        <f>+F10+G35+G40</f>
        <v>1545610</v>
      </c>
      <c r="H10" s="230">
        <f>+G10+H40</f>
        <v>2000615</v>
      </c>
      <c r="I10" s="37">
        <f t="shared" si="0"/>
        <v>2000615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2367227</v>
      </c>
      <c r="C16" s="40">
        <f t="shared" ref="C16:I16" si="2">SUM(C9:C15)</f>
        <v>2499602</v>
      </c>
      <c r="D16" s="40">
        <f t="shared" si="2"/>
        <v>2545184</v>
      </c>
      <c r="E16" s="573">
        <f t="shared" si="2"/>
        <v>2124562</v>
      </c>
      <c r="F16" s="40">
        <f t="shared" si="2"/>
        <v>2132179</v>
      </c>
      <c r="G16" s="40">
        <f t="shared" si="2"/>
        <v>2132179</v>
      </c>
      <c r="H16" s="40">
        <f t="shared" si="2"/>
        <v>2630184</v>
      </c>
      <c r="I16" s="40">
        <f t="shared" si="2"/>
        <v>2630184</v>
      </c>
    </row>
    <row r="17" spans="1:10" x14ac:dyDescent="0.2">
      <c r="B17" s="226"/>
    </row>
    <row r="18" spans="1:10" x14ac:dyDescent="0.2">
      <c r="E18" s="416">
        <f>+E16-D16</f>
        <v>-420622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1"/>
      <c r="C20" s="72"/>
      <c r="D20" s="73"/>
      <c r="E20" s="74"/>
      <c r="F20" s="74"/>
      <c r="G20" s="74"/>
      <c r="H20" s="74"/>
      <c r="I20" s="74"/>
    </row>
    <row r="21" spans="1:10" ht="12.75" customHeight="1" x14ac:dyDescent="0.2">
      <c r="A21" s="210" t="s">
        <v>404</v>
      </c>
      <c r="B21" s="146"/>
      <c r="C21" s="146"/>
      <c r="D21" s="146"/>
      <c r="E21" s="146"/>
      <c r="F21" s="70"/>
      <c r="G21" s="69"/>
      <c r="H21" s="70"/>
      <c r="I21" s="70"/>
      <c r="J21" s="17"/>
    </row>
    <row r="22" spans="1:10" ht="12.75" customHeight="1" x14ac:dyDescent="0.2">
      <c r="A22" s="684" t="s">
        <v>416</v>
      </c>
      <c r="B22" s="79"/>
      <c r="C22" s="76">
        <v>100</v>
      </c>
      <c r="D22" s="74"/>
      <c r="E22" s="74">
        <v>-20000</v>
      </c>
      <c r="F22" s="74"/>
      <c r="G22" s="104"/>
      <c r="H22" s="95"/>
      <c r="I22" s="95"/>
      <c r="J22" s="17"/>
    </row>
    <row r="23" spans="1:10" ht="12.75" customHeight="1" x14ac:dyDescent="0.2">
      <c r="A23" s="176"/>
      <c r="B23" s="140"/>
      <c r="C23" s="141">
        <v>200</v>
      </c>
      <c r="D23" s="139"/>
      <c r="E23" s="139">
        <v>-130000</v>
      </c>
      <c r="F23" s="139"/>
      <c r="G23" s="138"/>
      <c r="H23" s="139"/>
      <c r="I23" s="139"/>
      <c r="J23" s="17"/>
    </row>
    <row r="24" spans="1:10" ht="12.75" customHeight="1" x14ac:dyDescent="0.2">
      <c r="A24" s="833" t="s">
        <v>494</v>
      </c>
      <c r="B24" s="834"/>
      <c r="C24" s="241"/>
      <c r="D24" s="835"/>
      <c r="E24" s="104"/>
      <c r="F24" s="104"/>
      <c r="G24" s="104"/>
      <c r="H24" s="95"/>
      <c r="I24" s="95"/>
      <c r="J24" s="17"/>
    </row>
    <row r="25" spans="1:10" ht="12.75" customHeight="1" x14ac:dyDescent="0.2">
      <c r="A25" s="303" t="s">
        <v>502</v>
      </c>
      <c r="B25" s="304"/>
      <c r="C25" s="249">
        <v>100</v>
      </c>
      <c r="D25" s="250">
        <v>10582</v>
      </c>
      <c r="E25" s="145"/>
      <c r="F25" s="145"/>
      <c r="G25" s="145"/>
      <c r="H25" s="145"/>
      <c r="I25" s="145"/>
      <c r="J25" s="17"/>
    </row>
    <row r="26" spans="1:10" ht="12.75" customHeight="1" x14ac:dyDescent="0.2">
      <c r="A26" s="830" t="s">
        <v>524</v>
      </c>
      <c r="B26" s="79"/>
      <c r="C26" s="76">
        <v>200</v>
      </c>
      <c r="D26" s="74">
        <v>35000</v>
      </c>
      <c r="E26" s="74">
        <v>-35000</v>
      </c>
      <c r="F26" s="74"/>
      <c r="G26" s="104"/>
      <c r="H26" s="95"/>
      <c r="I26" s="95"/>
      <c r="J26" s="17"/>
    </row>
    <row r="27" spans="1:10" ht="12.75" customHeight="1" x14ac:dyDescent="0.2">
      <c r="A27" s="303" t="s">
        <v>583</v>
      </c>
      <c r="B27" s="304"/>
      <c r="C27" s="249">
        <v>100</v>
      </c>
      <c r="D27" s="250">
        <v>-32500</v>
      </c>
      <c r="E27" s="145"/>
      <c r="F27" s="145"/>
      <c r="G27" s="145"/>
      <c r="H27" s="145"/>
      <c r="I27" s="145"/>
      <c r="J27" s="17"/>
    </row>
    <row r="28" spans="1:10" ht="12.75" customHeight="1" x14ac:dyDescent="0.2">
      <c r="A28" s="830"/>
      <c r="B28" s="79"/>
      <c r="C28" s="76">
        <v>200</v>
      </c>
      <c r="D28" s="74">
        <v>32500</v>
      </c>
      <c r="E28" s="74"/>
      <c r="F28" s="74"/>
      <c r="G28" s="104"/>
      <c r="H28" s="95"/>
      <c r="I28" s="95"/>
      <c r="J28" s="17"/>
    </row>
    <row r="29" spans="1:10" ht="12.75" customHeight="1" x14ac:dyDescent="0.2">
      <c r="A29" s="303" t="s">
        <v>852</v>
      </c>
      <c r="B29" s="304"/>
      <c r="C29" s="249">
        <v>100</v>
      </c>
      <c r="D29" s="250">
        <v>32500</v>
      </c>
      <c r="E29" s="145"/>
      <c r="F29" s="145"/>
      <c r="G29" s="145"/>
      <c r="H29" s="145"/>
      <c r="I29" s="145"/>
      <c r="J29" s="17"/>
    </row>
    <row r="30" spans="1:10" ht="12.75" customHeight="1" x14ac:dyDescent="0.2">
      <c r="A30" s="830"/>
      <c r="B30" s="79"/>
      <c r="C30" s="76">
        <v>200</v>
      </c>
      <c r="D30" s="74">
        <v>-32500</v>
      </c>
      <c r="E30" s="74"/>
      <c r="F30" s="74"/>
      <c r="G30" s="104"/>
      <c r="H30" s="95"/>
      <c r="I30" s="95"/>
      <c r="J30" s="17"/>
    </row>
    <row r="31" spans="1:10" ht="12.75" customHeight="1" x14ac:dyDescent="0.2">
      <c r="A31" s="901" t="s">
        <v>625</v>
      </c>
      <c r="B31" s="304"/>
      <c r="C31" s="249"/>
      <c r="D31" s="250"/>
      <c r="E31" s="145"/>
      <c r="F31" s="145"/>
      <c r="G31" s="145"/>
      <c r="H31" s="145"/>
      <c r="I31" s="145"/>
      <c r="J31" s="17"/>
    </row>
    <row r="32" spans="1:10" ht="12.75" customHeight="1" x14ac:dyDescent="0.2">
      <c r="A32" s="890" t="s">
        <v>675</v>
      </c>
      <c r="B32" s="79"/>
      <c r="C32" s="76">
        <v>200</v>
      </c>
      <c r="D32" s="74"/>
      <c r="E32" s="74">
        <v>150000</v>
      </c>
      <c r="F32" s="74"/>
      <c r="G32" s="104"/>
      <c r="H32" s="95"/>
      <c r="I32" s="95"/>
      <c r="J32" s="17"/>
    </row>
    <row r="33" spans="1:10" ht="12.75" customHeight="1" x14ac:dyDescent="0.2">
      <c r="A33" s="901" t="s">
        <v>748</v>
      </c>
      <c r="B33" s="304"/>
      <c r="C33" s="249"/>
      <c r="D33" s="250"/>
      <c r="E33" s="145"/>
      <c r="F33" s="145"/>
      <c r="G33" s="145"/>
      <c r="H33" s="145"/>
      <c r="I33" s="145"/>
      <c r="J33" s="17"/>
    </row>
    <row r="34" spans="1:10" ht="12.75" customHeight="1" x14ac:dyDescent="0.2">
      <c r="A34" s="890" t="s">
        <v>801</v>
      </c>
      <c r="B34" s="79"/>
      <c r="C34" s="76">
        <v>100</v>
      </c>
      <c r="D34" s="74"/>
      <c r="E34" s="74">
        <v>-43000</v>
      </c>
      <c r="F34" s="74"/>
      <c r="G34" s="104">
        <v>43000</v>
      </c>
      <c r="H34" s="95"/>
      <c r="I34" s="95"/>
      <c r="J34" s="17"/>
    </row>
    <row r="35" spans="1:10" ht="12.75" customHeight="1" x14ac:dyDescent="0.2">
      <c r="A35" s="303" t="s">
        <v>789</v>
      </c>
      <c r="B35" s="304"/>
      <c r="C35" s="249">
        <v>200</v>
      </c>
      <c r="D35" s="250"/>
      <c r="E35" s="145">
        <v>-455005</v>
      </c>
      <c r="F35" s="145"/>
      <c r="G35" s="145">
        <v>455005</v>
      </c>
      <c r="H35" s="145"/>
      <c r="I35" s="145"/>
      <c r="J35" s="17"/>
    </row>
    <row r="36" spans="1:10" ht="12.75" customHeight="1" x14ac:dyDescent="0.2">
      <c r="A36" s="890" t="s">
        <v>905</v>
      </c>
      <c r="B36" s="79"/>
      <c r="C36" s="76">
        <v>100</v>
      </c>
      <c r="D36" s="74"/>
      <c r="E36" s="74">
        <v>-7617</v>
      </c>
      <c r="F36" s="74">
        <v>7617</v>
      </c>
      <c r="G36" s="104"/>
      <c r="H36" s="95"/>
      <c r="I36" s="95"/>
      <c r="J36" s="17"/>
    </row>
    <row r="37" spans="1:10" ht="12.75" customHeight="1" x14ac:dyDescent="0.2">
      <c r="A37" s="901" t="s">
        <v>913</v>
      </c>
      <c r="B37" s="304"/>
      <c r="C37" s="249"/>
      <c r="D37" s="250"/>
      <c r="E37" s="145"/>
      <c r="F37" s="145"/>
      <c r="G37" s="145"/>
      <c r="H37" s="145"/>
      <c r="I37" s="145"/>
      <c r="J37" s="17"/>
    </row>
    <row r="38" spans="1:10" ht="12.75" customHeight="1" x14ac:dyDescent="0.2">
      <c r="A38" s="890" t="s">
        <v>991</v>
      </c>
      <c r="B38" s="79"/>
      <c r="C38" s="76">
        <v>200</v>
      </c>
      <c r="D38" s="74"/>
      <c r="E38" s="74">
        <v>120000</v>
      </c>
      <c r="F38" s="74"/>
      <c r="G38" s="104"/>
      <c r="H38" s="95"/>
      <c r="I38" s="95"/>
      <c r="J38" s="17"/>
    </row>
    <row r="39" spans="1:10" ht="12.75" customHeight="1" x14ac:dyDescent="0.2">
      <c r="A39" s="303" t="s">
        <v>997</v>
      </c>
      <c r="B39" s="304"/>
      <c r="C39" s="249">
        <v>100</v>
      </c>
      <c r="D39" s="250"/>
      <c r="E39" s="145"/>
      <c r="F39" s="145"/>
      <c r="G39" s="145">
        <v>-43000</v>
      </c>
      <c r="H39" s="145">
        <v>43000</v>
      </c>
      <c r="I39" s="145"/>
      <c r="J39" s="17"/>
    </row>
    <row r="40" spans="1:10" ht="12.75" customHeight="1" x14ac:dyDescent="0.2">
      <c r="A40" s="78"/>
      <c r="B40" s="71"/>
      <c r="C40" s="72">
        <v>200</v>
      </c>
      <c r="D40" s="73"/>
      <c r="E40" s="74"/>
      <c r="F40" s="74"/>
      <c r="G40" s="73">
        <v>-455005</v>
      </c>
      <c r="H40" s="74">
        <v>455005</v>
      </c>
      <c r="I40" s="74"/>
      <c r="J40" s="17"/>
    </row>
    <row r="41" spans="1:10" ht="12.75" customHeight="1" x14ac:dyDescent="0.2">
      <c r="A41" s="78"/>
      <c r="B41" s="71"/>
      <c r="C41" s="72"/>
      <c r="D41" s="73"/>
      <c r="E41" s="74"/>
      <c r="F41" s="74"/>
      <c r="G41" s="73"/>
      <c r="H41" s="74"/>
      <c r="I41" s="74"/>
      <c r="J41" s="17"/>
    </row>
    <row r="42" spans="1:10" ht="12.75" customHeight="1" x14ac:dyDescent="0.2">
      <c r="A42" s="78"/>
      <c r="B42" s="71"/>
      <c r="C42" s="72"/>
      <c r="D42" s="73"/>
      <c r="E42" s="74"/>
      <c r="F42" s="74"/>
      <c r="G42" s="73"/>
      <c r="H42" s="74"/>
      <c r="I42" s="74"/>
      <c r="J42" s="17"/>
    </row>
    <row r="43" spans="1:10" ht="12.75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2.75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2.75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2.75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2.75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x14ac:dyDescent="0.2">
      <c r="A53" s="78"/>
      <c r="B53" s="79"/>
      <c r="C53" s="76"/>
      <c r="D53" s="74"/>
      <c r="E53" s="74"/>
      <c r="F53" s="74"/>
      <c r="G53" s="74"/>
      <c r="H53" s="74"/>
      <c r="I53" s="74"/>
    </row>
    <row r="54" spans="1:10" x14ac:dyDescent="0.2">
      <c r="A54" s="82"/>
      <c r="B54" s="82"/>
      <c r="C54" s="82"/>
      <c r="D54" s="82"/>
      <c r="E54" s="82"/>
      <c r="F54" s="82"/>
      <c r="G54" s="82"/>
      <c r="H54" s="82"/>
      <c r="I54" s="82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2">
    <tabColor theme="3"/>
    <pageSetUpPr fitToPage="1"/>
  </sheetPr>
  <dimension ref="A1:K54"/>
  <sheetViews>
    <sheetView zoomScaleNormal="100" zoomScaleSheetLayoutView="90" workbookViewId="0">
      <selection activeCell="A5" sqref="A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58</v>
      </c>
      <c r="C6" s="963" t="s">
        <v>130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453399</v>
      </c>
      <c r="C9" s="34">
        <v>508300</v>
      </c>
      <c r="D9" s="227">
        <f>+C9+D21</f>
        <v>579428</v>
      </c>
      <c r="E9" s="115">
        <f>+D9+E24</f>
        <v>0</v>
      </c>
      <c r="F9" s="411">
        <f t="shared" ref="E9:I15" si="0">+E9</f>
        <v>0</v>
      </c>
      <c r="G9" s="34">
        <f t="shared" si="0"/>
        <v>0</v>
      </c>
      <c r="H9" s="227">
        <f t="shared" si="0"/>
        <v>0</v>
      </c>
      <c r="I9" s="51">
        <f t="shared" si="0"/>
        <v>0</v>
      </c>
      <c r="K9" s="7">
        <v>100</v>
      </c>
    </row>
    <row r="10" spans="1:11" x14ac:dyDescent="0.2">
      <c r="A10" s="10" t="s">
        <v>5</v>
      </c>
      <c r="B10" s="36">
        <v>481065</v>
      </c>
      <c r="C10" s="36">
        <v>212014</v>
      </c>
      <c r="D10" s="230">
        <f>+C10</f>
        <v>212014</v>
      </c>
      <c r="E10" s="550">
        <f>+D10+E25</f>
        <v>0</v>
      </c>
      <c r="F10" s="548">
        <f>+E10</f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  <c r="K10" s="7">
        <v>200</v>
      </c>
    </row>
    <row r="11" spans="1:11" x14ac:dyDescent="0.2">
      <c r="A11" s="9" t="s">
        <v>6</v>
      </c>
      <c r="B11" s="34">
        <v>5298</v>
      </c>
      <c r="C11" s="34">
        <v>7000</v>
      </c>
      <c r="D11" s="227">
        <f>+C11</f>
        <v>7000</v>
      </c>
      <c r="E11" s="115">
        <f>+D11+E26</f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44" t="s">
        <v>7</v>
      </c>
      <c r="B12" s="36">
        <v>3370688</v>
      </c>
      <c r="C12" s="36">
        <v>3370688</v>
      </c>
      <c r="D12" s="230">
        <f>+C12+D22</f>
        <v>3620688</v>
      </c>
      <c r="E12" s="550">
        <f>+D12+E22+E27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4310450</v>
      </c>
      <c r="C16" s="40">
        <f t="shared" ref="C16:I16" si="2">SUM(C9:C15)</f>
        <v>4098002</v>
      </c>
      <c r="D16" s="40">
        <f t="shared" si="2"/>
        <v>4419130</v>
      </c>
      <c r="E16" s="573">
        <f t="shared" si="2"/>
        <v>0</v>
      </c>
      <c r="F16" s="40">
        <f t="shared" si="2"/>
        <v>0</v>
      </c>
      <c r="G16" s="40">
        <f t="shared" si="2"/>
        <v>0</v>
      </c>
      <c r="H16" s="40">
        <f t="shared" si="2"/>
        <v>0</v>
      </c>
      <c r="I16" s="40">
        <f t="shared" si="2"/>
        <v>0</v>
      </c>
    </row>
    <row r="18" spans="1:10" x14ac:dyDescent="0.2">
      <c r="E18" s="415">
        <f>+E16-D16</f>
        <v>-4419130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833" t="s">
        <v>494</v>
      </c>
      <c r="B20" s="834"/>
      <c r="C20" s="241"/>
      <c r="D20" s="835"/>
      <c r="E20" s="252"/>
      <c r="F20" s="73"/>
      <c r="G20" s="74"/>
      <c r="H20" s="74"/>
      <c r="I20" s="74"/>
    </row>
    <row r="21" spans="1:10" ht="13" customHeight="1" x14ac:dyDescent="0.2">
      <c r="A21" s="303" t="s">
        <v>502</v>
      </c>
      <c r="B21" s="304"/>
      <c r="C21" s="249">
        <v>100</v>
      </c>
      <c r="D21" s="250">
        <v>71128</v>
      </c>
      <c r="E21" s="69"/>
      <c r="F21" s="69"/>
      <c r="G21" s="69"/>
      <c r="H21" s="70"/>
      <c r="I21" s="70"/>
      <c r="J21" s="17"/>
    </row>
    <row r="22" spans="1:10" ht="13" customHeight="1" x14ac:dyDescent="0.2">
      <c r="A22" s="830" t="s">
        <v>546</v>
      </c>
      <c r="B22" s="79"/>
      <c r="C22" s="76">
        <v>500</v>
      </c>
      <c r="D22" s="74">
        <v>250000</v>
      </c>
      <c r="E22" s="74"/>
      <c r="F22" s="74"/>
      <c r="G22" s="104"/>
      <c r="H22" s="95"/>
      <c r="I22" s="95"/>
      <c r="J22" s="17"/>
    </row>
    <row r="23" spans="1:10" ht="13" customHeight="1" x14ac:dyDescent="0.2">
      <c r="A23" s="887" t="s">
        <v>748</v>
      </c>
      <c r="B23" s="154"/>
      <c r="C23" s="934"/>
      <c r="D23" s="935"/>
      <c r="E23" s="144"/>
      <c r="F23" s="144"/>
      <c r="G23" s="144"/>
      <c r="H23" s="145"/>
      <c r="I23" s="145"/>
      <c r="J23" s="17"/>
    </row>
    <row r="24" spans="1:10" ht="13" customHeight="1" x14ac:dyDescent="0.2">
      <c r="A24" s="328" t="s">
        <v>743</v>
      </c>
      <c r="B24" s="329"/>
      <c r="C24" s="289">
        <v>100</v>
      </c>
      <c r="D24" s="327"/>
      <c r="E24" s="327">
        <v>-579428</v>
      </c>
      <c r="F24" s="327"/>
      <c r="G24" s="327"/>
      <c r="H24" s="327"/>
      <c r="I24" s="327"/>
      <c r="J24" s="17"/>
    </row>
    <row r="25" spans="1:10" ht="13" customHeight="1" x14ac:dyDescent="0.2">
      <c r="A25" s="936"/>
      <c r="B25" s="154"/>
      <c r="C25" s="155">
        <v>200</v>
      </c>
      <c r="D25" s="937"/>
      <c r="E25" s="937">
        <v>-212014</v>
      </c>
      <c r="F25" s="144"/>
      <c r="G25" s="144"/>
      <c r="H25" s="145"/>
      <c r="I25" s="145"/>
      <c r="J25" s="17"/>
    </row>
    <row r="26" spans="1:10" ht="13" customHeight="1" x14ac:dyDescent="0.2">
      <c r="A26" s="539"/>
      <c r="B26" s="79"/>
      <c r="C26" s="891" t="s">
        <v>167</v>
      </c>
      <c r="D26" s="73"/>
      <c r="E26" s="73">
        <v>-7000</v>
      </c>
      <c r="F26" s="73"/>
      <c r="G26" s="73"/>
      <c r="H26" s="74"/>
      <c r="I26" s="74"/>
      <c r="J26" s="17"/>
    </row>
    <row r="27" spans="1:10" ht="12.75" customHeight="1" x14ac:dyDescent="0.2">
      <c r="A27" s="84"/>
      <c r="B27" s="85"/>
      <c r="C27" s="68">
        <v>500</v>
      </c>
      <c r="D27" s="69"/>
      <c r="E27" s="69">
        <v>-3620688</v>
      </c>
      <c r="F27" s="69"/>
      <c r="G27" s="69"/>
      <c r="H27" s="70"/>
      <c r="I27" s="70"/>
      <c r="J27" s="17"/>
    </row>
    <row r="28" spans="1:10" ht="13" customHeight="1" x14ac:dyDescent="0.2">
      <c r="A28" s="78"/>
      <c r="B28" s="79"/>
      <c r="C28" s="76"/>
      <c r="D28" s="74"/>
      <c r="E28" s="74"/>
      <c r="F28" s="74"/>
      <c r="G28" s="74"/>
      <c r="H28" s="74"/>
      <c r="I28" s="74"/>
      <c r="J28" s="17"/>
    </row>
    <row r="29" spans="1:10" ht="13" customHeight="1" x14ac:dyDescent="0.2">
      <c r="A29" s="545"/>
      <c r="B29" s="79"/>
      <c r="C29" s="544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174"/>
      <c r="B30" s="93"/>
      <c r="C30" s="94"/>
      <c r="D30" s="95"/>
      <c r="E30" s="95"/>
      <c r="F30" s="95"/>
      <c r="G30" s="95"/>
      <c r="H30" s="95"/>
      <c r="I30" s="95"/>
      <c r="J30" s="17"/>
    </row>
    <row r="31" spans="1:10" ht="13" customHeight="1" x14ac:dyDescent="0.2">
      <c r="A31" s="768"/>
      <c r="B31" s="103"/>
      <c r="C31" s="104"/>
      <c r="D31" s="769"/>
      <c r="E31" s="770"/>
      <c r="F31" s="770"/>
      <c r="G31" s="770"/>
      <c r="H31" s="770"/>
      <c r="I31" s="771"/>
      <c r="J31" s="17"/>
    </row>
    <row r="32" spans="1:10" ht="13" customHeight="1" x14ac:dyDescent="0.2">
      <c r="A32" s="78"/>
      <c r="B32" s="79"/>
      <c r="C32" s="76"/>
      <c r="D32" s="104"/>
      <c r="E32" s="74"/>
      <c r="F32" s="74"/>
      <c r="G32" s="74"/>
      <c r="H32" s="74"/>
      <c r="I32" s="74"/>
      <c r="J32" s="17"/>
    </row>
    <row r="33" spans="1:10" ht="12.75" customHeight="1" x14ac:dyDescent="0.2">
      <c r="A33" s="543"/>
      <c r="B33" s="79"/>
      <c r="C33" s="76"/>
      <c r="D33" s="546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58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80"/>
      <c r="B37" s="71"/>
      <c r="C37" s="72"/>
      <c r="D37" s="73"/>
      <c r="E37" s="73"/>
      <c r="F37" s="74"/>
      <c r="G37" s="74"/>
      <c r="H37" s="74"/>
      <c r="I37" s="74"/>
      <c r="J37" s="17"/>
    </row>
    <row r="38" spans="1:10" ht="13" customHeight="1" x14ac:dyDescent="0.2">
      <c r="A38" s="78"/>
      <c r="B38" s="71"/>
      <c r="C38" s="72"/>
      <c r="D38" s="73"/>
      <c r="E38" s="73"/>
      <c r="F38" s="74"/>
      <c r="G38" s="74"/>
      <c r="H38" s="74"/>
      <c r="I38" s="74"/>
      <c r="J38" s="17"/>
    </row>
    <row r="39" spans="1:10" ht="13" customHeight="1" x14ac:dyDescent="0.2">
      <c r="A39" s="78"/>
      <c r="B39" s="71"/>
      <c r="C39" s="72"/>
      <c r="D39" s="73"/>
      <c r="E39" s="73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2"/>
      <c r="D40" s="73"/>
      <c r="E40" s="73"/>
      <c r="F40" s="73"/>
      <c r="G40" s="73"/>
      <c r="H40" s="74"/>
      <c r="I40" s="74"/>
      <c r="J40" s="17"/>
    </row>
    <row r="41" spans="1:10" ht="13" customHeight="1" x14ac:dyDescent="0.2">
      <c r="A41" s="78"/>
      <c r="B41" s="79"/>
      <c r="C41" s="72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2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3">
    <pageSetUpPr fitToPage="1"/>
  </sheetPr>
  <dimension ref="A1:K50"/>
  <sheetViews>
    <sheetView topLeftCell="A2" zoomScaleNormal="100" zoomScaleSheetLayoutView="90" workbookViewId="0">
      <selection activeCell="A2" sqref="A2:I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4.83203125" style="7" bestFit="1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>
        <v>15</v>
      </c>
      <c r="C6" s="963" t="s">
        <v>129</v>
      </c>
      <c r="D6" s="963"/>
      <c r="E6" s="963"/>
      <c r="F6" s="963"/>
      <c r="G6" s="963"/>
      <c r="H6" s="963"/>
      <c r="I6" s="963"/>
    </row>
    <row r="7" spans="1:11" ht="16" thickBot="1" x14ac:dyDescent="0.25">
      <c r="B7" s="479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1580748</v>
      </c>
      <c r="C9" s="34">
        <v>1534468</v>
      </c>
      <c r="D9" s="403">
        <f>+C9+D24+D25+D26+D27+D29+D30+D31</f>
        <v>1556209</v>
      </c>
      <c r="E9" s="115">
        <f>+D9+E26+E27+E28+E30+E31</f>
        <v>1546510</v>
      </c>
      <c r="F9" s="411">
        <f>+E9+F28</f>
        <v>1561688</v>
      </c>
      <c r="G9" s="34">
        <f>+F9</f>
        <v>1561688</v>
      </c>
      <c r="H9" s="227">
        <f t="shared" ref="E9:I15" si="0">+G9</f>
        <v>1561688</v>
      </c>
      <c r="I9" s="51">
        <f t="shared" si="0"/>
        <v>1561688</v>
      </c>
      <c r="K9" s="7">
        <v>100</v>
      </c>
    </row>
    <row r="10" spans="1:11" x14ac:dyDescent="0.2">
      <c r="A10" s="10" t="s">
        <v>5</v>
      </c>
      <c r="B10" s="36">
        <v>15534786</v>
      </c>
      <c r="C10" s="36">
        <v>14360976</v>
      </c>
      <c r="D10" s="230">
        <f>+C10</f>
        <v>14360976</v>
      </c>
      <c r="E10" s="550">
        <f>+D10+E22</f>
        <v>13930892</v>
      </c>
      <c r="F10" s="548">
        <f>+E10</f>
        <v>13930892</v>
      </c>
      <c r="G10" s="36">
        <f>+F10</f>
        <v>13930892</v>
      </c>
      <c r="H10" s="230">
        <f t="shared" si="0"/>
        <v>13930892</v>
      </c>
      <c r="I10" s="37">
        <f t="shared" si="0"/>
        <v>13930892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17115534</v>
      </c>
      <c r="C16" s="40">
        <f t="shared" ref="C16:I16" si="2">SUM(C9:C15)</f>
        <v>15895444</v>
      </c>
      <c r="D16" s="40">
        <f t="shared" si="2"/>
        <v>15917185</v>
      </c>
      <c r="E16" s="573">
        <f t="shared" si="2"/>
        <v>15477402</v>
      </c>
      <c r="F16" s="40">
        <f t="shared" si="2"/>
        <v>15492580</v>
      </c>
      <c r="G16" s="40">
        <f t="shared" si="2"/>
        <v>15492580</v>
      </c>
      <c r="H16" s="40">
        <f t="shared" si="2"/>
        <v>15492580</v>
      </c>
      <c r="I16" s="40">
        <f t="shared" si="2"/>
        <v>15492580</v>
      </c>
    </row>
    <row r="18" spans="1:10" x14ac:dyDescent="0.2">
      <c r="E18" s="416">
        <f>+E16-D16</f>
        <v>-439783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173" t="s">
        <v>358</v>
      </c>
      <c r="B21" s="196"/>
      <c r="C21" s="155"/>
      <c r="D21" s="144"/>
      <c r="E21" s="144"/>
      <c r="F21" s="145"/>
      <c r="G21" s="145"/>
      <c r="H21" s="145"/>
      <c r="I21" s="145"/>
      <c r="J21" s="17"/>
    </row>
    <row r="22" spans="1:10" ht="13" customHeight="1" x14ac:dyDescent="0.2">
      <c r="A22" s="940" t="s">
        <v>872</v>
      </c>
      <c r="B22" s="90"/>
      <c r="C22" s="98">
        <v>200</v>
      </c>
      <c r="D22" s="99"/>
      <c r="E22" s="99">
        <v>-430084</v>
      </c>
      <c r="F22" s="92"/>
      <c r="G22" s="92"/>
      <c r="H22" s="92"/>
      <c r="I22" s="92"/>
      <c r="J22" s="17"/>
    </row>
    <row r="23" spans="1:10" ht="13" customHeight="1" x14ac:dyDescent="0.2">
      <c r="A23" s="836" t="s">
        <v>494</v>
      </c>
      <c r="B23" s="582"/>
      <c r="C23" s="837"/>
      <c r="D23" s="201"/>
      <c r="E23" s="70"/>
      <c r="F23" s="70"/>
      <c r="G23" s="70"/>
      <c r="H23" s="70"/>
      <c r="I23" s="70"/>
      <c r="J23" s="17"/>
    </row>
    <row r="24" spans="1:10" ht="13" customHeight="1" x14ac:dyDescent="0.2">
      <c r="A24" s="306" t="s">
        <v>502</v>
      </c>
      <c r="B24" s="305"/>
      <c r="C24" s="251">
        <v>100</v>
      </c>
      <c r="D24" s="252">
        <v>15963</v>
      </c>
      <c r="E24" s="74"/>
      <c r="F24" s="74"/>
      <c r="G24" s="74"/>
      <c r="H24" s="74"/>
      <c r="I24" s="74"/>
      <c r="J24" s="17"/>
    </row>
    <row r="25" spans="1:10" ht="13" customHeight="1" x14ac:dyDescent="0.2">
      <c r="A25" s="879" t="s">
        <v>594</v>
      </c>
      <c r="B25" s="85"/>
      <c r="C25" s="75">
        <v>100</v>
      </c>
      <c r="D25" s="70">
        <v>220000</v>
      </c>
      <c r="E25" s="70"/>
      <c r="F25" s="70"/>
      <c r="G25" s="70"/>
      <c r="H25" s="70"/>
      <c r="I25" s="70"/>
      <c r="J25" s="17"/>
    </row>
    <row r="26" spans="1:10" ht="13" customHeight="1" x14ac:dyDescent="0.2">
      <c r="A26" s="890" t="s">
        <v>827</v>
      </c>
      <c r="B26" s="79"/>
      <c r="C26" s="76">
        <v>100</v>
      </c>
      <c r="D26" s="74">
        <v>1488</v>
      </c>
      <c r="E26" s="73">
        <v>8927</v>
      </c>
      <c r="F26" s="74"/>
      <c r="G26" s="74"/>
      <c r="H26" s="74"/>
      <c r="I26" s="74"/>
      <c r="J26" s="17"/>
    </row>
    <row r="27" spans="1:10" ht="12.75" customHeight="1" x14ac:dyDescent="0.2">
      <c r="A27" s="898" t="s">
        <v>828</v>
      </c>
      <c r="B27" s="85"/>
      <c r="C27" s="75">
        <v>100</v>
      </c>
      <c r="D27" s="70">
        <v>3450</v>
      </c>
      <c r="E27" s="70">
        <v>-3450</v>
      </c>
      <c r="F27" s="70"/>
      <c r="G27" s="70"/>
      <c r="H27" s="70"/>
      <c r="I27" s="70"/>
      <c r="J27" s="17"/>
    </row>
    <row r="28" spans="1:10" ht="12.75" customHeight="1" x14ac:dyDescent="0.2">
      <c r="A28" s="926" t="s">
        <v>909</v>
      </c>
      <c r="B28" s="71"/>
      <c r="C28" s="72">
        <v>100</v>
      </c>
      <c r="D28" s="73"/>
      <c r="E28" s="925">
        <v>-15178</v>
      </c>
      <c r="F28" s="74">
        <v>15178</v>
      </c>
      <c r="G28" s="74"/>
      <c r="H28" s="74"/>
      <c r="I28" s="74"/>
      <c r="J28" s="17"/>
    </row>
    <row r="29" spans="1:10" ht="12.75" customHeight="1" x14ac:dyDescent="0.2">
      <c r="A29" s="898" t="s">
        <v>886</v>
      </c>
      <c r="B29" s="67"/>
      <c r="C29" s="68">
        <v>100</v>
      </c>
      <c r="D29" s="69">
        <v>-220000</v>
      </c>
      <c r="E29" s="69"/>
      <c r="F29" s="70"/>
      <c r="G29" s="70"/>
      <c r="H29" s="70"/>
      <c r="I29" s="70"/>
      <c r="J29" s="17"/>
    </row>
    <row r="30" spans="1:10" ht="12.75" customHeight="1" x14ac:dyDescent="0.2">
      <c r="A30" s="208" t="s">
        <v>943</v>
      </c>
      <c r="B30" s="79"/>
      <c r="C30" s="72">
        <v>100</v>
      </c>
      <c r="D30" s="73">
        <v>140</v>
      </c>
      <c r="E30" s="73">
        <v>702</v>
      </c>
      <c r="F30" s="73"/>
      <c r="G30" s="73"/>
      <c r="H30" s="74"/>
      <c r="I30" s="74"/>
      <c r="J30" s="17"/>
    </row>
    <row r="31" spans="1:10" ht="12.75" customHeight="1" x14ac:dyDescent="0.2">
      <c r="A31" s="898" t="s">
        <v>944</v>
      </c>
      <c r="B31" s="85"/>
      <c r="C31" s="68">
        <v>100</v>
      </c>
      <c r="D31" s="69">
        <v>700</v>
      </c>
      <c r="E31" s="69">
        <v>-700</v>
      </c>
      <c r="F31" s="69"/>
      <c r="G31" s="69"/>
      <c r="H31" s="70"/>
      <c r="I31" s="70"/>
      <c r="J31" s="17"/>
    </row>
    <row r="32" spans="1:10" ht="12.75" customHeight="1" x14ac:dyDescent="0.2">
      <c r="A32" s="78"/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665"/>
      <c r="B33" s="85"/>
      <c r="C33" s="68"/>
      <c r="D33" s="69"/>
      <c r="E33" s="666"/>
      <c r="F33" s="69"/>
      <c r="G33" s="69"/>
      <c r="H33" s="70"/>
      <c r="I33" s="70"/>
      <c r="J33" s="17"/>
    </row>
    <row r="34" spans="1:10" ht="13" customHeight="1" x14ac:dyDescent="0.2">
      <c r="A34" s="664"/>
      <c r="B34" s="79"/>
      <c r="C34" s="72"/>
      <c r="D34" s="73"/>
      <c r="E34" s="73"/>
      <c r="F34" s="73"/>
      <c r="G34" s="73"/>
      <c r="H34" s="74"/>
      <c r="I34" s="74"/>
      <c r="J34" s="17"/>
    </row>
    <row r="35" spans="1:10" ht="13" customHeight="1" x14ac:dyDescent="0.2">
      <c r="A35" s="84"/>
      <c r="B35" s="85"/>
      <c r="C35" s="68"/>
      <c r="D35" s="69"/>
      <c r="E35" s="69"/>
      <c r="F35" s="69"/>
      <c r="G35" s="69"/>
      <c r="H35" s="70"/>
      <c r="I35" s="70"/>
      <c r="J35" s="17"/>
    </row>
    <row r="36" spans="1:10" ht="13" customHeight="1" x14ac:dyDescent="0.2">
      <c r="A36" s="78"/>
      <c r="B36" s="79"/>
      <c r="C36" s="72"/>
      <c r="D36" s="73"/>
      <c r="E36" s="73"/>
      <c r="F36" s="73"/>
      <c r="G36" s="73"/>
      <c r="H36" s="74"/>
      <c r="I36" s="74"/>
      <c r="J36" s="17"/>
    </row>
    <row r="37" spans="1:10" ht="13" customHeight="1" x14ac:dyDescent="0.2">
      <c r="A37" s="78"/>
      <c r="B37" s="79"/>
      <c r="C37" s="72"/>
      <c r="D37" s="73"/>
      <c r="E37" s="73"/>
      <c r="F37" s="73"/>
      <c r="G37" s="73"/>
      <c r="H37" s="74"/>
      <c r="I37" s="74"/>
      <c r="J37" s="17"/>
    </row>
    <row r="38" spans="1:10" ht="13" customHeight="1" x14ac:dyDescent="0.2">
      <c r="A38" s="78"/>
      <c r="B38" s="79"/>
      <c r="C38" s="72"/>
      <c r="D38" s="73"/>
      <c r="E38" s="73"/>
      <c r="F38" s="73"/>
      <c r="G38" s="73"/>
      <c r="H38" s="74"/>
      <c r="I38" s="74"/>
      <c r="J38" s="17"/>
    </row>
    <row r="39" spans="1:10" ht="13" customHeight="1" x14ac:dyDescent="0.2">
      <c r="A39" s="78"/>
      <c r="B39" s="79"/>
      <c r="C39" s="72"/>
      <c r="D39" s="73"/>
      <c r="E39" s="73"/>
      <c r="F39" s="73"/>
      <c r="G39" s="73"/>
      <c r="H39" s="74"/>
      <c r="I39" s="74"/>
      <c r="J39" s="17"/>
    </row>
    <row r="40" spans="1:10" ht="13" customHeight="1" x14ac:dyDescent="0.2">
      <c r="A40" s="78"/>
      <c r="B40" s="79"/>
      <c r="C40" s="72"/>
      <c r="D40" s="73"/>
      <c r="E40" s="73"/>
      <c r="F40" s="73"/>
      <c r="G40" s="73"/>
      <c r="H40" s="74"/>
      <c r="I40" s="74"/>
      <c r="J40" s="17"/>
    </row>
    <row r="41" spans="1:10" ht="12.75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2.7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2.75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2.75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2.75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17"/>
    </row>
    <row r="46" spans="1:10" ht="12.75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17"/>
    </row>
    <row r="47" spans="1:10" ht="12.75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17"/>
    </row>
    <row r="48" spans="1:10" ht="12.75" customHeight="1" x14ac:dyDescent="0.2">
      <c r="A48" s="82"/>
      <c r="B48" s="82"/>
      <c r="C48" s="82"/>
      <c r="D48" s="82"/>
      <c r="E48" s="82"/>
      <c r="F48" s="82"/>
      <c r="G48" s="82"/>
      <c r="H48" s="82"/>
      <c r="I48" s="82"/>
      <c r="J48" s="17"/>
    </row>
    <row r="49" spans="1:10" ht="12.75" customHeight="1" x14ac:dyDescent="0.2">
      <c r="A49" s="82"/>
      <c r="B49" s="82"/>
      <c r="C49" s="82"/>
      <c r="D49" s="82"/>
      <c r="E49" s="82"/>
      <c r="F49" s="82"/>
      <c r="G49" s="82"/>
      <c r="H49" s="82"/>
      <c r="I49" s="82"/>
      <c r="J49" s="17"/>
    </row>
    <row r="50" spans="1:10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28">
    <cfRule type="expression" dxfId="115" priority="2">
      <formula>MOD(ROW(),2)=1</formula>
    </cfRule>
  </conditionalFormatting>
  <conditionalFormatting sqref="E28">
    <cfRule type="expression" dxfId="114" priority="1">
      <formula>MOD(ROW(),2)=1</formula>
    </cfRule>
  </conditionalFormatting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6">
    <tabColor theme="3"/>
    <pageSetUpPr fitToPage="1"/>
  </sheetPr>
  <dimension ref="A1:V53"/>
  <sheetViews>
    <sheetView topLeftCell="A9" zoomScaleNormal="100" zoomScaleSheetLayoutView="90" workbookViewId="0">
      <selection activeCell="H23" sqref="H2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" width="9.1640625" style="7"/>
    <col min="17" max="17" width="10" style="7" bestFit="1" customWidth="1"/>
    <col min="18" max="18" width="10.5" style="7" bestFit="1" customWidth="1"/>
    <col min="19" max="20" width="9.1640625" style="7"/>
    <col min="21" max="21" width="10.5" style="7" bestFit="1" customWidth="1"/>
    <col min="22" max="22" width="28.5" style="7" bestFit="1" customWidth="1"/>
    <col min="23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197" t="s">
        <v>14</v>
      </c>
      <c r="B6" s="33">
        <v>65</v>
      </c>
      <c r="C6" s="963" t="s">
        <v>266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f>3831784+1</f>
        <v>3831785</v>
      </c>
      <c r="C9" s="34">
        <v>4784551</v>
      </c>
      <c r="D9" s="227">
        <f>+C9+D31+D32+D33+D34</f>
        <v>4866328</v>
      </c>
      <c r="E9" s="115">
        <f>+D9+E25+E27+E29+E39+E41+E32+E43+E33+E34</f>
        <v>4256565</v>
      </c>
      <c r="F9" s="411">
        <f>+E9+F22+F43</f>
        <v>4259797</v>
      </c>
      <c r="G9" s="34">
        <f>+F9+G22+G41+G45</f>
        <v>4199797</v>
      </c>
      <c r="H9" s="227">
        <f>+G9+H45</f>
        <v>4618962</v>
      </c>
      <c r="I9" s="51">
        <f>+H9</f>
        <v>4618962</v>
      </c>
      <c r="K9" s="7">
        <v>100</v>
      </c>
    </row>
    <row r="10" spans="1:11" x14ac:dyDescent="0.2">
      <c r="A10" s="10" t="s">
        <v>5</v>
      </c>
      <c r="B10" s="36">
        <f>2298378-146471</f>
        <v>2151907</v>
      </c>
      <c r="C10" s="36">
        <v>2627049</v>
      </c>
      <c r="D10" s="230">
        <f>+C10</f>
        <v>2627049</v>
      </c>
      <c r="E10" s="550">
        <f>+D10+E23+E26+E28+E36+E37+E38+E42</f>
        <v>2050549</v>
      </c>
      <c r="F10" s="548">
        <f>+E10+F38</f>
        <v>1650549</v>
      </c>
      <c r="G10" s="36">
        <f>+F10+G42+G46</f>
        <v>1650549</v>
      </c>
      <c r="H10" s="230">
        <f>+G10+H46</f>
        <v>2502049</v>
      </c>
      <c r="I10" s="37">
        <f t="shared" ref="I10" si="0">+H10</f>
        <v>2502049</v>
      </c>
      <c r="K10" s="7">
        <v>200</v>
      </c>
    </row>
    <row r="11" spans="1:11" x14ac:dyDescent="0.2">
      <c r="A11" s="9" t="s">
        <v>6</v>
      </c>
      <c r="B11" s="34">
        <f>10232+2498</f>
        <v>12730</v>
      </c>
      <c r="C11" s="34">
        <v>26665</v>
      </c>
      <c r="D11" s="227">
        <f>+C11</f>
        <v>26665</v>
      </c>
      <c r="E11" s="115">
        <f>+D11</f>
        <v>26665</v>
      </c>
      <c r="F11" s="411">
        <f>+E11</f>
        <v>26665</v>
      </c>
      <c r="G11" s="34">
        <f>+F11</f>
        <v>26665</v>
      </c>
      <c r="H11" s="227">
        <f t="shared" ref="E11:I15" si="1">+G11</f>
        <v>26665</v>
      </c>
      <c r="I11" s="35">
        <f t="shared" si="1"/>
        <v>26665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2">+C12</f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5996422</v>
      </c>
      <c r="C16" s="40">
        <f t="shared" ref="C16:I16" si="3">SUM(C9:C15)</f>
        <v>7438265</v>
      </c>
      <c r="D16" s="40">
        <f t="shared" si="3"/>
        <v>7520042</v>
      </c>
      <c r="E16" s="573">
        <f t="shared" si="3"/>
        <v>6333779</v>
      </c>
      <c r="F16" s="40">
        <f t="shared" si="3"/>
        <v>5937011</v>
      </c>
      <c r="G16" s="40">
        <f t="shared" si="3"/>
        <v>5877011</v>
      </c>
      <c r="H16" s="40">
        <f t="shared" si="3"/>
        <v>7147676</v>
      </c>
      <c r="I16" s="40">
        <f t="shared" si="3"/>
        <v>7147676</v>
      </c>
    </row>
    <row r="18" spans="1:22" x14ac:dyDescent="0.2">
      <c r="E18" s="406">
        <f>+E16-D16</f>
        <v>-1186263</v>
      </c>
    </row>
    <row r="19" spans="1:22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  <c r="L19"/>
      <c r="M19"/>
      <c r="N19"/>
      <c r="O19" s="198"/>
      <c r="P19" s="199"/>
      <c r="Q19" s="199"/>
      <c r="R19" s="199"/>
      <c r="S19" s="199"/>
      <c r="T19" s="199"/>
      <c r="U19" s="199"/>
      <c r="V19" s="199"/>
    </row>
    <row r="20" spans="1:22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  <c r="L20"/>
      <c r="M20"/>
      <c r="N20"/>
      <c r="O20" s="198"/>
      <c r="P20" s="199"/>
      <c r="Q20" s="199"/>
      <c r="R20" s="199"/>
      <c r="S20" s="199"/>
      <c r="T20" s="199"/>
      <c r="U20" s="199"/>
      <c r="V20" s="199"/>
    </row>
    <row r="21" spans="1:22" ht="12.75" customHeight="1" x14ac:dyDescent="0.2">
      <c r="A21" s="168" t="s">
        <v>300</v>
      </c>
      <c r="B21" s="132"/>
      <c r="C21" s="132"/>
      <c r="D21" s="132"/>
      <c r="E21" s="145"/>
      <c r="F21" s="145"/>
      <c r="G21" s="145"/>
      <c r="H21" s="145"/>
      <c r="I21" s="145"/>
      <c r="J21" s="17"/>
    </row>
    <row r="22" spans="1:22" ht="12.75" customHeight="1" x14ac:dyDescent="0.2">
      <c r="A22" s="480" t="s">
        <v>311</v>
      </c>
      <c r="B22" s="17"/>
      <c r="C22" s="17">
        <v>100</v>
      </c>
      <c r="D22" s="73"/>
      <c r="E22" s="83"/>
      <c r="F22" s="83">
        <v>-60000</v>
      </c>
      <c r="G22" s="83">
        <v>-60000</v>
      </c>
      <c r="H22" s="83"/>
      <c r="I22" s="83"/>
    </row>
    <row r="23" spans="1:22" ht="12.75" customHeight="1" x14ac:dyDescent="0.2">
      <c r="A23" s="303"/>
      <c r="B23" s="146"/>
      <c r="C23" s="132">
        <v>200</v>
      </c>
      <c r="D23" s="69"/>
      <c r="E23" s="130">
        <v>-235000</v>
      </c>
      <c r="F23" s="130"/>
      <c r="G23" s="130"/>
      <c r="H23" s="130"/>
      <c r="I23" s="130"/>
    </row>
    <row r="24" spans="1:22" ht="12.75" customHeight="1" x14ac:dyDescent="0.2">
      <c r="A24" s="464" t="s">
        <v>358</v>
      </c>
      <c r="B24" s="59"/>
      <c r="C24" s="82"/>
      <c r="D24" s="73"/>
      <c r="E24" s="59"/>
      <c r="F24" s="59"/>
      <c r="G24" s="59"/>
      <c r="H24" s="59"/>
      <c r="I24" s="59"/>
    </row>
    <row r="25" spans="1:22" ht="12.75" customHeight="1" x14ac:dyDescent="0.2">
      <c r="A25" s="308" t="s">
        <v>375</v>
      </c>
      <c r="B25" s="146"/>
      <c r="C25" s="517">
        <v>100</v>
      </c>
      <c r="D25" s="70"/>
      <c r="E25" s="70">
        <v>62000</v>
      </c>
      <c r="F25" s="70"/>
      <c r="G25" s="70"/>
      <c r="H25" s="70"/>
      <c r="I25" s="70"/>
    </row>
    <row r="26" spans="1:22" ht="12.75" customHeight="1" x14ac:dyDescent="0.2">
      <c r="A26" s="645" t="s">
        <v>376</v>
      </c>
      <c r="B26" s="82"/>
      <c r="C26" s="82">
        <v>200</v>
      </c>
      <c r="D26" s="83"/>
      <c r="E26" s="83">
        <v>-142000</v>
      </c>
      <c r="F26" s="83"/>
      <c r="G26" s="83"/>
      <c r="H26" s="83"/>
      <c r="I26" s="83"/>
    </row>
    <row r="27" spans="1:22" ht="12.75" customHeight="1" x14ac:dyDescent="0.2">
      <c r="A27" s="308" t="s">
        <v>377</v>
      </c>
      <c r="B27" s="146"/>
      <c r="C27" s="517">
        <v>100</v>
      </c>
      <c r="D27" s="70"/>
      <c r="E27" s="70">
        <v>69000</v>
      </c>
      <c r="F27" s="70"/>
      <c r="G27" s="146"/>
      <c r="H27" s="146"/>
      <c r="I27" s="146"/>
    </row>
    <row r="28" spans="1:22" ht="12.75" customHeight="1" x14ac:dyDescent="0.2">
      <c r="A28" s="661" t="s">
        <v>396</v>
      </c>
      <c r="B28" s="82"/>
      <c r="C28" s="82">
        <v>200</v>
      </c>
      <c r="D28" s="73"/>
      <c r="E28" s="83">
        <v>-120000</v>
      </c>
      <c r="F28" s="83"/>
      <c r="G28" s="83"/>
      <c r="H28" s="83"/>
      <c r="I28" s="83"/>
    </row>
    <row r="29" spans="1:22" ht="12.75" customHeight="1" x14ac:dyDescent="0.2">
      <c r="A29" s="486" t="s">
        <v>387</v>
      </c>
      <c r="B29" s="189"/>
      <c r="C29" s="225">
        <v>100</v>
      </c>
      <c r="D29" s="138"/>
      <c r="E29" s="455">
        <v>-178250</v>
      </c>
      <c r="F29" s="455"/>
      <c r="G29" s="189"/>
      <c r="H29" s="189"/>
      <c r="I29" s="189"/>
    </row>
    <row r="30" spans="1:22" ht="12.75" customHeight="1" x14ac:dyDescent="0.2">
      <c r="A30" s="833" t="s">
        <v>494</v>
      </c>
      <c r="B30" s="834"/>
      <c r="C30" s="241"/>
      <c r="D30" s="835"/>
      <c r="E30" s="59"/>
      <c r="F30" s="59"/>
      <c r="G30" s="59"/>
      <c r="H30" s="59"/>
      <c r="I30" s="59"/>
    </row>
    <row r="31" spans="1:22" ht="12.75" customHeight="1" x14ac:dyDescent="0.2">
      <c r="A31" s="303" t="s">
        <v>502</v>
      </c>
      <c r="B31" s="304"/>
      <c r="C31" s="249">
        <v>100</v>
      </c>
      <c r="D31" s="250">
        <v>71779</v>
      </c>
      <c r="E31" s="146"/>
      <c r="F31" s="146"/>
      <c r="G31" s="146"/>
      <c r="H31" s="146"/>
      <c r="I31" s="146"/>
    </row>
    <row r="32" spans="1:22" ht="12.75" customHeight="1" x14ac:dyDescent="0.2">
      <c r="A32" s="645" t="s">
        <v>841</v>
      </c>
      <c r="B32" s="82"/>
      <c r="C32" s="82">
        <v>100</v>
      </c>
      <c r="D32" s="73">
        <v>494</v>
      </c>
      <c r="E32" s="83">
        <v>2964</v>
      </c>
      <c r="F32" s="83"/>
      <c r="G32" s="59"/>
      <c r="H32" s="59"/>
      <c r="I32" s="59"/>
    </row>
    <row r="33" spans="1:9" ht="12.75" customHeight="1" x14ac:dyDescent="0.2">
      <c r="A33" s="308" t="s">
        <v>949</v>
      </c>
      <c r="B33" s="146"/>
      <c r="C33" s="517">
        <v>100</v>
      </c>
      <c r="D33" s="70">
        <v>1904</v>
      </c>
      <c r="E33" s="70">
        <v>9520</v>
      </c>
      <c r="F33" s="70"/>
      <c r="G33" s="70"/>
      <c r="H33" s="70"/>
      <c r="I33" s="70"/>
    </row>
    <row r="34" spans="1:9" ht="12.75" customHeight="1" x14ac:dyDescent="0.2">
      <c r="A34" s="896" t="s">
        <v>950</v>
      </c>
      <c r="B34" s="82"/>
      <c r="C34" s="82">
        <v>100</v>
      </c>
      <c r="D34" s="83">
        <v>7600</v>
      </c>
      <c r="E34" s="83">
        <v>-7600</v>
      </c>
      <c r="F34" s="83"/>
      <c r="G34" s="83"/>
      <c r="H34" s="83"/>
      <c r="I34" s="83"/>
    </row>
    <row r="35" spans="1:9" ht="12.75" customHeight="1" x14ac:dyDescent="0.2">
      <c r="A35" s="323" t="s">
        <v>625</v>
      </c>
      <c r="B35" s="146"/>
      <c r="C35" s="517"/>
      <c r="D35" s="70"/>
      <c r="E35" s="70"/>
      <c r="F35" s="70"/>
      <c r="G35" s="146"/>
      <c r="H35" s="146"/>
      <c r="I35" s="146"/>
    </row>
    <row r="36" spans="1:9" ht="12.75" customHeight="1" x14ac:dyDescent="0.2">
      <c r="A36" s="645" t="s">
        <v>658</v>
      </c>
      <c r="B36" s="82"/>
      <c r="C36" s="82">
        <v>200</v>
      </c>
      <c r="D36" s="73"/>
      <c r="E36" s="83">
        <v>170000</v>
      </c>
      <c r="F36" s="83"/>
      <c r="G36" s="59"/>
      <c r="H36" s="59"/>
      <c r="I36" s="59"/>
    </row>
    <row r="37" spans="1:9" ht="12.75" customHeight="1" x14ac:dyDescent="0.2">
      <c r="A37" s="308" t="s">
        <v>659</v>
      </c>
      <c r="B37" s="146"/>
      <c r="C37" s="517">
        <v>200</v>
      </c>
      <c r="D37" s="70"/>
      <c r="E37" s="70">
        <v>100000</v>
      </c>
      <c r="F37" s="70"/>
      <c r="G37" s="70"/>
      <c r="H37" s="70"/>
      <c r="I37" s="70"/>
    </row>
    <row r="38" spans="1:9" ht="12.75" customHeight="1" x14ac:dyDescent="0.2">
      <c r="A38" s="645" t="s">
        <v>660</v>
      </c>
      <c r="B38" s="82"/>
      <c r="C38" s="82">
        <v>200</v>
      </c>
      <c r="D38" s="83"/>
      <c r="E38" s="83">
        <v>502000</v>
      </c>
      <c r="F38" s="83">
        <v>-400000</v>
      </c>
      <c r="G38" s="83"/>
      <c r="H38" s="83"/>
      <c r="I38" s="83"/>
    </row>
    <row r="39" spans="1:9" ht="12.75" customHeight="1" x14ac:dyDescent="0.2">
      <c r="A39" s="308" t="s">
        <v>691</v>
      </c>
      <c r="B39" s="146"/>
      <c r="C39" s="517">
        <v>100</v>
      </c>
      <c r="D39" s="70"/>
      <c r="E39" s="70">
        <v>-85000</v>
      </c>
      <c r="F39" s="70"/>
      <c r="G39" s="70"/>
      <c r="H39" s="70"/>
      <c r="I39" s="70"/>
    </row>
    <row r="40" spans="1:9" ht="12.75" customHeight="1" x14ac:dyDescent="0.2">
      <c r="A40" s="831" t="s">
        <v>748</v>
      </c>
      <c r="B40" s="82"/>
      <c r="C40" s="82"/>
      <c r="D40" s="83"/>
      <c r="E40" s="83"/>
      <c r="F40" s="83"/>
      <c r="G40" s="83"/>
      <c r="H40" s="83"/>
      <c r="I40" s="83"/>
    </row>
    <row r="41" spans="1:9" ht="12.75" customHeight="1" x14ac:dyDescent="0.2">
      <c r="A41" s="308" t="s">
        <v>892</v>
      </c>
      <c r="B41" s="146"/>
      <c r="C41" s="517">
        <v>100</v>
      </c>
      <c r="D41" s="70"/>
      <c r="E41" s="70">
        <v>-419165</v>
      </c>
      <c r="F41" s="70"/>
      <c r="G41" s="70">
        <v>419165</v>
      </c>
      <c r="H41" s="70"/>
      <c r="I41" s="70"/>
    </row>
    <row r="42" spans="1:9" ht="12.75" customHeight="1" x14ac:dyDescent="0.2">
      <c r="A42" s="645" t="s">
        <v>789</v>
      </c>
      <c r="B42" s="82"/>
      <c r="C42" s="82">
        <v>200</v>
      </c>
      <c r="D42" s="83"/>
      <c r="E42" s="83">
        <v>-851500</v>
      </c>
      <c r="F42" s="83"/>
      <c r="G42" s="83">
        <v>851500</v>
      </c>
      <c r="H42" s="83"/>
      <c r="I42" s="83"/>
    </row>
    <row r="43" spans="1:9" ht="12.75" customHeight="1" x14ac:dyDescent="0.2">
      <c r="A43" s="308" t="s">
        <v>905</v>
      </c>
      <c r="B43" s="146"/>
      <c r="C43" s="517">
        <v>100</v>
      </c>
      <c r="D43" s="70"/>
      <c r="E43" s="70">
        <v>-63232</v>
      </c>
      <c r="F43" s="70">
        <v>63232</v>
      </c>
      <c r="G43" s="70"/>
      <c r="H43" s="70"/>
      <c r="I43" s="70"/>
    </row>
    <row r="44" spans="1:9" ht="12.75" customHeight="1" x14ac:dyDescent="0.2">
      <c r="A44" s="831" t="s">
        <v>913</v>
      </c>
    </row>
    <row r="45" spans="1:9" ht="12.75" customHeight="1" x14ac:dyDescent="0.2">
      <c r="A45" s="308" t="s">
        <v>999</v>
      </c>
      <c r="B45" s="146"/>
      <c r="C45" s="517">
        <v>100</v>
      </c>
      <c r="D45" s="70"/>
      <c r="E45" s="70"/>
      <c r="F45" s="70"/>
      <c r="G45" s="70">
        <v>-419165</v>
      </c>
      <c r="H45" s="70">
        <v>419165</v>
      </c>
      <c r="I45" s="70"/>
    </row>
    <row r="46" spans="1:9" ht="12.75" customHeight="1" x14ac:dyDescent="0.2">
      <c r="A46" s="645"/>
      <c r="B46" s="82"/>
      <c r="C46" s="82">
        <v>200</v>
      </c>
      <c r="D46" s="83"/>
      <c r="E46" s="83"/>
      <c r="F46" s="83"/>
      <c r="G46" s="83">
        <v>-851500</v>
      </c>
      <c r="H46" s="83">
        <v>851500</v>
      </c>
      <c r="I46" s="83"/>
    </row>
    <row r="47" spans="1:9" ht="12.75" customHeight="1" x14ac:dyDescent="0.2">
      <c r="A47" s="308"/>
      <c r="B47" s="146"/>
      <c r="C47" s="517"/>
      <c r="D47" s="70"/>
      <c r="E47" s="70"/>
      <c r="F47" s="70"/>
      <c r="G47" s="70"/>
      <c r="H47" s="70"/>
      <c r="I47" s="70"/>
    </row>
    <row r="48" spans="1:9" ht="12.75" customHeight="1" x14ac:dyDescent="0.2">
      <c r="A48" s="645"/>
      <c r="B48" s="82"/>
      <c r="C48" s="82"/>
      <c r="D48" s="83"/>
      <c r="E48" s="83"/>
      <c r="F48" s="83"/>
      <c r="G48" s="83"/>
      <c r="H48" s="83"/>
      <c r="I48" s="83"/>
    </row>
    <row r="49" spans="1:9" ht="12.75" customHeight="1" x14ac:dyDescent="0.2">
      <c r="A49" s="308"/>
      <c r="B49" s="146"/>
      <c r="C49" s="517"/>
      <c r="D49" s="70"/>
      <c r="E49" s="70"/>
      <c r="F49" s="70"/>
      <c r="G49" s="70"/>
      <c r="H49" s="70"/>
      <c r="I49" s="70"/>
    </row>
    <row r="50" spans="1:9" ht="12.75" customHeight="1" x14ac:dyDescent="0.2"/>
    <row r="51" spans="1:9" ht="12.75" customHeight="1" x14ac:dyDescent="0.2"/>
    <row r="52" spans="1:9" ht="12.75" customHeight="1" x14ac:dyDescent="0.2"/>
    <row r="53" spans="1:9" ht="12.75" customHeight="1" x14ac:dyDescent="0.2"/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tabColor rgb="FF92D050"/>
    <pageSetUpPr fitToPage="1"/>
  </sheetPr>
  <dimension ref="A1:K57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63</v>
      </c>
      <c r="C6" s="963" t="s">
        <v>345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f>90000</f>
        <v>90000</v>
      </c>
      <c r="C9" s="34">
        <v>90000</v>
      </c>
      <c r="D9" s="227">
        <f>+C9+D21</f>
        <v>90000</v>
      </c>
      <c r="E9" s="115">
        <f>+D9+E22</f>
        <v>45000</v>
      </c>
      <c r="F9" s="411">
        <f>+E9</f>
        <v>45000</v>
      </c>
      <c r="G9" s="34">
        <f>+F9+G22+G24</f>
        <v>45000</v>
      </c>
      <c r="H9" s="227">
        <f>+G9+H24</f>
        <v>90000</v>
      </c>
      <c r="I9" s="51">
        <f t="shared" ref="E9:I15" si="0">+H9</f>
        <v>90000</v>
      </c>
      <c r="K9" s="7">
        <v>100</v>
      </c>
    </row>
    <row r="10" spans="1:11" x14ac:dyDescent="0.2">
      <c r="A10" s="10" t="s">
        <v>5</v>
      </c>
      <c r="B10" s="36">
        <f>-1750</f>
        <v>-1750</v>
      </c>
      <c r="C10" s="36">
        <v>0</v>
      </c>
      <c r="D10" s="230">
        <f>+C10+D22+D23</f>
        <v>0</v>
      </c>
      <c r="E10" s="550">
        <f>+D10</f>
        <v>0</v>
      </c>
      <c r="F10" s="548">
        <f>+E10</f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88250</v>
      </c>
      <c r="C16" s="40">
        <f t="shared" ref="C16:I16" si="2">SUM(C9:C15)</f>
        <v>90000</v>
      </c>
      <c r="D16" s="40">
        <f t="shared" si="2"/>
        <v>90000</v>
      </c>
      <c r="E16" s="573">
        <f t="shared" si="2"/>
        <v>45000</v>
      </c>
      <c r="F16" s="40">
        <f t="shared" si="2"/>
        <v>45000</v>
      </c>
      <c r="G16" s="40">
        <f t="shared" si="2"/>
        <v>45000</v>
      </c>
      <c r="H16" s="40">
        <f t="shared" si="2"/>
        <v>90000</v>
      </c>
      <c r="I16" s="40">
        <f t="shared" si="2"/>
        <v>90000</v>
      </c>
    </row>
    <row r="18" spans="1:11" x14ac:dyDescent="0.2">
      <c r="E18" s="406">
        <f>+E16-D16</f>
        <v>-45000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452" t="s">
        <v>511</v>
      </c>
      <c r="B20" s="71"/>
      <c r="C20" s="72"/>
      <c r="D20" s="73"/>
      <c r="E20" s="73"/>
      <c r="F20" s="73"/>
      <c r="G20" s="74"/>
      <c r="H20" s="74"/>
      <c r="I20" s="74"/>
    </row>
    <row r="21" spans="1:11" ht="13" customHeight="1" x14ac:dyDescent="0.2">
      <c r="A21" s="901" t="s">
        <v>747</v>
      </c>
      <c r="B21" s="67"/>
      <c r="C21" s="68"/>
      <c r="D21" s="69"/>
      <c r="E21" s="69"/>
      <c r="F21" s="131"/>
      <c r="G21" s="70"/>
      <c r="H21" s="70"/>
      <c r="I21" s="70"/>
      <c r="J21" s="17"/>
    </row>
    <row r="22" spans="1:11" s="59" customFormat="1" ht="13" customHeight="1" x14ac:dyDescent="0.2">
      <c r="A22" s="361" t="s">
        <v>759</v>
      </c>
      <c r="B22" s="102"/>
      <c r="C22" s="103">
        <v>100</v>
      </c>
      <c r="D22" s="104"/>
      <c r="E22" s="104">
        <v>-45000</v>
      </c>
      <c r="F22" s="95"/>
      <c r="G22" s="95">
        <v>45000</v>
      </c>
      <c r="H22" s="95"/>
      <c r="I22" s="95"/>
      <c r="J22" s="82"/>
      <c r="K22" s="7"/>
    </row>
    <row r="23" spans="1:11" ht="13" customHeight="1" x14ac:dyDescent="0.2">
      <c r="A23" s="901" t="s">
        <v>911</v>
      </c>
      <c r="B23" s="67"/>
      <c r="C23" s="68"/>
      <c r="D23" s="69"/>
      <c r="E23" s="69"/>
      <c r="F23" s="131"/>
      <c r="G23" s="70"/>
      <c r="H23" s="70"/>
      <c r="I23" s="70"/>
      <c r="J23" s="17"/>
    </row>
    <row r="24" spans="1:11" ht="13" customHeight="1" x14ac:dyDescent="0.2">
      <c r="A24" s="890" t="s">
        <v>999</v>
      </c>
      <c r="B24" s="79"/>
      <c r="C24" s="72"/>
      <c r="D24" s="73"/>
      <c r="E24" s="73"/>
      <c r="F24" s="73"/>
      <c r="G24" s="73">
        <v>-45000</v>
      </c>
      <c r="H24" s="74">
        <v>45000</v>
      </c>
      <c r="I24" s="74"/>
      <c r="J24" s="17"/>
    </row>
    <row r="25" spans="1:11" ht="12.75" customHeight="1" x14ac:dyDescent="0.2">
      <c r="A25" s="341"/>
      <c r="B25" s="71"/>
      <c r="C25" s="72"/>
      <c r="D25" s="104"/>
      <c r="E25" s="104"/>
      <c r="F25" s="104"/>
      <c r="G25" s="104"/>
      <c r="H25" s="95"/>
      <c r="I25" s="95"/>
      <c r="J25" s="17"/>
    </row>
    <row r="26" spans="1:11" ht="12.75" customHeight="1" x14ac:dyDescent="0.2">
      <c r="A26" s="583"/>
      <c r="B26" s="79"/>
      <c r="C26" s="72"/>
      <c r="D26" s="73"/>
      <c r="E26" s="73"/>
      <c r="F26" s="73"/>
      <c r="G26" s="73"/>
      <c r="H26" s="74"/>
      <c r="I26" s="74"/>
      <c r="J26" s="82"/>
    </row>
    <row r="27" spans="1:11" ht="12.75" customHeight="1" x14ac:dyDescent="0.2">
      <c r="A27" s="160"/>
      <c r="B27" s="79"/>
      <c r="C27" s="72"/>
      <c r="D27" s="73"/>
      <c r="E27" s="73"/>
      <c r="F27" s="73"/>
      <c r="G27" s="73"/>
      <c r="H27" s="74"/>
      <c r="I27" s="74"/>
      <c r="J27" s="82"/>
    </row>
    <row r="28" spans="1:11" ht="12.75" customHeight="1" x14ac:dyDescent="0.2">
      <c r="A28" s="306"/>
      <c r="B28" s="82"/>
      <c r="C28" s="82"/>
      <c r="D28" s="73"/>
      <c r="E28" s="73"/>
      <c r="F28" s="73"/>
      <c r="G28" s="73"/>
      <c r="H28" s="74"/>
      <c r="I28" s="74"/>
      <c r="J28" s="82"/>
    </row>
    <row r="29" spans="1:11" ht="12.75" customHeight="1" x14ac:dyDescent="0.2">
      <c r="A29" s="82"/>
      <c r="B29" s="82"/>
      <c r="C29" s="82"/>
      <c r="D29" s="82"/>
      <c r="E29" s="73"/>
      <c r="F29" s="73"/>
      <c r="G29" s="73"/>
      <c r="H29" s="74"/>
      <c r="I29" s="74"/>
      <c r="J29" s="82"/>
    </row>
    <row r="30" spans="1:11" ht="12.75" customHeight="1" x14ac:dyDescent="0.2">
      <c r="A30" s="194"/>
      <c r="B30" s="82"/>
      <c r="C30" s="82"/>
      <c r="D30" s="82"/>
      <c r="E30" s="73"/>
      <c r="F30" s="73"/>
      <c r="G30" s="73"/>
      <c r="H30" s="74"/>
      <c r="I30" s="74"/>
      <c r="J30" s="82"/>
    </row>
    <row r="31" spans="1:11" ht="12.75" customHeight="1" x14ac:dyDescent="0.2">
      <c r="A31" s="78"/>
      <c r="B31" s="79"/>
      <c r="C31" s="76"/>
      <c r="D31" s="74"/>
      <c r="E31" s="74"/>
      <c r="F31" s="74"/>
      <c r="G31" s="74"/>
      <c r="H31" s="74"/>
      <c r="I31" s="74"/>
      <c r="J31" s="82"/>
    </row>
    <row r="32" spans="1:11" ht="12.75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82"/>
    </row>
    <row r="33" spans="1:10" ht="12.75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2.75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2.75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2.75" customHeight="1" x14ac:dyDescent="0.2">
      <c r="A40" s="80"/>
      <c r="B40" s="71"/>
      <c r="C40" s="72"/>
      <c r="D40" s="73"/>
      <c r="E40" s="73"/>
      <c r="F40" s="74"/>
      <c r="G40" s="74"/>
      <c r="H40" s="74"/>
      <c r="I40" s="74"/>
      <c r="J40" s="17"/>
    </row>
    <row r="41" spans="1:10" ht="12.75" customHeight="1" x14ac:dyDescent="0.2">
      <c r="A41" s="78"/>
      <c r="B41" s="71"/>
      <c r="C41" s="72"/>
      <c r="D41" s="73"/>
      <c r="E41" s="73"/>
      <c r="F41" s="74"/>
      <c r="G41" s="74"/>
      <c r="H41" s="74"/>
      <c r="I41" s="74"/>
      <c r="J41" s="17"/>
    </row>
    <row r="42" spans="1:10" ht="12.75" customHeight="1" x14ac:dyDescent="0.2">
      <c r="A42" s="78"/>
      <c r="B42" s="71"/>
      <c r="C42" s="72"/>
      <c r="D42" s="73"/>
      <c r="E42" s="73"/>
      <c r="F42" s="74"/>
      <c r="G42" s="74"/>
      <c r="H42" s="74"/>
      <c r="I42" s="74"/>
      <c r="J42" s="17"/>
    </row>
    <row r="43" spans="1:10" ht="12.75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2.75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2.75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2.75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2.75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2.75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2.75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2.75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66"/>
  <sheetViews>
    <sheetView zoomScaleNormal="100" zoomScaleSheetLayoutView="90" workbookViewId="0">
      <selection activeCell="A5" sqref="A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445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61</v>
      </c>
      <c r="C6" s="963" t="s">
        <v>166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16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8650965</v>
      </c>
      <c r="C9" s="34">
        <v>8862100</v>
      </c>
      <c r="D9" s="227">
        <f>+C9+D21+D22+D23+D24+D25+D26+D27</f>
        <v>9522372</v>
      </c>
      <c r="E9" s="115">
        <f>+D9+E29+E23+E24+E25+E26+E27</f>
        <v>9045839</v>
      </c>
      <c r="F9" s="411">
        <f t="shared" ref="F9:I9" si="0">+E9</f>
        <v>9045839</v>
      </c>
      <c r="G9" s="34">
        <f>+F9+G29+G31</f>
        <v>9045839</v>
      </c>
      <c r="H9" s="227">
        <f>+G9+H31</f>
        <v>9617653</v>
      </c>
      <c r="I9" s="51">
        <f t="shared" si="0"/>
        <v>9617653</v>
      </c>
      <c r="K9" s="7">
        <v>100</v>
      </c>
    </row>
    <row r="10" spans="1:11" x14ac:dyDescent="0.2">
      <c r="A10" s="10" t="s">
        <v>5</v>
      </c>
      <c r="B10" s="36">
        <v>376030</v>
      </c>
      <c r="C10" s="36">
        <v>497450</v>
      </c>
      <c r="D10" s="230">
        <f>+C10</f>
        <v>497450</v>
      </c>
      <c r="E10" s="550">
        <f>+D10</f>
        <v>497450</v>
      </c>
      <c r="F10" s="548">
        <f t="shared" ref="F10:I11" si="1">+E10</f>
        <v>497450</v>
      </c>
      <c r="G10" s="36">
        <f t="shared" si="1"/>
        <v>497450</v>
      </c>
      <c r="H10" s="230">
        <f t="shared" si="1"/>
        <v>497450</v>
      </c>
      <c r="I10" s="37">
        <f t="shared" si="1"/>
        <v>497450</v>
      </c>
      <c r="K10" s="7">
        <v>200</v>
      </c>
    </row>
    <row r="11" spans="1:11" x14ac:dyDescent="0.2">
      <c r="A11" s="9" t="s">
        <v>6</v>
      </c>
      <c r="B11" s="34">
        <f>14837+9590</f>
        <v>24427</v>
      </c>
      <c r="C11" s="34">
        <v>25000</v>
      </c>
      <c r="D11" s="227">
        <f>+C11</f>
        <v>25000</v>
      </c>
      <c r="E11" s="115">
        <f>+D11</f>
        <v>25000</v>
      </c>
      <c r="F11" s="411">
        <f t="shared" si="1"/>
        <v>25000</v>
      </c>
      <c r="G11" s="34">
        <f t="shared" si="1"/>
        <v>25000</v>
      </c>
      <c r="H11" s="227">
        <f t="shared" si="1"/>
        <v>25000</v>
      </c>
      <c r="I11" s="35">
        <f t="shared" si="1"/>
        <v>25000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>+C12</f>
        <v>0</v>
      </c>
      <c r="E12" s="550">
        <v>0</v>
      </c>
      <c r="F12" s="548">
        <v>0</v>
      </c>
      <c r="G12" s="36">
        <v>0</v>
      </c>
      <c r="H12" s="230">
        <f t="shared" ref="H12:I15" si="2">+G12</f>
        <v>0</v>
      </c>
      <c r="I12" s="37">
        <f t="shared" si="2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>+C13</f>
        <v>0</v>
      </c>
      <c r="E13" s="115">
        <v>0</v>
      </c>
      <c r="F13" s="411">
        <v>0</v>
      </c>
      <c r="G13" s="34">
        <v>0</v>
      </c>
      <c r="H13" s="227">
        <f t="shared" si="2"/>
        <v>0</v>
      </c>
      <c r="I13" s="35">
        <f t="shared" si="2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>+C14</f>
        <v>0</v>
      </c>
      <c r="E14" s="550">
        <v>0</v>
      </c>
      <c r="F14" s="548">
        <v>0</v>
      </c>
      <c r="G14" s="36">
        <v>0</v>
      </c>
      <c r="H14" s="230">
        <f t="shared" si="2"/>
        <v>0</v>
      </c>
      <c r="I14" s="37">
        <f t="shared" si="2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>+C15</f>
        <v>0</v>
      </c>
      <c r="E15" s="551">
        <f>+D15</f>
        <v>0</v>
      </c>
      <c r="F15" s="549">
        <v>0</v>
      </c>
      <c r="G15" s="38">
        <v>0</v>
      </c>
      <c r="H15" s="231">
        <f t="shared" si="2"/>
        <v>0</v>
      </c>
      <c r="I15" s="39">
        <f t="shared" si="2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9051422</v>
      </c>
      <c r="C16" s="40">
        <f t="shared" ref="C16:I16" si="3">SUM(C9:C15)</f>
        <v>9384550</v>
      </c>
      <c r="D16" s="40">
        <f t="shared" si="3"/>
        <v>10044822</v>
      </c>
      <c r="E16" s="573">
        <f t="shared" si="3"/>
        <v>9568289</v>
      </c>
      <c r="F16" s="40">
        <f t="shared" si="3"/>
        <v>9568289</v>
      </c>
      <c r="G16" s="40">
        <f t="shared" si="3"/>
        <v>9568289</v>
      </c>
      <c r="H16" s="40">
        <f t="shared" si="3"/>
        <v>10140103</v>
      </c>
      <c r="I16" s="40">
        <f t="shared" si="3"/>
        <v>10140103</v>
      </c>
    </row>
    <row r="18" spans="1:10" x14ac:dyDescent="0.2">
      <c r="B18" s="14"/>
      <c r="E18" s="416">
        <f>+E16-D16</f>
        <v>-476533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31" t="s">
        <v>494</v>
      </c>
      <c r="B20" s="79"/>
      <c r="C20" s="72"/>
      <c r="D20" s="73"/>
      <c r="E20" s="73"/>
      <c r="F20" s="73"/>
      <c r="G20" s="73"/>
      <c r="H20" s="73"/>
      <c r="I20" s="74"/>
    </row>
    <row r="21" spans="1:10" ht="13" customHeight="1" x14ac:dyDescent="0.2">
      <c r="A21" s="447" t="s">
        <v>500</v>
      </c>
      <c r="B21" s="154"/>
      <c r="C21" s="155">
        <v>100</v>
      </c>
      <c r="D21" s="144">
        <v>575000</v>
      </c>
      <c r="E21" s="144"/>
      <c r="F21" s="144"/>
      <c r="G21" s="144"/>
      <c r="H21" s="145"/>
      <c r="I21" s="145"/>
      <c r="J21" s="17"/>
    </row>
    <row r="22" spans="1:10" ht="13" customHeight="1" x14ac:dyDescent="0.2">
      <c r="A22" s="326" t="s">
        <v>501</v>
      </c>
      <c r="B22" s="79"/>
      <c r="C22" s="72">
        <v>100</v>
      </c>
      <c r="D22" s="73">
        <v>15000</v>
      </c>
      <c r="E22" s="73"/>
      <c r="F22" s="73"/>
      <c r="G22" s="73"/>
      <c r="H22" s="74"/>
      <c r="I22" s="74"/>
      <c r="J22" s="17"/>
    </row>
    <row r="23" spans="1:10" s="59" customFormat="1" ht="13" customHeight="1" x14ac:dyDescent="0.2">
      <c r="A23" s="926" t="s">
        <v>827</v>
      </c>
      <c r="B23" s="146"/>
      <c r="C23" s="888">
        <v>100</v>
      </c>
      <c r="D23" s="925">
        <v>15427</v>
      </c>
      <c r="E23" s="925">
        <v>92564</v>
      </c>
      <c r="F23" s="69"/>
      <c r="G23" s="69"/>
      <c r="H23" s="70"/>
      <c r="I23" s="70"/>
      <c r="J23" s="82"/>
    </row>
    <row r="24" spans="1:10" ht="13" customHeight="1" x14ac:dyDescent="0.2">
      <c r="A24" s="926" t="s">
        <v>901</v>
      </c>
      <c r="B24" s="208"/>
      <c r="C24" s="241">
        <v>100</v>
      </c>
      <c r="D24" s="925">
        <v>38700</v>
      </c>
      <c r="E24" s="925">
        <v>-38700</v>
      </c>
      <c r="F24" s="73"/>
      <c r="G24" s="73"/>
      <c r="H24" s="74"/>
      <c r="I24" s="74"/>
      <c r="J24" s="17"/>
    </row>
    <row r="25" spans="1:10" ht="13" customHeight="1" x14ac:dyDescent="0.2">
      <c r="A25" s="926" t="s">
        <v>835</v>
      </c>
      <c r="B25" s="146"/>
      <c r="C25" s="888">
        <v>100</v>
      </c>
      <c r="D25" s="925">
        <v>6289</v>
      </c>
      <c r="E25" s="925">
        <v>37735</v>
      </c>
      <c r="F25" s="69"/>
      <c r="G25" s="69"/>
      <c r="H25" s="70"/>
      <c r="I25" s="70"/>
      <c r="J25" s="17"/>
    </row>
    <row r="26" spans="1:10" ht="13" customHeight="1" x14ac:dyDescent="0.2">
      <c r="A26" s="326" t="s">
        <v>941</v>
      </c>
      <c r="B26" s="79"/>
      <c r="C26" s="72">
        <v>100</v>
      </c>
      <c r="D26" s="73">
        <v>2256</v>
      </c>
      <c r="E26" s="73">
        <v>11282</v>
      </c>
      <c r="F26" s="73"/>
      <c r="G26" s="73"/>
      <c r="H26" s="74"/>
      <c r="I26" s="74"/>
      <c r="J26" s="17"/>
    </row>
    <row r="27" spans="1:10" ht="13" customHeight="1" x14ac:dyDescent="0.2">
      <c r="A27" s="926" t="s">
        <v>942</v>
      </c>
      <c r="B27" s="146"/>
      <c r="C27" s="888">
        <v>100</v>
      </c>
      <c r="D27" s="925">
        <v>7600</v>
      </c>
      <c r="E27" s="925">
        <v>-7600</v>
      </c>
      <c r="F27" s="69"/>
      <c r="G27" s="69"/>
      <c r="H27" s="70"/>
      <c r="I27" s="70"/>
      <c r="J27" s="17"/>
    </row>
    <row r="28" spans="1:10" s="59" customFormat="1" ht="13" customHeight="1" x14ac:dyDescent="0.2">
      <c r="A28" s="928" t="s">
        <v>748</v>
      </c>
      <c r="B28" s="208"/>
      <c r="C28" s="241"/>
      <c r="D28" s="925"/>
      <c r="E28" s="925"/>
      <c r="F28" s="73"/>
      <c r="G28" s="73"/>
      <c r="H28" s="74"/>
      <c r="I28" s="74"/>
      <c r="J28" s="82"/>
    </row>
    <row r="29" spans="1:10" ht="13" customHeight="1" x14ac:dyDescent="0.2">
      <c r="A29" s="926" t="s">
        <v>778</v>
      </c>
      <c r="B29" s="146"/>
      <c r="C29" s="888">
        <v>100</v>
      </c>
      <c r="D29" s="925"/>
      <c r="E29" s="925">
        <v>-571814</v>
      </c>
      <c r="F29" s="69"/>
      <c r="G29" s="69">
        <v>571814</v>
      </c>
      <c r="H29" s="70"/>
      <c r="I29" s="70"/>
      <c r="J29" s="17"/>
    </row>
    <row r="30" spans="1:10" ht="13" customHeight="1" x14ac:dyDescent="0.2">
      <c r="A30" s="928" t="s">
        <v>913</v>
      </c>
      <c r="B30" s="208"/>
      <c r="C30" s="241"/>
      <c r="D30" s="925"/>
      <c r="E30" s="925"/>
      <c r="F30" s="73"/>
      <c r="G30" s="73"/>
      <c r="H30" s="74"/>
      <c r="I30" s="74"/>
      <c r="J30" s="17"/>
    </row>
    <row r="31" spans="1:10" ht="13" customHeight="1" x14ac:dyDescent="0.2">
      <c r="A31" s="926" t="s">
        <v>995</v>
      </c>
      <c r="B31" s="146"/>
      <c r="C31" s="888">
        <v>100</v>
      </c>
      <c r="D31" s="925"/>
      <c r="E31" s="925"/>
      <c r="F31" s="69"/>
      <c r="G31" s="69">
        <v>-571814</v>
      </c>
      <c r="H31" s="70">
        <v>571814</v>
      </c>
      <c r="I31" s="70"/>
      <c r="J31" s="17"/>
    </row>
    <row r="32" spans="1:10" ht="13" customHeight="1" x14ac:dyDescent="0.2">
      <c r="A32" s="926"/>
      <c r="B32" s="208"/>
      <c r="C32" s="241"/>
      <c r="D32" s="925"/>
      <c r="E32" s="925"/>
      <c r="F32" s="73"/>
      <c r="G32" s="73"/>
      <c r="H32" s="74"/>
      <c r="I32" s="74"/>
      <c r="J32" s="17"/>
    </row>
    <row r="33" spans="1:10" ht="13" customHeight="1" x14ac:dyDescent="0.2">
      <c r="A33" s="217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290"/>
      <c r="B34" s="79"/>
      <c r="C34" s="72"/>
      <c r="D34" s="73"/>
      <c r="E34" s="73"/>
      <c r="F34" s="73"/>
      <c r="G34" s="73"/>
      <c r="H34" s="74"/>
      <c r="I34" s="74"/>
      <c r="J34" s="17"/>
    </row>
    <row r="35" spans="1:10" ht="13" customHeight="1" x14ac:dyDescent="0.2">
      <c r="A35" s="124"/>
      <c r="B35" s="79"/>
      <c r="C35" s="72"/>
      <c r="D35" s="73"/>
      <c r="E35" s="73"/>
      <c r="F35" s="73"/>
      <c r="G35" s="73"/>
      <c r="H35" s="74"/>
      <c r="I35" s="74"/>
      <c r="J35" s="17"/>
    </row>
    <row r="36" spans="1:10" ht="13" customHeight="1" x14ac:dyDescent="0.2">
      <c r="A36" s="291"/>
      <c r="B36" s="93"/>
      <c r="C36" s="103"/>
      <c r="D36" s="104"/>
      <c r="E36" s="104"/>
      <c r="F36" s="104"/>
      <c r="G36" s="104"/>
      <c r="H36" s="95"/>
      <c r="I36" s="95"/>
      <c r="J36" s="17"/>
    </row>
    <row r="37" spans="1:10" ht="13" customHeight="1" x14ac:dyDescent="0.2">
      <c r="A37" s="78"/>
      <c r="B37" s="79"/>
      <c r="C37" s="72"/>
      <c r="D37" s="73"/>
      <c r="E37" s="73"/>
      <c r="F37" s="73"/>
      <c r="G37" s="73"/>
      <c r="H37" s="74"/>
      <c r="I37" s="74"/>
      <c r="J37" s="17"/>
    </row>
    <row r="38" spans="1:10" ht="13" customHeight="1" x14ac:dyDescent="0.2">
      <c r="A38" s="78"/>
      <c r="B38" s="79"/>
      <c r="C38" s="72"/>
      <c r="D38" s="73"/>
      <c r="E38" s="73"/>
      <c r="F38" s="73"/>
      <c r="G38" s="73"/>
      <c r="H38" s="74"/>
      <c r="I38" s="74"/>
      <c r="J38" s="17"/>
    </row>
    <row r="39" spans="1:10" ht="13" customHeight="1" x14ac:dyDescent="0.2">
      <c r="A39" s="78"/>
      <c r="B39" s="79"/>
      <c r="C39" s="72"/>
      <c r="D39" s="73"/>
      <c r="E39" s="73"/>
      <c r="F39" s="73"/>
      <c r="G39" s="73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6.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3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3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3" customHeight="1" x14ac:dyDescent="0.2">
      <c r="A47" s="78"/>
      <c r="B47" s="79"/>
      <c r="C47" s="76"/>
      <c r="D47" s="74"/>
      <c r="E47" s="74"/>
      <c r="F47" s="74"/>
      <c r="G47" s="74"/>
      <c r="H47" s="74"/>
      <c r="I47" s="74"/>
      <c r="J47" s="17"/>
    </row>
    <row r="48" spans="1:10" ht="13" customHeight="1" x14ac:dyDescent="0.2">
      <c r="A48" s="78"/>
      <c r="B48" s="79"/>
      <c r="C48" s="76"/>
      <c r="D48" s="74"/>
      <c r="E48" s="74"/>
      <c r="F48" s="74"/>
      <c r="G48" s="74"/>
      <c r="H48" s="74"/>
      <c r="I48" s="74"/>
      <c r="J48" s="17"/>
    </row>
    <row r="49" spans="1:10" ht="13" customHeight="1" x14ac:dyDescent="0.2">
      <c r="A49" s="80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125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126"/>
      <c r="B51" s="79"/>
      <c r="C51" s="72"/>
      <c r="D51" s="73"/>
      <c r="E51" s="74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2"/>
      <c r="D57" s="73"/>
      <c r="E57" s="73"/>
      <c r="F57" s="73"/>
      <c r="G57" s="73"/>
      <c r="H57" s="74"/>
      <c r="I57" s="74"/>
      <c r="J57" s="17"/>
    </row>
    <row r="58" spans="1:10" ht="13" customHeight="1" x14ac:dyDescent="0.2">
      <c r="A58" s="78"/>
      <c r="B58" s="79"/>
      <c r="C58" s="72"/>
      <c r="D58" s="73"/>
      <c r="E58" s="73"/>
      <c r="F58" s="73"/>
      <c r="G58" s="73"/>
      <c r="H58" s="74"/>
      <c r="I58" s="74"/>
      <c r="J58" s="17"/>
    </row>
    <row r="59" spans="1:10" ht="13" customHeight="1" x14ac:dyDescent="0.2">
      <c r="A59" s="78"/>
      <c r="B59" s="79"/>
      <c r="C59" s="72"/>
      <c r="D59" s="73"/>
      <c r="E59" s="73"/>
      <c r="F59" s="73"/>
      <c r="G59" s="73"/>
      <c r="H59" s="74"/>
      <c r="I59" s="74"/>
      <c r="J59" s="17"/>
    </row>
    <row r="60" spans="1:10" ht="13" customHeight="1" x14ac:dyDescent="0.2">
      <c r="A60" s="78"/>
      <c r="B60" s="79"/>
      <c r="C60" s="72"/>
      <c r="D60" s="73"/>
      <c r="E60" s="73"/>
      <c r="F60" s="73"/>
      <c r="G60" s="73"/>
      <c r="H60" s="74"/>
      <c r="I60" s="74"/>
      <c r="J60" s="17"/>
    </row>
    <row r="61" spans="1:10" ht="13" customHeight="1" x14ac:dyDescent="0.2">
      <c r="A61" s="78"/>
      <c r="B61" s="79"/>
      <c r="C61" s="72"/>
      <c r="D61" s="73"/>
      <c r="E61" s="73"/>
      <c r="F61" s="73"/>
      <c r="G61" s="73"/>
      <c r="H61" s="74"/>
      <c r="I61" s="74"/>
      <c r="J61" s="17"/>
    </row>
    <row r="62" spans="1:10" ht="13" customHeight="1" x14ac:dyDescent="0.2">
      <c r="A62" s="78"/>
      <c r="B62" s="79"/>
      <c r="C62" s="72"/>
      <c r="D62" s="73"/>
      <c r="E62" s="73"/>
      <c r="F62" s="73"/>
      <c r="G62" s="73"/>
      <c r="H62" s="74"/>
      <c r="I62" s="74"/>
      <c r="J62" s="17"/>
    </row>
    <row r="63" spans="1:10" ht="13" customHeight="1" x14ac:dyDescent="0.2">
      <c r="A63" s="78"/>
      <c r="B63" s="79"/>
      <c r="C63" s="76"/>
      <c r="D63" s="74"/>
      <c r="E63" s="74"/>
      <c r="F63" s="74"/>
      <c r="G63" s="74"/>
      <c r="H63" s="74"/>
      <c r="I63" s="74"/>
      <c r="J63" s="17"/>
    </row>
    <row r="64" spans="1:10" x14ac:dyDescent="0.2">
      <c r="A64" s="78"/>
      <c r="B64" s="79"/>
      <c r="C64" s="76"/>
      <c r="D64" s="74"/>
      <c r="E64" s="74"/>
      <c r="F64" s="74"/>
      <c r="G64" s="74"/>
      <c r="H64" s="74"/>
      <c r="I64" s="74"/>
    </row>
    <row r="65" spans="1:9" x14ac:dyDescent="0.2">
      <c r="A65" s="78"/>
      <c r="B65" s="79"/>
      <c r="C65" s="76"/>
      <c r="D65" s="74"/>
      <c r="E65" s="74"/>
      <c r="F65" s="74"/>
      <c r="G65" s="74"/>
      <c r="H65" s="74"/>
      <c r="I65" s="74"/>
    </row>
    <row r="66" spans="1:9" x14ac:dyDescent="0.2">
      <c r="A66" s="84"/>
      <c r="B66" s="85"/>
      <c r="C66" s="75"/>
      <c r="D66" s="70"/>
      <c r="E66" s="70"/>
      <c r="F66" s="70"/>
      <c r="G66" s="70"/>
      <c r="H66" s="70"/>
      <c r="I66" s="70"/>
    </row>
  </sheetData>
  <mergeCells count="6">
    <mergeCell ref="A1:I1"/>
    <mergeCell ref="A2:I2"/>
    <mergeCell ref="A3:I3"/>
    <mergeCell ref="A4:I4"/>
    <mergeCell ref="C6:I6"/>
    <mergeCell ref="C5:I5"/>
  </mergeCells>
  <conditionalFormatting sqref="A23:A24">
    <cfRule type="expression" dxfId="204" priority="10">
      <formula>MOD(ROW(),2)=1</formula>
    </cfRule>
  </conditionalFormatting>
  <conditionalFormatting sqref="D23:E24">
    <cfRule type="expression" dxfId="203" priority="9">
      <formula>MOD(ROW(),2)=1</formula>
    </cfRule>
  </conditionalFormatting>
  <conditionalFormatting sqref="A25 A28:A30">
    <cfRule type="expression" dxfId="202" priority="6">
      <formula>MOD(ROW(),2)=1</formula>
    </cfRule>
  </conditionalFormatting>
  <conditionalFormatting sqref="D25:E25 D28:E30">
    <cfRule type="expression" dxfId="201" priority="5">
      <formula>MOD(ROW(),2)=1</formula>
    </cfRule>
  </conditionalFormatting>
  <conditionalFormatting sqref="A27">
    <cfRule type="expression" dxfId="200" priority="4">
      <formula>MOD(ROW(),2)=1</formula>
    </cfRule>
  </conditionalFormatting>
  <conditionalFormatting sqref="D27:E27">
    <cfRule type="expression" dxfId="199" priority="3">
      <formula>MOD(ROW(),2)=1</formula>
    </cfRule>
  </conditionalFormatting>
  <conditionalFormatting sqref="A31:A32">
    <cfRule type="expression" dxfId="198" priority="2">
      <formula>MOD(ROW(),2)=1</formula>
    </cfRule>
  </conditionalFormatting>
  <conditionalFormatting sqref="D31:E32">
    <cfRule type="expression" dxfId="197" priority="1">
      <formula>MOD(ROW(),2)=1</formula>
    </cfRule>
  </conditionalFormatting>
  <pageMargins left="0.5" right="0.5" top="0.5" bottom="0.5" header="0.3" footer="0.3"/>
  <pageSetup scale="69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7">
    <tabColor theme="3"/>
    <pageSetUpPr fitToPage="1"/>
  </sheetPr>
  <dimension ref="A1:L57"/>
  <sheetViews>
    <sheetView topLeftCell="A5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8" style="7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209" t="s">
        <v>14</v>
      </c>
      <c r="B6" s="33">
        <v>66</v>
      </c>
      <c r="C6" s="963" t="s">
        <v>592</v>
      </c>
      <c r="D6" s="963"/>
      <c r="E6" s="963"/>
      <c r="F6" s="963"/>
      <c r="G6" s="963"/>
      <c r="H6" s="963"/>
      <c r="I6" s="963"/>
    </row>
    <row r="7" spans="1:11" ht="16" thickBot="1" x14ac:dyDescent="0.25">
      <c r="E7" s="53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2318022</v>
      </c>
      <c r="C9" s="34">
        <v>3292180</v>
      </c>
      <c r="D9" s="227">
        <f>+C9</f>
        <v>3292180</v>
      </c>
      <c r="E9" s="115">
        <f>+D9+E24+E32+E38+E43</f>
        <v>418820</v>
      </c>
      <c r="F9" s="411">
        <f>+E9+F24+F32+F38+F43</f>
        <v>442000</v>
      </c>
      <c r="G9" s="34">
        <f>+F9+G24+G32+G38</f>
        <v>442000</v>
      </c>
      <c r="H9" s="227">
        <f>+G9</f>
        <v>442000</v>
      </c>
      <c r="I9" s="51">
        <f>+H9</f>
        <v>442000</v>
      </c>
      <c r="J9" s="213">
        <f>SUM(D9:I9)</f>
        <v>5479000</v>
      </c>
      <c r="K9" s="7">
        <v>100</v>
      </c>
    </row>
    <row r="10" spans="1:11" x14ac:dyDescent="0.2">
      <c r="A10" s="10" t="s">
        <v>5</v>
      </c>
      <c r="B10" s="36">
        <v>23777911</v>
      </c>
      <c r="C10" s="36">
        <v>42015834</v>
      </c>
      <c r="D10" s="228">
        <f>+C10+D36+D41</f>
        <v>39115834</v>
      </c>
      <c r="E10" s="114">
        <f>+D10+E22+E25+E30+E31+E33+E36+E39+E41</f>
        <v>0</v>
      </c>
      <c r="F10" s="412">
        <f>+E10+F25+F30+F31+F33+F39</f>
        <v>0</v>
      </c>
      <c r="G10" s="49">
        <f>+F10+G25+G30+G31+G33+G39</f>
        <v>0</v>
      </c>
      <c r="H10" s="228">
        <f>+G10+H31+H33+H39</f>
        <v>0</v>
      </c>
      <c r="I10" s="50">
        <f>+H10</f>
        <v>0</v>
      </c>
      <c r="J10" s="213">
        <f t="shared" ref="J10:J15" si="0">SUM(D10:I10)</f>
        <v>39115834</v>
      </c>
      <c r="K10" s="7">
        <v>200</v>
      </c>
    </row>
    <row r="11" spans="1:11" x14ac:dyDescent="0.2">
      <c r="A11" s="9" t="s">
        <v>6</v>
      </c>
      <c r="B11" s="34">
        <f>18987-1</f>
        <v>18986</v>
      </c>
      <c r="C11" s="34">
        <v>42000</v>
      </c>
      <c r="D11" s="227">
        <f>+C11</f>
        <v>42000</v>
      </c>
      <c r="E11" s="115">
        <f>+D11+E40</f>
        <v>0</v>
      </c>
      <c r="F11" s="411">
        <f>+E11+F26+F34</f>
        <v>0</v>
      </c>
      <c r="G11" s="34">
        <f>+F11</f>
        <v>0</v>
      </c>
      <c r="H11" s="227">
        <f>+G11</f>
        <v>0</v>
      </c>
      <c r="I11" s="35">
        <f>+H11</f>
        <v>0</v>
      </c>
      <c r="J11" s="213">
        <f t="shared" si="0"/>
        <v>42000</v>
      </c>
      <c r="K11" s="7" t="s">
        <v>167</v>
      </c>
    </row>
    <row r="12" spans="1:11" x14ac:dyDescent="0.2">
      <c r="A12" s="10" t="s">
        <v>7</v>
      </c>
      <c r="B12" s="36">
        <v>26530</v>
      </c>
      <c r="C12" s="36">
        <v>0</v>
      </c>
      <c r="D12" s="230">
        <f>+C12+D37</f>
        <v>1500000</v>
      </c>
      <c r="E12" s="550">
        <f>+D12+E37</f>
        <v>0</v>
      </c>
      <c r="F12" s="548">
        <f>+E12</f>
        <v>0</v>
      </c>
      <c r="G12" s="36">
        <f>+F12</f>
        <v>0</v>
      </c>
      <c r="H12" s="230">
        <f>+G12</f>
        <v>0</v>
      </c>
      <c r="I12" s="37">
        <f>+H12</f>
        <v>0</v>
      </c>
      <c r="J12" s="213">
        <f t="shared" si="0"/>
        <v>1500000</v>
      </c>
      <c r="K12" s="7">
        <v>500</v>
      </c>
    </row>
    <row r="13" spans="1:11" x14ac:dyDescent="0.2">
      <c r="A13" s="9" t="s">
        <v>8</v>
      </c>
      <c r="B13" s="34">
        <v>0</v>
      </c>
      <c r="C13" s="34"/>
      <c r="D13" s="227"/>
      <c r="E13" s="115"/>
      <c r="F13" s="411"/>
      <c r="G13" s="34"/>
      <c r="H13" s="227"/>
      <c r="I13" s="35"/>
      <c r="J13" s="213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/>
      <c r="D14" s="230"/>
      <c r="E14" s="550"/>
      <c r="F14" s="548"/>
      <c r="G14" s="36"/>
      <c r="H14" s="230"/>
      <c r="I14" s="37"/>
      <c r="J14" s="213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ref="D15" si="1">+C15</f>
        <v>0</v>
      </c>
      <c r="E15" s="551">
        <f t="shared" ref="E15:I15" si="2">+D15</f>
        <v>0</v>
      </c>
      <c r="F15" s="549">
        <f t="shared" si="2"/>
        <v>0</v>
      </c>
      <c r="G15" s="38">
        <f t="shared" si="2"/>
        <v>0</v>
      </c>
      <c r="H15" s="231">
        <f t="shared" si="2"/>
        <v>0</v>
      </c>
      <c r="I15" s="39">
        <f t="shared" si="2"/>
        <v>0</v>
      </c>
      <c r="J15" s="213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26141449</v>
      </c>
      <c r="C16" s="40">
        <f t="shared" ref="C16:I16" si="3">SUM(C9:C15)</f>
        <v>45350014</v>
      </c>
      <c r="D16" s="40">
        <f t="shared" si="3"/>
        <v>43950014</v>
      </c>
      <c r="E16" s="573">
        <f t="shared" si="3"/>
        <v>418820</v>
      </c>
      <c r="F16" s="40">
        <f t="shared" si="3"/>
        <v>442000</v>
      </c>
      <c r="G16" s="40">
        <f t="shared" si="3"/>
        <v>442000</v>
      </c>
      <c r="H16" s="40">
        <f t="shared" si="3"/>
        <v>442000</v>
      </c>
      <c r="I16" s="40">
        <f t="shared" si="3"/>
        <v>442000</v>
      </c>
      <c r="J16" s="213">
        <f t="shared" ref="J16" si="4">SUM(B16:I16)</f>
        <v>117628297</v>
      </c>
    </row>
    <row r="17" spans="1:11" x14ac:dyDescent="0.2">
      <c r="D17" s="405"/>
      <c r="E17" s="405"/>
      <c r="F17" s="405"/>
      <c r="G17" s="405"/>
      <c r="H17" s="405"/>
      <c r="I17" s="405"/>
    </row>
    <row r="18" spans="1:11" x14ac:dyDescent="0.2">
      <c r="D18" s="406"/>
      <c r="E18" s="406">
        <f>+E16-D16</f>
        <v>-43531194</v>
      </c>
      <c r="F18" s="406"/>
      <c r="G18" s="406"/>
      <c r="H18" s="406"/>
      <c r="I18" s="406"/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2.75" customHeight="1" thickTop="1" x14ac:dyDescent="0.2">
      <c r="A20" s="236" t="s">
        <v>444</v>
      </c>
      <c r="B20" s="71"/>
      <c r="C20" s="72"/>
      <c r="D20" s="73"/>
      <c r="E20" s="73"/>
      <c r="F20" s="74"/>
      <c r="G20" s="74"/>
      <c r="H20" s="74"/>
      <c r="I20" s="74"/>
    </row>
    <row r="21" spans="1:11" ht="12.75" customHeight="1" x14ac:dyDescent="0.2">
      <c r="A21" s="168" t="s">
        <v>226</v>
      </c>
      <c r="B21" s="67"/>
      <c r="C21" s="68"/>
      <c r="D21" s="69"/>
      <c r="E21" s="70"/>
      <c r="F21" s="70"/>
      <c r="G21" s="70"/>
      <c r="H21" s="70"/>
      <c r="I21" s="70"/>
      <c r="J21" s="17"/>
    </row>
    <row r="22" spans="1:11" s="59" customFormat="1" ht="12.75" customHeight="1" x14ac:dyDescent="0.2">
      <c r="A22" s="174" t="s">
        <v>252</v>
      </c>
      <c r="B22" s="93"/>
      <c r="C22" s="94">
        <v>200</v>
      </c>
      <c r="D22" s="95"/>
      <c r="E22" s="104">
        <v>12750000</v>
      </c>
      <c r="F22" s="104"/>
      <c r="G22" s="95"/>
      <c r="H22" s="95"/>
      <c r="I22" s="95"/>
      <c r="J22" s="82"/>
      <c r="K22" s="7"/>
    </row>
    <row r="23" spans="1:11" ht="12.75" customHeight="1" x14ac:dyDescent="0.2">
      <c r="A23" s="168" t="s">
        <v>282</v>
      </c>
      <c r="B23" s="85"/>
      <c r="C23" s="68"/>
      <c r="D23" s="69"/>
      <c r="E23" s="69"/>
      <c r="F23" s="69"/>
      <c r="G23" s="69"/>
      <c r="H23" s="70"/>
      <c r="I23" s="145"/>
      <c r="J23" s="17"/>
    </row>
    <row r="24" spans="1:11" s="59" customFormat="1" ht="12.75" customHeight="1" x14ac:dyDescent="0.2">
      <c r="A24" s="78" t="s">
        <v>301</v>
      </c>
      <c r="B24" s="79"/>
      <c r="C24" s="72">
        <v>100</v>
      </c>
      <c r="D24" s="73"/>
      <c r="E24" s="73">
        <v>190000</v>
      </c>
      <c r="F24" s="73">
        <f>3301084-3099084</f>
        <v>202000</v>
      </c>
      <c r="G24" s="74">
        <v>130000</v>
      </c>
      <c r="H24" s="74"/>
      <c r="I24" s="74"/>
      <c r="J24" s="82"/>
      <c r="K24" s="7"/>
    </row>
    <row r="25" spans="1:11" ht="12.75" customHeight="1" x14ac:dyDescent="0.2">
      <c r="A25" s="84"/>
      <c r="B25" s="85"/>
      <c r="C25" s="68">
        <v>200</v>
      </c>
      <c r="D25" s="69"/>
      <c r="E25" s="69">
        <f>-72655987+69789549</f>
        <v>-2866438</v>
      </c>
      <c r="F25" s="69">
        <f>-69789549+51454989+65566551-37343427</f>
        <v>9888564</v>
      </c>
      <c r="G25" s="70">
        <f>56362845-51454989</f>
        <v>4907856</v>
      </c>
      <c r="H25" s="70"/>
      <c r="I25" s="145"/>
      <c r="J25" s="17"/>
    </row>
    <row r="26" spans="1:11" ht="12.75" customHeight="1" x14ac:dyDescent="0.2">
      <c r="A26" s="78"/>
      <c r="B26" s="79"/>
      <c r="C26" s="96" t="s">
        <v>167</v>
      </c>
      <c r="D26" s="73"/>
      <c r="E26" s="73">
        <v>0</v>
      </c>
      <c r="F26" s="73">
        <v>5000</v>
      </c>
      <c r="G26" s="74">
        <v>0</v>
      </c>
      <c r="H26" s="74"/>
      <c r="I26" s="104"/>
      <c r="J26" s="171"/>
    </row>
    <row r="27" spans="1:11" ht="12.75" customHeight="1" x14ac:dyDescent="0.2">
      <c r="A27" s="177"/>
      <c r="B27" s="154"/>
      <c r="C27" s="155">
        <v>500</v>
      </c>
      <c r="D27" s="144"/>
      <c r="E27" s="144">
        <v>15000</v>
      </c>
      <c r="F27" s="144">
        <v>20000</v>
      </c>
      <c r="G27" s="145">
        <v>15000</v>
      </c>
      <c r="H27" s="145"/>
      <c r="I27" s="144"/>
      <c r="J27" s="171"/>
    </row>
    <row r="28" spans="1:11" ht="12.75" customHeight="1" x14ac:dyDescent="0.2">
      <c r="A28" s="774" t="s">
        <v>309</v>
      </c>
      <c r="B28" s="93"/>
      <c r="C28" s="94"/>
      <c r="D28" s="95"/>
      <c r="E28" s="95"/>
      <c r="F28" s="95"/>
      <c r="G28" s="95"/>
      <c r="H28" s="95"/>
      <c r="I28" s="95"/>
      <c r="J28" s="17"/>
    </row>
    <row r="29" spans="1:11" ht="12.75" customHeight="1" x14ac:dyDescent="0.2">
      <c r="A29" s="126" t="s">
        <v>329</v>
      </c>
      <c r="B29" s="59"/>
      <c r="C29" s="82">
        <v>500</v>
      </c>
      <c r="D29" s="83"/>
      <c r="E29" s="83">
        <v>-15000</v>
      </c>
      <c r="F29" s="83">
        <v>-20000</v>
      </c>
      <c r="G29" s="83">
        <v>-15000</v>
      </c>
      <c r="H29" s="83"/>
      <c r="I29" s="83"/>
      <c r="J29" s="17"/>
    </row>
    <row r="30" spans="1:11" ht="12.75" customHeight="1" x14ac:dyDescent="0.2">
      <c r="A30" s="84"/>
      <c r="B30" s="85"/>
      <c r="C30" s="68">
        <v>200</v>
      </c>
      <c r="D30" s="69"/>
      <c r="E30" s="69">
        <v>15000</v>
      </c>
      <c r="F30" s="69">
        <v>20000</v>
      </c>
      <c r="G30" s="70">
        <v>15000</v>
      </c>
      <c r="H30" s="70"/>
      <c r="I30" s="70"/>
      <c r="J30" s="17"/>
    </row>
    <row r="31" spans="1:11" ht="12.75" customHeight="1" x14ac:dyDescent="0.2">
      <c r="A31" s="519" t="s">
        <v>327</v>
      </c>
      <c r="B31" s="79"/>
      <c r="C31" s="72">
        <v>200</v>
      </c>
      <c r="D31" s="531"/>
      <c r="E31" s="73">
        <v>987436</v>
      </c>
      <c r="F31" s="73">
        <v>-2885700</v>
      </c>
      <c r="G31" s="74">
        <v>435275</v>
      </c>
      <c r="H31" s="530">
        <v>-1766781</v>
      </c>
      <c r="I31" s="530"/>
      <c r="J31" s="17"/>
    </row>
    <row r="32" spans="1:11" ht="12.75" customHeight="1" x14ac:dyDescent="0.2">
      <c r="A32" s="667" t="s">
        <v>348</v>
      </c>
      <c r="B32" s="85"/>
      <c r="C32" s="68">
        <v>100</v>
      </c>
      <c r="D32" s="69"/>
      <c r="E32" s="668">
        <f>3317180-3482180+3482180-3317180</f>
        <v>0</v>
      </c>
      <c r="F32" s="69">
        <f>3342180-3519180+3522180-3507180</f>
        <v>-162000</v>
      </c>
      <c r="G32" s="70">
        <f>3507180-3472180+3537180-3687180</f>
        <v>-115000</v>
      </c>
      <c r="H32" s="70">
        <f>3537180-3507180+3537180-3567180</f>
        <v>0</v>
      </c>
      <c r="I32" s="70"/>
      <c r="J32" s="17"/>
    </row>
    <row r="33" spans="1:12" ht="12.75" customHeight="1" x14ac:dyDescent="0.2">
      <c r="A33" s="78"/>
      <c r="B33" s="79"/>
      <c r="C33" s="72">
        <v>200</v>
      </c>
      <c r="D33" s="73"/>
      <c r="E33" s="73">
        <f>52131871-52899282+53321784-52134421</f>
        <v>419952</v>
      </c>
      <c r="F33" s="73">
        <f>59179178-59154735+59869091-60369091</f>
        <v>-475557</v>
      </c>
      <c r="G33" s="74">
        <f>65118165-64537309+65104188-65808078</f>
        <v>-123034</v>
      </c>
      <c r="H33" s="74">
        <f>63654155-63351384</f>
        <v>302771</v>
      </c>
      <c r="I33" s="74"/>
      <c r="J33" s="17"/>
    </row>
    <row r="34" spans="1:12" ht="12.75" customHeight="1" x14ac:dyDescent="0.2">
      <c r="A34" s="176"/>
      <c r="B34" s="140"/>
      <c r="C34" s="772" t="s">
        <v>167</v>
      </c>
      <c r="D34" s="773"/>
      <c r="E34" s="138">
        <f>42000-42000</f>
        <v>0</v>
      </c>
      <c r="F34" s="138">
        <f>42000-47000</f>
        <v>-5000</v>
      </c>
      <c r="G34" s="139"/>
      <c r="H34" s="139"/>
      <c r="I34" s="139"/>
      <c r="J34" s="17"/>
    </row>
    <row r="35" spans="1:12" ht="13" customHeight="1" x14ac:dyDescent="0.2">
      <c r="A35" s="833" t="s">
        <v>494</v>
      </c>
      <c r="B35" s="834"/>
      <c r="C35" s="241"/>
      <c r="D35" s="835"/>
      <c r="E35" s="59"/>
      <c r="F35" s="59"/>
      <c r="G35" s="59"/>
      <c r="H35" s="59"/>
      <c r="I35" s="59"/>
      <c r="J35" s="17"/>
    </row>
    <row r="36" spans="1:12" ht="13" customHeight="1" x14ac:dyDescent="0.2">
      <c r="A36" s="303" t="s">
        <v>513</v>
      </c>
      <c r="B36" s="304"/>
      <c r="C36" s="249">
        <v>200</v>
      </c>
      <c r="D36" s="250">
        <v>-1500000</v>
      </c>
      <c r="E36" s="69">
        <v>1500000</v>
      </c>
      <c r="F36" s="146"/>
      <c r="G36" s="146"/>
      <c r="H36" s="146"/>
      <c r="I36" s="146"/>
      <c r="J36" s="17"/>
    </row>
    <row r="37" spans="1:12" ht="13" customHeight="1" x14ac:dyDescent="0.2">
      <c r="A37" s="78"/>
      <c r="B37" s="79"/>
      <c r="C37" s="96">
        <v>500</v>
      </c>
      <c r="D37" s="73">
        <v>1500000</v>
      </c>
      <c r="E37" s="73">
        <v>-1500000</v>
      </c>
      <c r="F37" s="73"/>
      <c r="G37" s="74"/>
      <c r="H37" s="74"/>
      <c r="I37" s="104"/>
      <c r="J37" s="17"/>
    </row>
    <row r="38" spans="1:12" ht="13" customHeight="1" x14ac:dyDescent="0.2">
      <c r="A38" s="177" t="s">
        <v>590</v>
      </c>
      <c r="B38" s="154"/>
      <c r="C38" s="155">
        <v>100</v>
      </c>
      <c r="D38" s="144"/>
      <c r="E38" s="144">
        <f>-3088526+48346</f>
        <v>-3040180</v>
      </c>
      <c r="F38" s="144">
        <v>-40000</v>
      </c>
      <c r="G38" s="145">
        <v>-15000</v>
      </c>
      <c r="H38" s="145"/>
      <c r="I38" s="144"/>
      <c r="J38" s="17"/>
    </row>
    <row r="39" spans="1:12" ht="13" customHeight="1" x14ac:dyDescent="0.2">
      <c r="A39" s="78"/>
      <c r="B39" s="79"/>
      <c r="C39" s="96">
        <v>200</v>
      </c>
      <c r="D39" s="73"/>
      <c r="E39" s="73">
        <v>-53321784</v>
      </c>
      <c r="F39" s="73">
        <v>-6547307</v>
      </c>
      <c r="G39" s="74">
        <v>-5235097</v>
      </c>
      <c r="H39" s="74">
        <v>1464010</v>
      </c>
      <c r="I39" s="104"/>
      <c r="J39" s="17"/>
    </row>
    <row r="40" spans="1:12" ht="13" customHeight="1" x14ac:dyDescent="0.2">
      <c r="A40" s="177"/>
      <c r="B40" s="154"/>
      <c r="C40" s="155" t="s">
        <v>167</v>
      </c>
      <c r="D40" s="144"/>
      <c r="E40" s="144">
        <v>-42000</v>
      </c>
      <c r="F40" s="144"/>
      <c r="G40" s="145"/>
      <c r="H40" s="145"/>
      <c r="I40" s="144"/>
      <c r="J40" s="17"/>
    </row>
    <row r="41" spans="1:12" ht="13" customHeight="1" x14ac:dyDescent="0.2">
      <c r="A41" s="890" t="s">
        <v>965</v>
      </c>
      <c r="B41" s="79"/>
      <c r="C41" s="96">
        <v>200</v>
      </c>
      <c r="D41" s="73">
        <v>-1400000</v>
      </c>
      <c r="E41" s="73">
        <v>1400000</v>
      </c>
      <c r="F41" s="73"/>
      <c r="G41" s="74"/>
      <c r="H41" s="74"/>
      <c r="I41" s="104"/>
      <c r="J41" s="17"/>
    </row>
    <row r="42" spans="1:12" ht="13" customHeight="1" x14ac:dyDescent="0.2">
      <c r="A42" s="887" t="s">
        <v>913</v>
      </c>
      <c r="B42" s="154"/>
      <c r="C42" s="155"/>
      <c r="D42" s="144"/>
      <c r="E42" s="144"/>
      <c r="F42" s="144"/>
      <c r="G42" s="145"/>
      <c r="H42" s="145"/>
      <c r="I42" s="144"/>
      <c r="J42" s="669"/>
    </row>
    <row r="43" spans="1:12" ht="13" customHeight="1" x14ac:dyDescent="0.2">
      <c r="A43" s="78" t="s">
        <v>925</v>
      </c>
      <c r="B43" s="79"/>
      <c r="C43" s="96">
        <v>100</v>
      </c>
      <c r="D43" s="73"/>
      <c r="E43" s="73">
        <v>-23180</v>
      </c>
      <c r="F43" s="73">
        <v>23180</v>
      </c>
      <c r="G43" s="74"/>
      <c r="H43" s="74"/>
      <c r="I43" s="104"/>
      <c r="J43" s="669"/>
      <c r="L43" s="7" t="s">
        <v>398</v>
      </c>
    </row>
    <row r="44" spans="1:12" ht="13" customHeight="1" x14ac:dyDescent="0.2">
      <c r="A44" s="78"/>
      <c r="B44" s="79"/>
      <c r="C44" s="96"/>
      <c r="D44" s="73"/>
      <c r="E44" s="73"/>
      <c r="F44" s="73"/>
      <c r="G44" s="74"/>
      <c r="H44" s="74"/>
      <c r="I44" s="104"/>
      <c r="J44" s="669"/>
    </row>
    <row r="45" spans="1:12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669"/>
    </row>
    <row r="46" spans="1:12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2" ht="13" customHeight="1" x14ac:dyDescent="0.2">
      <c r="A47" s="78"/>
      <c r="B47" s="79"/>
      <c r="C47" s="72"/>
      <c r="D47" s="73"/>
      <c r="J47" s="17"/>
    </row>
    <row r="48" spans="1:12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x14ac:dyDescent="0.2">
      <c r="E57" s="73"/>
      <c r="F57" s="73"/>
      <c r="G57" s="73"/>
      <c r="H57" s="74"/>
      <c r="I57" s="530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5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0">
    <tabColor theme="3"/>
    <pageSetUpPr fitToPage="1"/>
  </sheetPr>
  <dimension ref="A1:K53"/>
  <sheetViews>
    <sheetView zoomScaleNormal="100" zoomScaleSheetLayoutView="90" workbookViewId="0">
      <selection activeCell="E20" sqref="E20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24</v>
      </c>
      <c r="C6" s="963" t="s">
        <v>227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9056465</v>
      </c>
      <c r="C9" s="34">
        <v>9545748</v>
      </c>
      <c r="D9" s="227">
        <f>+C9+D32+D35+D36+D37+D38+D39</f>
        <v>9657675</v>
      </c>
      <c r="E9" s="115">
        <f>+D9+E42+E45+E35+E36+E37+E48+E38+E39</f>
        <v>8068689</v>
      </c>
      <c r="F9" s="411">
        <f>+E9+F48</f>
        <v>8102866</v>
      </c>
      <c r="G9" s="34">
        <f>+F9+G45+G51</f>
        <v>8102866</v>
      </c>
      <c r="H9" s="227">
        <f>+G9+H51</f>
        <v>9876542</v>
      </c>
      <c r="I9" s="51">
        <f t="shared" ref="E9:I15" si="0">+H9</f>
        <v>9876542</v>
      </c>
      <c r="K9" s="7">
        <v>100</v>
      </c>
    </row>
    <row r="10" spans="1:11" x14ac:dyDescent="0.2">
      <c r="A10" s="10" t="s">
        <v>5</v>
      </c>
      <c r="B10" s="36">
        <v>47319839</v>
      </c>
      <c r="C10" s="36">
        <v>50023423</v>
      </c>
      <c r="D10" s="230">
        <f>+C10+D33+D34</f>
        <v>50879286</v>
      </c>
      <c r="E10" s="550">
        <f>+D10+E22+E26+E27+E29+E30+E41+E43+E46+E47+E50</f>
        <v>35593350</v>
      </c>
      <c r="F10" s="548">
        <f>+E10+F24+F27+F43+F50</f>
        <v>34060449</v>
      </c>
      <c r="G10" s="36">
        <f>+F10+G27+G46+G47+G52</f>
        <v>34727722</v>
      </c>
      <c r="H10" s="230">
        <f>+G10+H41+H50+H52</f>
        <v>49471326</v>
      </c>
      <c r="I10" s="37">
        <f>+H10</f>
        <v>49471326</v>
      </c>
      <c r="K10" s="7">
        <v>200</v>
      </c>
    </row>
    <row r="11" spans="1:11" x14ac:dyDescent="0.2">
      <c r="A11" s="9" t="s">
        <v>6</v>
      </c>
      <c r="B11" s="34">
        <f>143771+193132</f>
        <v>336903</v>
      </c>
      <c r="C11" s="34">
        <v>344127</v>
      </c>
      <c r="D11" s="227">
        <f>+C11</f>
        <v>344127</v>
      </c>
      <c r="E11" s="115">
        <f>+D11</f>
        <v>344127</v>
      </c>
      <c r="F11" s="411">
        <f t="shared" si="0"/>
        <v>344127</v>
      </c>
      <c r="G11" s="34">
        <f>+F11</f>
        <v>344127</v>
      </c>
      <c r="H11" s="227">
        <f t="shared" si="0"/>
        <v>344127</v>
      </c>
      <c r="I11" s="35">
        <f t="shared" si="0"/>
        <v>344127</v>
      </c>
      <c r="K11" s="7" t="s">
        <v>167</v>
      </c>
    </row>
    <row r="12" spans="1:11" x14ac:dyDescent="0.2">
      <c r="A12" s="10" t="s">
        <v>7</v>
      </c>
      <c r="B12" s="36">
        <v>56382</v>
      </c>
      <c r="C12" s="36">
        <v>32421</v>
      </c>
      <c r="D12" s="230">
        <f>+C12</f>
        <v>32421</v>
      </c>
      <c r="E12" s="550">
        <f>+D12</f>
        <v>32421</v>
      </c>
      <c r="F12" s="548">
        <f t="shared" si="0"/>
        <v>32421</v>
      </c>
      <c r="G12" s="36">
        <f t="shared" si="0"/>
        <v>32421</v>
      </c>
      <c r="H12" s="230">
        <f t="shared" si="0"/>
        <v>32421</v>
      </c>
      <c r="I12" s="37">
        <f t="shared" si="0"/>
        <v>32421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56769589</v>
      </c>
      <c r="C16" s="40">
        <f t="shared" ref="C16:I16" si="2">SUM(C9:C15)</f>
        <v>59945719</v>
      </c>
      <c r="D16" s="40">
        <f t="shared" si="2"/>
        <v>60913509</v>
      </c>
      <c r="E16" s="573">
        <f t="shared" si="2"/>
        <v>44038587</v>
      </c>
      <c r="F16" s="40">
        <f t="shared" si="2"/>
        <v>42539863</v>
      </c>
      <c r="G16" s="40">
        <f t="shared" si="2"/>
        <v>43207136</v>
      </c>
      <c r="H16" s="40">
        <f t="shared" si="2"/>
        <v>59724416</v>
      </c>
      <c r="I16" s="40">
        <f t="shared" si="2"/>
        <v>59724416</v>
      </c>
    </row>
    <row r="18" spans="1:10" x14ac:dyDescent="0.2">
      <c r="E18" s="415">
        <f>+E16-D16</f>
        <v>-16874922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168" t="s">
        <v>300</v>
      </c>
      <c r="B21" s="67"/>
      <c r="C21" s="68"/>
      <c r="D21" s="69"/>
      <c r="E21" s="70"/>
      <c r="F21" s="70"/>
      <c r="G21" s="70"/>
      <c r="H21" s="70"/>
      <c r="I21" s="70"/>
      <c r="J21" s="17"/>
    </row>
    <row r="22" spans="1:10" ht="30" x14ac:dyDescent="0.2">
      <c r="A22" s="735" t="s">
        <v>312</v>
      </c>
      <c r="B22" s="71"/>
      <c r="C22" s="736">
        <v>200</v>
      </c>
      <c r="D22" s="73"/>
      <c r="E22" s="73">
        <v>-1100000</v>
      </c>
      <c r="F22" s="74"/>
      <c r="G22" s="74"/>
      <c r="H22" s="74"/>
      <c r="I22" s="74"/>
      <c r="J22" s="17"/>
    </row>
    <row r="23" spans="1:10" ht="12.75" customHeight="1" x14ac:dyDescent="0.2">
      <c r="A23" s="168" t="s">
        <v>299</v>
      </c>
      <c r="B23" s="67"/>
      <c r="C23" s="482"/>
      <c r="D23" s="69"/>
      <c r="E23" s="69"/>
      <c r="F23" s="70"/>
      <c r="G23" s="70"/>
      <c r="H23" s="70"/>
      <c r="I23" s="70"/>
      <c r="J23" s="17"/>
    </row>
    <row r="24" spans="1:10" ht="24" customHeight="1" x14ac:dyDescent="0.2">
      <c r="A24" s="737" t="s">
        <v>330</v>
      </c>
      <c r="B24" s="79"/>
      <c r="C24" s="738">
        <v>200</v>
      </c>
      <c r="D24" s="74"/>
      <c r="E24" s="74"/>
      <c r="F24" s="74">
        <v>-1500000</v>
      </c>
      <c r="G24" s="74"/>
      <c r="H24" s="74"/>
      <c r="I24" s="74"/>
      <c r="J24" s="17"/>
    </row>
    <row r="25" spans="1:10" ht="12.75" customHeight="1" x14ac:dyDescent="0.2">
      <c r="A25" s="173" t="s">
        <v>358</v>
      </c>
      <c r="B25" s="85"/>
      <c r="C25" s="75"/>
      <c r="D25" s="70"/>
      <c r="E25" s="70"/>
      <c r="F25" s="70"/>
      <c r="G25" s="70"/>
      <c r="H25" s="70"/>
      <c r="I25" s="70"/>
      <c r="J25" s="17"/>
    </row>
    <row r="26" spans="1:10" ht="12.75" customHeight="1" x14ac:dyDescent="0.2">
      <c r="A26" s="739" t="s">
        <v>370</v>
      </c>
      <c r="B26" s="79"/>
      <c r="C26" s="76">
        <v>200</v>
      </c>
      <c r="D26" s="74"/>
      <c r="E26" s="74">
        <v>-100000</v>
      </c>
      <c r="F26" s="74"/>
      <c r="G26" s="74"/>
      <c r="H26" s="74"/>
      <c r="I26" s="74"/>
      <c r="J26" s="17"/>
    </row>
    <row r="27" spans="1:10" ht="12.75" customHeight="1" x14ac:dyDescent="0.2">
      <c r="A27" s="132" t="s">
        <v>371</v>
      </c>
      <c r="B27" s="85"/>
      <c r="C27" s="75">
        <v>200</v>
      </c>
      <c r="D27" s="70"/>
      <c r="E27" s="740">
        <v>437393</v>
      </c>
      <c r="F27" s="70">
        <v>38626</v>
      </c>
      <c r="G27" s="70">
        <v>667273</v>
      </c>
      <c r="H27" s="70"/>
      <c r="I27" s="70"/>
      <c r="J27" s="17"/>
    </row>
    <row r="28" spans="1:10" ht="12.75" customHeight="1" x14ac:dyDescent="0.2">
      <c r="A28" s="676" t="s">
        <v>404</v>
      </c>
      <c r="B28" s="82"/>
      <c r="C28" s="82"/>
      <c r="D28" s="82"/>
      <c r="E28" s="82"/>
      <c r="F28" s="82"/>
      <c r="G28" s="82"/>
      <c r="H28" s="82"/>
      <c r="I28" s="82"/>
      <c r="J28" s="17"/>
    </row>
    <row r="29" spans="1:10" ht="12.75" customHeight="1" x14ac:dyDescent="0.2">
      <c r="A29" s="687" t="s">
        <v>417</v>
      </c>
      <c r="B29" s="85"/>
      <c r="C29" s="75">
        <v>200</v>
      </c>
      <c r="D29" s="70"/>
      <c r="E29" s="70">
        <v>-150000</v>
      </c>
      <c r="F29" s="70"/>
      <c r="G29" s="70"/>
      <c r="H29" s="70"/>
      <c r="I29" s="70"/>
    </row>
    <row r="30" spans="1:10" ht="12.75" customHeight="1" x14ac:dyDescent="0.2">
      <c r="A30" s="702" t="s">
        <v>418</v>
      </c>
      <c r="B30" s="90"/>
      <c r="C30" s="91">
        <v>200</v>
      </c>
      <c r="D30" s="92"/>
      <c r="E30" s="92">
        <v>-800000</v>
      </c>
      <c r="F30" s="92"/>
      <c r="G30" s="92"/>
      <c r="H30" s="92"/>
      <c r="I30" s="92"/>
    </row>
    <row r="31" spans="1:10" ht="12.75" customHeight="1" x14ac:dyDescent="0.2">
      <c r="A31" s="836" t="s">
        <v>494</v>
      </c>
      <c r="B31" s="582"/>
      <c r="C31" s="837"/>
      <c r="D31" s="201"/>
      <c r="E31" s="146"/>
      <c r="F31" s="146"/>
      <c r="G31" s="146"/>
      <c r="H31" s="146"/>
      <c r="I31" s="146"/>
    </row>
    <row r="32" spans="1:10" ht="12.75" customHeight="1" x14ac:dyDescent="0.2">
      <c r="A32" s="306" t="s">
        <v>502</v>
      </c>
      <c r="B32" s="305"/>
      <c r="C32" s="251">
        <v>100</v>
      </c>
      <c r="D32" s="252">
        <v>19444</v>
      </c>
      <c r="E32" s="59"/>
      <c r="F32" s="59"/>
      <c r="G32" s="59"/>
      <c r="H32" s="59"/>
      <c r="I32" s="59"/>
    </row>
    <row r="33" spans="1:9" ht="12.75" customHeight="1" x14ac:dyDescent="0.2">
      <c r="A33" s="888" t="s">
        <v>509</v>
      </c>
      <c r="B33" s="146"/>
      <c r="C33" s="888">
        <v>200</v>
      </c>
      <c r="D33" s="70">
        <v>701171</v>
      </c>
      <c r="E33" s="70"/>
      <c r="F33" s="70"/>
      <c r="G33" s="70"/>
      <c r="H33" s="70"/>
      <c r="I33" s="70"/>
    </row>
    <row r="34" spans="1:9" ht="12.75" customHeight="1" x14ac:dyDescent="0.2">
      <c r="A34" s="306" t="s">
        <v>510</v>
      </c>
      <c r="B34" s="305"/>
      <c r="C34" s="251">
        <v>200</v>
      </c>
      <c r="D34" s="252">
        <v>154692</v>
      </c>
      <c r="E34" s="59"/>
      <c r="F34" s="59"/>
      <c r="G34" s="59"/>
      <c r="H34" s="59"/>
      <c r="I34" s="59"/>
    </row>
    <row r="35" spans="1:9" ht="12.75" customHeight="1" x14ac:dyDescent="0.2">
      <c r="A35" s="926" t="s">
        <v>829</v>
      </c>
      <c r="B35" s="146"/>
      <c r="C35" s="888">
        <v>100</v>
      </c>
      <c r="D35" s="925">
        <v>12055</v>
      </c>
      <c r="E35" s="925">
        <v>72329</v>
      </c>
      <c r="F35" s="70"/>
      <c r="G35" s="70"/>
      <c r="H35" s="70"/>
      <c r="I35" s="70"/>
    </row>
    <row r="36" spans="1:9" ht="12.75" customHeight="1" x14ac:dyDescent="0.2">
      <c r="A36" s="926" t="s">
        <v>903</v>
      </c>
      <c r="B36" s="305"/>
      <c r="C36" s="251">
        <v>100</v>
      </c>
      <c r="D36" s="925">
        <v>32250</v>
      </c>
      <c r="E36" s="925">
        <v>-32250</v>
      </c>
      <c r="F36" s="252"/>
      <c r="G36" s="252"/>
      <c r="H36" s="252"/>
      <c r="I36" s="252"/>
    </row>
    <row r="37" spans="1:9" ht="12.75" customHeight="1" x14ac:dyDescent="0.2">
      <c r="A37" s="888" t="s">
        <v>836</v>
      </c>
      <c r="B37" s="146"/>
      <c r="C37" s="888">
        <v>100</v>
      </c>
      <c r="D37" s="70">
        <v>4570</v>
      </c>
      <c r="E37" s="70">
        <v>27419</v>
      </c>
      <c r="F37" s="70"/>
      <c r="G37" s="70"/>
      <c r="H37" s="70"/>
      <c r="I37" s="70"/>
    </row>
    <row r="38" spans="1:9" ht="12.75" customHeight="1" x14ac:dyDescent="0.2">
      <c r="A38" s="926" t="s">
        <v>943</v>
      </c>
      <c r="B38" s="305"/>
      <c r="C38" s="251">
        <v>100</v>
      </c>
      <c r="D38" s="925">
        <v>9058</v>
      </c>
      <c r="E38" s="925">
        <v>45288</v>
      </c>
      <c r="F38" s="252"/>
      <c r="G38" s="252"/>
      <c r="H38" s="252"/>
      <c r="I38" s="252"/>
    </row>
    <row r="39" spans="1:9" ht="12.75" customHeight="1" x14ac:dyDescent="0.2">
      <c r="A39" s="888" t="s">
        <v>944</v>
      </c>
      <c r="B39" s="146"/>
      <c r="C39" s="888">
        <v>100</v>
      </c>
      <c r="D39" s="70">
        <v>34550</v>
      </c>
      <c r="E39" s="70">
        <v>-34550</v>
      </c>
      <c r="F39" s="70"/>
      <c r="G39" s="70"/>
      <c r="H39" s="70"/>
      <c r="I39" s="70"/>
    </row>
    <row r="40" spans="1:9" ht="12.75" customHeight="1" x14ac:dyDescent="0.2">
      <c r="A40" s="881" t="s">
        <v>625</v>
      </c>
      <c r="B40" s="305"/>
      <c r="C40" s="251"/>
      <c r="D40" s="252"/>
      <c r="E40" s="59"/>
      <c r="F40" s="59"/>
      <c r="G40" s="59"/>
      <c r="H40" s="59"/>
      <c r="I40" s="59"/>
    </row>
    <row r="41" spans="1:9" ht="12.75" customHeight="1" x14ac:dyDescent="0.2">
      <c r="A41" s="888" t="s">
        <v>641</v>
      </c>
      <c r="B41" s="146"/>
      <c r="C41" s="888">
        <v>200</v>
      </c>
      <c r="D41" s="70"/>
      <c r="E41" s="70">
        <v>382720</v>
      </c>
      <c r="F41" s="70"/>
      <c r="G41" s="70"/>
      <c r="H41" s="70">
        <v>-382720</v>
      </c>
      <c r="I41" s="70"/>
    </row>
    <row r="42" spans="1:9" ht="12.75" customHeight="1" x14ac:dyDescent="0.2">
      <c r="A42" s="306" t="s">
        <v>719</v>
      </c>
      <c r="B42" s="305"/>
      <c r="C42" s="251">
        <v>100</v>
      </c>
      <c r="D42" s="925"/>
      <c r="E42" s="925">
        <v>140631</v>
      </c>
      <c r="F42" s="59"/>
      <c r="G42" s="59"/>
      <c r="H42" s="59"/>
      <c r="I42" s="59"/>
    </row>
    <row r="43" spans="1:9" ht="12.75" customHeight="1" x14ac:dyDescent="0.2">
      <c r="A43" s="888"/>
      <c r="B43" s="146"/>
      <c r="C43" s="888">
        <v>200</v>
      </c>
      <c r="D43" s="70"/>
      <c r="E43" s="70">
        <v>1170275</v>
      </c>
      <c r="F43" s="70">
        <f>1098748-E43</f>
        <v>-71527</v>
      </c>
      <c r="G43" s="70"/>
      <c r="H43" s="70"/>
      <c r="I43" s="70"/>
    </row>
    <row r="44" spans="1:9" ht="12.75" customHeight="1" x14ac:dyDescent="0.2">
      <c r="A44" s="881" t="s">
        <v>747</v>
      </c>
      <c r="B44" s="305"/>
      <c r="C44" s="251"/>
      <c r="D44" s="252"/>
      <c r="E44" s="59"/>
      <c r="F44" s="59"/>
      <c r="G44" s="59"/>
      <c r="H44" s="59"/>
      <c r="I44" s="59"/>
    </row>
    <row r="45" spans="1:9" ht="12.75" customHeight="1" x14ac:dyDescent="0.2">
      <c r="A45" s="888" t="s">
        <v>893</v>
      </c>
      <c r="B45" s="146"/>
      <c r="C45" s="888">
        <v>100</v>
      </c>
      <c r="D45" s="70"/>
      <c r="E45" s="70">
        <v>-1773676</v>
      </c>
      <c r="F45" s="70"/>
      <c r="G45" s="70">
        <v>1773676</v>
      </c>
      <c r="H45" s="70"/>
      <c r="I45" s="70"/>
    </row>
    <row r="46" spans="1:9" ht="12.75" customHeight="1" x14ac:dyDescent="0.2">
      <c r="A46" s="306"/>
      <c r="B46" s="305"/>
      <c r="C46" s="251">
        <v>200</v>
      </c>
      <c r="D46" s="925"/>
      <c r="E46" s="925">
        <v>-9781145</v>
      </c>
      <c r="F46" s="252"/>
      <c r="G46" s="252">
        <v>9781145</v>
      </c>
      <c r="H46" s="252"/>
      <c r="I46" s="252"/>
    </row>
    <row r="47" spans="1:9" ht="12.75" customHeight="1" x14ac:dyDescent="0.2">
      <c r="A47" s="888" t="s">
        <v>755</v>
      </c>
      <c r="B47" s="146"/>
      <c r="C47" s="888">
        <v>200</v>
      </c>
      <c r="D47" s="70"/>
      <c r="E47" s="70">
        <v>-1345179</v>
      </c>
      <c r="F47" s="70"/>
      <c r="G47" s="70">
        <v>1345179</v>
      </c>
      <c r="H47" s="70"/>
      <c r="I47" s="70"/>
    </row>
    <row r="48" spans="1:9" ht="12.75" customHeight="1" x14ac:dyDescent="0.2">
      <c r="A48" s="306" t="s">
        <v>905</v>
      </c>
      <c r="B48" s="305"/>
      <c r="C48" s="251">
        <v>100</v>
      </c>
      <c r="D48" s="925"/>
      <c r="E48" s="925">
        <v>-34177</v>
      </c>
      <c r="F48" s="252">
        <v>34177</v>
      </c>
      <c r="G48" s="252"/>
      <c r="H48" s="252"/>
      <c r="I48" s="252"/>
    </row>
    <row r="49" spans="1:9" ht="12.75" customHeight="1" x14ac:dyDescent="0.2">
      <c r="A49" s="822" t="s">
        <v>911</v>
      </c>
      <c r="B49" s="146"/>
      <c r="C49" s="888"/>
      <c r="D49" s="70"/>
      <c r="E49" s="70"/>
      <c r="F49" s="70"/>
      <c r="G49" s="70"/>
      <c r="H49" s="70"/>
      <c r="I49" s="70"/>
    </row>
    <row r="50" spans="1:9" ht="12.75" customHeight="1" x14ac:dyDescent="0.2">
      <c r="A50" s="306" t="s">
        <v>974</v>
      </c>
      <c r="B50" s="305"/>
      <c r="C50" s="251">
        <v>200</v>
      </c>
      <c r="D50" s="925"/>
      <c r="E50" s="925">
        <v>-4000000</v>
      </c>
      <c r="F50" s="252"/>
      <c r="G50" s="252"/>
      <c r="H50" s="252">
        <v>4000000</v>
      </c>
      <c r="I50" s="252"/>
    </row>
    <row r="51" spans="1:9" ht="12.75" customHeight="1" x14ac:dyDescent="0.2">
      <c r="A51" s="888" t="s">
        <v>997</v>
      </c>
      <c r="B51" s="146"/>
      <c r="C51" s="888">
        <v>100</v>
      </c>
      <c r="D51" s="70"/>
      <c r="E51" s="70"/>
      <c r="F51" s="70"/>
      <c r="G51" s="70">
        <v>-1773676</v>
      </c>
      <c r="H51" s="70">
        <v>1773676</v>
      </c>
      <c r="I51" s="70"/>
    </row>
    <row r="52" spans="1:9" ht="12.75" customHeight="1" x14ac:dyDescent="0.2">
      <c r="A52" s="306"/>
      <c r="B52" s="305"/>
      <c r="C52" s="251">
        <v>200</v>
      </c>
      <c r="D52" s="925"/>
      <c r="E52" s="925"/>
      <c r="F52" s="252"/>
      <c r="G52" s="252">
        <f>-9781145-1345179</f>
        <v>-11126324</v>
      </c>
      <c r="H52" s="252">
        <v>11126324</v>
      </c>
      <c r="I52" s="252"/>
    </row>
    <row r="53" spans="1:9" ht="12.75" customHeight="1" x14ac:dyDescent="0.2">
      <c r="A53" s="888"/>
      <c r="B53" s="146"/>
      <c r="C53" s="888"/>
      <c r="D53" s="70"/>
      <c r="E53" s="70"/>
      <c r="F53" s="70"/>
      <c r="G53" s="70"/>
      <c r="H53" s="70"/>
      <c r="I53" s="70"/>
    </row>
  </sheetData>
  <mergeCells count="6">
    <mergeCell ref="A1:I1"/>
    <mergeCell ref="A2:I2"/>
    <mergeCell ref="A3:I3"/>
    <mergeCell ref="A4:I4"/>
    <mergeCell ref="C6:I6"/>
    <mergeCell ref="C5:I5"/>
  </mergeCells>
  <conditionalFormatting sqref="A35:A36">
    <cfRule type="expression" dxfId="113" priority="15">
      <formula>MOD(ROW(),2)=1</formula>
    </cfRule>
  </conditionalFormatting>
  <conditionalFormatting sqref="D35:E36">
    <cfRule type="expression" dxfId="112" priority="14">
      <formula>MOD(ROW(),2)=1</formula>
    </cfRule>
  </conditionalFormatting>
  <conditionalFormatting sqref="D42:E42">
    <cfRule type="expression" dxfId="111" priority="9">
      <formula>MOD(ROW(),2)=1</formula>
    </cfRule>
  </conditionalFormatting>
  <conditionalFormatting sqref="A38">
    <cfRule type="expression" dxfId="110" priority="3">
      <formula>MOD(ROW(),2)=1</formula>
    </cfRule>
  </conditionalFormatting>
  <conditionalFormatting sqref="D38:E38">
    <cfRule type="expression" dxfId="109" priority="2">
      <formula>MOD(ROW(),2)=1</formula>
    </cfRule>
  </conditionalFormatting>
  <conditionalFormatting sqref="D46:E46 D48:E48 D50:E50 D52:E52">
    <cfRule type="expression" dxfId="108" priority="1">
      <formula>MOD(ROW(),2)=1</formula>
    </cfRule>
  </conditionalFormatting>
  <pageMargins left="0.5" right="0.5" top="0.5" bottom="0.5" header="0.3" footer="0.3"/>
  <pageSetup scale="72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>
    <pageSetUpPr fitToPage="1"/>
  </sheetPr>
  <dimension ref="A1:K53"/>
  <sheetViews>
    <sheetView zoomScaleNormal="100" zoomScaleSheetLayoutView="90" workbookViewId="0">
      <selection activeCell="G18" sqref="G1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>
        <v>56</v>
      </c>
      <c r="C6" s="963" t="s">
        <v>128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f>4913052-1</f>
        <v>4913051</v>
      </c>
      <c r="C9" s="34">
        <v>5555785</v>
      </c>
      <c r="D9" s="227">
        <f>+C9+D27+D28+D29+D30+D31+D32</f>
        <v>5608379</v>
      </c>
      <c r="E9" s="115">
        <f>+D9+E28+E29+E30+E35+E36+E38+E31+E32</f>
        <v>5290733</v>
      </c>
      <c r="F9" s="411">
        <f>+E9+F35</f>
        <v>5312792</v>
      </c>
      <c r="G9" s="34">
        <f>+F9+G36+G38+G40</f>
        <v>5312792</v>
      </c>
      <c r="H9" s="227">
        <f>+G9+H40</f>
        <v>5676838</v>
      </c>
      <c r="I9" s="51">
        <f t="shared" ref="E9:I15" si="0">+H9</f>
        <v>5676838</v>
      </c>
      <c r="K9" s="7">
        <v>100</v>
      </c>
    </row>
    <row r="10" spans="1:11" x14ac:dyDescent="0.2">
      <c r="A10" s="10" t="s">
        <v>5</v>
      </c>
      <c r="B10" s="36">
        <v>707646</v>
      </c>
      <c r="C10" s="36">
        <v>1229070</v>
      </c>
      <c r="D10" s="230">
        <f>+C10</f>
        <v>1229070</v>
      </c>
      <c r="E10" s="550">
        <f>+D10+E24+E34+E39</f>
        <v>877570</v>
      </c>
      <c r="F10" s="548">
        <f>+E10+F34</f>
        <v>797570</v>
      </c>
      <c r="G10" s="36">
        <f>+F10+G39+G41</f>
        <v>797570</v>
      </c>
      <c r="H10" s="228">
        <f>+G10+H22+H41</f>
        <v>1239070</v>
      </c>
      <c r="I10" s="50">
        <f>+H10+I22</f>
        <v>1239070</v>
      </c>
      <c r="K10" s="7">
        <v>200</v>
      </c>
    </row>
    <row r="11" spans="1:11" x14ac:dyDescent="0.2">
      <c r="A11" s="9" t="s">
        <v>6</v>
      </c>
      <c r="B11" s="34">
        <v>50356</v>
      </c>
      <c r="C11" s="34">
        <v>89432</v>
      </c>
      <c r="D11" s="227">
        <f>+C11</f>
        <v>89432</v>
      </c>
      <c r="E11" s="115">
        <f>+D11+E25</f>
        <v>69432</v>
      </c>
      <c r="F11" s="411">
        <f>+E11</f>
        <v>69432</v>
      </c>
      <c r="G11" s="34">
        <f t="shared" si="0"/>
        <v>69432</v>
      </c>
      <c r="H11" s="227">
        <f t="shared" si="0"/>
        <v>69432</v>
      </c>
      <c r="I11" s="35">
        <f t="shared" si="0"/>
        <v>69432</v>
      </c>
      <c r="K11" s="7" t="s">
        <v>167</v>
      </c>
    </row>
    <row r="12" spans="1:11" x14ac:dyDescent="0.2">
      <c r="A12" s="10" t="s">
        <v>7</v>
      </c>
      <c r="B12" s="36">
        <v>24000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5695053</v>
      </c>
      <c r="C16" s="40">
        <f t="shared" ref="C16:I16" si="2">SUM(C9:C15)</f>
        <v>6874287</v>
      </c>
      <c r="D16" s="40">
        <f t="shared" si="2"/>
        <v>6926881</v>
      </c>
      <c r="E16" s="573">
        <f t="shared" si="2"/>
        <v>6237735</v>
      </c>
      <c r="F16" s="40">
        <f t="shared" si="2"/>
        <v>6179794</v>
      </c>
      <c r="G16" s="40">
        <f t="shared" si="2"/>
        <v>6179794</v>
      </c>
      <c r="H16" s="40">
        <f t="shared" si="2"/>
        <v>6985340</v>
      </c>
      <c r="I16" s="40">
        <f t="shared" si="2"/>
        <v>6985340</v>
      </c>
    </row>
    <row r="18" spans="1:10" x14ac:dyDescent="0.2">
      <c r="E18" s="415">
        <f>+E16-D16</f>
        <v>-689146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168" t="s">
        <v>282</v>
      </c>
      <c r="B21" s="85"/>
      <c r="C21" s="68"/>
      <c r="D21" s="69"/>
      <c r="E21" s="69"/>
      <c r="F21" s="69"/>
      <c r="G21" s="69"/>
      <c r="H21" s="70"/>
      <c r="I21" s="70"/>
      <c r="J21" s="17"/>
    </row>
    <row r="22" spans="1:10" ht="13" customHeight="1" x14ac:dyDescent="0.2">
      <c r="A22" s="174" t="s">
        <v>286</v>
      </c>
      <c r="B22" s="93"/>
      <c r="C22" s="103">
        <v>200</v>
      </c>
      <c r="D22" s="104"/>
      <c r="E22" s="104"/>
      <c r="F22" s="104"/>
      <c r="G22" s="104"/>
      <c r="H22" s="95">
        <v>80000</v>
      </c>
      <c r="I22" s="95"/>
      <c r="J22" s="17" t="s">
        <v>302</v>
      </c>
    </row>
    <row r="23" spans="1:10" ht="13" customHeight="1" x14ac:dyDescent="0.2">
      <c r="A23" s="173" t="s">
        <v>358</v>
      </c>
      <c r="B23" s="146"/>
      <c r="C23" s="346"/>
      <c r="D23" s="69"/>
      <c r="E23" s="69"/>
      <c r="F23" s="69"/>
      <c r="G23" s="146"/>
      <c r="H23" s="146"/>
      <c r="I23" s="146"/>
    </row>
    <row r="24" spans="1:10" ht="13" customHeight="1" x14ac:dyDescent="0.2">
      <c r="A24" s="739" t="s">
        <v>470</v>
      </c>
      <c r="B24" s="79"/>
      <c r="C24" s="72">
        <v>200</v>
      </c>
      <c r="D24" s="73"/>
      <c r="E24" s="73">
        <v>-70000</v>
      </c>
      <c r="F24" s="73"/>
      <c r="G24" s="73"/>
      <c r="H24" s="74"/>
      <c r="I24" s="74"/>
    </row>
    <row r="25" spans="1:10" ht="13" customHeight="1" x14ac:dyDescent="0.2">
      <c r="A25" s="755" t="s">
        <v>471</v>
      </c>
      <c r="B25" s="140"/>
      <c r="C25" s="758" t="s">
        <v>167</v>
      </c>
      <c r="D25" s="138"/>
      <c r="E25" s="138">
        <v>-20000</v>
      </c>
      <c r="F25" s="138"/>
      <c r="G25" s="138"/>
      <c r="H25" s="139"/>
      <c r="I25" s="139"/>
    </row>
    <row r="26" spans="1:10" ht="13" customHeight="1" x14ac:dyDescent="0.2">
      <c r="A26" s="833" t="s">
        <v>494</v>
      </c>
      <c r="B26" s="834"/>
      <c r="C26" s="241"/>
      <c r="D26" s="835"/>
      <c r="E26" s="73"/>
      <c r="F26" s="73"/>
      <c r="G26" s="73"/>
      <c r="H26" s="74"/>
      <c r="I26" s="74"/>
    </row>
    <row r="27" spans="1:10" ht="13" customHeight="1" x14ac:dyDescent="0.2">
      <c r="A27" s="303" t="s">
        <v>502</v>
      </c>
      <c r="B27" s="304"/>
      <c r="C27" s="249">
        <v>100</v>
      </c>
      <c r="D27" s="250">
        <v>21237</v>
      </c>
      <c r="E27" s="69"/>
      <c r="F27" s="69"/>
      <c r="G27" s="69"/>
      <c r="H27" s="70"/>
      <c r="I27" s="70"/>
      <c r="J27" s="17"/>
    </row>
    <row r="28" spans="1:10" ht="13" customHeight="1" x14ac:dyDescent="0.2">
      <c r="A28" s="926" t="s">
        <v>830</v>
      </c>
      <c r="B28" s="79"/>
      <c r="C28" s="72">
        <v>100</v>
      </c>
      <c r="D28" s="925">
        <v>1121</v>
      </c>
      <c r="E28" s="925">
        <v>6723</v>
      </c>
      <c r="F28" s="73"/>
      <c r="G28" s="73"/>
      <c r="H28" s="74"/>
      <c r="I28" s="74"/>
      <c r="J28" s="17"/>
    </row>
    <row r="29" spans="1:10" ht="13" customHeight="1" x14ac:dyDescent="0.2">
      <c r="A29" s="926" t="s">
        <v>900</v>
      </c>
      <c r="B29" s="146"/>
      <c r="C29" s="346">
        <v>100</v>
      </c>
      <c r="D29" s="925">
        <v>3000</v>
      </c>
      <c r="E29" s="925">
        <v>-3000</v>
      </c>
      <c r="F29" s="69"/>
      <c r="G29" s="146"/>
      <c r="H29" s="146"/>
      <c r="I29" s="146"/>
      <c r="J29" s="74"/>
    </row>
    <row r="30" spans="1:10" ht="13" customHeight="1" x14ac:dyDescent="0.2">
      <c r="A30" s="926" t="s">
        <v>837</v>
      </c>
      <c r="B30" s="79"/>
      <c r="C30" s="72">
        <v>100</v>
      </c>
      <c r="D30" s="925">
        <v>10156</v>
      </c>
      <c r="E30" s="925">
        <v>60937</v>
      </c>
      <c r="F30" s="73"/>
      <c r="G30" s="73"/>
      <c r="H30" s="74"/>
      <c r="I30" s="74"/>
      <c r="J30" s="74"/>
    </row>
    <row r="31" spans="1:10" ht="13" customHeight="1" x14ac:dyDescent="0.2">
      <c r="A31" s="926" t="s">
        <v>945</v>
      </c>
      <c r="B31" s="146"/>
      <c r="C31" s="346">
        <v>100</v>
      </c>
      <c r="D31" s="925">
        <v>3480</v>
      </c>
      <c r="E31" s="925">
        <v>17399</v>
      </c>
      <c r="F31" s="69"/>
      <c r="G31" s="146"/>
      <c r="H31" s="146"/>
      <c r="I31" s="146"/>
      <c r="J31" s="74"/>
    </row>
    <row r="32" spans="1:10" ht="13" customHeight="1" x14ac:dyDescent="0.2">
      <c r="A32" s="926" t="s">
        <v>946</v>
      </c>
      <c r="B32" s="79"/>
      <c r="C32" s="72">
        <v>100</v>
      </c>
      <c r="D32" s="925">
        <v>13600</v>
      </c>
      <c r="E32" s="925">
        <v>-13600</v>
      </c>
      <c r="F32" s="73"/>
      <c r="G32" s="73"/>
      <c r="H32" s="74"/>
      <c r="I32" s="74"/>
      <c r="J32" s="74"/>
    </row>
    <row r="33" spans="1:10" ht="13" customHeight="1" x14ac:dyDescent="0.2">
      <c r="A33" s="928" t="s">
        <v>625</v>
      </c>
      <c r="B33" s="146"/>
      <c r="C33" s="346"/>
      <c r="D33" s="925"/>
      <c r="E33" s="925"/>
      <c r="F33" s="69"/>
      <c r="G33" s="146"/>
      <c r="H33" s="146"/>
      <c r="I33" s="146"/>
      <c r="J33" s="17"/>
    </row>
    <row r="34" spans="1:10" ht="13" customHeight="1" x14ac:dyDescent="0.2">
      <c r="A34" s="926" t="s">
        <v>654</v>
      </c>
      <c r="B34" s="79"/>
      <c r="C34" s="72">
        <v>200</v>
      </c>
      <c r="D34" s="925"/>
      <c r="E34" s="925">
        <v>80000</v>
      </c>
      <c r="F34" s="73">
        <v>-80000</v>
      </c>
      <c r="G34" s="73"/>
      <c r="H34" s="74"/>
      <c r="I34" s="74"/>
      <c r="J34" s="17"/>
    </row>
    <row r="35" spans="1:10" ht="13" customHeight="1" x14ac:dyDescent="0.2">
      <c r="A35" s="926" t="s">
        <v>907</v>
      </c>
      <c r="B35" s="146"/>
      <c r="C35" s="346">
        <v>100</v>
      </c>
      <c r="D35" s="925"/>
      <c r="E35" s="925">
        <v>-22059</v>
      </c>
      <c r="F35" s="69">
        <v>22059</v>
      </c>
      <c r="G35" s="146"/>
      <c r="H35" s="146"/>
      <c r="I35" s="146"/>
      <c r="J35" s="17"/>
    </row>
    <row r="36" spans="1:10" ht="13" customHeight="1" x14ac:dyDescent="0.2">
      <c r="A36" s="926" t="s">
        <v>869</v>
      </c>
      <c r="B36" s="79"/>
      <c r="C36" s="72">
        <v>100</v>
      </c>
      <c r="D36" s="925"/>
      <c r="E36" s="925">
        <v>-1337063</v>
      </c>
      <c r="F36" s="73"/>
      <c r="G36" s="73">
        <v>1337063</v>
      </c>
      <c r="H36" s="74"/>
      <c r="I36" s="74"/>
      <c r="J36" s="17"/>
    </row>
    <row r="37" spans="1:10" ht="13" customHeight="1" x14ac:dyDescent="0.2">
      <c r="A37" s="928" t="s">
        <v>913</v>
      </c>
      <c r="B37" s="146"/>
      <c r="C37" s="346"/>
      <c r="D37" s="925"/>
      <c r="E37" s="925"/>
      <c r="F37" s="69"/>
      <c r="G37" s="146"/>
      <c r="H37" s="146"/>
      <c r="I37" s="146"/>
      <c r="J37" s="17"/>
    </row>
    <row r="38" spans="1:10" ht="13" customHeight="1" x14ac:dyDescent="0.2">
      <c r="A38" s="926" t="s">
        <v>920</v>
      </c>
      <c r="B38" s="79"/>
      <c r="C38" s="72">
        <v>100</v>
      </c>
      <c r="D38" s="925"/>
      <c r="E38" s="925">
        <v>973017</v>
      </c>
      <c r="F38" s="73"/>
      <c r="G38" s="73">
        <v>-973017</v>
      </c>
      <c r="H38" s="74"/>
      <c r="I38" s="74"/>
      <c r="J38" s="17"/>
    </row>
    <row r="39" spans="1:10" ht="13" customHeight="1" x14ac:dyDescent="0.2">
      <c r="A39" s="926"/>
      <c r="B39" s="146"/>
      <c r="C39" s="346">
        <v>200</v>
      </c>
      <c r="D39" s="250"/>
      <c r="E39" s="69">
        <v>-361500</v>
      </c>
      <c r="F39" s="69"/>
      <c r="G39" s="69">
        <v>361500</v>
      </c>
      <c r="H39" s="70"/>
      <c r="I39" s="70"/>
      <c r="J39" s="17"/>
    </row>
    <row r="40" spans="1:10" ht="12.75" customHeight="1" x14ac:dyDescent="0.2">
      <c r="A40" s="926" t="s">
        <v>997</v>
      </c>
      <c r="B40" s="79"/>
      <c r="C40" s="72">
        <v>100</v>
      </c>
      <c r="D40" s="925"/>
      <c r="E40" s="925"/>
      <c r="F40" s="73"/>
      <c r="G40" s="73">
        <v>-364046</v>
      </c>
      <c r="H40" s="74">
        <v>364046</v>
      </c>
      <c r="I40" s="74"/>
      <c r="J40" s="17"/>
    </row>
    <row r="41" spans="1:10" ht="12.75" customHeight="1" x14ac:dyDescent="0.2">
      <c r="A41" s="926"/>
      <c r="B41" s="146"/>
      <c r="C41" s="346">
        <v>200</v>
      </c>
      <c r="D41" s="250"/>
      <c r="E41" s="69"/>
      <c r="F41" s="69"/>
      <c r="G41" s="69">
        <v>-361500</v>
      </c>
      <c r="H41" s="70">
        <v>361500</v>
      </c>
      <c r="I41" s="70"/>
      <c r="J41" s="17"/>
    </row>
    <row r="42" spans="1:10" ht="12.75" customHeight="1" x14ac:dyDescent="0.2">
      <c r="A42" s="926"/>
      <c r="B42" s="79"/>
      <c r="C42" s="72"/>
      <c r="D42" s="925"/>
      <c r="E42" s="925"/>
      <c r="F42" s="73"/>
      <c r="G42" s="73"/>
      <c r="H42" s="74"/>
      <c r="I42" s="74"/>
      <c r="J42" s="17"/>
    </row>
    <row r="43" spans="1:10" ht="12.75" customHeight="1" x14ac:dyDescent="0.2">
      <c r="A43" s="82"/>
      <c r="B43" s="82"/>
      <c r="C43" s="82"/>
      <c r="D43" s="82"/>
      <c r="E43" s="82"/>
      <c r="F43" s="82"/>
      <c r="G43" s="82"/>
      <c r="H43" s="82"/>
      <c r="I43" s="82"/>
    </row>
    <row r="44" spans="1:10" ht="12.75" customHeight="1" x14ac:dyDescent="0.2">
      <c r="A44" s="82"/>
      <c r="B44" s="82"/>
      <c r="C44" s="82"/>
      <c r="D44" s="82"/>
      <c r="E44" s="82"/>
      <c r="F44" s="82"/>
      <c r="G44" s="82"/>
      <c r="H44" s="82"/>
      <c r="I44" s="82"/>
    </row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28:A29">
    <cfRule type="expression" dxfId="107" priority="14">
      <formula>MOD(ROW(),2)=1</formula>
    </cfRule>
  </conditionalFormatting>
  <conditionalFormatting sqref="D28:E29">
    <cfRule type="expression" dxfId="106" priority="13">
      <formula>MOD(ROW(),2)=1</formula>
    </cfRule>
  </conditionalFormatting>
  <conditionalFormatting sqref="A30 A33:A35">
    <cfRule type="expression" dxfId="105" priority="10">
      <formula>MOD(ROW(),2)=1</formula>
    </cfRule>
  </conditionalFormatting>
  <conditionalFormatting sqref="D30:E30 D33:E35">
    <cfRule type="expression" dxfId="104" priority="9">
      <formula>MOD(ROW(),2)=1</formula>
    </cfRule>
  </conditionalFormatting>
  <conditionalFormatting sqref="D36:E38 D40:E40 D42:E42">
    <cfRule type="expression" dxfId="103" priority="7">
      <formula>MOD(ROW(),2)=1</formula>
    </cfRule>
  </conditionalFormatting>
  <conditionalFormatting sqref="A36:A42">
    <cfRule type="expression" dxfId="102" priority="8">
      <formula>MOD(ROW(),2)=1</formula>
    </cfRule>
  </conditionalFormatting>
  <conditionalFormatting sqref="A32">
    <cfRule type="expression" dxfId="101" priority="2">
      <formula>MOD(ROW(),2)=1</formula>
    </cfRule>
  </conditionalFormatting>
  <conditionalFormatting sqref="D32:E32">
    <cfRule type="expression" dxfId="100" priority="1">
      <formula>MOD(ROW(),2)=1</formula>
    </cfRule>
  </conditionalFormatting>
  <conditionalFormatting sqref="A31">
    <cfRule type="expression" dxfId="99" priority="4">
      <formula>MOD(ROW(),2)=1</formula>
    </cfRule>
  </conditionalFormatting>
  <conditionalFormatting sqref="D31:E31">
    <cfRule type="expression" dxfId="98" priority="3">
      <formula>MOD(ROW(),2)=1</formula>
    </cfRule>
  </conditionalFormatting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6">
    <tabColor theme="3"/>
  </sheetPr>
  <dimension ref="A1:K72"/>
  <sheetViews>
    <sheetView topLeftCell="A8" zoomScaleNormal="100" zoomScaleSheetLayoutView="90" workbookViewId="0">
      <selection activeCell="E10" sqref="E10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67</v>
      </c>
      <c r="C6" s="963" t="s">
        <v>169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f>20875286-'04-OIT-911'!B9</f>
        <v>19846610</v>
      </c>
      <c r="C9" s="34">
        <v>22462148</v>
      </c>
      <c r="D9" s="227">
        <f>+C9+D38+D51+D52+D53+D54+D55</f>
        <v>22886435</v>
      </c>
      <c r="E9" s="115">
        <f>+D9+E57+E58+E62+E51+E52+E53+E66+E54+E55</f>
        <v>22822147</v>
      </c>
      <c r="F9" s="411">
        <f>+E9+F57+F66</f>
        <v>29589958</v>
      </c>
      <c r="G9" s="34">
        <f>+F9+G57+G62+G68</f>
        <v>29263438</v>
      </c>
      <c r="H9" s="227">
        <f>+G9+H57+H68</f>
        <v>30565069</v>
      </c>
      <c r="I9" s="51">
        <f>+H9+I57</f>
        <v>30604050</v>
      </c>
      <c r="K9" s="7">
        <v>100</v>
      </c>
    </row>
    <row r="10" spans="1:11" x14ac:dyDescent="0.2">
      <c r="A10" s="10" t="s">
        <v>5</v>
      </c>
      <c r="B10" s="49">
        <f>50526943-'04-OIT-911'!B10-166269</f>
        <v>39982188</v>
      </c>
      <c r="C10" s="36">
        <v>42805345</v>
      </c>
      <c r="D10" s="230">
        <f>+C10+D39+D40+D41+D42+D43+D44+D45+D46+D47+D48+D49+D50+D56</f>
        <v>47217345</v>
      </c>
      <c r="E10" s="550">
        <f>+D10+E22+E23+E26+E27+E28+E31+E34+E36+E39+E40+E41+E42+E43+E44+E45+E46+E47+E48+E49+E50+E59+E63+E68+E69+E70</f>
        <v>46576598</v>
      </c>
      <c r="F10" s="548">
        <f>+E10+F23+F26+F27+F28+F31+F39+F59</f>
        <v>45173069</v>
      </c>
      <c r="G10" s="36">
        <f>+F10+G27+G28+G39+G59+G63+G69</f>
        <v>48292300</v>
      </c>
      <c r="H10" s="230">
        <f>+G10+H27+H28+H39+H69</f>
        <v>52075701</v>
      </c>
      <c r="I10" s="37">
        <f>+H10+I36+I39</f>
        <v>52075701</v>
      </c>
      <c r="K10" s="7">
        <v>200</v>
      </c>
    </row>
    <row r="11" spans="1:11" x14ac:dyDescent="0.2">
      <c r="A11" s="9" t="s">
        <v>6</v>
      </c>
      <c r="B11" s="34">
        <f>321810+7022104-'04-OIT-911'!B11</f>
        <v>5855613</v>
      </c>
      <c r="C11" s="34">
        <v>5931046</v>
      </c>
      <c r="D11" s="227">
        <f>+C11+D57</f>
        <v>5931046</v>
      </c>
      <c r="E11" s="115">
        <f>+D11+E24+E29+E32+E60+E64+E65</f>
        <v>6396428</v>
      </c>
      <c r="F11" s="411">
        <f>+E11+F24+F29+F32+F60</f>
        <v>2983610</v>
      </c>
      <c r="G11" s="34">
        <f>+F11+G60+G64+G65+G70+G71</f>
        <v>2983610</v>
      </c>
      <c r="H11" s="227">
        <f>+G11+H60+H70+H71</f>
        <v>6355905</v>
      </c>
      <c r="I11" s="35">
        <f>+H11</f>
        <v>6355905</v>
      </c>
      <c r="K11" s="7" t="s">
        <v>167</v>
      </c>
    </row>
    <row r="12" spans="1:11" x14ac:dyDescent="0.2">
      <c r="A12" s="10" t="s">
        <v>7</v>
      </c>
      <c r="B12" s="36">
        <v>25000</v>
      </c>
      <c r="C12" s="36">
        <v>0</v>
      </c>
      <c r="D12" s="230">
        <f>+C12</f>
        <v>0</v>
      </c>
      <c r="E12" s="550">
        <f t="shared" ref="E12:I15" si="0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65709411</v>
      </c>
      <c r="C16" s="40">
        <f t="shared" ref="C16:I16" si="2">SUM(C9:C15)</f>
        <v>71198539</v>
      </c>
      <c r="D16" s="40">
        <f t="shared" si="2"/>
        <v>76034826</v>
      </c>
      <c r="E16" s="573">
        <f t="shared" si="2"/>
        <v>75795173</v>
      </c>
      <c r="F16" s="40">
        <f t="shared" si="2"/>
        <v>77746637</v>
      </c>
      <c r="G16" s="40">
        <f t="shared" si="2"/>
        <v>80539348</v>
      </c>
      <c r="H16" s="40">
        <f t="shared" si="2"/>
        <v>88996675</v>
      </c>
      <c r="I16" s="40">
        <f t="shared" si="2"/>
        <v>89035656</v>
      </c>
    </row>
    <row r="17" spans="1:10" x14ac:dyDescent="0.2">
      <c r="B17" s="854">
        <f>+'04-OIT-911'!B16</f>
        <v>12895463</v>
      </c>
    </row>
    <row r="18" spans="1:10" x14ac:dyDescent="0.2">
      <c r="B18" s="854">
        <f>+B17+B16</f>
        <v>78604874</v>
      </c>
      <c r="E18" s="415">
        <f>+E16-D16</f>
        <v>-239653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7" t="s">
        <v>444</v>
      </c>
      <c r="B20" s="67"/>
      <c r="C20" s="68"/>
      <c r="D20" s="69"/>
      <c r="E20" s="69"/>
      <c r="F20" s="69"/>
      <c r="G20" s="70"/>
      <c r="H20" s="70"/>
      <c r="I20" s="70"/>
    </row>
    <row r="21" spans="1:10" ht="13" customHeight="1" x14ac:dyDescent="0.2">
      <c r="A21" s="167" t="s">
        <v>234</v>
      </c>
      <c r="B21" s="59"/>
      <c r="C21" s="59"/>
      <c r="D21" s="59"/>
      <c r="E21" s="59"/>
      <c r="F21" s="73"/>
      <c r="G21" s="73"/>
      <c r="H21" s="74"/>
      <c r="I21" s="74"/>
      <c r="J21" s="17"/>
    </row>
    <row r="22" spans="1:10" ht="13" customHeight="1" x14ac:dyDescent="0.2">
      <c r="A22" s="780" t="s">
        <v>480</v>
      </c>
      <c r="B22" s="146"/>
      <c r="C22" s="243">
        <v>200</v>
      </c>
      <c r="D22" s="146"/>
      <c r="E22" s="69">
        <v>-368000</v>
      </c>
      <c r="F22" s="69"/>
      <c r="G22" s="69"/>
      <c r="H22" s="70"/>
      <c r="I22" s="70"/>
      <c r="J22" s="17"/>
    </row>
    <row r="23" spans="1:10" ht="13" customHeight="1" x14ac:dyDescent="0.2">
      <c r="A23" s="778" t="s">
        <v>481</v>
      </c>
      <c r="B23" s="82"/>
      <c r="C23" s="82">
        <v>200</v>
      </c>
      <c r="D23" s="82"/>
      <c r="E23" s="73">
        <v>546000</v>
      </c>
      <c r="F23" s="73">
        <v>2662000</v>
      </c>
      <c r="G23" s="73"/>
      <c r="H23" s="74"/>
      <c r="I23" s="74"/>
      <c r="J23" s="17"/>
    </row>
    <row r="24" spans="1:10" ht="13" customHeight="1" x14ac:dyDescent="0.2">
      <c r="A24" s="132" t="s">
        <v>253</v>
      </c>
      <c r="B24" s="132"/>
      <c r="C24" s="243" t="s">
        <v>167</v>
      </c>
      <c r="D24" s="69"/>
      <c r="E24" s="69">
        <v>1503171</v>
      </c>
      <c r="F24" s="69">
        <v>-1078312</v>
      </c>
      <c r="G24" s="69"/>
      <c r="H24" s="70"/>
      <c r="I24" s="70"/>
      <c r="J24" s="17"/>
    </row>
    <row r="25" spans="1:10" ht="12.75" customHeight="1" x14ac:dyDescent="0.2">
      <c r="A25" s="167" t="s">
        <v>282</v>
      </c>
      <c r="B25" s="59"/>
      <c r="C25" s="59"/>
      <c r="D25" s="59"/>
      <c r="E25" s="59"/>
      <c r="F25" s="59"/>
      <c r="G25" s="59"/>
      <c r="H25" s="82"/>
      <c r="I25" s="82"/>
    </row>
    <row r="26" spans="1:10" ht="12.75" customHeight="1" x14ac:dyDescent="0.2">
      <c r="A26" s="483" t="s">
        <v>313</v>
      </c>
      <c r="B26" s="146"/>
      <c r="C26" s="242">
        <v>200</v>
      </c>
      <c r="D26" s="69"/>
      <c r="E26" s="69">
        <v>-100000</v>
      </c>
      <c r="F26" s="69">
        <v>-100000</v>
      </c>
      <c r="G26" s="69"/>
      <c r="H26" s="69"/>
      <c r="I26" s="69"/>
    </row>
    <row r="27" spans="1:10" ht="12.75" customHeight="1" x14ac:dyDescent="0.2">
      <c r="A27" s="82" t="s">
        <v>287</v>
      </c>
      <c r="B27" s="59"/>
      <c r="C27" s="219">
        <v>200</v>
      </c>
      <c r="D27" s="73"/>
      <c r="E27" s="73">
        <v>1194161</v>
      </c>
      <c r="F27" s="73">
        <v>-2426803</v>
      </c>
      <c r="G27" s="73">
        <v>4178904</v>
      </c>
      <c r="H27" s="73"/>
      <c r="I27" s="73"/>
    </row>
    <row r="28" spans="1:10" ht="12.75" customHeight="1" x14ac:dyDescent="0.2">
      <c r="A28" s="132" t="s">
        <v>288</v>
      </c>
      <c r="B28" s="146"/>
      <c r="C28" s="242">
        <v>200</v>
      </c>
      <c r="D28" s="69"/>
      <c r="E28" s="69">
        <f>1239648-125180</f>
        <v>1114468</v>
      </c>
      <c r="F28" s="69">
        <f>1266422-1239648</f>
        <v>26774</v>
      </c>
      <c r="G28" s="69">
        <f>1293999-1266422</f>
        <v>27577</v>
      </c>
      <c r="H28" s="69"/>
      <c r="I28" s="69"/>
    </row>
    <row r="29" spans="1:10" ht="12.75" customHeight="1" x14ac:dyDescent="0.2">
      <c r="A29" s="779" t="s">
        <v>354</v>
      </c>
      <c r="B29" s="59"/>
      <c r="C29" s="219" t="s">
        <v>167</v>
      </c>
      <c r="D29" s="73"/>
      <c r="E29" s="73">
        <f>-3276252-2</f>
        <v>-3276254</v>
      </c>
      <c r="F29" s="73">
        <v>-1638126</v>
      </c>
      <c r="G29" s="82"/>
      <c r="H29" s="82"/>
      <c r="I29" s="82"/>
    </row>
    <row r="30" spans="1:10" ht="12.75" customHeight="1" x14ac:dyDescent="0.2">
      <c r="A30" s="173" t="s">
        <v>309</v>
      </c>
      <c r="B30" s="146"/>
      <c r="C30" s="242"/>
      <c r="D30" s="69"/>
      <c r="E30" s="69"/>
      <c r="F30" s="69"/>
      <c r="G30" s="69"/>
      <c r="H30" s="69"/>
      <c r="I30" s="69"/>
    </row>
    <row r="31" spans="1:10" ht="12.75" customHeight="1" x14ac:dyDescent="0.2">
      <c r="A31" s="627" t="s">
        <v>355</v>
      </c>
      <c r="B31" s="59"/>
      <c r="C31" s="623">
        <v>200</v>
      </c>
      <c r="D31" s="73"/>
      <c r="E31" s="626">
        <f>2280000-150000</f>
        <v>2130000</v>
      </c>
      <c r="F31" s="73">
        <v>-2280000</v>
      </c>
      <c r="G31" s="73"/>
      <c r="H31" s="73"/>
      <c r="I31" s="73"/>
    </row>
    <row r="32" spans="1:10" ht="12.75" customHeight="1" x14ac:dyDescent="0.2">
      <c r="A32" s="173"/>
      <c r="B32" s="146"/>
      <c r="C32" s="624" t="s">
        <v>167</v>
      </c>
      <c r="D32" s="69"/>
      <c r="E32" s="625">
        <f>2484380--4914380</f>
        <v>7398760</v>
      </c>
      <c r="F32" s="625">
        <v>-2484380</v>
      </c>
      <c r="G32" s="625"/>
      <c r="H32" s="69"/>
      <c r="I32" s="69"/>
    </row>
    <row r="33" spans="1:9" ht="12.75" customHeight="1" x14ac:dyDescent="0.2">
      <c r="A33" s="169" t="s">
        <v>358</v>
      </c>
      <c r="B33" s="207"/>
      <c r="C33" s="59"/>
      <c r="D33" s="59"/>
      <c r="E33" s="59"/>
      <c r="F33" s="73"/>
      <c r="G33" s="73"/>
      <c r="H33" s="73"/>
      <c r="I33" s="73"/>
    </row>
    <row r="34" spans="1:9" ht="12.75" customHeight="1" x14ac:dyDescent="0.2">
      <c r="A34" s="775" t="s">
        <v>400</v>
      </c>
      <c r="B34" s="146"/>
      <c r="C34" s="776">
        <v>200</v>
      </c>
      <c r="D34" s="144"/>
      <c r="E34" s="144">
        <v>-600000</v>
      </c>
      <c r="F34" s="69"/>
      <c r="G34" s="69"/>
      <c r="H34" s="69"/>
      <c r="I34" s="69"/>
    </row>
    <row r="35" spans="1:9" ht="12.75" customHeight="1" x14ac:dyDescent="0.2">
      <c r="A35" s="347" t="s">
        <v>404</v>
      </c>
      <c r="B35" s="207"/>
      <c r="C35" s="59"/>
      <c r="D35" s="59"/>
      <c r="E35" s="59"/>
      <c r="F35" s="104"/>
      <c r="G35" s="104"/>
      <c r="H35" s="104"/>
      <c r="I35" s="104"/>
    </row>
    <row r="36" spans="1:9" ht="12.75" customHeight="1" x14ac:dyDescent="0.2">
      <c r="A36" s="777" t="s">
        <v>405</v>
      </c>
      <c r="B36" s="189"/>
      <c r="C36" s="681">
        <v>200</v>
      </c>
      <c r="D36" s="138"/>
      <c r="E36" s="138">
        <v>-300000</v>
      </c>
      <c r="F36" s="138"/>
      <c r="G36" s="138"/>
      <c r="H36" s="138"/>
      <c r="I36" s="138"/>
    </row>
    <row r="37" spans="1:9" ht="12.75" customHeight="1" x14ac:dyDescent="0.2">
      <c r="A37" s="833" t="s">
        <v>494</v>
      </c>
      <c r="B37" s="834"/>
      <c r="C37" s="241"/>
      <c r="D37" s="835"/>
      <c r="E37" s="73"/>
      <c r="F37" s="73"/>
      <c r="G37" s="73"/>
      <c r="H37" s="73"/>
      <c r="I37" s="73"/>
    </row>
    <row r="38" spans="1:9" ht="12.75" customHeight="1" x14ac:dyDescent="0.2">
      <c r="A38" s="132" t="s">
        <v>502</v>
      </c>
      <c r="B38" s="146"/>
      <c r="C38" s="242">
        <v>100</v>
      </c>
      <c r="D38" s="69">
        <v>359219</v>
      </c>
      <c r="E38" s="69"/>
      <c r="F38" s="69"/>
      <c r="G38" s="69"/>
      <c r="H38" s="69"/>
      <c r="I38" s="69"/>
    </row>
    <row r="39" spans="1:9" ht="12.75" customHeight="1" x14ac:dyDescent="0.2">
      <c r="A39" s="779" t="s">
        <v>560</v>
      </c>
      <c r="B39" s="59"/>
      <c r="C39" s="219">
        <v>200</v>
      </c>
      <c r="D39" s="73">
        <v>170000</v>
      </c>
      <c r="E39" s="73">
        <v>855000</v>
      </c>
      <c r="F39" s="73">
        <v>102500</v>
      </c>
      <c r="G39" s="73">
        <v>112750</v>
      </c>
      <c r="H39" s="73">
        <v>124025</v>
      </c>
      <c r="I39" s="73"/>
    </row>
    <row r="40" spans="1:9" ht="12.75" customHeight="1" x14ac:dyDescent="0.2">
      <c r="A40" s="132" t="s">
        <v>561</v>
      </c>
      <c r="B40" s="146"/>
      <c r="C40" s="242">
        <v>200</v>
      </c>
      <c r="D40" s="69">
        <v>325000</v>
      </c>
      <c r="E40" s="69"/>
      <c r="F40" s="69"/>
      <c r="G40" s="69"/>
      <c r="H40" s="69"/>
      <c r="I40" s="69"/>
    </row>
    <row r="41" spans="1:9" ht="12.75" customHeight="1" x14ac:dyDescent="0.2">
      <c r="A41" s="779" t="s">
        <v>562</v>
      </c>
      <c r="B41" s="59"/>
      <c r="C41" s="219">
        <v>200</v>
      </c>
      <c r="D41" s="73">
        <v>90000</v>
      </c>
      <c r="E41" s="73"/>
      <c r="F41" s="73"/>
      <c r="G41" s="73"/>
      <c r="H41" s="73"/>
      <c r="I41" s="73"/>
    </row>
    <row r="42" spans="1:9" ht="12.75" customHeight="1" x14ac:dyDescent="0.2">
      <c r="A42" s="132" t="s">
        <v>525</v>
      </c>
      <c r="B42" s="146"/>
      <c r="C42" s="242">
        <v>200</v>
      </c>
      <c r="D42" s="69">
        <v>300000</v>
      </c>
      <c r="E42" s="69">
        <v>-300000</v>
      </c>
      <c r="F42" s="69"/>
      <c r="G42" s="69"/>
      <c r="H42" s="69"/>
      <c r="I42" s="69"/>
    </row>
    <row r="43" spans="1:9" ht="12.75" customHeight="1" x14ac:dyDescent="0.2">
      <c r="A43" s="779" t="s">
        <v>526</v>
      </c>
      <c r="B43" s="59"/>
      <c r="C43" s="219">
        <v>200</v>
      </c>
      <c r="D43" s="73">
        <v>275000</v>
      </c>
      <c r="E43" s="73">
        <v>-275000</v>
      </c>
      <c r="F43" s="73"/>
      <c r="G43" s="73"/>
      <c r="H43" s="73"/>
      <c r="I43" s="73"/>
    </row>
    <row r="44" spans="1:9" ht="12.75" customHeight="1" x14ac:dyDescent="0.2">
      <c r="A44" s="132" t="s">
        <v>563</v>
      </c>
      <c r="B44" s="146"/>
      <c r="C44" s="242">
        <v>200</v>
      </c>
      <c r="D44" s="69">
        <v>200000</v>
      </c>
      <c r="E44" s="69"/>
      <c r="F44" s="69"/>
      <c r="G44" s="69"/>
      <c r="H44" s="69"/>
      <c r="I44" s="69"/>
    </row>
    <row r="45" spans="1:9" ht="12.75" customHeight="1" x14ac:dyDescent="0.2">
      <c r="A45" s="779" t="s">
        <v>564</v>
      </c>
      <c r="B45" s="59"/>
      <c r="C45" s="219">
        <v>200</v>
      </c>
      <c r="D45" s="73">
        <v>1373000</v>
      </c>
      <c r="E45" s="73">
        <v>-226000</v>
      </c>
      <c r="F45" s="73"/>
      <c r="G45" s="73"/>
      <c r="H45" s="73"/>
      <c r="I45" s="73"/>
    </row>
    <row r="46" spans="1:9" ht="12.75" customHeight="1" x14ac:dyDescent="0.2">
      <c r="A46" s="132" t="s">
        <v>527</v>
      </c>
      <c r="B46" s="146"/>
      <c r="C46" s="242">
        <v>200</v>
      </c>
      <c r="D46" s="69">
        <v>200000</v>
      </c>
      <c r="E46" s="69">
        <v>-200000</v>
      </c>
      <c r="F46" s="69"/>
      <c r="G46" s="69"/>
      <c r="H46" s="69"/>
      <c r="I46" s="69"/>
    </row>
    <row r="47" spans="1:9" ht="12.75" customHeight="1" x14ac:dyDescent="0.2">
      <c r="A47" s="779" t="s">
        <v>548</v>
      </c>
      <c r="B47" s="59"/>
      <c r="C47" s="219">
        <v>200</v>
      </c>
      <c r="D47" s="73">
        <v>439000</v>
      </c>
      <c r="E47" s="73"/>
      <c r="F47" s="73"/>
      <c r="G47" s="73"/>
      <c r="H47" s="73"/>
      <c r="I47" s="73"/>
    </row>
    <row r="48" spans="1:9" ht="12.75" customHeight="1" x14ac:dyDescent="0.2">
      <c r="A48" s="132" t="s">
        <v>528</v>
      </c>
      <c r="B48" s="146"/>
      <c r="C48" s="242">
        <v>200</v>
      </c>
      <c r="D48" s="69">
        <v>70000</v>
      </c>
      <c r="E48" s="69">
        <v>-70000</v>
      </c>
      <c r="F48" s="69"/>
      <c r="G48" s="69"/>
      <c r="H48" s="69"/>
      <c r="I48" s="69"/>
    </row>
    <row r="49" spans="1:9" ht="12.75" customHeight="1" x14ac:dyDescent="0.2">
      <c r="A49" s="779" t="s">
        <v>529</v>
      </c>
      <c r="B49" s="59"/>
      <c r="C49" s="219">
        <v>200</v>
      </c>
      <c r="D49" s="73">
        <v>950000</v>
      </c>
      <c r="E49" s="73">
        <v>-950000</v>
      </c>
      <c r="F49" s="73"/>
      <c r="G49" s="73"/>
      <c r="H49" s="73"/>
      <c r="I49" s="73"/>
    </row>
    <row r="50" spans="1:9" ht="12.75" customHeight="1" x14ac:dyDescent="0.2">
      <c r="A50" s="132" t="s">
        <v>565</v>
      </c>
      <c r="B50" s="146"/>
      <c r="C50" s="242">
        <v>200</v>
      </c>
      <c r="D50" s="69">
        <v>20000</v>
      </c>
      <c r="E50" s="69">
        <v>-20000</v>
      </c>
      <c r="F50" s="69"/>
      <c r="G50" s="69"/>
      <c r="H50" s="69"/>
      <c r="I50" s="69"/>
    </row>
    <row r="51" spans="1:9" x14ac:dyDescent="0.2">
      <c r="A51" s="779" t="s">
        <v>822</v>
      </c>
      <c r="B51" s="59"/>
      <c r="C51" s="219">
        <v>100</v>
      </c>
      <c r="D51" s="73">
        <v>14421</v>
      </c>
      <c r="E51" s="73">
        <v>86528</v>
      </c>
      <c r="F51" s="73"/>
      <c r="G51" s="73"/>
      <c r="H51" s="73"/>
      <c r="I51" s="73"/>
    </row>
    <row r="52" spans="1:9" x14ac:dyDescent="0.2">
      <c r="A52" s="132" t="s">
        <v>904</v>
      </c>
      <c r="B52" s="146"/>
      <c r="C52" s="242">
        <v>100</v>
      </c>
      <c r="D52" s="69">
        <v>34100</v>
      </c>
      <c r="E52" s="69">
        <v>-34100</v>
      </c>
      <c r="F52" s="69"/>
      <c r="G52" s="69"/>
      <c r="H52" s="69"/>
      <c r="I52" s="69"/>
    </row>
    <row r="53" spans="1:9" x14ac:dyDescent="0.2">
      <c r="A53" s="779" t="s">
        <v>832</v>
      </c>
      <c r="B53" s="59"/>
      <c r="C53" s="219">
        <v>100</v>
      </c>
      <c r="D53" s="73">
        <v>1082</v>
      </c>
      <c r="E53" s="73">
        <v>6492</v>
      </c>
      <c r="F53" s="73"/>
      <c r="G53" s="73"/>
      <c r="H53" s="73"/>
      <c r="I53" s="73"/>
    </row>
    <row r="54" spans="1:9" x14ac:dyDescent="0.2">
      <c r="A54" s="888" t="s">
        <v>931</v>
      </c>
      <c r="B54" s="146"/>
      <c r="C54" s="242">
        <v>100</v>
      </c>
      <c r="D54" s="69">
        <v>3715</v>
      </c>
      <c r="E54" s="69">
        <v>18572</v>
      </c>
      <c r="F54" s="69"/>
      <c r="G54" s="69"/>
      <c r="H54" s="69"/>
      <c r="I54" s="69"/>
    </row>
    <row r="55" spans="1:9" x14ac:dyDescent="0.2">
      <c r="A55" s="896" t="s">
        <v>932</v>
      </c>
      <c r="B55" s="59"/>
      <c r="C55" s="219">
        <v>100</v>
      </c>
      <c r="D55" s="73">
        <v>11750</v>
      </c>
      <c r="E55" s="73">
        <v>-11750</v>
      </c>
      <c r="F55" s="73"/>
      <c r="G55" s="73"/>
      <c r="H55" s="73"/>
      <c r="I55" s="73"/>
    </row>
    <row r="56" spans="1:9" x14ac:dyDescent="0.2">
      <c r="A56" s="822" t="s">
        <v>598</v>
      </c>
      <c r="B56" s="146"/>
      <c r="C56" s="242"/>
      <c r="D56" s="69"/>
      <c r="E56" s="69"/>
      <c r="F56" s="69"/>
      <c r="G56" s="69"/>
      <c r="H56" s="69"/>
      <c r="I56" s="69"/>
    </row>
    <row r="57" spans="1:9" ht="12.75" customHeight="1" x14ac:dyDescent="0.2">
      <c r="A57" s="779" t="s">
        <v>714</v>
      </c>
      <c r="B57" s="59"/>
      <c r="C57" s="219">
        <v>100</v>
      </c>
      <c r="D57" s="73"/>
      <c r="E57" s="73">
        <v>2123995</v>
      </c>
      <c r="F57" s="73">
        <f>8579014-E57</f>
        <v>6455019</v>
      </c>
      <c r="G57" s="73">
        <f>8252494-F57-E57</f>
        <v>-326520</v>
      </c>
      <c r="H57" s="73">
        <f>7527892-G57-F57-E57</f>
        <v>-724602</v>
      </c>
      <c r="I57" s="73">
        <f>7566873-H57-G57-F57-E57</f>
        <v>38981</v>
      </c>
    </row>
    <row r="58" spans="1:9" ht="12.75" customHeight="1" x14ac:dyDescent="0.2">
      <c r="A58" s="132" t="s">
        <v>690</v>
      </c>
      <c r="B58" s="146"/>
      <c r="C58" s="242">
        <v>100</v>
      </c>
      <c r="D58" s="69"/>
      <c r="E58" s="69">
        <v>85000</v>
      </c>
      <c r="F58" s="69"/>
      <c r="G58" s="69"/>
      <c r="H58" s="69"/>
      <c r="I58" s="69"/>
    </row>
    <row r="59" spans="1:9" x14ac:dyDescent="0.2">
      <c r="A59" s="779" t="s">
        <v>693</v>
      </c>
      <c r="B59" s="59"/>
      <c r="C59" s="219">
        <v>200</v>
      </c>
      <c r="D59" s="73"/>
      <c r="E59" s="73">
        <v>588000</v>
      </c>
      <c r="F59" s="73">
        <v>612000</v>
      </c>
      <c r="G59" s="73">
        <v>-1200000</v>
      </c>
      <c r="H59" s="73"/>
      <c r="I59" s="73"/>
    </row>
    <row r="60" spans="1:9" x14ac:dyDescent="0.2">
      <c r="A60" s="132"/>
      <c r="B60" s="146"/>
      <c r="C60" s="242" t="s">
        <v>167</v>
      </c>
      <c r="D60" s="69"/>
      <c r="E60" s="69">
        <v>-1788000</v>
      </c>
      <c r="F60" s="69">
        <v>1788000</v>
      </c>
      <c r="G60" s="69"/>
      <c r="H60" s="69"/>
      <c r="I60" s="69"/>
    </row>
    <row r="61" spans="1:9" x14ac:dyDescent="0.2">
      <c r="A61" s="831" t="s">
        <v>746</v>
      </c>
      <c r="B61" s="59"/>
      <c r="C61" s="219"/>
      <c r="D61" s="73"/>
      <c r="E61" s="73"/>
      <c r="F61" s="73"/>
      <c r="G61" s="82"/>
      <c r="H61" s="82"/>
      <c r="I61" s="82"/>
    </row>
    <row r="62" spans="1:9" x14ac:dyDescent="0.2">
      <c r="A62" s="132" t="s">
        <v>857</v>
      </c>
      <c r="B62" s="146"/>
      <c r="C62" s="242">
        <v>100</v>
      </c>
      <c r="D62" s="69"/>
      <c r="E62" s="69">
        <v>-2026233</v>
      </c>
      <c r="F62" s="69"/>
      <c r="G62" s="69">
        <v>2026233</v>
      </c>
      <c r="H62" s="69"/>
      <c r="I62" s="69"/>
    </row>
    <row r="63" spans="1:9" x14ac:dyDescent="0.2">
      <c r="A63" s="779" t="s">
        <v>760</v>
      </c>
      <c r="B63" s="59"/>
      <c r="C63" s="219">
        <v>200</v>
      </c>
      <c r="D63" s="73"/>
      <c r="E63" s="73">
        <v>-3659376</v>
      </c>
      <c r="F63" s="73"/>
      <c r="G63" s="73">
        <v>3659376</v>
      </c>
      <c r="H63" s="73"/>
      <c r="I63" s="73"/>
    </row>
    <row r="64" spans="1:9" x14ac:dyDescent="0.2">
      <c r="A64" s="132" t="s">
        <v>761</v>
      </c>
      <c r="B64" s="146"/>
      <c r="C64" s="242" t="s">
        <v>167</v>
      </c>
      <c r="D64" s="69"/>
      <c r="E64" s="69">
        <v>-163097</v>
      </c>
      <c r="F64" s="69"/>
      <c r="G64" s="69">
        <v>163097</v>
      </c>
      <c r="H64" s="69"/>
      <c r="I64" s="69"/>
    </row>
    <row r="65" spans="1:9" x14ac:dyDescent="0.2">
      <c r="A65" s="779" t="s">
        <v>762</v>
      </c>
      <c r="B65" s="59"/>
      <c r="C65" s="219" t="s">
        <v>167</v>
      </c>
      <c r="D65" s="73"/>
      <c r="E65" s="73">
        <v>-3209198</v>
      </c>
      <c r="F65" s="73"/>
      <c r="G65" s="73">
        <v>3209198</v>
      </c>
      <c r="H65" s="73"/>
      <c r="I65" s="73"/>
    </row>
    <row r="66" spans="1:9" x14ac:dyDescent="0.2">
      <c r="A66" s="132" t="s">
        <v>909</v>
      </c>
      <c r="B66" s="146"/>
      <c r="C66" s="242">
        <v>100</v>
      </c>
      <c r="D66" s="69"/>
      <c r="E66" s="69">
        <v>-312792</v>
      </c>
      <c r="F66" s="69">
        <v>312792</v>
      </c>
      <c r="G66" s="69"/>
      <c r="H66" s="69"/>
      <c r="I66" s="69"/>
    </row>
    <row r="67" spans="1:9" x14ac:dyDescent="0.2">
      <c r="A67" s="831" t="s">
        <v>913</v>
      </c>
      <c r="B67" s="59"/>
      <c r="C67" s="219"/>
      <c r="D67" s="73"/>
      <c r="E67" s="73"/>
      <c r="F67" s="73"/>
      <c r="G67" s="73"/>
      <c r="H67" s="73"/>
      <c r="I67" s="73"/>
    </row>
    <row r="68" spans="1:9" x14ac:dyDescent="0.2">
      <c r="A68" s="888" t="s">
        <v>999</v>
      </c>
      <c r="B68" s="146"/>
      <c r="C68" s="242">
        <v>100</v>
      </c>
      <c r="D68" s="69"/>
      <c r="E68" s="69"/>
      <c r="F68" s="69"/>
      <c r="G68" s="69">
        <v>-2026233</v>
      </c>
      <c r="H68" s="69">
        <v>2026233</v>
      </c>
      <c r="I68" s="69"/>
    </row>
    <row r="69" spans="1:9" x14ac:dyDescent="0.2">
      <c r="A69" s="896"/>
      <c r="B69" s="59"/>
      <c r="C69" s="219">
        <v>200</v>
      </c>
      <c r="D69" s="73"/>
      <c r="E69" s="73"/>
      <c r="F69" s="73"/>
      <c r="G69" s="73">
        <v>-3659376</v>
      </c>
      <c r="H69" s="73">
        <v>3659376</v>
      </c>
      <c r="I69" s="73"/>
    </row>
    <row r="70" spans="1:9" x14ac:dyDescent="0.2">
      <c r="A70" s="888"/>
      <c r="B70" s="146"/>
      <c r="C70" s="242" t="s">
        <v>167</v>
      </c>
      <c r="D70" s="69"/>
      <c r="E70" s="69"/>
      <c r="F70" s="69"/>
      <c r="G70" s="69">
        <v>-163097</v>
      </c>
      <c r="H70" s="69">
        <v>163097</v>
      </c>
      <c r="I70" s="69"/>
    </row>
    <row r="71" spans="1:9" x14ac:dyDescent="0.2">
      <c r="A71" s="779"/>
      <c r="B71" s="59"/>
      <c r="C71" s="219" t="s">
        <v>167</v>
      </c>
      <c r="D71" s="73"/>
      <c r="E71" s="73"/>
      <c r="F71" s="73"/>
      <c r="G71" s="73">
        <v>-3209198</v>
      </c>
      <c r="H71" s="73">
        <v>3209198</v>
      </c>
      <c r="I71" s="73"/>
    </row>
    <row r="72" spans="1:9" x14ac:dyDescent="0.2">
      <c r="A72" s="132"/>
      <c r="B72" s="146"/>
      <c r="C72" s="242"/>
      <c r="D72" s="69"/>
      <c r="E72" s="69"/>
      <c r="F72" s="69"/>
      <c r="G72" s="69"/>
      <c r="H72" s="69"/>
      <c r="I72" s="69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7">
    <tabColor theme="3"/>
    <pageSetUpPr fitToPage="1"/>
  </sheetPr>
  <dimension ref="A1:K52"/>
  <sheetViews>
    <sheetView topLeftCell="A5" zoomScaleNormal="100" zoomScaleSheetLayoutView="90" workbookViewId="0">
      <selection activeCell="E11" sqref="E11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 t="s">
        <v>69</v>
      </c>
      <c r="C6" s="963" t="s">
        <v>551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1028676</v>
      </c>
      <c r="C9" s="34">
        <v>1416547</v>
      </c>
      <c r="D9" s="227">
        <f>+C9</f>
        <v>1416547</v>
      </c>
      <c r="E9" s="115">
        <f>+D9+E24</f>
        <v>1341547</v>
      </c>
      <c r="F9" s="411">
        <f>+E9</f>
        <v>1341547</v>
      </c>
      <c r="G9" s="34">
        <f t="shared" ref="E9:I15" si="0">+F9</f>
        <v>1341547</v>
      </c>
      <c r="H9" s="227">
        <f t="shared" si="0"/>
        <v>1341547</v>
      </c>
      <c r="I9" s="51">
        <f t="shared" si="0"/>
        <v>1341547</v>
      </c>
      <c r="K9" s="7">
        <v>100</v>
      </c>
    </row>
    <row r="10" spans="1:11" x14ac:dyDescent="0.2">
      <c r="A10" s="10" t="s">
        <v>5</v>
      </c>
      <c r="B10" s="49">
        <f>5751069+4627417</f>
        <v>10378486</v>
      </c>
      <c r="C10" s="36">
        <v>26280561</v>
      </c>
      <c r="D10" s="230">
        <f>+C10+D31</f>
        <v>26280561</v>
      </c>
      <c r="E10" s="550">
        <f>+D10+E25+E22+E27+E31</f>
        <v>29159009</v>
      </c>
      <c r="F10" s="548">
        <f>+E10+F22+F31</f>
        <v>15237321</v>
      </c>
      <c r="G10" s="36">
        <f>+F10</f>
        <v>15237321</v>
      </c>
      <c r="H10" s="230">
        <f>+G10</f>
        <v>15237321</v>
      </c>
      <c r="I10" s="37">
        <f>+H10</f>
        <v>15237321</v>
      </c>
      <c r="K10" s="7">
        <v>200</v>
      </c>
    </row>
    <row r="11" spans="1:11" x14ac:dyDescent="0.2">
      <c r="A11" s="9" t="s">
        <v>6</v>
      </c>
      <c r="B11" s="34">
        <f>342831+1145470</f>
        <v>1488301</v>
      </c>
      <c r="C11" s="34">
        <v>13537978</v>
      </c>
      <c r="D11" s="227">
        <f>+C11+D30</f>
        <v>13537978</v>
      </c>
      <c r="E11" s="115">
        <f>+D11+E26+E28+E32</f>
        <v>23064399</v>
      </c>
      <c r="F11" s="411">
        <f>+E11+F32</f>
        <v>8064399</v>
      </c>
      <c r="G11" s="34">
        <f>+F11</f>
        <v>8064399</v>
      </c>
      <c r="H11" s="227">
        <f t="shared" si="0"/>
        <v>8064399</v>
      </c>
      <c r="I11" s="35">
        <f t="shared" si="0"/>
        <v>8064399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12895463</v>
      </c>
      <c r="C16" s="40">
        <f t="shared" ref="C16:I16" si="2">SUM(C9:C15)</f>
        <v>41235086</v>
      </c>
      <c r="D16" s="40">
        <f t="shared" si="2"/>
        <v>41235086</v>
      </c>
      <c r="E16" s="573">
        <f t="shared" si="2"/>
        <v>53564955</v>
      </c>
      <c r="F16" s="40">
        <f t="shared" si="2"/>
        <v>24643267</v>
      </c>
      <c r="G16" s="40">
        <f t="shared" si="2"/>
        <v>24643267</v>
      </c>
      <c r="H16" s="40">
        <f t="shared" si="2"/>
        <v>24643267</v>
      </c>
      <c r="I16" s="40">
        <f t="shared" si="2"/>
        <v>24643267</v>
      </c>
    </row>
    <row r="18" spans="1:10" x14ac:dyDescent="0.2">
      <c r="E18" s="415">
        <f>+E16-D16</f>
        <v>12329869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331" t="s">
        <v>251</v>
      </c>
      <c r="B21" s="85"/>
      <c r="C21" s="75"/>
      <c r="D21" s="69"/>
      <c r="E21" s="69"/>
      <c r="F21" s="69"/>
      <c r="G21" s="69"/>
      <c r="H21" s="70"/>
      <c r="I21" s="70"/>
      <c r="J21" s="17"/>
    </row>
    <row r="22" spans="1:10" ht="13" customHeight="1" x14ac:dyDescent="0.2">
      <c r="A22" s="82" t="s">
        <v>254</v>
      </c>
      <c r="B22" s="82"/>
      <c r="C22" s="82">
        <v>200</v>
      </c>
      <c r="D22" s="73"/>
      <c r="E22" s="73">
        <v>-1503171</v>
      </c>
      <c r="F22" s="73">
        <v>1078312</v>
      </c>
      <c r="G22" s="73"/>
      <c r="H22" s="74"/>
      <c r="I22" s="74"/>
      <c r="J22" s="17"/>
    </row>
    <row r="23" spans="1:10" ht="13" customHeight="1" x14ac:dyDescent="0.2">
      <c r="A23" s="173" t="s">
        <v>309</v>
      </c>
      <c r="B23" s="85"/>
      <c r="C23" s="75"/>
      <c r="D23" s="146"/>
      <c r="E23" s="70"/>
      <c r="F23" s="70"/>
      <c r="G23" s="70"/>
      <c r="H23" s="70"/>
      <c r="I23" s="70"/>
      <c r="J23" s="17"/>
    </row>
    <row r="24" spans="1:10" ht="13" customHeight="1" x14ac:dyDescent="0.2">
      <c r="A24" s="306" t="s">
        <v>351</v>
      </c>
      <c r="B24" s="79"/>
      <c r="C24" s="76">
        <v>100</v>
      </c>
      <c r="D24" s="781"/>
      <c r="E24" s="74">
        <v>-75000</v>
      </c>
      <c r="F24" s="74"/>
      <c r="G24" s="74"/>
      <c r="H24" s="74"/>
      <c r="I24" s="74"/>
      <c r="J24" s="17"/>
    </row>
    <row r="25" spans="1:10" ht="13" customHeight="1" x14ac:dyDescent="0.2">
      <c r="A25" s="622" t="s">
        <v>352</v>
      </c>
      <c r="B25" s="146"/>
      <c r="C25" s="242">
        <v>200</v>
      </c>
      <c r="D25" s="69"/>
      <c r="E25" s="145">
        <v>-10000000</v>
      </c>
      <c r="F25" s="145"/>
      <c r="G25" s="145"/>
      <c r="H25" s="145"/>
      <c r="I25" s="145"/>
      <c r="J25" s="17"/>
    </row>
    <row r="26" spans="1:10" ht="13" customHeight="1" x14ac:dyDescent="0.2">
      <c r="A26" s="306" t="s">
        <v>352</v>
      </c>
      <c r="B26" s="79"/>
      <c r="C26" s="782" t="s">
        <v>167</v>
      </c>
      <c r="D26" s="781"/>
      <c r="E26" s="74">
        <v>-1550658</v>
      </c>
      <c r="F26" s="74"/>
      <c r="G26" s="74"/>
      <c r="H26" s="74"/>
      <c r="I26" s="74"/>
      <c r="J26" s="17"/>
    </row>
    <row r="27" spans="1:10" ht="13" customHeight="1" x14ac:dyDescent="0.2">
      <c r="A27" s="622" t="s">
        <v>353</v>
      </c>
      <c r="B27" s="146"/>
      <c r="C27" s="242">
        <v>200</v>
      </c>
      <c r="D27" s="69"/>
      <c r="E27" s="145">
        <v>-618381</v>
      </c>
      <c r="F27" s="145"/>
      <c r="G27" s="145"/>
      <c r="H27" s="145"/>
      <c r="I27" s="145"/>
      <c r="J27" s="17"/>
    </row>
    <row r="28" spans="1:10" ht="13" customHeight="1" x14ac:dyDescent="0.2">
      <c r="A28" s="400"/>
      <c r="B28" s="90"/>
      <c r="C28" s="783" t="s">
        <v>167</v>
      </c>
      <c r="D28" s="784"/>
      <c r="E28" s="92">
        <v>-3922921</v>
      </c>
      <c r="F28" s="92"/>
      <c r="G28" s="92"/>
      <c r="H28" s="92"/>
      <c r="I28" s="92"/>
      <c r="J28" s="17"/>
    </row>
    <row r="29" spans="1:10" ht="13" customHeight="1" x14ac:dyDescent="0.2">
      <c r="A29" s="402" t="s">
        <v>450</v>
      </c>
      <c r="B29" s="85"/>
      <c r="C29" s="68"/>
      <c r="D29" s="69"/>
      <c r="E29" s="69"/>
      <c r="F29" s="69"/>
      <c r="G29" s="69"/>
      <c r="H29" s="70"/>
      <c r="I29" s="70"/>
      <c r="J29" s="17"/>
    </row>
    <row r="30" spans="1:10" ht="13" customHeight="1" x14ac:dyDescent="0.2">
      <c r="A30" s="881" t="s">
        <v>748</v>
      </c>
      <c r="B30" s="79"/>
      <c r="C30" s="849"/>
      <c r="D30" s="74"/>
      <c r="E30" s="74"/>
      <c r="F30" s="74"/>
      <c r="G30" s="74"/>
      <c r="H30" s="74"/>
      <c r="I30" s="74"/>
      <c r="J30" s="17"/>
    </row>
    <row r="31" spans="1:10" ht="13" customHeight="1" x14ac:dyDescent="0.2">
      <c r="A31" s="888" t="s">
        <v>764</v>
      </c>
      <c r="B31" s="146"/>
      <c r="C31" s="242">
        <v>200</v>
      </c>
      <c r="D31" s="69"/>
      <c r="E31" s="145">
        <v>15000000</v>
      </c>
      <c r="F31" s="145">
        <v>-15000000</v>
      </c>
      <c r="G31" s="145"/>
      <c r="H31" s="145"/>
      <c r="I31" s="145"/>
      <c r="J31" s="17"/>
    </row>
    <row r="32" spans="1:10" ht="13" customHeight="1" x14ac:dyDescent="0.2">
      <c r="A32" s="78"/>
      <c r="B32" s="79"/>
      <c r="C32" s="891" t="s">
        <v>167</v>
      </c>
      <c r="D32" s="73"/>
      <c r="E32" s="73">
        <v>15000000</v>
      </c>
      <c r="F32" s="73">
        <v>-15000000</v>
      </c>
      <c r="G32" s="73"/>
      <c r="H32" s="74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78"/>
      <c r="B34" s="79"/>
      <c r="C34" s="72"/>
      <c r="D34" s="73"/>
      <c r="E34" s="73"/>
      <c r="F34" s="73"/>
      <c r="G34" s="73"/>
      <c r="H34" s="74"/>
      <c r="I34" s="74"/>
      <c r="J34" s="17"/>
    </row>
    <row r="35" spans="1:10" ht="13" customHeight="1" x14ac:dyDescent="0.2">
      <c r="A35" s="78"/>
      <c r="B35" s="79"/>
      <c r="C35" s="72"/>
      <c r="D35" s="73"/>
      <c r="E35" s="73"/>
      <c r="F35" s="73"/>
      <c r="G35" s="73"/>
      <c r="H35" s="74"/>
      <c r="I35" s="74"/>
      <c r="J35" s="17"/>
    </row>
    <row r="36" spans="1:10" ht="13" customHeight="1" x14ac:dyDescent="0.2">
      <c r="A36" s="78"/>
      <c r="B36" s="79"/>
      <c r="C36" s="72"/>
      <c r="D36" s="73"/>
      <c r="E36" s="73"/>
      <c r="F36" s="73"/>
      <c r="G36" s="73"/>
      <c r="H36" s="74"/>
      <c r="I36" s="74"/>
      <c r="J36" s="17"/>
    </row>
    <row r="37" spans="1:10" ht="12.75" customHeight="1" x14ac:dyDescent="0.2">
      <c r="A37" s="78"/>
      <c r="B37" s="79"/>
      <c r="C37" s="72"/>
      <c r="D37" s="73"/>
      <c r="E37" s="73"/>
      <c r="F37" s="73"/>
      <c r="G37" s="73"/>
      <c r="H37" s="74"/>
      <c r="I37" s="74"/>
      <c r="J37" s="17"/>
    </row>
    <row r="38" spans="1:10" ht="12.75" customHeight="1" x14ac:dyDescent="0.2">
      <c r="A38" s="78"/>
      <c r="B38" s="79"/>
      <c r="C38" s="72"/>
      <c r="D38" s="73"/>
      <c r="E38" s="73"/>
      <c r="F38" s="73"/>
      <c r="G38" s="73"/>
      <c r="H38" s="74"/>
      <c r="I38" s="74"/>
      <c r="J38" s="17"/>
    </row>
    <row r="39" spans="1:10" ht="12.75" customHeight="1" x14ac:dyDescent="0.2">
      <c r="A39" s="78"/>
      <c r="B39" s="79"/>
      <c r="C39" s="72"/>
      <c r="D39" s="73"/>
      <c r="E39" s="73"/>
      <c r="F39" s="73"/>
      <c r="G39" s="73"/>
      <c r="H39" s="74"/>
      <c r="I39" s="74"/>
      <c r="J39" s="17"/>
    </row>
    <row r="40" spans="1:10" ht="12.75" customHeight="1" x14ac:dyDescent="0.2">
      <c r="A40" s="78"/>
      <c r="B40" s="79"/>
      <c r="C40" s="72"/>
      <c r="D40" s="73"/>
      <c r="E40" s="73"/>
      <c r="F40" s="73"/>
      <c r="G40" s="73"/>
      <c r="H40" s="74"/>
      <c r="I40" s="74"/>
      <c r="J40" s="17"/>
    </row>
    <row r="41" spans="1:10" ht="12.75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2.7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2.75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2.75" customHeight="1" x14ac:dyDescent="0.2">
      <c r="A44" s="78"/>
      <c r="B44" s="79"/>
      <c r="C44" s="76"/>
      <c r="D44" s="74"/>
      <c r="E44" s="74"/>
      <c r="F44" s="74"/>
      <c r="G44" s="74"/>
      <c r="H44" s="74"/>
      <c r="I44" s="74"/>
      <c r="J44" s="17"/>
    </row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spans="4:4" ht="12.75" customHeight="1" x14ac:dyDescent="0.2"/>
    <row r="50" spans="4:4" ht="12.75" customHeight="1" x14ac:dyDescent="0.2"/>
    <row r="51" spans="4:4" x14ac:dyDescent="0.2">
      <c r="D51" s="74"/>
    </row>
    <row r="52" spans="4:4" x14ac:dyDescent="0.2">
      <c r="D52" s="74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8">
    <tabColor rgb="FF92D050"/>
    <pageSetUpPr fitToPage="1"/>
  </sheetPr>
  <dimension ref="A1:K56"/>
  <sheetViews>
    <sheetView zoomScaleNormal="100" zoomScaleSheetLayoutView="90" workbookViewId="0">
      <selection activeCell="A14" sqref="A14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48</v>
      </c>
      <c r="C6" s="963" t="s">
        <v>127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1415627</v>
      </c>
      <c r="C9" s="34">
        <v>1577241</v>
      </c>
      <c r="D9" s="227">
        <f>+C9+D21+D22+D25</f>
        <v>1639223</v>
      </c>
      <c r="E9" s="115">
        <f>+D9+E22+E29+E31+E25+E33</f>
        <v>1472481</v>
      </c>
      <c r="F9" s="411">
        <f>+E9+F31</f>
        <v>1504223</v>
      </c>
      <c r="G9" s="34">
        <f>+F9+G29+G34</f>
        <v>1504223</v>
      </c>
      <c r="H9" s="227">
        <f>+G9+H34</f>
        <v>1764223</v>
      </c>
      <c r="I9" s="51">
        <f t="shared" ref="E9:I15" si="0">+H9</f>
        <v>1764223</v>
      </c>
      <c r="K9" s="7">
        <v>100</v>
      </c>
    </row>
    <row r="10" spans="1:11" x14ac:dyDescent="0.2">
      <c r="A10" s="10" t="s">
        <v>5</v>
      </c>
      <c r="B10" s="36">
        <v>93079</v>
      </c>
      <c r="C10" s="36">
        <v>97975</v>
      </c>
      <c r="D10" s="230">
        <f>+C10+D23+D26</f>
        <v>97975</v>
      </c>
      <c r="E10" s="550">
        <f>+D10+E23+E26</f>
        <v>97975</v>
      </c>
      <c r="F10" s="548">
        <f t="shared" ref="F10:F11" si="1">+E10</f>
        <v>97975</v>
      </c>
      <c r="G10" s="36">
        <f t="shared" si="0"/>
        <v>97975</v>
      </c>
      <c r="H10" s="230">
        <f t="shared" si="0"/>
        <v>97975</v>
      </c>
      <c r="I10" s="37">
        <f t="shared" si="0"/>
        <v>97975</v>
      </c>
      <c r="K10" s="7">
        <v>200</v>
      </c>
    </row>
    <row r="11" spans="1:11" x14ac:dyDescent="0.2">
      <c r="A11" s="9" t="s">
        <v>6</v>
      </c>
      <c r="B11" s="34">
        <f>3072+2074+1</f>
        <v>5147</v>
      </c>
      <c r="C11" s="34">
        <v>5225</v>
      </c>
      <c r="D11" s="227">
        <f>+C11+D24+D27</f>
        <v>5225</v>
      </c>
      <c r="E11" s="115">
        <f>+D11+E30+E27</f>
        <v>5225</v>
      </c>
      <c r="F11" s="411">
        <f t="shared" si="1"/>
        <v>5225</v>
      </c>
      <c r="G11" s="34">
        <f t="shared" si="0"/>
        <v>5225</v>
      </c>
      <c r="H11" s="227">
        <f t="shared" si="0"/>
        <v>5225</v>
      </c>
      <c r="I11" s="35">
        <f t="shared" si="0"/>
        <v>5225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2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1513853</v>
      </c>
      <c r="C16" s="40">
        <f t="shared" ref="C16:I16" si="3">SUM(C9:C15)</f>
        <v>1680441</v>
      </c>
      <c r="D16" s="40">
        <f t="shared" si="3"/>
        <v>1742423</v>
      </c>
      <c r="E16" s="573">
        <f t="shared" si="3"/>
        <v>1575681</v>
      </c>
      <c r="F16" s="40">
        <f t="shared" si="3"/>
        <v>1607423</v>
      </c>
      <c r="G16" s="40">
        <f t="shared" si="3"/>
        <v>1607423</v>
      </c>
      <c r="H16" s="40">
        <f t="shared" si="3"/>
        <v>1867423</v>
      </c>
      <c r="I16" s="40">
        <f t="shared" si="3"/>
        <v>1867423</v>
      </c>
    </row>
    <row r="18" spans="1:10" x14ac:dyDescent="0.2">
      <c r="E18" s="406">
        <f>+E16-D16</f>
        <v>-166742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33" t="s">
        <v>494</v>
      </c>
      <c r="B20" s="834"/>
      <c r="C20" s="241"/>
      <c r="D20" s="835"/>
      <c r="E20" s="74"/>
      <c r="F20" s="74"/>
      <c r="G20" s="74"/>
      <c r="H20" s="74"/>
      <c r="I20" s="74"/>
    </row>
    <row r="21" spans="1:10" ht="13" customHeight="1" x14ac:dyDescent="0.2">
      <c r="A21" s="303" t="s">
        <v>502</v>
      </c>
      <c r="B21" s="304"/>
      <c r="C21" s="249">
        <v>100</v>
      </c>
      <c r="D21" s="250">
        <v>61982</v>
      </c>
      <c r="E21" s="145"/>
      <c r="F21" s="145"/>
      <c r="G21" s="145"/>
      <c r="H21" s="145"/>
      <c r="I21" s="145"/>
      <c r="J21" s="17"/>
    </row>
    <row r="22" spans="1:10" ht="13" customHeight="1" x14ac:dyDescent="0.2">
      <c r="A22" s="306" t="s">
        <v>682</v>
      </c>
      <c r="B22" s="79"/>
      <c r="C22" s="72">
        <v>100</v>
      </c>
      <c r="D22" s="73">
        <v>-130000</v>
      </c>
      <c r="E22" s="73">
        <v>100000</v>
      </c>
      <c r="F22" s="73"/>
      <c r="G22" s="73"/>
      <c r="H22" s="74"/>
      <c r="I22" s="74"/>
      <c r="J22" s="17"/>
    </row>
    <row r="23" spans="1:10" ht="12.75" customHeight="1" x14ac:dyDescent="0.2">
      <c r="A23" s="303"/>
      <c r="B23" s="304"/>
      <c r="C23" s="249">
        <v>200</v>
      </c>
      <c r="D23" s="250">
        <v>100000</v>
      </c>
      <c r="E23" s="145">
        <v>-100000</v>
      </c>
      <c r="F23" s="145"/>
      <c r="G23" s="145"/>
      <c r="H23" s="145"/>
      <c r="I23" s="145"/>
      <c r="J23" s="17"/>
    </row>
    <row r="24" spans="1:10" ht="12.75" customHeight="1" x14ac:dyDescent="0.2">
      <c r="A24" s="306"/>
      <c r="B24" s="79"/>
      <c r="C24" s="72" t="s">
        <v>167</v>
      </c>
      <c r="D24" s="73">
        <v>30000</v>
      </c>
      <c r="E24" s="73"/>
      <c r="F24" s="73"/>
      <c r="G24" s="73"/>
      <c r="H24" s="74"/>
      <c r="I24" s="74"/>
      <c r="J24" s="17"/>
    </row>
    <row r="25" spans="1:10" ht="12.75" customHeight="1" x14ac:dyDescent="0.2">
      <c r="A25" s="303" t="s">
        <v>1008</v>
      </c>
      <c r="B25" s="304"/>
      <c r="C25" s="249">
        <v>100</v>
      </c>
      <c r="D25" s="250">
        <v>130000</v>
      </c>
      <c r="E25" s="145">
        <v>-100000</v>
      </c>
      <c r="F25" s="145"/>
      <c r="G25" s="145"/>
      <c r="H25" s="145"/>
      <c r="I25" s="145"/>
      <c r="J25" s="17"/>
    </row>
    <row r="26" spans="1:10" ht="12.75" customHeight="1" x14ac:dyDescent="0.2">
      <c r="A26" s="306"/>
      <c r="B26" s="79"/>
      <c r="C26" s="72">
        <v>200</v>
      </c>
      <c r="D26" s="73">
        <v>-100000</v>
      </c>
      <c r="E26" s="73">
        <v>100000</v>
      </c>
      <c r="F26" s="73"/>
      <c r="G26" s="73"/>
      <c r="H26" s="74"/>
      <c r="I26" s="74"/>
      <c r="J26" s="17"/>
    </row>
    <row r="27" spans="1:10" ht="12.75" customHeight="1" x14ac:dyDescent="0.2">
      <c r="A27" s="303"/>
      <c r="B27" s="304"/>
      <c r="C27" s="249" t="s">
        <v>167</v>
      </c>
      <c r="D27" s="250">
        <v>-30000</v>
      </c>
      <c r="E27" s="145"/>
      <c r="F27" s="145"/>
      <c r="G27" s="145"/>
      <c r="H27" s="145"/>
      <c r="I27" s="145"/>
      <c r="J27" s="17"/>
    </row>
    <row r="28" spans="1:10" ht="12.75" customHeight="1" x14ac:dyDescent="0.2">
      <c r="A28" s="881" t="s">
        <v>748</v>
      </c>
      <c r="B28" s="79"/>
      <c r="C28" s="72"/>
      <c r="D28" s="73"/>
      <c r="E28" s="73"/>
      <c r="F28" s="73"/>
      <c r="G28" s="73"/>
      <c r="H28" s="74"/>
      <c r="I28" s="74"/>
      <c r="J28" s="17"/>
    </row>
    <row r="29" spans="1:10" ht="12.75" customHeight="1" x14ac:dyDescent="0.2">
      <c r="A29" s="303" t="s">
        <v>800</v>
      </c>
      <c r="B29" s="304"/>
      <c r="C29" s="249">
        <v>100</v>
      </c>
      <c r="D29" s="250"/>
      <c r="E29" s="145">
        <f>-245000-15000</f>
        <v>-260000</v>
      </c>
      <c r="F29" s="145"/>
      <c r="G29" s="145">
        <v>260000</v>
      </c>
      <c r="H29" s="145"/>
      <c r="I29" s="145"/>
      <c r="J29" s="17"/>
    </row>
    <row r="30" spans="1:10" ht="12.75" customHeight="1" x14ac:dyDescent="0.2">
      <c r="A30" s="306" t="s">
        <v>799</v>
      </c>
      <c r="B30" s="79"/>
      <c r="C30" s="72" t="s">
        <v>167</v>
      </c>
      <c r="D30" s="73"/>
      <c r="E30" s="73"/>
      <c r="F30" s="73"/>
      <c r="G30" s="73"/>
      <c r="H30" s="74"/>
      <c r="I30" s="74"/>
      <c r="J30" s="17"/>
    </row>
    <row r="31" spans="1:10" ht="12.75" customHeight="1" x14ac:dyDescent="0.2">
      <c r="A31" s="303" t="s">
        <v>905</v>
      </c>
      <c r="B31" s="304"/>
      <c r="C31" s="249">
        <v>100</v>
      </c>
      <c r="D31" s="250"/>
      <c r="E31" s="145">
        <v>-31742</v>
      </c>
      <c r="F31" s="145">
        <v>31742</v>
      </c>
      <c r="G31" s="145"/>
      <c r="H31" s="145"/>
      <c r="I31" s="145"/>
      <c r="J31" s="17"/>
    </row>
    <row r="32" spans="1:10" ht="12.75" customHeight="1" x14ac:dyDescent="0.2">
      <c r="A32" s="881" t="s">
        <v>913</v>
      </c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2.75" customHeight="1" x14ac:dyDescent="0.2">
      <c r="A33" s="303" t="s">
        <v>964</v>
      </c>
      <c r="B33" s="304"/>
      <c r="C33" s="249">
        <v>100</v>
      </c>
      <c r="D33" s="250"/>
      <c r="E33" s="145">
        <v>125000</v>
      </c>
      <c r="F33" s="145"/>
      <c r="G33" s="145"/>
      <c r="H33" s="145"/>
      <c r="I33" s="145"/>
      <c r="J33" s="17"/>
    </row>
    <row r="34" spans="1:10" ht="12.75" customHeight="1" x14ac:dyDescent="0.2">
      <c r="A34" s="306" t="s">
        <v>997</v>
      </c>
      <c r="B34" s="79"/>
      <c r="C34" s="72">
        <v>100</v>
      </c>
      <c r="D34" s="73"/>
      <c r="E34" s="73"/>
      <c r="F34" s="73"/>
      <c r="G34" s="73">
        <v>-260000</v>
      </c>
      <c r="H34" s="74">
        <v>260000</v>
      </c>
      <c r="I34" s="74"/>
      <c r="J34" s="17"/>
    </row>
    <row r="35" spans="1:10" ht="12.75" customHeight="1" x14ac:dyDescent="0.2">
      <c r="A35" s="303"/>
      <c r="B35" s="304"/>
      <c r="C35" s="944"/>
      <c r="D35" s="250"/>
      <c r="E35" s="145"/>
      <c r="F35" s="145"/>
      <c r="G35" s="145"/>
      <c r="H35" s="145"/>
      <c r="I35" s="145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2.75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80"/>
      <c r="B39" s="71"/>
      <c r="C39" s="72"/>
      <c r="D39" s="73"/>
      <c r="E39" s="74"/>
      <c r="F39" s="74"/>
      <c r="G39" s="74"/>
      <c r="H39" s="74"/>
      <c r="I39" s="74"/>
      <c r="J39" s="17"/>
    </row>
    <row r="40" spans="1:10" ht="12.75" customHeight="1" x14ac:dyDescent="0.2">
      <c r="A40" s="78"/>
      <c r="B40" s="71"/>
      <c r="C40" s="72"/>
      <c r="D40" s="73"/>
      <c r="E40" s="74"/>
      <c r="F40" s="74"/>
      <c r="G40" s="74"/>
      <c r="H40" s="74"/>
      <c r="I40" s="74"/>
      <c r="J40" s="17"/>
    </row>
    <row r="41" spans="1:10" ht="12.75" customHeight="1" x14ac:dyDescent="0.2">
      <c r="A41" s="78"/>
      <c r="B41" s="71"/>
      <c r="C41" s="72"/>
      <c r="D41" s="73"/>
      <c r="E41" s="74"/>
      <c r="F41" s="74"/>
      <c r="G41" s="74"/>
      <c r="H41" s="74"/>
      <c r="I41" s="74"/>
      <c r="J41" s="17"/>
    </row>
    <row r="42" spans="1:10" ht="12.75" customHeight="1" x14ac:dyDescent="0.2">
      <c r="A42" s="78"/>
      <c r="B42" s="71"/>
      <c r="C42" s="72"/>
      <c r="D42" s="73"/>
      <c r="E42" s="73"/>
      <c r="F42" s="74"/>
      <c r="G42" s="74"/>
      <c r="H42" s="74"/>
      <c r="I42" s="74"/>
      <c r="J42" s="17"/>
    </row>
    <row r="43" spans="1:10" ht="12.75" customHeight="1" x14ac:dyDescent="0.2">
      <c r="A43" s="78"/>
      <c r="B43" s="71"/>
      <c r="C43" s="72"/>
      <c r="D43" s="73"/>
      <c r="E43" s="73"/>
      <c r="F43" s="74"/>
      <c r="G43" s="74"/>
      <c r="H43" s="74"/>
      <c r="I43" s="74"/>
      <c r="J43" s="17"/>
    </row>
    <row r="44" spans="1:10" ht="12.75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2.75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2.75" customHeight="1" x14ac:dyDescent="0.2">
      <c r="A46" s="78"/>
      <c r="B46" s="71"/>
      <c r="C46" s="72"/>
      <c r="D46" s="73"/>
      <c r="E46" s="73"/>
      <c r="F46" s="74"/>
      <c r="G46" s="74"/>
      <c r="H46" s="74"/>
      <c r="I46" s="74"/>
      <c r="J46" s="17"/>
    </row>
    <row r="47" spans="1:10" ht="12.75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x14ac:dyDescent="0.2">
      <c r="A53" s="78"/>
      <c r="B53" s="79"/>
      <c r="C53" s="76"/>
      <c r="D53" s="74"/>
      <c r="E53" s="74"/>
      <c r="F53" s="74"/>
      <c r="G53" s="74"/>
      <c r="H53" s="74"/>
      <c r="I53" s="74"/>
    </row>
    <row r="54" spans="1:10" x14ac:dyDescent="0.2">
      <c r="A54" s="78"/>
      <c r="B54" s="79"/>
      <c r="C54" s="76"/>
      <c r="D54" s="74"/>
      <c r="E54" s="74"/>
      <c r="F54" s="74"/>
      <c r="G54" s="74"/>
      <c r="H54" s="74"/>
      <c r="I54" s="74"/>
    </row>
    <row r="55" spans="1:10" x14ac:dyDescent="0.2">
      <c r="A55" s="78"/>
      <c r="B55" s="79"/>
      <c r="C55" s="76"/>
      <c r="D55" s="74"/>
      <c r="E55" s="74"/>
      <c r="F55" s="74"/>
      <c r="G55" s="74"/>
      <c r="H55" s="74"/>
      <c r="I55" s="74"/>
    </row>
    <row r="56" spans="1:10" x14ac:dyDescent="0.2">
      <c r="A56" s="78"/>
      <c r="B56" s="79"/>
      <c r="C56" s="76"/>
      <c r="D56" s="74"/>
      <c r="E56" s="74"/>
      <c r="F56" s="74"/>
      <c r="G56" s="74"/>
      <c r="H56" s="74"/>
      <c r="I56" s="74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9">
    <tabColor rgb="FF92D050"/>
    <pageSetUpPr fitToPage="1"/>
  </sheetPr>
  <dimension ref="A1:J53"/>
  <sheetViews>
    <sheetView topLeftCell="A4" zoomScaleNormal="100" zoomScaleSheetLayoutView="90" workbookViewId="0">
      <selection activeCell="G24" sqref="G24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0" ht="16" x14ac:dyDescent="0.2">
      <c r="A6" s="5" t="s">
        <v>14</v>
      </c>
      <c r="B6" s="33">
        <v>59</v>
      </c>
      <c r="C6" s="963" t="s">
        <v>126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34">
        <v>12500926</v>
      </c>
      <c r="C9" s="34">
        <v>14127682</v>
      </c>
      <c r="D9" s="227">
        <f>+C9+D27+D26+D28+D29+D30</f>
        <v>14271114</v>
      </c>
      <c r="E9" s="115">
        <f>+D9+E26+E27+E28+E36+E37+E41+E29+E30</f>
        <v>12918061</v>
      </c>
      <c r="F9" s="411">
        <f>+E9+F36</f>
        <v>12954744</v>
      </c>
      <c r="G9" s="34">
        <f>+F9+G37+G43</f>
        <v>12954744</v>
      </c>
      <c r="H9" s="227">
        <f>+G9+H43</f>
        <v>14160744</v>
      </c>
      <c r="I9" s="51">
        <f t="shared" ref="E9:I15" si="0">+H9</f>
        <v>14160744</v>
      </c>
    </row>
    <row r="10" spans="1:10" x14ac:dyDescent="0.2">
      <c r="A10" s="10" t="s">
        <v>5</v>
      </c>
      <c r="B10" s="36">
        <v>991148</v>
      </c>
      <c r="C10" s="36">
        <v>2403126</v>
      </c>
      <c r="D10" s="230">
        <f>+C10</f>
        <v>2403126</v>
      </c>
      <c r="E10" s="550">
        <f>+D10+E22+E24+E32+E33+E38+E42</f>
        <v>2420632</v>
      </c>
      <c r="F10" s="548">
        <f>+E10+F32+F34</f>
        <v>2136358</v>
      </c>
      <c r="G10" s="36">
        <f>+F10+G34+G38+G44</f>
        <v>2036358</v>
      </c>
      <c r="H10" s="230">
        <f>+G10+H44</f>
        <v>2568126</v>
      </c>
      <c r="I10" s="37">
        <f t="shared" si="0"/>
        <v>2568126</v>
      </c>
    </row>
    <row r="11" spans="1:10" x14ac:dyDescent="0.2">
      <c r="A11" s="9" t="s">
        <v>6</v>
      </c>
      <c r="B11" s="34">
        <f>319067+123656</f>
        <v>442723</v>
      </c>
      <c r="C11" s="34">
        <v>787600</v>
      </c>
      <c r="D11" s="227">
        <f>+C11</f>
        <v>787600</v>
      </c>
      <c r="E11" s="115">
        <f>+D11+E39</f>
        <v>762600</v>
      </c>
      <c r="F11" s="411">
        <f>+E11</f>
        <v>762600</v>
      </c>
      <c r="G11" s="34">
        <f>+F11+G39+G45</f>
        <v>762600</v>
      </c>
      <c r="H11" s="227">
        <f>+G11+H45</f>
        <v>787600</v>
      </c>
      <c r="I11" s="35">
        <f t="shared" si="0"/>
        <v>787600</v>
      </c>
    </row>
    <row r="12" spans="1:10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</row>
    <row r="13" spans="1:10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</row>
    <row r="14" spans="1:10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</row>
    <row r="15" spans="1:10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</row>
    <row r="16" spans="1:10" ht="16" thickBot="1" x14ac:dyDescent="0.25">
      <c r="A16" s="4" t="s">
        <v>11</v>
      </c>
      <c r="B16" s="40">
        <f>SUM(B9:B15)</f>
        <v>13934797</v>
      </c>
      <c r="C16" s="40">
        <f t="shared" ref="C16:I16" si="2">SUM(C9:C15)</f>
        <v>17318408</v>
      </c>
      <c r="D16" s="40">
        <f t="shared" si="2"/>
        <v>17461840</v>
      </c>
      <c r="E16" s="573">
        <f t="shared" si="2"/>
        <v>16101293</v>
      </c>
      <c r="F16" s="40">
        <f t="shared" si="2"/>
        <v>15853702</v>
      </c>
      <c r="G16" s="40">
        <f t="shared" si="2"/>
        <v>15753702</v>
      </c>
      <c r="H16" s="40">
        <f t="shared" si="2"/>
        <v>17516470</v>
      </c>
      <c r="I16" s="40">
        <f t="shared" si="2"/>
        <v>17516470</v>
      </c>
    </row>
    <row r="17" spans="1:10" x14ac:dyDescent="0.2">
      <c r="B17" s="226"/>
    </row>
    <row r="18" spans="1:10" x14ac:dyDescent="0.2">
      <c r="E18" s="415">
        <f>+E16-D16</f>
        <v>-1360547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4.25" customHeight="1" thickTop="1" x14ac:dyDescent="0.2">
      <c r="A20" s="323" t="s">
        <v>444</v>
      </c>
      <c r="B20" s="146"/>
      <c r="C20" s="517"/>
      <c r="D20" s="70"/>
      <c r="E20" s="70"/>
      <c r="F20" s="70"/>
      <c r="G20" s="146"/>
      <c r="H20" s="146"/>
      <c r="I20" s="146"/>
    </row>
    <row r="21" spans="1:10" ht="13" customHeight="1" x14ac:dyDescent="0.2">
      <c r="A21" s="831" t="s">
        <v>255</v>
      </c>
      <c r="B21" s="82"/>
      <c r="C21" s="82"/>
      <c r="D21" s="73"/>
      <c r="E21" s="83"/>
      <c r="F21" s="83"/>
      <c r="G21" s="83"/>
      <c r="H21" s="83"/>
      <c r="I21" s="83"/>
      <c r="J21" s="17"/>
    </row>
    <row r="22" spans="1:10" ht="13" customHeight="1" x14ac:dyDescent="0.2">
      <c r="A22" s="308" t="s">
        <v>256</v>
      </c>
      <c r="B22" s="146"/>
      <c r="C22" s="517">
        <v>200</v>
      </c>
      <c r="D22" s="70"/>
      <c r="E22" s="70">
        <v>-250000</v>
      </c>
      <c r="F22" s="70"/>
      <c r="G22" s="146"/>
      <c r="H22" s="146"/>
      <c r="I22" s="146"/>
      <c r="J22" s="17"/>
    </row>
    <row r="23" spans="1:10" ht="13" customHeight="1" x14ac:dyDescent="0.2">
      <c r="A23" s="831" t="s">
        <v>282</v>
      </c>
      <c r="B23" s="82"/>
      <c r="C23" s="82"/>
      <c r="D23" s="73"/>
      <c r="E23" s="83"/>
      <c r="F23" s="83"/>
      <c r="G23" s="83"/>
      <c r="H23" s="83"/>
      <c r="I23" s="83"/>
      <c r="J23" s="17"/>
    </row>
    <row r="24" spans="1:10" ht="12.75" customHeight="1" x14ac:dyDescent="0.2">
      <c r="A24" s="308" t="s">
        <v>290</v>
      </c>
      <c r="B24" s="146"/>
      <c r="C24" s="517">
        <v>200</v>
      </c>
      <c r="D24" s="70"/>
      <c r="E24" s="70">
        <v>-75000</v>
      </c>
      <c r="F24" s="70"/>
      <c r="G24" s="146"/>
      <c r="H24" s="146"/>
      <c r="I24" s="146"/>
      <c r="J24" s="17"/>
    </row>
    <row r="25" spans="1:10" ht="13" customHeight="1" x14ac:dyDescent="0.2">
      <c r="A25" s="676" t="s">
        <v>450</v>
      </c>
      <c r="B25" s="918"/>
      <c r="C25" s="919"/>
      <c r="D25" s="920"/>
      <c r="E25" s="920"/>
      <c r="F25" s="920"/>
      <c r="G25" s="920"/>
      <c r="H25" s="920"/>
      <c r="I25" s="920"/>
      <c r="J25" s="17"/>
    </row>
    <row r="26" spans="1:10" ht="13" customHeight="1" x14ac:dyDescent="0.2">
      <c r="A26" s="308" t="s">
        <v>824</v>
      </c>
      <c r="B26" s="916"/>
      <c r="C26" s="917">
        <v>100</v>
      </c>
      <c r="D26" s="911">
        <v>32200</v>
      </c>
      <c r="E26" s="911">
        <v>193200</v>
      </c>
      <c r="F26" s="911"/>
      <c r="G26" s="911"/>
      <c r="H26" s="911"/>
      <c r="I26" s="911"/>
      <c r="J26" s="17"/>
    </row>
    <row r="27" spans="1:10" ht="13" customHeight="1" x14ac:dyDescent="0.2">
      <c r="A27" s="661" t="s">
        <v>899</v>
      </c>
      <c r="B27" s="82"/>
      <c r="C27" s="82">
        <v>100</v>
      </c>
      <c r="D27" s="83">
        <v>79250</v>
      </c>
      <c r="E27" s="83">
        <v>-79250</v>
      </c>
      <c r="F27" s="83"/>
      <c r="G27" s="83"/>
      <c r="H27" s="83"/>
      <c r="I27" s="83"/>
      <c r="J27" s="17"/>
    </row>
    <row r="28" spans="1:10" ht="13" customHeight="1" x14ac:dyDescent="0.2">
      <c r="A28" s="308" t="s">
        <v>839</v>
      </c>
      <c r="B28" s="916"/>
      <c r="C28" s="917">
        <v>100</v>
      </c>
      <c r="D28" s="911">
        <v>966</v>
      </c>
      <c r="E28" s="911">
        <v>5798</v>
      </c>
      <c r="F28" s="911"/>
      <c r="G28" s="911"/>
      <c r="H28" s="911"/>
      <c r="I28" s="911"/>
      <c r="J28" s="17"/>
    </row>
    <row r="29" spans="1:10" ht="13" customHeight="1" x14ac:dyDescent="0.2">
      <c r="A29" s="896" t="s">
        <v>947</v>
      </c>
      <c r="B29" s="82"/>
      <c r="C29" s="82">
        <v>100</v>
      </c>
      <c r="D29" s="83">
        <v>6816</v>
      </c>
      <c r="E29" s="83">
        <v>34082</v>
      </c>
      <c r="F29" s="83"/>
      <c r="G29" s="83"/>
      <c r="H29" s="83"/>
      <c r="I29" s="83"/>
      <c r="J29" s="17"/>
    </row>
    <row r="30" spans="1:10" ht="13" customHeight="1" x14ac:dyDescent="0.2">
      <c r="A30" s="308" t="s">
        <v>948</v>
      </c>
      <c r="B30" s="916"/>
      <c r="C30" s="917">
        <v>100</v>
      </c>
      <c r="D30" s="911">
        <v>24200</v>
      </c>
      <c r="E30" s="911">
        <v>-24200</v>
      </c>
      <c r="F30" s="911"/>
      <c r="G30" s="911"/>
      <c r="H30" s="911"/>
      <c r="I30" s="911"/>
      <c r="J30" s="17"/>
    </row>
    <row r="31" spans="1:10" ht="13" customHeight="1" x14ac:dyDescent="0.2">
      <c r="A31" s="831" t="s">
        <v>625</v>
      </c>
      <c r="B31" s="82"/>
      <c r="C31" s="82"/>
      <c r="D31" s="83"/>
      <c r="E31" s="83"/>
      <c r="F31" s="83"/>
      <c r="G31" s="83"/>
      <c r="H31" s="83"/>
      <c r="I31" s="83"/>
      <c r="J31" s="17"/>
    </row>
    <row r="32" spans="1:10" ht="13" customHeight="1" x14ac:dyDescent="0.2">
      <c r="A32" s="308" t="s">
        <v>655</v>
      </c>
      <c r="B32" s="916"/>
      <c r="C32" s="917">
        <v>200</v>
      </c>
      <c r="D32" s="911"/>
      <c r="E32" s="911">
        <v>384274</v>
      </c>
      <c r="F32" s="911">
        <v>-384274</v>
      </c>
      <c r="G32" s="911"/>
      <c r="H32" s="911"/>
      <c r="I32" s="911"/>
      <c r="J32" s="17"/>
    </row>
    <row r="33" spans="1:10" ht="13" customHeight="1" x14ac:dyDescent="0.2">
      <c r="A33" s="661" t="s">
        <v>656</v>
      </c>
      <c r="B33" s="82"/>
      <c r="C33" s="82">
        <v>200</v>
      </c>
      <c r="D33" s="83"/>
      <c r="E33" s="83">
        <v>250000</v>
      </c>
      <c r="F33" s="83"/>
      <c r="G33" s="83"/>
      <c r="H33" s="83"/>
      <c r="I33" s="83"/>
      <c r="J33" s="17"/>
    </row>
    <row r="34" spans="1:10" ht="13" customHeight="1" x14ac:dyDescent="0.2">
      <c r="A34" s="308" t="s">
        <v>657</v>
      </c>
      <c r="B34" s="916"/>
      <c r="C34" s="917">
        <v>200</v>
      </c>
      <c r="D34" s="911"/>
      <c r="E34" s="911"/>
      <c r="F34" s="911">
        <v>100000</v>
      </c>
      <c r="G34" s="911">
        <v>-100000</v>
      </c>
      <c r="H34" s="911"/>
      <c r="I34" s="911"/>
      <c r="J34" s="17"/>
    </row>
    <row r="35" spans="1:10" ht="13" customHeight="1" x14ac:dyDescent="0.2">
      <c r="A35" s="831" t="s">
        <v>748</v>
      </c>
      <c r="B35" s="82"/>
      <c r="C35" s="82"/>
      <c r="D35" s="83"/>
      <c r="E35" s="83"/>
      <c r="F35" s="83"/>
      <c r="G35" s="83"/>
      <c r="H35" s="83"/>
      <c r="I35" s="83"/>
      <c r="J35" s="17"/>
    </row>
    <row r="36" spans="1:10" ht="13" customHeight="1" x14ac:dyDescent="0.2">
      <c r="A36" s="308" t="s">
        <v>908</v>
      </c>
      <c r="B36" s="916"/>
      <c r="C36" s="917">
        <v>100</v>
      </c>
      <c r="D36" s="911"/>
      <c r="E36" s="911">
        <v>-36683</v>
      </c>
      <c r="F36" s="911">
        <v>36683</v>
      </c>
      <c r="G36" s="911"/>
      <c r="H36" s="911"/>
      <c r="I36" s="911"/>
      <c r="J36" s="17"/>
    </row>
    <row r="37" spans="1:10" ht="13" customHeight="1" x14ac:dyDescent="0.2">
      <c r="A37" s="661" t="s">
        <v>860</v>
      </c>
      <c r="B37" s="82"/>
      <c r="C37" s="82">
        <v>100</v>
      </c>
      <c r="D37" s="83"/>
      <c r="E37" s="83">
        <v>-1206000</v>
      </c>
      <c r="F37" s="83"/>
      <c r="G37" s="83">
        <v>1206000</v>
      </c>
      <c r="H37" s="83"/>
      <c r="I37" s="83"/>
      <c r="J37" s="17"/>
    </row>
    <row r="38" spans="1:10" ht="13" customHeight="1" x14ac:dyDescent="0.2">
      <c r="A38" s="308" t="s">
        <v>858</v>
      </c>
      <c r="B38" s="916"/>
      <c r="C38" s="917">
        <v>200</v>
      </c>
      <c r="D38" s="911"/>
      <c r="E38" s="911">
        <v>-531768</v>
      </c>
      <c r="F38" s="911"/>
      <c r="G38" s="911">
        <v>531768</v>
      </c>
      <c r="H38" s="911"/>
      <c r="I38" s="911"/>
      <c r="J38" s="17"/>
    </row>
    <row r="39" spans="1:10" ht="13" customHeight="1" x14ac:dyDescent="0.2">
      <c r="A39" s="661" t="s">
        <v>859</v>
      </c>
      <c r="B39" s="82"/>
      <c r="C39" s="330" t="s">
        <v>167</v>
      </c>
      <c r="D39" s="83"/>
      <c r="E39" s="83">
        <v>-25000</v>
      </c>
      <c r="F39" s="83"/>
      <c r="G39" s="83">
        <v>25000</v>
      </c>
      <c r="H39" s="83"/>
      <c r="I39" s="83"/>
      <c r="J39" s="17"/>
    </row>
    <row r="40" spans="1:10" ht="13" customHeight="1" x14ac:dyDescent="0.2">
      <c r="A40" s="323" t="s">
        <v>913</v>
      </c>
      <c r="B40" s="916"/>
      <c r="C40" s="917"/>
      <c r="D40" s="911"/>
      <c r="E40" s="911"/>
      <c r="F40" s="911"/>
      <c r="G40" s="911"/>
      <c r="H40" s="911"/>
      <c r="I40" s="911"/>
      <c r="J40" s="17"/>
    </row>
    <row r="41" spans="1:10" ht="13" customHeight="1" x14ac:dyDescent="0.2">
      <c r="A41" s="896" t="s">
        <v>921</v>
      </c>
      <c r="B41" s="82"/>
      <c r="C41" s="330">
        <v>100</v>
      </c>
      <c r="D41" s="83"/>
      <c r="E41" s="83">
        <v>-240000</v>
      </c>
      <c r="F41" s="83"/>
      <c r="G41" s="83"/>
      <c r="H41" s="83"/>
      <c r="I41" s="83"/>
      <c r="J41" s="17"/>
    </row>
    <row r="42" spans="1:10" ht="12.75" customHeight="1" x14ac:dyDescent="0.2">
      <c r="A42" s="308"/>
      <c r="B42" s="916"/>
      <c r="C42" s="917">
        <v>200</v>
      </c>
      <c r="D42" s="911"/>
      <c r="E42" s="911">
        <v>240000</v>
      </c>
      <c r="F42" s="911"/>
      <c r="G42" s="911"/>
      <c r="H42" s="911"/>
      <c r="I42" s="911"/>
      <c r="J42" s="17"/>
    </row>
    <row r="43" spans="1:10" ht="12.75" customHeight="1" x14ac:dyDescent="0.2">
      <c r="A43" s="896" t="s">
        <v>997</v>
      </c>
      <c r="B43" s="82"/>
      <c r="C43" s="330">
        <v>100</v>
      </c>
      <c r="D43" s="83"/>
      <c r="E43" s="83"/>
      <c r="F43" s="83"/>
      <c r="G43" s="83">
        <v>-1206000</v>
      </c>
      <c r="H43" s="83">
        <v>1206000</v>
      </c>
      <c r="I43" s="83"/>
      <c r="J43" s="17"/>
    </row>
    <row r="44" spans="1:10" ht="12.75" customHeight="1" x14ac:dyDescent="0.2">
      <c r="A44" s="308"/>
      <c r="B44" s="916"/>
      <c r="C44" s="917">
        <v>200</v>
      </c>
      <c r="D44" s="911"/>
      <c r="E44" s="911"/>
      <c r="F44" s="911"/>
      <c r="G44" s="911">
        <v>-531768</v>
      </c>
      <c r="H44" s="911">
        <v>531768</v>
      </c>
      <c r="I44" s="911"/>
      <c r="J44" s="17"/>
    </row>
    <row r="45" spans="1:10" ht="12.75" customHeight="1" x14ac:dyDescent="0.2">
      <c r="A45" s="896"/>
      <c r="B45" s="82"/>
      <c r="C45" s="953" t="s">
        <v>167</v>
      </c>
      <c r="D45" s="83"/>
      <c r="E45" s="83"/>
      <c r="F45" s="83"/>
      <c r="G45" s="83">
        <v>-25000</v>
      </c>
      <c r="H45" s="83">
        <v>25000</v>
      </c>
      <c r="I45" s="83"/>
    </row>
    <row r="46" spans="1:10" ht="12.75" customHeight="1" x14ac:dyDescent="0.2">
      <c r="A46" s="308"/>
      <c r="B46" s="916"/>
      <c r="C46" s="917"/>
      <c r="D46" s="911"/>
      <c r="E46" s="911"/>
      <c r="F46" s="911"/>
      <c r="G46" s="911"/>
      <c r="H46" s="911"/>
      <c r="I46" s="911"/>
    </row>
    <row r="47" spans="1:10" ht="12.75" customHeight="1" x14ac:dyDescent="0.2">
      <c r="A47" s="896"/>
      <c r="B47" s="82"/>
      <c r="C47" s="330"/>
      <c r="D47" s="83"/>
      <c r="E47" s="83"/>
      <c r="F47" s="83"/>
      <c r="G47" s="83"/>
      <c r="H47" s="83"/>
      <c r="I47" s="83"/>
    </row>
    <row r="48" spans="1:10" ht="12.75" customHeight="1" x14ac:dyDescent="0.2">
      <c r="A48" s="308"/>
      <c r="B48" s="916"/>
      <c r="C48" s="917"/>
      <c r="D48" s="911"/>
      <c r="E48" s="911"/>
      <c r="F48" s="911"/>
      <c r="G48" s="911"/>
      <c r="H48" s="911"/>
      <c r="I48" s="911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1">
    <tabColor theme="3"/>
    <pageSetUpPr fitToPage="1"/>
  </sheetPr>
  <dimension ref="A1:K51"/>
  <sheetViews>
    <sheetView topLeftCell="A10" zoomScaleNormal="100" zoomScaleSheetLayoutView="90" workbookViewId="0">
      <selection activeCell="F22" sqref="F2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172" t="s">
        <v>14</v>
      </c>
      <c r="B6" s="33">
        <v>49</v>
      </c>
      <c r="C6" s="963" t="s">
        <v>199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548133</v>
      </c>
      <c r="C9" s="34">
        <v>551910</v>
      </c>
      <c r="D9" s="227">
        <f>+C9+D21+D23+D25</f>
        <v>556456</v>
      </c>
      <c r="E9" s="115">
        <f>+D9+E29+E30+E23+E33+E34+E25+E37</f>
        <v>603814</v>
      </c>
      <c r="F9" s="411">
        <f>+E9+F30+F33</f>
        <v>646582</v>
      </c>
      <c r="G9" s="34">
        <f>+F9+G34+G37+G41</f>
        <v>646582</v>
      </c>
      <c r="H9" s="227">
        <f>+G9+H41</f>
        <v>1087456</v>
      </c>
      <c r="I9" s="51">
        <f t="shared" ref="E9:I15" si="0">+H9</f>
        <v>1087456</v>
      </c>
      <c r="K9" s="7">
        <v>100</v>
      </c>
    </row>
    <row r="10" spans="1:11" x14ac:dyDescent="0.2">
      <c r="A10" s="10" t="s">
        <v>5</v>
      </c>
      <c r="B10" s="36">
        <v>390326</v>
      </c>
      <c r="C10" s="36">
        <v>393508</v>
      </c>
      <c r="D10" s="230">
        <f>+C10+D22+D24+D26</f>
        <v>643508</v>
      </c>
      <c r="E10" s="550">
        <f>+D10+E28+E31+E22+E24+E35+E26+E38</f>
        <v>423366</v>
      </c>
      <c r="F10" s="548">
        <f>+E10</f>
        <v>423366</v>
      </c>
      <c r="G10" s="36">
        <f>+F10+G35+G38+G42</f>
        <v>423366</v>
      </c>
      <c r="H10" s="230">
        <f>+G10+H42</f>
        <v>1143508</v>
      </c>
      <c r="I10" s="37">
        <f t="shared" si="0"/>
        <v>1143508</v>
      </c>
      <c r="K10" s="7">
        <v>200</v>
      </c>
    </row>
    <row r="11" spans="1:11" x14ac:dyDescent="0.2">
      <c r="A11" s="9" t="s">
        <v>6</v>
      </c>
      <c r="B11" s="34">
        <v>17219</v>
      </c>
      <c r="C11" s="34">
        <v>17840</v>
      </c>
      <c r="D11" s="227">
        <f t="shared" ref="D11" si="1">+C11</f>
        <v>17840</v>
      </c>
      <c r="E11" s="115">
        <f>+D11+E39</f>
        <v>1000</v>
      </c>
      <c r="F11" s="411">
        <f t="shared" si="0"/>
        <v>1000</v>
      </c>
      <c r="G11" s="34">
        <f>+F11+G39+G43</f>
        <v>1000</v>
      </c>
      <c r="H11" s="227">
        <f>+G11+H43</f>
        <v>17840</v>
      </c>
      <c r="I11" s="35">
        <f t="shared" si="0"/>
        <v>17840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2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250000</v>
      </c>
      <c r="D14" s="230">
        <f t="shared" si="2"/>
        <v>250000</v>
      </c>
      <c r="E14" s="550">
        <f>+D14+E40</f>
        <v>175000</v>
      </c>
      <c r="F14" s="548">
        <f t="shared" si="0"/>
        <v>175000</v>
      </c>
      <c r="G14" s="36">
        <f>+F14+G40+G44</f>
        <v>175000</v>
      </c>
      <c r="H14" s="230">
        <f>+G14+H44</f>
        <v>250000</v>
      </c>
      <c r="I14" s="37">
        <f t="shared" si="0"/>
        <v>250000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955678</v>
      </c>
      <c r="C16" s="40">
        <f t="shared" ref="C16:I16" si="3">SUM(C9:C15)</f>
        <v>1213258</v>
      </c>
      <c r="D16" s="40">
        <f t="shared" si="3"/>
        <v>1467804</v>
      </c>
      <c r="E16" s="573">
        <f t="shared" si="3"/>
        <v>1203180</v>
      </c>
      <c r="F16" s="40">
        <f t="shared" si="3"/>
        <v>1245948</v>
      </c>
      <c r="G16" s="40">
        <f t="shared" si="3"/>
        <v>1245948</v>
      </c>
      <c r="H16" s="40">
        <f t="shared" si="3"/>
        <v>2498804</v>
      </c>
      <c r="I16" s="40">
        <f t="shared" si="3"/>
        <v>2498804</v>
      </c>
    </row>
    <row r="18" spans="1:10" x14ac:dyDescent="0.2">
      <c r="E18" s="416">
        <f>+E16-D16</f>
        <v>-264624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833" t="s">
        <v>494</v>
      </c>
      <c r="B20" s="834"/>
      <c r="C20" s="241"/>
      <c r="D20" s="835"/>
      <c r="E20" s="252"/>
      <c r="F20" s="74"/>
      <c r="G20" s="74"/>
      <c r="H20" s="74"/>
      <c r="I20" s="74"/>
      <c r="J20" s="17"/>
    </row>
    <row r="21" spans="1:10" ht="12.75" customHeight="1" x14ac:dyDescent="0.2">
      <c r="A21" s="303" t="s">
        <v>502</v>
      </c>
      <c r="B21" s="304"/>
      <c r="C21" s="249">
        <v>100</v>
      </c>
      <c r="D21" s="250">
        <v>4546</v>
      </c>
      <c r="E21" s="70"/>
      <c r="F21" s="70"/>
      <c r="G21" s="70"/>
      <c r="H21" s="70"/>
      <c r="I21" s="70"/>
      <c r="J21" s="17"/>
    </row>
    <row r="22" spans="1:10" ht="12.75" customHeight="1" x14ac:dyDescent="0.2">
      <c r="A22" s="890" t="s">
        <v>672</v>
      </c>
      <c r="B22" s="71"/>
      <c r="C22" s="72">
        <v>200</v>
      </c>
      <c r="D22" s="73">
        <v>250000</v>
      </c>
      <c r="E22" s="74">
        <v>-250000</v>
      </c>
      <c r="F22" s="74"/>
      <c r="G22" s="74"/>
      <c r="H22" s="74"/>
      <c r="I22" s="74"/>
      <c r="J22" s="17"/>
    </row>
    <row r="23" spans="1:10" ht="12.75" customHeight="1" x14ac:dyDescent="0.2">
      <c r="A23" s="303" t="s">
        <v>686</v>
      </c>
      <c r="B23" s="304"/>
      <c r="C23" s="249">
        <v>100</v>
      </c>
      <c r="D23" s="250">
        <v>-30000</v>
      </c>
      <c r="E23" s="70">
        <v>30000</v>
      </c>
      <c r="F23" s="70"/>
      <c r="G23" s="70"/>
      <c r="H23" s="70"/>
      <c r="I23" s="70"/>
      <c r="J23" s="17"/>
    </row>
    <row r="24" spans="1:10" ht="12.75" customHeight="1" x14ac:dyDescent="0.2">
      <c r="A24" s="890"/>
      <c r="B24" s="71"/>
      <c r="C24" s="72">
        <v>200</v>
      </c>
      <c r="D24" s="73">
        <v>30000</v>
      </c>
      <c r="E24" s="74">
        <v>-30000</v>
      </c>
      <c r="F24" s="74"/>
      <c r="G24" s="74"/>
      <c r="H24" s="74"/>
      <c r="I24" s="74"/>
      <c r="J24" s="17"/>
    </row>
    <row r="25" spans="1:10" ht="12.75" customHeight="1" x14ac:dyDescent="0.2">
      <c r="A25" s="303" t="s">
        <v>853</v>
      </c>
      <c r="B25" s="304"/>
      <c r="C25" s="249">
        <v>100</v>
      </c>
      <c r="D25" s="250">
        <v>30000</v>
      </c>
      <c r="E25" s="70">
        <v>-30000</v>
      </c>
      <c r="F25" s="70"/>
      <c r="G25" s="70"/>
      <c r="H25" s="70"/>
      <c r="I25" s="70"/>
      <c r="J25" s="17"/>
    </row>
    <row r="26" spans="1:10" ht="12.75" customHeight="1" x14ac:dyDescent="0.2">
      <c r="A26" s="890"/>
      <c r="B26" s="71"/>
      <c r="C26" s="72">
        <v>200</v>
      </c>
      <c r="D26" s="73">
        <v>-30000</v>
      </c>
      <c r="E26" s="74">
        <v>30000</v>
      </c>
      <c r="F26" s="74"/>
      <c r="G26" s="74"/>
      <c r="H26" s="74"/>
      <c r="I26" s="74"/>
      <c r="J26" s="17"/>
    </row>
    <row r="27" spans="1:10" ht="12.75" customHeight="1" x14ac:dyDescent="0.2">
      <c r="A27" s="901" t="s">
        <v>625</v>
      </c>
      <c r="B27" s="304"/>
      <c r="C27" s="249"/>
      <c r="D27" s="250"/>
      <c r="E27" s="70"/>
      <c r="F27" s="70"/>
      <c r="G27" s="70"/>
      <c r="H27" s="70"/>
      <c r="I27" s="70"/>
      <c r="J27" s="17"/>
    </row>
    <row r="28" spans="1:10" ht="12.75" customHeight="1" x14ac:dyDescent="0.2">
      <c r="A28" s="890" t="s">
        <v>648</v>
      </c>
      <c r="B28" s="71"/>
      <c r="C28" s="72">
        <v>200</v>
      </c>
      <c r="D28" s="73"/>
      <c r="E28" s="74">
        <v>250000</v>
      </c>
      <c r="F28" s="74"/>
      <c r="G28" s="74"/>
      <c r="H28" s="74"/>
      <c r="I28" s="74"/>
      <c r="J28" s="17"/>
    </row>
    <row r="29" spans="1:10" ht="12.75" customHeight="1" x14ac:dyDescent="0.2">
      <c r="A29" s="303" t="s">
        <v>649</v>
      </c>
      <c r="B29" s="304"/>
      <c r="C29" s="249">
        <v>100</v>
      </c>
      <c r="D29" s="250"/>
      <c r="E29" s="70">
        <v>181000</v>
      </c>
      <c r="F29" s="70"/>
      <c r="G29" s="70"/>
      <c r="H29" s="70"/>
      <c r="I29" s="70"/>
      <c r="J29" s="17"/>
    </row>
    <row r="30" spans="1:10" ht="12.75" customHeight="1" x14ac:dyDescent="0.2">
      <c r="A30" s="890" t="s">
        <v>650</v>
      </c>
      <c r="B30" s="71"/>
      <c r="C30" s="72">
        <v>100</v>
      </c>
      <c r="D30" s="73"/>
      <c r="E30" s="74">
        <v>317500</v>
      </c>
      <c r="F30" s="74">
        <f>350000-E30</f>
        <v>32500</v>
      </c>
      <c r="G30" s="74"/>
      <c r="H30" s="74"/>
      <c r="I30" s="74"/>
      <c r="J30" s="17"/>
    </row>
    <row r="31" spans="1:10" ht="12.75" customHeight="1" x14ac:dyDescent="0.2">
      <c r="A31" s="303"/>
      <c r="B31" s="304"/>
      <c r="C31" s="249">
        <v>200</v>
      </c>
      <c r="D31" s="250"/>
      <c r="E31" s="70">
        <v>500000</v>
      </c>
      <c r="F31" s="70"/>
      <c r="G31" s="70"/>
      <c r="H31" s="70"/>
      <c r="I31" s="70"/>
      <c r="J31" s="17"/>
    </row>
    <row r="32" spans="1:10" ht="12.75" customHeight="1" x14ac:dyDescent="0.2">
      <c r="A32" s="160" t="s">
        <v>748</v>
      </c>
      <c r="B32" s="71"/>
      <c r="C32" s="72"/>
      <c r="D32" s="73"/>
      <c r="E32" s="74"/>
      <c r="F32" s="74"/>
      <c r="G32" s="74"/>
      <c r="H32" s="74"/>
      <c r="I32" s="74"/>
      <c r="J32" s="17"/>
    </row>
    <row r="33" spans="1:10" ht="12.75" customHeight="1" x14ac:dyDescent="0.2">
      <c r="A33" s="303" t="s">
        <v>908</v>
      </c>
      <c r="B33" s="304"/>
      <c r="C33" s="249">
        <v>100</v>
      </c>
      <c r="D33" s="250"/>
      <c r="E33" s="70">
        <v>-10268</v>
      </c>
      <c r="F33" s="70">
        <v>10268</v>
      </c>
      <c r="G33" s="70"/>
      <c r="H33" s="70"/>
      <c r="I33" s="70"/>
      <c r="J33" s="17"/>
    </row>
    <row r="34" spans="1:10" ht="12.75" customHeight="1" x14ac:dyDescent="0.2">
      <c r="A34" s="890" t="s">
        <v>870</v>
      </c>
      <c r="B34" s="71"/>
      <c r="C34" s="72">
        <v>100</v>
      </c>
      <c r="D34" s="73"/>
      <c r="E34" s="74">
        <v>-626523</v>
      </c>
      <c r="F34" s="74"/>
      <c r="G34" s="74">
        <v>626523</v>
      </c>
      <c r="H34" s="74"/>
      <c r="I34" s="74"/>
      <c r="J34" s="17"/>
    </row>
    <row r="35" spans="1:10" ht="12.75" customHeight="1" x14ac:dyDescent="0.2">
      <c r="A35" s="303"/>
      <c r="B35" s="304"/>
      <c r="C35" s="249">
        <v>200</v>
      </c>
      <c r="D35" s="250"/>
      <c r="E35" s="70">
        <v>-626523</v>
      </c>
      <c r="F35" s="70"/>
      <c r="G35" s="70">
        <v>626523</v>
      </c>
      <c r="H35" s="70"/>
      <c r="I35" s="70"/>
      <c r="J35" s="17"/>
    </row>
    <row r="36" spans="1:10" ht="12.75" customHeight="1" x14ac:dyDescent="0.2">
      <c r="A36" s="160" t="s">
        <v>913</v>
      </c>
      <c r="B36" s="71"/>
      <c r="J36" s="17"/>
    </row>
    <row r="37" spans="1:10" ht="12.75" customHeight="1" x14ac:dyDescent="0.2">
      <c r="A37" s="303" t="s">
        <v>920</v>
      </c>
      <c r="B37" s="304"/>
      <c r="C37" s="249">
        <v>100</v>
      </c>
      <c r="D37" s="250"/>
      <c r="E37" s="70">
        <v>185649</v>
      </c>
      <c r="F37" s="70"/>
      <c r="G37" s="70">
        <v>-185649</v>
      </c>
      <c r="H37" s="70"/>
      <c r="I37" s="70"/>
      <c r="J37" s="17"/>
    </row>
    <row r="38" spans="1:10" ht="12.75" customHeight="1" x14ac:dyDescent="0.2">
      <c r="A38" s="890"/>
      <c r="B38" s="71"/>
      <c r="C38" s="72">
        <v>200</v>
      </c>
      <c r="D38" s="73"/>
      <c r="E38" s="74">
        <v>-93619</v>
      </c>
      <c r="F38" s="74"/>
      <c r="G38" s="74">
        <v>93619</v>
      </c>
      <c r="H38" s="74"/>
      <c r="I38" s="74"/>
      <c r="J38" s="17"/>
    </row>
    <row r="39" spans="1:10" ht="12.75" customHeight="1" x14ac:dyDescent="0.2">
      <c r="A39" s="303"/>
      <c r="B39" s="304"/>
      <c r="C39" s="249" t="s">
        <v>167</v>
      </c>
      <c r="D39" s="250"/>
      <c r="E39" s="70">
        <v>-16840</v>
      </c>
      <c r="F39" s="70"/>
      <c r="G39" s="70">
        <v>16840</v>
      </c>
      <c r="H39" s="70"/>
      <c r="I39" s="70"/>
      <c r="J39" s="17"/>
    </row>
    <row r="40" spans="1:10" ht="12.75" customHeight="1" x14ac:dyDescent="0.2">
      <c r="A40" s="890"/>
      <c r="B40" s="71"/>
      <c r="C40" s="72">
        <v>800</v>
      </c>
      <c r="D40" s="73"/>
      <c r="E40" s="74">
        <v>-75000</v>
      </c>
      <c r="F40" s="74"/>
      <c r="G40" s="74">
        <v>75000</v>
      </c>
      <c r="H40" s="74"/>
      <c r="I40" s="74"/>
      <c r="J40" s="17"/>
    </row>
    <row r="41" spans="1:10" ht="12.75" customHeight="1" x14ac:dyDescent="0.2">
      <c r="A41" s="303" t="s">
        <v>997</v>
      </c>
      <c r="B41" s="304"/>
      <c r="C41" s="249">
        <v>100</v>
      </c>
      <c r="D41" s="250"/>
      <c r="E41" s="70"/>
      <c r="F41" s="70"/>
      <c r="G41" s="70">
        <v>-440874</v>
      </c>
      <c r="H41" s="70">
        <v>440874</v>
      </c>
      <c r="I41" s="70"/>
      <c r="J41" s="17"/>
    </row>
    <row r="42" spans="1:10" ht="12.75" customHeight="1" x14ac:dyDescent="0.2">
      <c r="A42" s="890"/>
      <c r="B42" s="71"/>
      <c r="C42" s="72">
        <v>200</v>
      </c>
      <c r="D42" s="73"/>
      <c r="E42" s="74"/>
      <c r="F42" s="74"/>
      <c r="G42" s="74">
        <v>-720142</v>
      </c>
      <c r="H42" s="74">
        <v>720142</v>
      </c>
      <c r="I42" s="74"/>
      <c r="J42" s="17"/>
    </row>
    <row r="43" spans="1:10" ht="12.75" customHeight="1" x14ac:dyDescent="0.2">
      <c r="A43" s="303"/>
      <c r="B43" s="304"/>
      <c r="C43" s="249" t="s">
        <v>167</v>
      </c>
      <c r="D43" s="250"/>
      <c r="E43" s="70"/>
      <c r="F43" s="70"/>
      <c r="G43" s="70">
        <v>-16840</v>
      </c>
      <c r="H43" s="70">
        <v>16840</v>
      </c>
      <c r="I43" s="70"/>
      <c r="J43" s="17"/>
    </row>
    <row r="44" spans="1:10" ht="12.75" customHeight="1" x14ac:dyDescent="0.2">
      <c r="A44" s="890"/>
      <c r="B44" s="71"/>
      <c r="C44" s="72">
        <v>800</v>
      </c>
      <c r="D44" s="73"/>
      <c r="E44" s="74"/>
      <c r="F44" s="74"/>
      <c r="G44" s="74">
        <v>-75000</v>
      </c>
      <c r="H44" s="74">
        <v>75000</v>
      </c>
      <c r="I44" s="74"/>
      <c r="J44" s="17"/>
    </row>
    <row r="45" spans="1:10" ht="12.75" customHeight="1" x14ac:dyDescent="0.2">
      <c r="A45" s="78"/>
      <c r="B45" s="79"/>
      <c r="C45" s="76"/>
      <c r="D45" s="74"/>
      <c r="E45" s="74"/>
      <c r="F45" s="74"/>
      <c r="G45" s="74"/>
      <c r="H45" s="74"/>
      <c r="I45" s="74"/>
      <c r="J45" s="17"/>
    </row>
    <row r="46" spans="1:10" ht="12.75" customHeight="1" x14ac:dyDescent="0.2">
      <c r="A46" s="78"/>
      <c r="B46" s="79"/>
      <c r="C46" s="76"/>
      <c r="D46" s="74"/>
      <c r="E46" s="74"/>
      <c r="F46" s="74"/>
      <c r="G46" s="74"/>
      <c r="H46" s="74"/>
      <c r="I46" s="74"/>
      <c r="J46" s="17"/>
    </row>
    <row r="47" spans="1:10" ht="12.75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17"/>
    </row>
    <row r="48" spans="1:10" ht="12.75" customHeight="1" x14ac:dyDescent="0.2">
      <c r="A48" s="82"/>
      <c r="B48" s="82"/>
      <c r="C48" s="82"/>
      <c r="D48" s="82"/>
      <c r="E48" s="82"/>
      <c r="F48" s="82"/>
      <c r="G48" s="82"/>
      <c r="H48" s="82"/>
      <c r="I48" s="82"/>
      <c r="J48" s="17"/>
    </row>
    <row r="49" ht="12.75" customHeight="1" x14ac:dyDescent="0.2"/>
    <row r="50" ht="12.75" customHeight="1" x14ac:dyDescent="0.2"/>
    <row r="51" ht="12.75" customHeight="1" x14ac:dyDescent="0.2"/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2">
    <tabColor theme="3"/>
    <pageSetUpPr fitToPage="1"/>
  </sheetPr>
  <dimension ref="A1:K55"/>
  <sheetViews>
    <sheetView topLeftCell="A4" zoomScaleNormal="100" zoomScaleSheetLayoutView="90" workbookViewId="0">
      <selection activeCell="E12" sqref="E12:F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16</v>
      </c>
      <c r="C6" s="963" t="s">
        <v>125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48579951</v>
      </c>
      <c r="C9" s="34">
        <v>52490935</v>
      </c>
      <c r="D9" s="227">
        <f>+C9+D33+D34+D35+D36+D37</f>
        <v>52932553</v>
      </c>
      <c r="E9" s="115">
        <f>+D9+E24+E39+E41+E33+E34+E35+E46+E48+E36+E37</f>
        <v>46921787</v>
      </c>
      <c r="F9" s="411">
        <f>+E9+F24+F46</f>
        <v>47348940</v>
      </c>
      <c r="G9" s="34">
        <f>+F9+G24+G41+G50</f>
        <v>47939064</v>
      </c>
      <c r="H9" s="227">
        <f>+G9+H50</f>
        <v>55648999</v>
      </c>
      <c r="I9" s="51">
        <f t="shared" ref="E9:I15" si="0">+H9</f>
        <v>55648999</v>
      </c>
      <c r="K9" s="7">
        <v>100</v>
      </c>
    </row>
    <row r="10" spans="1:11" x14ac:dyDescent="0.2">
      <c r="A10" s="10" t="s">
        <v>5</v>
      </c>
      <c r="B10" s="36">
        <f>9588466+44500</f>
        <v>9632966</v>
      </c>
      <c r="C10" s="36">
        <v>7115490</v>
      </c>
      <c r="D10" s="230">
        <f>+C10+D30+D32</f>
        <v>7224224</v>
      </c>
      <c r="E10" s="550">
        <f>+D10+E22+E25+E26+E30+E32+E42</f>
        <v>4482142</v>
      </c>
      <c r="F10" s="548">
        <f>+E10+F26</f>
        <v>4410142</v>
      </c>
      <c r="G10" s="36">
        <f>+F10+G26+G42+G51</f>
        <v>4450142</v>
      </c>
      <c r="H10" s="230">
        <f>+G10+H26+H51</f>
        <v>6535490</v>
      </c>
      <c r="I10" s="37">
        <f>+H10</f>
        <v>6535490</v>
      </c>
      <c r="K10" s="7">
        <v>200</v>
      </c>
    </row>
    <row r="11" spans="1:11" x14ac:dyDescent="0.2">
      <c r="A11" s="9" t="s">
        <v>6</v>
      </c>
      <c r="B11" s="34">
        <f>2453596+291713</f>
        <v>2745309</v>
      </c>
      <c r="C11" s="34">
        <v>2740630</v>
      </c>
      <c r="D11" s="227">
        <f>+C11+D31</f>
        <v>2970630</v>
      </c>
      <c r="E11" s="115">
        <f>+D11+E31+E43+E44</f>
        <v>2022225</v>
      </c>
      <c r="F11" s="411">
        <f>+E11</f>
        <v>2022225</v>
      </c>
      <c r="G11" s="34">
        <f>+F11+G43+G44+G52+G53</f>
        <v>2022225</v>
      </c>
      <c r="H11" s="227">
        <f>+G11+H52+H53</f>
        <v>2740630</v>
      </c>
      <c r="I11" s="35">
        <f>+H11</f>
        <v>2740630</v>
      </c>
      <c r="K11" s="7" t="s">
        <v>167</v>
      </c>
    </row>
    <row r="12" spans="1:11" x14ac:dyDescent="0.2">
      <c r="A12" s="10" t="s">
        <v>7</v>
      </c>
      <c r="B12" s="36">
        <v>4636049</v>
      </c>
      <c r="C12" s="36">
        <v>2711000</v>
      </c>
      <c r="D12" s="230">
        <f>+C12</f>
        <v>2711000</v>
      </c>
      <c r="E12" s="550">
        <f>+D12+E28+E45+E49</f>
        <v>1500000</v>
      </c>
      <c r="F12" s="548">
        <f>+E12</f>
        <v>1500000</v>
      </c>
      <c r="G12" s="36">
        <f>+F12+G45+G54</f>
        <v>1500000</v>
      </c>
      <c r="H12" s="230">
        <f>+G12+H54</f>
        <v>2511000</v>
      </c>
      <c r="I12" s="37">
        <f>+H12</f>
        <v>2511000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4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1550000</v>
      </c>
      <c r="C14" s="36">
        <v>0</v>
      </c>
      <c r="D14" s="230">
        <f t="shared" si="1"/>
        <v>0</v>
      </c>
      <c r="E14" s="114">
        <f>+D14</f>
        <v>0</v>
      </c>
      <c r="F14" s="548">
        <f>+E14</f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ref="D15" si="2">+C15</f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67144275</v>
      </c>
      <c r="C16" s="40">
        <f t="shared" ref="C16:I16" si="3">SUM(C9:C15)</f>
        <v>65058055</v>
      </c>
      <c r="D16" s="40">
        <f t="shared" si="3"/>
        <v>65838407</v>
      </c>
      <c r="E16" s="573">
        <f t="shared" si="3"/>
        <v>54926154</v>
      </c>
      <c r="F16" s="40">
        <f t="shared" si="3"/>
        <v>55281307</v>
      </c>
      <c r="G16" s="40">
        <f t="shared" si="3"/>
        <v>55911431</v>
      </c>
      <c r="H16" s="40">
        <f t="shared" si="3"/>
        <v>67436119</v>
      </c>
      <c r="I16" s="40">
        <f t="shared" si="3"/>
        <v>67436119</v>
      </c>
    </row>
    <row r="18" spans="1:10" x14ac:dyDescent="0.2">
      <c r="E18" s="416">
        <f>+E16-D16</f>
        <v>-10912253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464" t="s">
        <v>309</v>
      </c>
      <c r="B21" s="67"/>
      <c r="C21" s="68"/>
      <c r="D21" s="69"/>
      <c r="E21" s="70"/>
      <c r="F21" s="70"/>
      <c r="G21" s="70"/>
      <c r="H21" s="70"/>
      <c r="I21" s="70"/>
      <c r="J21" s="17"/>
    </row>
    <row r="22" spans="1:10" ht="12.75" customHeight="1" x14ac:dyDescent="0.2">
      <c r="A22" s="306" t="s">
        <v>359</v>
      </c>
      <c r="B22" s="59"/>
      <c r="C22" s="72">
        <v>200</v>
      </c>
      <c r="D22" s="73"/>
      <c r="E22" s="621">
        <v>-72000</v>
      </c>
      <c r="F22" s="59"/>
      <c r="G22" s="59"/>
      <c r="H22" s="74"/>
      <c r="I22" s="74"/>
    </row>
    <row r="23" spans="1:10" ht="12.75" customHeight="1" x14ac:dyDescent="0.2">
      <c r="A23" s="324" t="s">
        <v>358</v>
      </c>
      <c r="B23" s="146"/>
      <c r="C23" s="346"/>
      <c r="D23" s="69"/>
      <c r="E23" s="69"/>
      <c r="F23" s="146"/>
      <c r="G23" s="146"/>
      <c r="H23" s="146"/>
      <c r="I23" s="146"/>
    </row>
    <row r="24" spans="1:10" ht="12.75" customHeight="1" x14ac:dyDescent="0.2">
      <c r="A24" s="640" t="s">
        <v>367</v>
      </c>
      <c r="B24" s="59"/>
      <c r="C24" s="72">
        <v>100</v>
      </c>
      <c r="D24" s="73"/>
      <c r="E24" s="621">
        <v>373383</v>
      </c>
      <c r="F24" s="621">
        <v>373383</v>
      </c>
      <c r="G24" s="621">
        <v>590124</v>
      </c>
      <c r="H24" s="621"/>
      <c r="I24" s="59"/>
    </row>
    <row r="25" spans="1:10" ht="12.75" customHeight="1" x14ac:dyDescent="0.2">
      <c r="A25" s="657" t="s">
        <v>391</v>
      </c>
      <c r="B25" s="146"/>
      <c r="C25" s="68">
        <v>200</v>
      </c>
      <c r="D25" s="146"/>
      <c r="E25" s="643">
        <v>-250000</v>
      </c>
      <c r="F25" s="643"/>
      <c r="G25" s="643"/>
      <c r="H25" s="643"/>
      <c r="I25" s="146"/>
    </row>
    <row r="26" spans="1:10" ht="12.75" customHeight="1" x14ac:dyDescent="0.2">
      <c r="A26" s="650" t="s">
        <v>379</v>
      </c>
      <c r="B26" s="59"/>
      <c r="C26" s="72">
        <v>200</v>
      </c>
      <c r="D26" s="73"/>
      <c r="E26" s="621">
        <f>291000-377000</f>
        <v>-86000</v>
      </c>
      <c r="F26" s="621">
        <f>219000-291000</f>
        <v>-72000</v>
      </c>
      <c r="G26" s="621">
        <v>40000</v>
      </c>
      <c r="H26" s="621">
        <v>-140000</v>
      </c>
      <c r="I26" s="59"/>
    </row>
    <row r="27" spans="1:10" ht="12.75" customHeight="1" x14ac:dyDescent="0.2">
      <c r="A27" s="753" t="s">
        <v>404</v>
      </c>
      <c r="B27" s="146"/>
      <c r="C27" s="68"/>
      <c r="D27" s="69"/>
      <c r="E27" s="69"/>
      <c r="F27" s="146"/>
      <c r="G27" s="146"/>
      <c r="H27" s="146"/>
      <c r="I27" s="146"/>
    </row>
    <row r="28" spans="1:10" ht="12.75" customHeight="1" x14ac:dyDescent="0.2">
      <c r="A28" s="754" t="s">
        <v>419</v>
      </c>
      <c r="B28" s="221"/>
      <c r="C28" s="98">
        <v>500</v>
      </c>
      <c r="D28" s="221"/>
      <c r="E28" s="682">
        <v>-200000</v>
      </c>
      <c r="F28" s="221"/>
      <c r="G28" s="221"/>
      <c r="H28" s="221"/>
      <c r="I28" s="221"/>
    </row>
    <row r="29" spans="1:10" ht="12.75" customHeight="1" x14ac:dyDescent="0.2">
      <c r="A29" s="836" t="s">
        <v>494</v>
      </c>
      <c r="B29" s="582"/>
      <c r="C29" s="837"/>
      <c r="D29" s="201"/>
      <c r="E29" s="150"/>
      <c r="F29" s="677"/>
      <c r="G29" s="677"/>
      <c r="H29" s="677"/>
      <c r="I29" s="677"/>
    </row>
    <row r="30" spans="1:10" ht="12.75" customHeight="1" x14ac:dyDescent="0.2">
      <c r="A30" s="832" t="s">
        <v>530</v>
      </c>
      <c r="B30" s="59"/>
      <c r="C30" s="72">
        <v>200</v>
      </c>
      <c r="D30" s="73">
        <v>59734</v>
      </c>
      <c r="E30" s="621">
        <v>-59734</v>
      </c>
      <c r="F30" s="621"/>
      <c r="G30" s="621"/>
      <c r="H30" s="621"/>
      <c r="I30" s="59"/>
    </row>
    <row r="31" spans="1:10" ht="12.75" customHeight="1" x14ac:dyDescent="0.2">
      <c r="A31" s="845" t="s">
        <v>531</v>
      </c>
      <c r="B31" s="146"/>
      <c r="C31" s="68">
        <v>400</v>
      </c>
      <c r="D31" s="69">
        <v>230000</v>
      </c>
      <c r="E31" s="643">
        <v>-230000</v>
      </c>
      <c r="F31" s="643"/>
      <c r="G31" s="643"/>
      <c r="H31" s="643"/>
      <c r="I31" s="146"/>
    </row>
    <row r="32" spans="1:10" ht="12.75" customHeight="1" x14ac:dyDescent="0.2">
      <c r="A32" s="832" t="s">
        <v>532</v>
      </c>
      <c r="B32" s="59"/>
      <c r="C32" s="72">
        <v>200</v>
      </c>
      <c r="D32" s="73">
        <v>49000</v>
      </c>
      <c r="E32" s="621">
        <v>-49000</v>
      </c>
      <c r="F32" s="621"/>
      <c r="G32" s="621"/>
      <c r="H32" s="621"/>
      <c r="I32" s="59"/>
    </row>
    <row r="33" spans="1:9" ht="12.75" customHeight="1" x14ac:dyDescent="0.2">
      <c r="A33" s="888" t="s">
        <v>829</v>
      </c>
      <c r="B33" s="146"/>
      <c r="C33" s="68">
        <v>100</v>
      </c>
      <c r="D33" s="925">
        <v>45824</v>
      </c>
      <c r="E33" s="643">
        <v>274946</v>
      </c>
      <c r="F33" s="643"/>
      <c r="G33" s="643"/>
      <c r="H33" s="643"/>
      <c r="I33" s="146"/>
    </row>
    <row r="34" spans="1:9" ht="12.75" customHeight="1" x14ac:dyDescent="0.2">
      <c r="A34" s="896" t="s">
        <v>903</v>
      </c>
      <c r="B34" s="59"/>
      <c r="C34" s="72">
        <v>100</v>
      </c>
      <c r="D34" s="925">
        <v>130400</v>
      </c>
      <c r="E34" s="621">
        <v>-130400</v>
      </c>
      <c r="F34" s="621"/>
      <c r="G34" s="621"/>
      <c r="H34" s="621"/>
      <c r="I34" s="59"/>
    </row>
    <row r="35" spans="1:9" ht="12.75" customHeight="1" x14ac:dyDescent="0.2">
      <c r="A35" s="888" t="s">
        <v>836</v>
      </c>
      <c r="B35" s="146"/>
      <c r="C35" s="68">
        <v>100</v>
      </c>
      <c r="D35" s="925">
        <v>16950</v>
      </c>
      <c r="E35" s="643">
        <v>101697</v>
      </c>
      <c r="F35" s="643"/>
      <c r="G35" s="643"/>
      <c r="H35" s="643"/>
      <c r="I35" s="146"/>
    </row>
    <row r="36" spans="1:9" ht="12.75" customHeight="1" x14ac:dyDescent="0.2">
      <c r="A36" s="896" t="s">
        <v>943</v>
      </c>
      <c r="B36" s="59"/>
      <c r="C36" s="72">
        <v>100</v>
      </c>
      <c r="D36" s="925">
        <v>55144</v>
      </c>
      <c r="E36" s="621">
        <v>275719</v>
      </c>
      <c r="F36" s="621"/>
      <c r="G36" s="621"/>
      <c r="H36" s="621"/>
      <c r="I36" s="59"/>
    </row>
    <row r="37" spans="1:9" ht="12.75" customHeight="1" x14ac:dyDescent="0.2">
      <c r="A37" s="888" t="s">
        <v>944</v>
      </c>
      <c r="B37" s="146"/>
      <c r="C37" s="68">
        <v>100</v>
      </c>
      <c r="D37" s="925">
        <v>193300</v>
      </c>
      <c r="E37" s="643">
        <v>-193300</v>
      </c>
      <c r="F37" s="643"/>
      <c r="G37" s="643"/>
      <c r="H37" s="643"/>
      <c r="I37" s="146"/>
    </row>
    <row r="38" spans="1:9" ht="12.75" customHeight="1" x14ac:dyDescent="0.2">
      <c r="A38" s="831" t="s">
        <v>629</v>
      </c>
      <c r="B38" s="59"/>
      <c r="C38" s="72"/>
      <c r="D38" s="925"/>
      <c r="E38" s="621"/>
      <c r="F38" s="621"/>
      <c r="G38" s="621"/>
      <c r="H38" s="621"/>
      <c r="I38" s="59"/>
    </row>
    <row r="39" spans="1:9" ht="12.75" customHeight="1" x14ac:dyDescent="0.2">
      <c r="A39" s="888" t="s">
        <v>634</v>
      </c>
      <c r="B39" s="146"/>
      <c r="C39" s="68">
        <v>100</v>
      </c>
      <c r="D39" s="925"/>
      <c r="E39" s="643">
        <v>1000000</v>
      </c>
      <c r="F39" s="643"/>
      <c r="G39" s="643"/>
      <c r="H39" s="643"/>
      <c r="I39" s="146"/>
    </row>
    <row r="40" spans="1:9" ht="12.75" customHeight="1" x14ac:dyDescent="0.2">
      <c r="A40" s="831" t="s">
        <v>747</v>
      </c>
      <c r="B40" s="59"/>
      <c r="C40" s="72"/>
      <c r="D40" s="925"/>
      <c r="E40" s="621"/>
      <c r="F40" s="621"/>
      <c r="G40" s="621"/>
      <c r="H40" s="621"/>
      <c r="I40" s="59"/>
    </row>
    <row r="41" spans="1:9" ht="12.75" customHeight="1" x14ac:dyDescent="0.2">
      <c r="A41" s="888" t="s">
        <v>894</v>
      </c>
      <c r="B41" s="146"/>
      <c r="C41" s="68">
        <v>100</v>
      </c>
      <c r="D41" s="925"/>
      <c r="E41" s="643">
        <v>-7709935</v>
      </c>
      <c r="F41" s="643"/>
      <c r="G41" s="643">
        <v>7709935</v>
      </c>
      <c r="H41" s="643"/>
      <c r="I41" s="146"/>
    </row>
    <row r="42" spans="1:9" ht="12.75" customHeight="1" x14ac:dyDescent="0.2">
      <c r="A42" s="896" t="s">
        <v>769</v>
      </c>
      <c r="B42" s="59"/>
      <c r="C42" s="72">
        <v>200</v>
      </c>
      <c r="D42" s="925"/>
      <c r="E42" s="621">
        <v>-2225348</v>
      </c>
      <c r="F42" s="621"/>
      <c r="G42" s="621">
        <v>2225348</v>
      </c>
      <c r="H42" s="621"/>
      <c r="I42" s="59"/>
    </row>
    <row r="43" spans="1:9" ht="12.75" customHeight="1" x14ac:dyDescent="0.2">
      <c r="A43" s="888" t="s">
        <v>770</v>
      </c>
      <c r="B43" s="146"/>
      <c r="C43" s="68" t="s">
        <v>167</v>
      </c>
      <c r="D43" s="925"/>
      <c r="E43" s="643">
        <v>-573405</v>
      </c>
      <c r="F43" s="643"/>
      <c r="G43" s="643">
        <v>573405</v>
      </c>
      <c r="H43" s="643"/>
      <c r="I43" s="146"/>
    </row>
    <row r="44" spans="1:9" ht="12.75" customHeight="1" x14ac:dyDescent="0.2">
      <c r="A44" s="896" t="s">
        <v>771</v>
      </c>
      <c r="B44" s="59"/>
      <c r="C44" s="72" t="s">
        <v>167</v>
      </c>
      <c r="D44" s="925"/>
      <c r="E44" s="621">
        <v>-145000</v>
      </c>
      <c r="F44" s="621"/>
      <c r="G44" s="621">
        <v>145000</v>
      </c>
      <c r="H44" s="621"/>
      <c r="I44" s="59"/>
    </row>
    <row r="45" spans="1:9" ht="12.75" customHeight="1" x14ac:dyDescent="0.2">
      <c r="A45" s="888" t="s">
        <v>772</v>
      </c>
      <c r="B45" s="146"/>
      <c r="C45" s="68">
        <v>500</v>
      </c>
      <c r="D45" s="925"/>
      <c r="E45" s="643">
        <v>-2511000</v>
      </c>
      <c r="F45" s="643"/>
      <c r="G45" s="643">
        <v>2511000</v>
      </c>
      <c r="H45" s="643"/>
      <c r="I45" s="146"/>
    </row>
    <row r="46" spans="1:9" ht="12.75" customHeight="1" x14ac:dyDescent="0.2">
      <c r="A46" s="896" t="s">
        <v>906</v>
      </c>
      <c r="B46" s="59"/>
      <c r="C46" s="72">
        <v>100</v>
      </c>
      <c r="D46" s="925"/>
      <c r="E46" s="621">
        <v>-53770</v>
      </c>
      <c r="F46" s="621">
        <v>53770</v>
      </c>
      <c r="G46" s="621"/>
      <c r="H46" s="621"/>
      <c r="I46" s="59"/>
    </row>
    <row r="47" spans="1:9" ht="12.75" customHeight="1" x14ac:dyDescent="0.2">
      <c r="A47" s="822" t="s">
        <v>911</v>
      </c>
      <c r="B47" s="146"/>
      <c r="C47" s="68"/>
      <c r="D47" s="925"/>
      <c r="E47" s="643"/>
      <c r="F47" s="643"/>
      <c r="G47" s="643"/>
      <c r="H47" s="643"/>
      <c r="I47" s="146"/>
    </row>
    <row r="48" spans="1:9" ht="12.75" customHeight="1" x14ac:dyDescent="0.2">
      <c r="A48" s="896" t="s">
        <v>922</v>
      </c>
      <c r="B48" s="59"/>
      <c r="C48" s="72">
        <v>100</v>
      </c>
      <c r="D48" s="925"/>
      <c r="E48" s="621">
        <v>50894</v>
      </c>
      <c r="F48" s="621"/>
      <c r="G48" s="621"/>
      <c r="H48" s="621"/>
      <c r="I48" s="59"/>
    </row>
    <row r="49" spans="1:9" ht="12.75" customHeight="1" x14ac:dyDescent="0.2">
      <c r="A49" s="888" t="s">
        <v>983</v>
      </c>
      <c r="B49" s="146"/>
      <c r="C49" s="68">
        <v>500</v>
      </c>
      <c r="D49" s="925"/>
      <c r="E49" s="643">
        <f>1000000+500000</f>
        <v>1500000</v>
      </c>
      <c r="F49" s="643"/>
      <c r="G49" s="643"/>
      <c r="H49" s="643"/>
      <c r="I49" s="146"/>
    </row>
    <row r="50" spans="1:9" ht="12.75" customHeight="1" x14ac:dyDescent="0.2">
      <c r="A50" s="896" t="s">
        <v>996</v>
      </c>
      <c r="B50" s="59"/>
      <c r="C50" s="72">
        <v>100</v>
      </c>
      <c r="D50" s="925"/>
      <c r="E50" s="621"/>
      <c r="F50" s="621"/>
      <c r="G50" s="621">
        <v>-7709935</v>
      </c>
      <c r="H50" s="621">
        <v>7709935</v>
      </c>
      <c r="I50" s="59"/>
    </row>
    <row r="51" spans="1:9" ht="12.75" customHeight="1" x14ac:dyDescent="0.2">
      <c r="A51" s="888"/>
      <c r="B51" s="146"/>
      <c r="C51" s="68">
        <v>200</v>
      </c>
      <c r="D51" s="925"/>
      <c r="E51" s="643"/>
      <c r="F51" s="643"/>
      <c r="G51" s="643">
        <v>-2225348</v>
      </c>
      <c r="H51" s="643">
        <v>2225348</v>
      </c>
      <c r="I51" s="146"/>
    </row>
    <row r="52" spans="1:9" ht="12.75" customHeight="1" x14ac:dyDescent="0.2">
      <c r="A52" s="896"/>
      <c r="B52" s="59"/>
      <c r="C52" s="72" t="s">
        <v>167</v>
      </c>
      <c r="D52" s="925"/>
      <c r="E52" s="621"/>
      <c r="F52" s="621"/>
      <c r="G52" s="621">
        <v>-573405</v>
      </c>
      <c r="H52" s="621">
        <v>573405</v>
      </c>
      <c r="I52" s="59"/>
    </row>
    <row r="53" spans="1:9" x14ac:dyDescent="0.2">
      <c r="A53" s="888"/>
      <c r="B53" s="146"/>
      <c r="C53" s="954" t="s">
        <v>167</v>
      </c>
      <c r="D53" s="925"/>
      <c r="E53" s="643"/>
      <c r="F53" s="643"/>
      <c r="G53" s="643">
        <v>-145000</v>
      </c>
      <c r="H53" s="643">
        <v>145000</v>
      </c>
      <c r="I53" s="146"/>
    </row>
    <row r="54" spans="1:9" x14ac:dyDescent="0.2">
      <c r="A54" s="896"/>
      <c r="B54" s="59"/>
      <c r="C54" s="72">
        <v>500</v>
      </c>
      <c r="D54" s="925"/>
      <c r="E54" s="621"/>
      <c r="F54" s="621"/>
      <c r="G54" s="621">
        <v>-2511000</v>
      </c>
      <c r="H54" s="621">
        <v>1011000</v>
      </c>
      <c r="I54" s="59"/>
    </row>
    <row r="55" spans="1:9" x14ac:dyDescent="0.2">
      <c r="A55" s="888"/>
      <c r="B55" s="146"/>
      <c r="C55" s="68"/>
      <c r="D55" s="925"/>
      <c r="E55" s="643"/>
      <c r="F55" s="643"/>
      <c r="G55" s="643"/>
      <c r="H55" s="643"/>
      <c r="I55" s="146"/>
    </row>
  </sheetData>
  <mergeCells count="6">
    <mergeCell ref="A1:I1"/>
    <mergeCell ref="A2:I2"/>
    <mergeCell ref="A3:I3"/>
    <mergeCell ref="A4:I4"/>
    <mergeCell ref="C6:I6"/>
    <mergeCell ref="C5:I5"/>
  </mergeCells>
  <conditionalFormatting sqref="D33:D34">
    <cfRule type="expression" dxfId="97" priority="12">
      <formula>MOD(ROW(),2)=1</formula>
    </cfRule>
  </conditionalFormatting>
  <conditionalFormatting sqref="D35">
    <cfRule type="expression" dxfId="96" priority="9">
      <formula>MOD(ROW(),2)=1</formula>
    </cfRule>
  </conditionalFormatting>
  <conditionalFormatting sqref="D38 D40 D42 D44 D46 D48">
    <cfRule type="expression" dxfId="95" priority="6">
      <formula>MOD(ROW(),2)=1</formula>
    </cfRule>
  </conditionalFormatting>
  <conditionalFormatting sqref="D39 D41 D43 D45 D47 D49">
    <cfRule type="expression" dxfId="94" priority="5">
      <formula>MOD(ROW(),2)=1</formula>
    </cfRule>
  </conditionalFormatting>
  <conditionalFormatting sqref="D36">
    <cfRule type="expression" dxfId="93" priority="4">
      <formula>MOD(ROW(),2)=1</formula>
    </cfRule>
  </conditionalFormatting>
  <conditionalFormatting sqref="D37">
    <cfRule type="expression" dxfId="92" priority="3">
      <formula>MOD(ROW(),2)=1</formula>
    </cfRule>
  </conditionalFormatting>
  <conditionalFormatting sqref="D50 D52 D54">
    <cfRule type="expression" dxfId="91" priority="2">
      <formula>MOD(ROW(),2)=1</formula>
    </cfRule>
  </conditionalFormatting>
  <conditionalFormatting sqref="D51 D53 D55">
    <cfRule type="expression" dxfId="90" priority="1">
      <formula>MOD(ROW(),2)=1</formula>
    </cfRule>
  </conditionalFormatting>
  <pageMargins left="0.5" right="0.5" top="0.5" bottom="0.5" header="0.3" footer="0.3"/>
  <pageSetup scale="70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4">
    <tabColor rgb="FF92D050"/>
    <pageSetUpPr fitToPage="1"/>
  </sheetPr>
  <dimension ref="A1:K65"/>
  <sheetViews>
    <sheetView zoomScaleNormal="100" zoomScaleSheetLayoutView="90" workbookViewId="0">
      <selection activeCell="H12" sqref="H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72</v>
      </c>
      <c r="C6" s="963" t="s">
        <v>346</v>
      </c>
      <c r="D6" s="963"/>
      <c r="E6" s="963"/>
      <c r="F6" s="963"/>
      <c r="G6" s="963"/>
      <c r="H6" s="963"/>
      <c r="I6" s="963"/>
    </row>
    <row r="7" spans="1:11" ht="16" thickBot="1" x14ac:dyDescent="0.25">
      <c r="C7" s="967" t="s">
        <v>347</v>
      </c>
      <c r="D7" s="967"/>
      <c r="E7" s="967"/>
      <c r="F7" s="967"/>
      <c r="G7" s="967"/>
      <c r="H7" s="967"/>
      <c r="I7" s="967"/>
    </row>
    <row r="8" spans="1:11" s="8" customFormat="1" ht="30" customHeight="1" x14ac:dyDescent="0.2">
      <c r="A8" s="1" t="s">
        <v>3</v>
      </c>
      <c r="B8" s="338" t="s">
        <v>451</v>
      </c>
      <c r="C8" s="353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227">
        <v>4695950</v>
      </c>
      <c r="C9" s="354">
        <v>5167172</v>
      </c>
      <c r="D9" s="227">
        <f>+C9+D27+D29+D30+D31+D32+D33</f>
        <v>5206876</v>
      </c>
      <c r="E9" s="115">
        <f>+D9+E39+E42+E29+E30+E31+E46+E32+E33</f>
        <v>4834959</v>
      </c>
      <c r="F9" s="411">
        <f>+E9+F46</f>
        <v>4873604</v>
      </c>
      <c r="G9" s="34">
        <f>+F9+G42+G49</f>
        <v>4873604</v>
      </c>
      <c r="H9" s="227">
        <f>+G9+H49</f>
        <v>5346734</v>
      </c>
      <c r="I9" s="51">
        <f t="shared" ref="E9:I15" si="0">+H9</f>
        <v>5346734</v>
      </c>
      <c r="K9" s="7">
        <v>100</v>
      </c>
    </row>
    <row r="10" spans="1:11" x14ac:dyDescent="0.2">
      <c r="A10" s="10" t="s">
        <v>5</v>
      </c>
      <c r="B10" s="257">
        <v>3740958</v>
      </c>
      <c r="C10" s="355">
        <v>5192113</v>
      </c>
      <c r="D10" s="230">
        <f>+C10</f>
        <v>5192113</v>
      </c>
      <c r="E10" s="550">
        <f>+D10+E23+E25+E36+E37+E43+E48</f>
        <v>3619463</v>
      </c>
      <c r="F10" s="548">
        <f>+E10+F36</f>
        <v>3589463</v>
      </c>
      <c r="G10" s="36">
        <f>+F10+G43+G50</f>
        <v>3589463</v>
      </c>
      <c r="H10" s="230">
        <f>+G10+H50</f>
        <v>4087113</v>
      </c>
      <c r="I10" s="37">
        <f>+H10</f>
        <v>4087113</v>
      </c>
      <c r="K10" s="7">
        <v>200</v>
      </c>
    </row>
    <row r="11" spans="1:11" x14ac:dyDescent="0.2">
      <c r="A11" s="9" t="s">
        <v>6</v>
      </c>
      <c r="B11" s="227">
        <f>40027+13976</f>
        <v>54003</v>
      </c>
      <c r="C11" s="354">
        <v>101461</v>
      </c>
      <c r="D11" s="227">
        <f>+C11</f>
        <v>101461</v>
      </c>
      <c r="E11" s="115">
        <f>+D11+E38+E44</f>
        <v>80761</v>
      </c>
      <c r="F11" s="411">
        <f t="shared" si="0"/>
        <v>80761</v>
      </c>
      <c r="G11" s="34">
        <f>+F11+G44+G51</f>
        <v>80761</v>
      </c>
      <c r="H11" s="227">
        <f>+G11+H51</f>
        <v>81461</v>
      </c>
      <c r="I11" s="35">
        <f t="shared" si="0"/>
        <v>81461</v>
      </c>
      <c r="K11" s="7" t="s">
        <v>167</v>
      </c>
    </row>
    <row r="12" spans="1:11" x14ac:dyDescent="0.2">
      <c r="A12" s="10" t="s">
        <v>7</v>
      </c>
      <c r="B12" s="230">
        <v>3990780</v>
      </c>
      <c r="C12" s="356">
        <v>1350000</v>
      </c>
      <c r="D12" s="230">
        <f>+C12+D28</f>
        <v>6350000</v>
      </c>
      <c r="E12" s="550">
        <f>+D12+E22+E28+E35+E40+E45</f>
        <v>0</v>
      </c>
      <c r="F12" s="548">
        <f>+E12+F47</f>
        <v>0</v>
      </c>
      <c r="G12" s="36">
        <f>+F12+G45+G52</f>
        <v>0</v>
      </c>
      <c r="H12" s="230">
        <f>+G12+H52</f>
        <v>7119188</v>
      </c>
      <c r="I12" s="37">
        <f t="shared" si="0"/>
        <v>7119188</v>
      </c>
      <c r="K12" s="7">
        <v>500</v>
      </c>
    </row>
    <row r="13" spans="1:11" x14ac:dyDescent="0.2">
      <c r="A13" s="9" t="s">
        <v>8</v>
      </c>
      <c r="B13" s="227">
        <v>0</v>
      </c>
      <c r="C13" s="35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230">
        <v>0</v>
      </c>
      <c r="C14" s="35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231">
        <v>0</v>
      </c>
      <c r="C15" s="357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362">
        <f>SUM(B9:B15)</f>
        <v>12481691</v>
      </c>
      <c r="C16" s="339">
        <f t="shared" ref="C16:I16" si="2">SUM(C9:C15)</f>
        <v>11810746</v>
      </c>
      <c r="D16" s="40">
        <f t="shared" si="2"/>
        <v>16850450</v>
      </c>
      <c r="E16" s="573">
        <f t="shared" si="2"/>
        <v>8535183</v>
      </c>
      <c r="F16" s="40">
        <f t="shared" si="2"/>
        <v>8543828</v>
      </c>
      <c r="G16" s="40">
        <f t="shared" si="2"/>
        <v>8543828</v>
      </c>
      <c r="H16" s="40">
        <f t="shared" si="2"/>
        <v>16634496</v>
      </c>
      <c r="I16" s="40">
        <f t="shared" si="2"/>
        <v>16634496</v>
      </c>
    </row>
    <row r="17" spans="1:11" x14ac:dyDescent="0.2">
      <c r="A17" s="363"/>
      <c r="B17" s="359"/>
      <c r="C17" s="358"/>
      <c r="D17" s="358"/>
      <c r="E17" s="358"/>
    </row>
    <row r="18" spans="1:11" x14ac:dyDescent="0.2">
      <c r="B18" s="360"/>
      <c r="C18" s="358"/>
      <c r="D18" s="358"/>
      <c r="E18" s="416">
        <f>+E16-D16</f>
        <v>-8315267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2.7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1" ht="12.75" customHeight="1" x14ac:dyDescent="0.2">
      <c r="A21" s="324" t="s">
        <v>358</v>
      </c>
      <c r="B21" s="85"/>
      <c r="C21" s="75"/>
      <c r="D21" s="70"/>
      <c r="E21" s="70"/>
      <c r="F21" s="70"/>
      <c r="G21" s="69"/>
      <c r="H21" s="70"/>
      <c r="I21" s="70"/>
      <c r="J21" s="17"/>
    </row>
    <row r="22" spans="1:11" s="59" customFormat="1" ht="12.75" customHeight="1" x14ac:dyDescent="0.2">
      <c r="A22" s="631" t="s">
        <v>362</v>
      </c>
      <c r="B22" s="79"/>
      <c r="C22" s="89">
        <v>500</v>
      </c>
      <c r="D22" s="74"/>
      <c r="E22" s="74">
        <v>-1000000</v>
      </c>
      <c r="F22" s="74"/>
      <c r="G22" s="95"/>
      <c r="H22" s="95"/>
      <c r="I22" s="95"/>
      <c r="J22" s="82"/>
      <c r="K22" s="7"/>
    </row>
    <row r="23" spans="1:11" ht="12.75" customHeight="1" x14ac:dyDescent="0.2">
      <c r="A23" s="687" t="s">
        <v>384</v>
      </c>
      <c r="B23" s="146"/>
      <c r="C23" s="75">
        <v>200</v>
      </c>
      <c r="D23" s="70"/>
      <c r="E23" s="70">
        <v>-25000</v>
      </c>
      <c r="F23" s="70"/>
      <c r="G23" s="69"/>
      <c r="H23" s="70"/>
      <c r="I23" s="70"/>
      <c r="J23" s="17"/>
    </row>
    <row r="24" spans="1:11" ht="12.75" customHeight="1" x14ac:dyDescent="0.2">
      <c r="A24" s="347" t="s">
        <v>404</v>
      </c>
      <c r="B24" s="59"/>
      <c r="C24" s="82"/>
      <c r="D24" s="73"/>
      <c r="E24" s="73"/>
      <c r="F24" s="73"/>
      <c r="G24" s="74"/>
      <c r="H24" s="74"/>
      <c r="I24" s="74"/>
      <c r="J24" s="17"/>
    </row>
    <row r="25" spans="1:11" ht="12.75" customHeight="1" x14ac:dyDescent="0.2">
      <c r="A25" s="732" t="s">
        <v>420</v>
      </c>
      <c r="B25" s="189"/>
      <c r="C25" s="137">
        <v>200</v>
      </c>
      <c r="D25" s="138"/>
      <c r="E25" s="138">
        <v>-2000000</v>
      </c>
      <c r="F25" s="138"/>
      <c r="G25" s="139"/>
      <c r="H25" s="139"/>
      <c r="I25" s="139"/>
      <c r="J25" s="17"/>
    </row>
    <row r="26" spans="1:11" ht="12.75" customHeight="1" x14ac:dyDescent="0.2">
      <c r="A26" s="833" t="s">
        <v>494</v>
      </c>
      <c r="B26" s="834"/>
      <c r="C26" s="241"/>
      <c r="D26" s="835"/>
      <c r="E26" s="74"/>
      <c r="F26" s="74"/>
      <c r="G26" s="74"/>
      <c r="H26" s="74"/>
      <c r="I26" s="74"/>
      <c r="J26" s="17"/>
    </row>
    <row r="27" spans="1:11" ht="12.75" customHeight="1" x14ac:dyDescent="0.2">
      <c r="A27" s="303" t="s">
        <v>502</v>
      </c>
      <c r="B27" s="304"/>
      <c r="C27" s="249">
        <v>100</v>
      </c>
      <c r="D27" s="250">
        <v>6730</v>
      </c>
      <c r="E27" s="70"/>
      <c r="F27" s="70"/>
      <c r="G27" s="70"/>
      <c r="H27" s="70"/>
      <c r="I27" s="70"/>
      <c r="J27" s="17"/>
    </row>
    <row r="28" spans="1:11" ht="12.75" customHeight="1" x14ac:dyDescent="0.2">
      <c r="A28" s="890" t="s">
        <v>533</v>
      </c>
      <c r="B28" s="79"/>
      <c r="C28" s="89">
        <v>500</v>
      </c>
      <c r="D28" s="74">
        <v>5000000</v>
      </c>
      <c r="E28" s="74">
        <v>-5000000</v>
      </c>
      <c r="F28" s="74"/>
      <c r="G28" s="95"/>
      <c r="H28" s="95"/>
      <c r="I28" s="95"/>
      <c r="J28" s="17"/>
    </row>
    <row r="29" spans="1:11" ht="12.75" customHeight="1" x14ac:dyDescent="0.2">
      <c r="A29" s="926" t="s">
        <v>827</v>
      </c>
      <c r="B29" s="146"/>
      <c r="C29" s="895">
        <v>100</v>
      </c>
      <c r="D29" s="925">
        <v>7282</v>
      </c>
      <c r="E29" s="925">
        <v>43694</v>
      </c>
      <c r="F29" s="70"/>
      <c r="G29" s="69"/>
      <c r="H29" s="70"/>
      <c r="I29" s="70"/>
      <c r="J29" s="17"/>
    </row>
    <row r="30" spans="1:11" ht="12.75" customHeight="1" x14ac:dyDescent="0.2">
      <c r="A30" s="926" t="s">
        <v>901</v>
      </c>
      <c r="B30" s="79"/>
      <c r="C30" s="89">
        <v>100</v>
      </c>
      <c r="D30" s="925">
        <v>17050</v>
      </c>
      <c r="E30" s="925">
        <v>-17050</v>
      </c>
      <c r="F30" s="74"/>
      <c r="G30" s="74"/>
      <c r="H30" s="74"/>
      <c r="I30" s="74"/>
      <c r="J30" s="17"/>
    </row>
    <row r="31" spans="1:11" ht="12.75" customHeight="1" x14ac:dyDescent="0.2">
      <c r="A31" s="926" t="s">
        <v>835</v>
      </c>
      <c r="B31" s="146"/>
      <c r="C31" s="895">
        <v>100</v>
      </c>
      <c r="D31" s="925">
        <v>1809</v>
      </c>
      <c r="E31" s="925">
        <v>10851</v>
      </c>
      <c r="F31" s="70"/>
      <c r="G31" s="69"/>
      <c r="H31" s="70"/>
      <c r="I31" s="70"/>
      <c r="J31" s="17"/>
    </row>
    <row r="32" spans="1:11" ht="12.75" customHeight="1" x14ac:dyDescent="0.2">
      <c r="A32" s="926" t="s">
        <v>941</v>
      </c>
      <c r="B32" s="79"/>
      <c r="C32" s="89">
        <v>100</v>
      </c>
      <c r="D32" s="925">
        <v>1533</v>
      </c>
      <c r="E32" s="925">
        <v>7663</v>
      </c>
      <c r="F32" s="74"/>
      <c r="G32" s="74"/>
      <c r="H32" s="74"/>
      <c r="I32" s="74"/>
      <c r="J32" s="17"/>
    </row>
    <row r="33" spans="1:10" ht="12.75" customHeight="1" x14ac:dyDescent="0.2">
      <c r="A33" s="926" t="s">
        <v>942</v>
      </c>
      <c r="B33" s="146"/>
      <c r="C33" s="895">
        <v>100</v>
      </c>
      <c r="D33" s="925">
        <v>5300</v>
      </c>
      <c r="E33" s="925">
        <v>-5300</v>
      </c>
      <c r="F33" s="70"/>
      <c r="G33" s="69"/>
      <c r="H33" s="70"/>
      <c r="I33" s="70"/>
      <c r="J33" s="17"/>
    </row>
    <row r="34" spans="1:10" ht="12.75" customHeight="1" x14ac:dyDescent="0.2">
      <c r="A34" s="928" t="s">
        <v>625</v>
      </c>
      <c r="B34" s="79"/>
      <c r="C34" s="89"/>
      <c r="D34" s="925"/>
      <c r="E34" s="925"/>
      <c r="F34" s="74"/>
      <c r="G34" s="74"/>
      <c r="H34" s="74"/>
      <c r="I34" s="74"/>
      <c r="J34" s="17"/>
    </row>
    <row r="35" spans="1:10" ht="12.75" customHeight="1" x14ac:dyDescent="0.2">
      <c r="A35" s="926" t="s">
        <v>661</v>
      </c>
      <c r="B35" s="146"/>
      <c r="C35" s="895">
        <v>500</v>
      </c>
      <c r="D35" s="925"/>
      <c r="E35" s="925">
        <v>3818000</v>
      </c>
      <c r="F35" s="70"/>
      <c r="G35" s="69"/>
      <c r="H35" s="70"/>
      <c r="I35" s="70"/>
      <c r="J35" s="17"/>
    </row>
    <row r="36" spans="1:10" ht="12.75" customHeight="1" x14ac:dyDescent="0.2">
      <c r="A36" s="926" t="s">
        <v>662</v>
      </c>
      <c r="B36" s="79"/>
      <c r="C36" s="89">
        <v>200</v>
      </c>
      <c r="D36" s="925"/>
      <c r="E36" s="925">
        <v>30000</v>
      </c>
      <c r="F36" s="74">
        <v>-30000</v>
      </c>
      <c r="G36" s="74"/>
      <c r="H36" s="74"/>
      <c r="I36" s="74"/>
      <c r="J36" s="17"/>
    </row>
    <row r="37" spans="1:10" ht="12.75" customHeight="1" x14ac:dyDescent="0.2">
      <c r="A37" s="926" t="s">
        <v>689</v>
      </c>
      <c r="B37" s="146"/>
      <c r="C37" s="895">
        <v>200</v>
      </c>
      <c r="D37" s="925"/>
      <c r="E37" s="925">
        <v>20000</v>
      </c>
      <c r="F37" s="70"/>
      <c r="G37" s="69"/>
      <c r="H37" s="70"/>
      <c r="I37" s="70"/>
      <c r="J37" s="17"/>
    </row>
    <row r="38" spans="1:10" ht="12.75" customHeight="1" x14ac:dyDescent="0.2">
      <c r="A38" s="926"/>
      <c r="B38" s="79"/>
      <c r="C38" s="89" t="s">
        <v>167</v>
      </c>
      <c r="D38" s="925"/>
      <c r="E38" s="925">
        <v>-20000</v>
      </c>
      <c r="F38" s="74"/>
      <c r="G38" s="74"/>
      <c r="H38" s="74"/>
      <c r="I38" s="74"/>
      <c r="J38" s="505"/>
    </row>
    <row r="39" spans="1:10" ht="12.75" customHeight="1" x14ac:dyDescent="0.2">
      <c r="A39" s="926" t="s">
        <v>722</v>
      </c>
      <c r="B39" s="146"/>
      <c r="C39" s="895">
        <v>100</v>
      </c>
      <c r="D39" s="925"/>
      <c r="E39" s="925">
        <v>100000</v>
      </c>
      <c r="F39" s="70"/>
      <c r="G39" s="69"/>
      <c r="H39" s="70"/>
      <c r="I39" s="70"/>
      <c r="J39" s="17"/>
    </row>
    <row r="40" spans="1:10" ht="12.75" customHeight="1" x14ac:dyDescent="0.2">
      <c r="A40" s="926"/>
      <c r="B40" s="79"/>
      <c r="C40" s="89">
        <v>500</v>
      </c>
      <c r="D40" s="925"/>
      <c r="E40" s="925">
        <v>2951188</v>
      </c>
      <c r="F40" s="74"/>
      <c r="G40" s="74"/>
      <c r="H40" s="74"/>
      <c r="I40" s="74"/>
      <c r="J40" s="17"/>
    </row>
    <row r="41" spans="1:10" ht="12.75" customHeight="1" x14ac:dyDescent="0.2">
      <c r="A41" s="928" t="s">
        <v>748</v>
      </c>
      <c r="B41" s="146"/>
      <c r="C41" s="895"/>
      <c r="D41" s="925"/>
      <c r="E41" s="925"/>
      <c r="F41" s="70"/>
      <c r="G41" s="69"/>
      <c r="H41" s="70"/>
      <c r="I41" s="70"/>
      <c r="J41" s="17"/>
    </row>
    <row r="42" spans="1:10" ht="12.75" customHeight="1" x14ac:dyDescent="0.2">
      <c r="A42" s="926" t="s">
        <v>889</v>
      </c>
      <c r="B42" s="79"/>
      <c r="C42" s="89">
        <v>100</v>
      </c>
      <c r="D42" s="925"/>
      <c r="E42" s="925">
        <v>-473130</v>
      </c>
      <c r="F42" s="74"/>
      <c r="G42" s="74">
        <v>473130</v>
      </c>
      <c r="H42" s="74"/>
      <c r="I42" s="74"/>
      <c r="J42" s="17"/>
    </row>
    <row r="43" spans="1:10" ht="12.75" customHeight="1" x14ac:dyDescent="0.2">
      <c r="A43" s="926" t="s">
        <v>789</v>
      </c>
      <c r="B43" s="146"/>
      <c r="C43" s="895">
        <v>200</v>
      </c>
      <c r="D43" s="925"/>
      <c r="E43" s="925">
        <v>-497650</v>
      </c>
      <c r="F43" s="70"/>
      <c r="G43" s="69">
        <v>497650</v>
      </c>
      <c r="H43" s="70"/>
      <c r="I43" s="70"/>
      <c r="J43" s="17"/>
    </row>
    <row r="44" spans="1:10" ht="12.75" customHeight="1" x14ac:dyDescent="0.2">
      <c r="A44" s="926" t="s">
        <v>805</v>
      </c>
      <c r="B44" s="79"/>
      <c r="C44" s="89" t="s">
        <v>167</v>
      </c>
      <c r="D44" s="925"/>
      <c r="E44" s="925">
        <v>-700</v>
      </c>
      <c r="F44" s="74"/>
      <c r="G44" s="74">
        <v>700</v>
      </c>
      <c r="H44" s="74"/>
      <c r="I44" s="74"/>
      <c r="J44" s="17"/>
    </row>
    <row r="45" spans="1:10" ht="12.75" customHeight="1" x14ac:dyDescent="0.2">
      <c r="A45" s="926" t="s">
        <v>806</v>
      </c>
      <c r="B45" s="146"/>
      <c r="C45" s="895">
        <v>500</v>
      </c>
      <c r="D45" s="925"/>
      <c r="E45" s="925">
        <v>-7119188</v>
      </c>
      <c r="F45" s="70"/>
      <c r="G45" s="69">
        <v>7119188</v>
      </c>
      <c r="H45" s="70"/>
      <c r="I45" s="70"/>
      <c r="J45" s="17"/>
    </row>
    <row r="46" spans="1:10" ht="12.75" customHeight="1" x14ac:dyDescent="0.2">
      <c r="A46" s="184" t="s">
        <v>909</v>
      </c>
      <c r="B46" s="79"/>
      <c r="C46" s="76">
        <v>100</v>
      </c>
      <c r="D46" s="74"/>
      <c r="E46" s="74">
        <v>-38645</v>
      </c>
      <c r="F46" s="74">
        <v>38645</v>
      </c>
      <c r="G46" s="74"/>
      <c r="H46" s="74"/>
      <c r="I46" s="74"/>
    </row>
    <row r="47" spans="1:10" ht="12.75" customHeight="1" x14ac:dyDescent="0.2">
      <c r="A47" s="928" t="s">
        <v>913</v>
      </c>
      <c r="B47" s="146"/>
      <c r="C47" s="895"/>
      <c r="D47" s="925"/>
      <c r="E47" s="925"/>
      <c r="F47" s="70"/>
      <c r="G47" s="69"/>
      <c r="H47" s="70"/>
      <c r="I47" s="70"/>
    </row>
    <row r="48" spans="1:10" ht="12.75" customHeight="1" x14ac:dyDescent="0.2">
      <c r="A48" s="184" t="s">
        <v>981</v>
      </c>
      <c r="B48" s="79"/>
      <c r="C48" s="76">
        <v>200</v>
      </c>
      <c r="D48" s="74"/>
      <c r="E48" s="74">
        <v>900000</v>
      </c>
      <c r="F48" s="74"/>
      <c r="G48" s="74"/>
      <c r="H48" s="74"/>
      <c r="I48" s="74"/>
    </row>
    <row r="49" spans="1:9" ht="13.5" customHeight="1" x14ac:dyDescent="0.2">
      <c r="A49" s="926" t="s">
        <v>997</v>
      </c>
      <c r="B49" s="146"/>
      <c r="C49" s="895">
        <v>100</v>
      </c>
      <c r="D49" s="925"/>
      <c r="E49" s="925"/>
      <c r="F49" s="70"/>
      <c r="G49" s="69">
        <v>-473130</v>
      </c>
      <c r="H49" s="70">
        <v>473130</v>
      </c>
      <c r="I49" s="70"/>
    </row>
    <row r="50" spans="1:9" ht="12.75" customHeight="1" x14ac:dyDescent="0.2">
      <c r="A50" s="184"/>
      <c r="B50" s="79"/>
      <c r="C50" s="76">
        <v>200</v>
      </c>
      <c r="D50" s="74"/>
      <c r="E50" s="74"/>
      <c r="F50" s="74"/>
      <c r="G50" s="74">
        <v>-497650</v>
      </c>
      <c r="H50" s="74">
        <v>497650</v>
      </c>
      <c r="I50" s="74"/>
    </row>
    <row r="51" spans="1:9" ht="12.75" customHeight="1" x14ac:dyDescent="0.2">
      <c r="A51" s="926"/>
      <c r="B51" s="146"/>
      <c r="C51" s="895" t="s">
        <v>167</v>
      </c>
      <c r="D51" s="925"/>
      <c r="E51" s="925"/>
      <c r="F51" s="70"/>
      <c r="G51" s="69">
        <v>-700</v>
      </c>
      <c r="H51" s="70">
        <v>700</v>
      </c>
      <c r="I51" s="70"/>
    </row>
    <row r="52" spans="1:9" ht="12.75" customHeight="1" x14ac:dyDescent="0.2">
      <c r="A52" s="676"/>
      <c r="B52" s="59"/>
      <c r="C52" s="82">
        <v>500</v>
      </c>
      <c r="D52" s="73"/>
      <c r="E52" s="73"/>
      <c r="F52" s="73"/>
      <c r="G52" s="73">
        <v>-7119188</v>
      </c>
      <c r="H52" s="74">
        <v>7119188</v>
      </c>
      <c r="I52" s="74"/>
    </row>
    <row r="53" spans="1:9" ht="12.75" customHeight="1" x14ac:dyDescent="0.2">
      <c r="A53" s="686"/>
      <c r="B53" s="59"/>
      <c r="C53" s="72"/>
      <c r="D53" s="73"/>
      <c r="E53" s="73"/>
      <c r="F53" s="73"/>
      <c r="G53" s="73"/>
      <c r="H53" s="74"/>
      <c r="I53" s="74"/>
    </row>
    <row r="54" spans="1:9" ht="12.75" customHeight="1" x14ac:dyDescent="0.2">
      <c r="A54" s="59"/>
      <c r="B54" s="59"/>
      <c r="C54" s="59"/>
      <c r="D54" s="59"/>
      <c r="E54" s="59"/>
      <c r="F54" s="73"/>
      <c r="G54" s="73"/>
      <c r="H54" s="74"/>
      <c r="I54" s="74"/>
    </row>
    <row r="55" spans="1:9" ht="12.75" customHeight="1" x14ac:dyDescent="0.2">
      <c r="A55" s="59"/>
      <c r="B55" s="59"/>
      <c r="C55" s="59"/>
      <c r="D55" s="59"/>
      <c r="E55" s="59"/>
      <c r="F55" s="73"/>
      <c r="G55" s="73"/>
      <c r="H55" s="74"/>
      <c r="I55" s="74"/>
    </row>
    <row r="56" spans="1:9" ht="12.75" customHeight="1" x14ac:dyDescent="0.2">
      <c r="A56" s="82"/>
      <c r="B56" s="59"/>
      <c r="C56" s="82"/>
      <c r="D56" s="73"/>
      <c r="E56" s="73"/>
      <c r="F56" s="73"/>
      <c r="G56" s="73"/>
      <c r="H56" s="74"/>
      <c r="I56" s="74"/>
    </row>
    <row r="57" spans="1:9" ht="12.75" customHeight="1" x14ac:dyDescent="0.2">
      <c r="A57" s="82"/>
      <c r="B57" s="59"/>
      <c r="C57" s="72"/>
      <c r="D57" s="73"/>
      <c r="E57" s="73"/>
      <c r="F57" s="73"/>
      <c r="G57" s="73"/>
      <c r="H57" s="74"/>
      <c r="I57" s="74"/>
    </row>
    <row r="58" spans="1:9" ht="12.75" customHeight="1" x14ac:dyDescent="0.2">
      <c r="A58" s="82"/>
      <c r="B58" s="59"/>
      <c r="C58" s="330"/>
      <c r="D58" s="73"/>
      <c r="E58" s="59"/>
      <c r="F58" s="59"/>
      <c r="G58" s="59"/>
      <c r="H58" s="59"/>
      <c r="I58" s="59"/>
    </row>
    <row r="59" spans="1:9" ht="12.75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</row>
    <row r="60" spans="1:9" ht="12.75" customHeight="1" x14ac:dyDescent="0.2">
      <c r="A60" s="82"/>
      <c r="B60" s="59"/>
      <c r="C60" s="82"/>
      <c r="D60" s="59"/>
      <c r="E60" s="59"/>
      <c r="F60" s="59"/>
      <c r="G60" s="59"/>
      <c r="H60" s="59"/>
      <c r="I60" s="59"/>
    </row>
    <row r="61" spans="1:9" x14ac:dyDescent="0.2">
      <c r="A61" s="59"/>
      <c r="B61" s="59"/>
      <c r="C61" s="82"/>
      <c r="D61" s="59"/>
      <c r="E61" s="59"/>
      <c r="F61" s="59"/>
      <c r="G61" s="59"/>
      <c r="H61" s="59"/>
      <c r="I61" s="59"/>
    </row>
    <row r="62" spans="1:9" x14ac:dyDescent="0.2">
      <c r="A62" s="82"/>
      <c r="B62" s="59"/>
      <c r="C62" s="82"/>
      <c r="D62" s="59"/>
      <c r="E62" s="73"/>
      <c r="F62" s="59"/>
      <c r="G62" s="59"/>
      <c r="H62" s="59"/>
      <c r="I62" s="59"/>
    </row>
    <row r="63" spans="1:9" x14ac:dyDescent="0.2">
      <c r="A63" s="59"/>
      <c r="B63" s="59"/>
      <c r="C63" s="59"/>
      <c r="D63" s="59"/>
      <c r="E63" s="59"/>
      <c r="F63" s="59"/>
      <c r="G63" s="59"/>
      <c r="H63" s="59"/>
      <c r="I63" s="59"/>
    </row>
    <row r="64" spans="1:9" x14ac:dyDescent="0.2">
      <c r="A64" s="59"/>
      <c r="B64" s="59"/>
      <c r="C64" s="59"/>
      <c r="D64" s="59"/>
      <c r="E64" s="59"/>
      <c r="F64" s="59"/>
      <c r="G64" s="59"/>
      <c r="H64" s="59"/>
      <c r="I64" s="59"/>
    </row>
    <row r="65" spans="1:9" x14ac:dyDescent="0.2">
      <c r="A65" s="59"/>
      <c r="B65" s="59"/>
      <c r="C65" s="59"/>
      <c r="D65" s="59"/>
      <c r="E65" s="59"/>
      <c r="F65" s="59"/>
      <c r="G65" s="59"/>
      <c r="H65" s="59"/>
      <c r="I65" s="59"/>
    </row>
  </sheetData>
  <mergeCells count="7">
    <mergeCell ref="C7:I7"/>
    <mergeCell ref="A1:I1"/>
    <mergeCell ref="A2:I2"/>
    <mergeCell ref="A3:I3"/>
    <mergeCell ref="A4:I4"/>
    <mergeCell ref="C6:I6"/>
    <mergeCell ref="C5:I5"/>
  </mergeCells>
  <conditionalFormatting sqref="A29:A30">
    <cfRule type="expression" dxfId="89" priority="12">
      <formula>MOD(ROW(),2)=1</formula>
    </cfRule>
  </conditionalFormatting>
  <conditionalFormatting sqref="D29:E30">
    <cfRule type="expression" dxfId="88" priority="11">
      <formula>MOD(ROW(),2)=1</formula>
    </cfRule>
  </conditionalFormatting>
  <conditionalFormatting sqref="A31 A34:A45">
    <cfRule type="expression" dxfId="87" priority="8">
      <formula>MOD(ROW(),2)=1</formula>
    </cfRule>
  </conditionalFormatting>
  <conditionalFormatting sqref="D31:E31 D34:E45">
    <cfRule type="expression" dxfId="86" priority="7">
      <formula>MOD(ROW(),2)=1</formula>
    </cfRule>
  </conditionalFormatting>
  <conditionalFormatting sqref="A32">
    <cfRule type="expression" dxfId="85" priority="6">
      <formula>MOD(ROW(),2)=1</formula>
    </cfRule>
  </conditionalFormatting>
  <conditionalFormatting sqref="D32:E32">
    <cfRule type="expression" dxfId="84" priority="5">
      <formula>MOD(ROW(),2)=1</formula>
    </cfRule>
  </conditionalFormatting>
  <conditionalFormatting sqref="A33">
    <cfRule type="expression" dxfId="83" priority="4">
      <formula>MOD(ROW(),2)=1</formula>
    </cfRule>
  </conditionalFormatting>
  <conditionalFormatting sqref="D33:E33">
    <cfRule type="expression" dxfId="82" priority="3">
      <formula>MOD(ROW(),2)=1</formula>
    </cfRule>
  </conditionalFormatting>
  <conditionalFormatting sqref="A47 A49 A51">
    <cfRule type="expression" dxfId="81" priority="2">
      <formula>MOD(ROW(),2)=1</formula>
    </cfRule>
  </conditionalFormatting>
  <conditionalFormatting sqref="D47:E47 D49:E49 D51:E51">
    <cfRule type="expression" dxfId="80" priority="1">
      <formula>MOD(ROW(),2)=1</formula>
    </cfRule>
  </conditionalFormatting>
  <pageMargins left="0.5" right="0.5" top="0.5" bottom="0.5" header="0.3" footer="0.3"/>
  <pageSetup scale="71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  <pageSetUpPr fitToPage="1"/>
  </sheetPr>
  <dimension ref="A1:K60"/>
  <sheetViews>
    <sheetView zoomScaleNormal="100" zoomScaleSheetLayoutView="90" workbookViewId="0">
      <selection activeCell="A6" sqref="A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45</v>
      </c>
      <c r="C6" s="963" t="s">
        <v>165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875033</v>
      </c>
      <c r="C9" s="34">
        <v>1041630</v>
      </c>
      <c r="D9" s="227">
        <f>+C9+D21+D22</f>
        <v>1044071</v>
      </c>
      <c r="E9" s="115">
        <f>+D9+E21+E22+E23+E25+E27</f>
        <v>915196</v>
      </c>
      <c r="F9" s="411">
        <f>+E9+F23+F27</f>
        <v>915196</v>
      </c>
      <c r="G9" s="34">
        <f>+F9+G25</f>
        <v>1045764</v>
      </c>
      <c r="H9" s="227">
        <f>+G9</f>
        <v>1045764</v>
      </c>
      <c r="I9" s="51">
        <f t="shared" ref="F9:I15" si="0">+H9</f>
        <v>1045764</v>
      </c>
      <c r="K9" s="7">
        <v>100</v>
      </c>
    </row>
    <row r="10" spans="1:11" x14ac:dyDescent="0.2">
      <c r="A10" s="10" t="s">
        <v>5</v>
      </c>
      <c r="B10" s="36">
        <v>43538</v>
      </c>
      <c r="C10" s="36">
        <v>52500</v>
      </c>
      <c r="D10" s="230">
        <f>+C10</f>
        <v>52500</v>
      </c>
      <c r="E10" s="550">
        <f>+D10+E26</f>
        <v>52500</v>
      </c>
      <c r="F10" s="548">
        <f t="shared" si="0"/>
        <v>52500</v>
      </c>
      <c r="G10" s="36">
        <f t="shared" si="0"/>
        <v>52500</v>
      </c>
      <c r="H10" s="230">
        <f t="shared" si="0"/>
        <v>52500</v>
      </c>
      <c r="I10" s="37">
        <f t="shared" si="0"/>
        <v>52500</v>
      </c>
      <c r="K10" s="7">
        <v>200</v>
      </c>
    </row>
    <row r="11" spans="1:11" x14ac:dyDescent="0.2">
      <c r="A11" s="9" t="s">
        <v>6</v>
      </c>
      <c r="B11" s="34">
        <f>6787+280</f>
        <v>7067</v>
      </c>
      <c r="C11" s="34">
        <v>7500</v>
      </c>
      <c r="D11" s="227">
        <f>+C11</f>
        <v>7500</v>
      </c>
      <c r="E11" s="115">
        <f>+D11</f>
        <v>7500</v>
      </c>
      <c r="F11" s="411">
        <f t="shared" si="0"/>
        <v>7500</v>
      </c>
      <c r="G11" s="34">
        <f t="shared" si="0"/>
        <v>7500</v>
      </c>
      <c r="H11" s="227">
        <f t="shared" si="0"/>
        <v>7500</v>
      </c>
      <c r="I11" s="35">
        <f t="shared" si="0"/>
        <v>7500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ref="E12:E15" si="2">+D12</f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2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2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2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925638</v>
      </c>
      <c r="C16" s="40">
        <f t="shared" ref="C16:I16" si="3">SUM(C9:C15)</f>
        <v>1101630</v>
      </c>
      <c r="D16" s="40">
        <f t="shared" si="3"/>
        <v>1104071</v>
      </c>
      <c r="E16" s="573">
        <f t="shared" si="3"/>
        <v>975196</v>
      </c>
      <c r="F16" s="40">
        <f t="shared" si="3"/>
        <v>975196</v>
      </c>
      <c r="G16" s="40">
        <f t="shared" si="3"/>
        <v>1105764</v>
      </c>
      <c r="H16" s="40">
        <f t="shared" si="3"/>
        <v>1105764</v>
      </c>
      <c r="I16" s="40">
        <f t="shared" si="3"/>
        <v>1105764</v>
      </c>
    </row>
    <row r="18" spans="1:10" x14ac:dyDescent="0.2">
      <c r="E18" s="416">
        <f>+E16-D16</f>
        <v>-128875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494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926" t="s">
        <v>824</v>
      </c>
      <c r="B21" s="154"/>
      <c r="C21" s="142">
        <v>100</v>
      </c>
      <c r="D21" s="925">
        <v>591</v>
      </c>
      <c r="E21" s="925">
        <v>3543</v>
      </c>
      <c r="F21" s="144"/>
      <c r="G21" s="144"/>
      <c r="H21" s="145"/>
      <c r="I21" s="145"/>
      <c r="J21" s="17"/>
    </row>
    <row r="22" spans="1:10" s="59" customFormat="1" ht="13" customHeight="1" x14ac:dyDescent="0.2">
      <c r="A22" s="926" t="s">
        <v>899</v>
      </c>
      <c r="B22" s="79"/>
      <c r="C22" s="76">
        <v>100</v>
      </c>
      <c r="D22" s="925">
        <v>1850</v>
      </c>
      <c r="E22" s="925">
        <v>-1850</v>
      </c>
      <c r="F22" s="73"/>
      <c r="G22" s="73"/>
      <c r="H22" s="74"/>
      <c r="I22" s="74"/>
      <c r="J22" s="82"/>
    </row>
    <row r="23" spans="1:10" ht="13" customHeight="1" x14ac:dyDescent="0.2">
      <c r="A23" s="303" t="s">
        <v>905</v>
      </c>
      <c r="B23" s="154"/>
      <c r="C23" s="142">
        <v>100</v>
      </c>
      <c r="D23" s="144"/>
      <c r="E23" s="144">
        <v>-24978</v>
      </c>
      <c r="F23" s="144">
        <v>24978</v>
      </c>
      <c r="G23" s="144"/>
      <c r="H23" s="145"/>
      <c r="I23" s="145"/>
      <c r="J23" s="17"/>
    </row>
    <row r="24" spans="1:10" ht="13" customHeight="1" x14ac:dyDescent="0.2">
      <c r="A24" s="322" t="s">
        <v>748</v>
      </c>
      <c r="B24" s="79"/>
      <c r="C24" s="76"/>
      <c r="D24" s="73"/>
      <c r="E24" s="73"/>
      <c r="F24" s="73"/>
      <c r="G24" s="73"/>
      <c r="H24" s="74"/>
      <c r="I24" s="74"/>
      <c r="J24" s="17"/>
    </row>
    <row r="25" spans="1:10" ht="13" customHeight="1" x14ac:dyDescent="0.2">
      <c r="A25" s="308" t="s">
        <v>897</v>
      </c>
      <c r="B25" s="85"/>
      <c r="C25" s="68">
        <v>100</v>
      </c>
      <c r="D25" s="69"/>
      <c r="E25" s="69">
        <v>-130568</v>
      </c>
      <c r="F25" s="69"/>
      <c r="G25" s="69">
        <v>130568</v>
      </c>
      <c r="H25" s="70"/>
      <c r="I25" s="70"/>
      <c r="J25" s="17"/>
    </row>
    <row r="26" spans="1:10" ht="13" customHeight="1" x14ac:dyDescent="0.2">
      <c r="A26" s="943" t="s">
        <v>911</v>
      </c>
      <c r="B26" s="224"/>
      <c r="C26" s="103"/>
      <c r="D26" s="73"/>
      <c r="E26" s="73"/>
      <c r="F26" s="73"/>
      <c r="G26" s="73"/>
      <c r="H26" s="74"/>
      <c r="I26" s="74"/>
      <c r="J26" s="17"/>
    </row>
    <row r="27" spans="1:10" ht="13" customHeight="1" x14ac:dyDescent="0.2">
      <c r="A27" s="185" t="s">
        <v>912</v>
      </c>
      <c r="B27" s="582"/>
      <c r="C27" s="620">
        <v>100</v>
      </c>
      <c r="D27" s="201"/>
      <c r="E27" s="201">
        <v>24978</v>
      </c>
      <c r="F27" s="69">
        <v>-24978</v>
      </c>
      <c r="G27" s="69"/>
      <c r="H27" s="70"/>
      <c r="I27" s="70"/>
      <c r="J27" s="17"/>
    </row>
    <row r="28" spans="1:10" ht="13" customHeight="1" x14ac:dyDescent="0.2">
      <c r="A28" s="101"/>
      <c r="B28" s="79"/>
      <c r="C28" s="76"/>
      <c r="D28" s="73"/>
      <c r="E28" s="73"/>
      <c r="F28" s="73"/>
      <c r="G28" s="73"/>
      <c r="H28" s="74"/>
      <c r="I28" s="74"/>
      <c r="J28" s="17"/>
    </row>
    <row r="29" spans="1:10" ht="13" customHeight="1" x14ac:dyDescent="0.2">
      <c r="A29" s="105"/>
      <c r="B29" s="93"/>
      <c r="C29" s="103"/>
      <c r="D29" s="104"/>
      <c r="E29" s="104"/>
      <c r="F29" s="104"/>
      <c r="G29" s="104"/>
      <c r="H29" s="95"/>
      <c r="I29" s="95"/>
      <c r="J29" s="17"/>
    </row>
    <row r="30" spans="1:10" ht="13" customHeight="1" x14ac:dyDescent="0.2">
      <c r="A30" s="167"/>
      <c r="B30" s="79"/>
      <c r="C30" s="72"/>
      <c r="D30" s="73"/>
      <c r="E30" s="73"/>
      <c r="F30" s="73"/>
      <c r="G30" s="73"/>
      <c r="H30" s="74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0" ht="13" customHeight="1" x14ac:dyDescent="0.2">
      <c r="A32" s="78"/>
      <c r="B32" s="79"/>
      <c r="C32" s="76"/>
      <c r="D32" s="74"/>
      <c r="E32" s="74"/>
      <c r="F32" s="74"/>
      <c r="G32" s="74"/>
      <c r="H32" s="74"/>
      <c r="I32" s="74"/>
      <c r="J32" s="17"/>
    </row>
    <row r="33" spans="1:10" ht="13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6.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80"/>
      <c r="B41" s="79"/>
      <c r="C41" s="76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6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6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17"/>
    </row>
    <row r="60" spans="1:10" ht="13" customHeight="1" x14ac:dyDescent="0.2">
      <c r="A60" s="82"/>
      <c r="B60" s="82"/>
      <c r="C60" s="82"/>
      <c r="D60" s="82"/>
      <c r="E60" s="82"/>
      <c r="F60" s="82"/>
      <c r="G60" s="82"/>
      <c r="H60" s="82"/>
      <c r="I60" s="82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:A22">
    <cfRule type="expression" dxfId="196" priority="2">
      <formula>MOD(ROW(),2)=1</formula>
    </cfRule>
  </conditionalFormatting>
  <conditionalFormatting sqref="D21:E22">
    <cfRule type="expression" dxfId="195" priority="1">
      <formula>MOD(ROW(),2)=1</formula>
    </cfRule>
  </conditionalFormatting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3">
    <tabColor theme="3"/>
  </sheetPr>
  <dimension ref="A1:K66"/>
  <sheetViews>
    <sheetView tabSelected="1" zoomScaleNormal="100" zoomScaleSheetLayoutView="90" workbookViewId="0">
      <selection activeCell="D9" sqref="D9:D1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11</v>
      </c>
      <c r="C6" s="958" t="s">
        <v>124</v>
      </c>
      <c r="D6" s="958"/>
      <c r="E6" s="958"/>
      <c r="F6" s="958"/>
      <c r="G6" s="958"/>
      <c r="H6" s="958"/>
      <c r="I6" s="958"/>
    </row>
    <row r="7" spans="1:11" ht="16" thickBot="1" x14ac:dyDescent="0.25">
      <c r="A7" s="166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685445815</v>
      </c>
      <c r="C9" s="34">
        <v>718359324</v>
      </c>
      <c r="D9" s="227">
        <f>+C9+D34+D35+D36+D37+D38+D41+D42+D43+D44</f>
        <v>726496175</v>
      </c>
      <c r="E9" s="499">
        <f>+D9+E34+E46+E49+E53+E55+E35+E36+E37+E38+E56+E41+E42+E43+E44+E58+E59+E61+E63</f>
        <v>704077967</v>
      </c>
      <c r="F9" s="563">
        <f>+E9+F49+F53+F56+F64</f>
        <v>704349409</v>
      </c>
      <c r="G9" s="165">
        <f>+F9+G55+G64</f>
        <v>704349409</v>
      </c>
      <c r="H9" s="229">
        <f>+G9</f>
        <v>704349409</v>
      </c>
      <c r="I9" s="233">
        <f t="shared" ref="E9:I15" si="0">+H9</f>
        <v>704349409</v>
      </c>
      <c r="K9" s="7">
        <v>100</v>
      </c>
    </row>
    <row r="10" spans="1:11" x14ac:dyDescent="0.2">
      <c r="A10" s="10" t="s">
        <v>5</v>
      </c>
      <c r="B10" s="36">
        <v>7710091</v>
      </c>
      <c r="C10" s="36">
        <v>8353063</v>
      </c>
      <c r="D10" s="230">
        <f>+C10+D29+D31+D32+D33+D39+D40</f>
        <v>8169063</v>
      </c>
      <c r="E10" s="550">
        <f>+D10+E23+E27+E29+E31+E48+E50+E32+E33+E52+E39+E40</f>
        <v>10135755</v>
      </c>
      <c r="F10" s="548">
        <f>+E10+F48+F50+F65</f>
        <v>9867373</v>
      </c>
      <c r="G10" s="36">
        <f>+F10+G48+G65</f>
        <v>9867373</v>
      </c>
      <c r="H10" s="230">
        <f>+G10+H48+H65</f>
        <v>9867373</v>
      </c>
      <c r="I10" s="37">
        <f>+H10+I48+I65</f>
        <v>9867373</v>
      </c>
      <c r="K10" s="7">
        <v>200</v>
      </c>
    </row>
    <row r="11" spans="1:11" x14ac:dyDescent="0.2">
      <c r="A11" s="9" t="s">
        <v>6</v>
      </c>
      <c r="B11" s="34">
        <f>10397935+3096513-1</f>
        <v>13494447</v>
      </c>
      <c r="C11" s="34">
        <v>14452710</v>
      </c>
      <c r="D11" s="227">
        <f>+C11+D30</f>
        <v>14386710</v>
      </c>
      <c r="E11" s="115">
        <f>+D11+E22+E24+E25+E30+E47+E51+E60+E62</f>
        <v>12794012</v>
      </c>
      <c r="F11" s="411">
        <f>+E11+F47+F51+F62</f>
        <v>12790952</v>
      </c>
      <c r="G11" s="34">
        <f t="shared" si="0"/>
        <v>12790952</v>
      </c>
      <c r="H11" s="227">
        <f t="shared" si="0"/>
        <v>12790952</v>
      </c>
      <c r="I11" s="35">
        <f t="shared" si="0"/>
        <v>12790952</v>
      </c>
      <c r="K11" s="7" t="s">
        <v>167</v>
      </c>
    </row>
    <row r="12" spans="1:11" x14ac:dyDescent="0.2">
      <c r="A12" s="10" t="s">
        <v>7</v>
      </c>
      <c r="B12" s="36">
        <v>21254586</v>
      </c>
      <c r="C12" s="36">
        <v>0</v>
      </c>
      <c r="D12" s="230">
        <f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727904939</v>
      </c>
      <c r="C16" s="40">
        <f t="shared" ref="C16:I16" si="2">SUM(C9:C15)</f>
        <v>741165097</v>
      </c>
      <c r="D16" s="40">
        <f t="shared" si="2"/>
        <v>749051948</v>
      </c>
      <c r="E16" s="573">
        <f t="shared" si="2"/>
        <v>727007734</v>
      </c>
      <c r="F16" s="40">
        <f t="shared" si="2"/>
        <v>727007734</v>
      </c>
      <c r="G16" s="40">
        <f t="shared" si="2"/>
        <v>727007734</v>
      </c>
      <c r="H16" s="40">
        <f t="shared" si="2"/>
        <v>727007734</v>
      </c>
      <c r="I16" s="40">
        <f t="shared" si="2"/>
        <v>727007734</v>
      </c>
    </row>
    <row r="18" spans="1:10" x14ac:dyDescent="0.2">
      <c r="E18" s="416">
        <f>+E16-D16</f>
        <v>-22044214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9"/>
      <c r="C20" s="76"/>
      <c r="D20" s="74"/>
      <c r="E20" s="74"/>
      <c r="F20" s="74"/>
      <c r="G20" s="74"/>
      <c r="H20" s="74"/>
      <c r="I20" s="74"/>
      <c r="J20" s="17"/>
    </row>
    <row r="21" spans="1:10" ht="12.75" customHeight="1" x14ac:dyDescent="0.2">
      <c r="A21" s="324" t="s">
        <v>358</v>
      </c>
      <c r="B21" s="146"/>
      <c r="C21" s="146"/>
      <c r="D21" s="146"/>
      <c r="E21" s="146"/>
      <c r="F21" s="146"/>
      <c r="G21" s="70"/>
      <c r="H21" s="70"/>
      <c r="I21" s="70"/>
      <c r="J21" s="17"/>
    </row>
    <row r="22" spans="1:10" ht="12.75" customHeight="1" x14ac:dyDescent="0.2">
      <c r="A22" s="306" t="s">
        <v>381</v>
      </c>
      <c r="B22" s="59"/>
      <c r="C22" s="654" t="s">
        <v>167</v>
      </c>
      <c r="D22" s="59"/>
      <c r="E22" s="533">
        <v>-368000</v>
      </c>
      <c r="F22" s="533"/>
      <c r="G22" s="74"/>
      <c r="H22" s="74"/>
      <c r="I22" s="74"/>
      <c r="J22" s="17"/>
    </row>
    <row r="23" spans="1:10" ht="12.75" customHeight="1" x14ac:dyDescent="0.2">
      <c r="A23" s="308" t="s">
        <v>386</v>
      </c>
      <c r="B23" s="146"/>
      <c r="C23" s="642">
        <v>200</v>
      </c>
      <c r="D23" s="637"/>
      <c r="E23" s="637">
        <v>-518256</v>
      </c>
      <c r="F23" s="637"/>
      <c r="G23" s="70"/>
      <c r="H23" s="70"/>
      <c r="I23" s="70"/>
      <c r="J23" s="17"/>
    </row>
    <row r="24" spans="1:10" ht="12.75" customHeight="1" x14ac:dyDescent="0.2">
      <c r="A24" s="306"/>
      <c r="B24" s="59"/>
      <c r="C24" s="641" t="s">
        <v>167</v>
      </c>
      <c r="D24" s="74"/>
      <c r="E24" s="74">
        <v>-639458</v>
      </c>
      <c r="F24" s="74"/>
      <c r="G24" s="95"/>
      <c r="H24" s="95"/>
      <c r="I24" s="95"/>
    </row>
    <row r="25" spans="1:10" ht="12.75" customHeight="1" x14ac:dyDescent="0.2">
      <c r="A25" s="308" t="s">
        <v>373</v>
      </c>
      <c r="B25" s="146"/>
      <c r="C25" s="655" t="s">
        <v>167</v>
      </c>
      <c r="D25" s="637"/>
      <c r="E25" s="637">
        <v>-144300</v>
      </c>
      <c r="F25" s="637"/>
      <c r="G25" s="70"/>
      <c r="H25" s="70"/>
      <c r="I25" s="70"/>
    </row>
    <row r="26" spans="1:10" ht="12.75" customHeight="1" x14ac:dyDescent="0.2">
      <c r="A26" s="347" t="s">
        <v>404</v>
      </c>
      <c r="B26" s="59"/>
      <c r="C26" s="59"/>
      <c r="D26" s="59"/>
      <c r="E26" s="59"/>
      <c r="F26" s="74"/>
      <c r="G26" s="74"/>
      <c r="H26" s="74"/>
      <c r="I26" s="74"/>
    </row>
    <row r="27" spans="1:10" ht="12.75" customHeight="1" x14ac:dyDescent="0.2">
      <c r="A27" s="732" t="s">
        <v>421</v>
      </c>
      <c r="B27" s="189"/>
      <c r="C27" s="733">
        <v>200</v>
      </c>
      <c r="D27" s="734"/>
      <c r="E27" s="734">
        <v>-250000</v>
      </c>
      <c r="F27" s="734"/>
      <c r="G27" s="139"/>
      <c r="H27" s="139"/>
      <c r="I27" s="139"/>
    </row>
    <row r="28" spans="1:10" ht="12.75" customHeight="1" x14ac:dyDescent="0.2">
      <c r="A28" s="676" t="s">
        <v>511</v>
      </c>
      <c r="B28" s="59"/>
      <c r="C28" s="59"/>
      <c r="D28" s="59"/>
      <c r="E28" s="59"/>
      <c r="F28" s="59"/>
      <c r="G28" s="585"/>
      <c r="H28" s="585"/>
      <c r="I28" s="585"/>
    </row>
    <row r="29" spans="1:10" ht="12.75" customHeight="1" x14ac:dyDescent="0.2">
      <c r="A29" s="308" t="s">
        <v>542</v>
      </c>
      <c r="B29" s="146"/>
      <c r="C29" s="642">
        <v>200</v>
      </c>
      <c r="D29" s="637">
        <v>66000</v>
      </c>
      <c r="E29" s="637">
        <v>-66000</v>
      </c>
      <c r="F29" s="637"/>
      <c r="G29" s="70"/>
      <c r="H29" s="70"/>
      <c r="I29" s="70"/>
    </row>
    <row r="30" spans="1:10" ht="12.75" customHeight="1" x14ac:dyDescent="0.2">
      <c r="A30" s="306"/>
      <c r="B30" s="59"/>
      <c r="C30" s="816" t="s">
        <v>167</v>
      </c>
      <c r="D30" s="74">
        <v>-66000</v>
      </c>
      <c r="E30" s="74">
        <v>66000</v>
      </c>
      <c r="F30" s="74"/>
      <c r="G30" s="95"/>
      <c r="H30" s="95"/>
      <c r="I30" s="95"/>
    </row>
    <row r="31" spans="1:10" ht="12.75" customHeight="1" x14ac:dyDescent="0.2">
      <c r="A31" s="308" t="s">
        <v>496</v>
      </c>
      <c r="B31" s="146"/>
      <c r="C31" s="642">
        <v>200</v>
      </c>
      <c r="D31" s="637">
        <v>-250000</v>
      </c>
      <c r="E31" s="637">
        <v>250000</v>
      </c>
      <c r="F31" s="637"/>
      <c r="G31" s="70"/>
      <c r="H31" s="70"/>
      <c r="I31" s="70"/>
    </row>
    <row r="32" spans="1:10" ht="12.75" customHeight="1" x14ac:dyDescent="0.2">
      <c r="A32" s="306" t="s">
        <v>670</v>
      </c>
      <c r="B32" s="59"/>
      <c r="C32" s="816">
        <v>200</v>
      </c>
      <c r="D32" s="74">
        <v>1431903</v>
      </c>
      <c r="E32" s="74">
        <v>-1431903</v>
      </c>
      <c r="F32" s="74"/>
      <c r="G32" s="95"/>
      <c r="H32" s="95"/>
      <c r="I32" s="95"/>
    </row>
    <row r="33" spans="1:9" ht="12.75" customHeight="1" x14ac:dyDescent="0.2">
      <c r="A33" s="308" t="s">
        <v>671</v>
      </c>
      <c r="B33" s="146"/>
      <c r="C33" s="642">
        <v>200</v>
      </c>
      <c r="D33" s="637">
        <v>600000</v>
      </c>
      <c r="E33" s="637">
        <v>-600000</v>
      </c>
      <c r="F33" s="637"/>
      <c r="G33" s="70"/>
      <c r="H33" s="70"/>
      <c r="I33" s="70"/>
    </row>
    <row r="34" spans="1:9" ht="12.75" customHeight="1" x14ac:dyDescent="0.2">
      <c r="A34" s="306" t="s">
        <v>817</v>
      </c>
      <c r="B34" s="59"/>
      <c r="C34" s="816">
        <v>100</v>
      </c>
      <c r="D34" s="74">
        <v>2703357</v>
      </c>
      <c r="E34" s="74">
        <v>16220140</v>
      </c>
      <c r="F34" s="74"/>
      <c r="G34" s="95"/>
      <c r="H34" s="95"/>
      <c r="I34" s="95"/>
    </row>
    <row r="35" spans="1:9" ht="12.75" customHeight="1" x14ac:dyDescent="0.2">
      <c r="A35" s="308" t="s">
        <v>818</v>
      </c>
      <c r="B35" s="146"/>
      <c r="C35" s="642">
        <v>100</v>
      </c>
      <c r="D35" s="637">
        <v>4830750</v>
      </c>
      <c r="E35" s="637">
        <v>-4830750</v>
      </c>
      <c r="F35" s="637"/>
      <c r="G35" s="70"/>
      <c r="H35" s="70"/>
      <c r="I35" s="70"/>
    </row>
    <row r="36" spans="1:9" ht="12.75" customHeight="1" x14ac:dyDescent="0.2">
      <c r="A36" s="306" t="s">
        <v>826</v>
      </c>
      <c r="B36" s="59"/>
      <c r="C36" s="816">
        <v>100</v>
      </c>
      <c r="D36" s="74">
        <v>36994</v>
      </c>
      <c r="E36" s="74">
        <v>221966</v>
      </c>
      <c r="F36" s="74"/>
      <c r="G36" s="95"/>
      <c r="H36" s="95"/>
      <c r="I36" s="95"/>
    </row>
    <row r="37" spans="1:9" ht="12.75" customHeight="1" x14ac:dyDescent="0.2">
      <c r="A37" s="308" t="s">
        <v>902</v>
      </c>
      <c r="B37" s="146"/>
      <c r="C37" s="642">
        <v>100</v>
      </c>
      <c r="D37" s="637">
        <v>98600</v>
      </c>
      <c r="E37" s="637">
        <v>-98600</v>
      </c>
      <c r="F37" s="637"/>
      <c r="G37" s="70"/>
      <c r="H37" s="70"/>
      <c r="I37" s="70"/>
    </row>
    <row r="38" spans="1:9" ht="12.75" customHeight="1" x14ac:dyDescent="0.2">
      <c r="A38" s="306" t="s">
        <v>834</v>
      </c>
      <c r="B38" s="59"/>
      <c r="C38" s="816">
        <v>100</v>
      </c>
      <c r="D38" s="74">
        <v>7250</v>
      </c>
      <c r="E38" s="74">
        <v>43498</v>
      </c>
      <c r="F38" s="74"/>
      <c r="G38" s="95"/>
      <c r="H38" s="95"/>
      <c r="I38" s="95"/>
    </row>
    <row r="39" spans="1:9" ht="12.75" customHeight="1" x14ac:dyDescent="0.2">
      <c r="A39" s="308" t="s">
        <v>854</v>
      </c>
      <c r="B39" s="146"/>
      <c r="C39" s="642">
        <v>200</v>
      </c>
      <c r="D39" s="637">
        <v>-1431903</v>
      </c>
      <c r="E39" s="637">
        <v>1431903</v>
      </c>
      <c r="F39" s="637"/>
      <c r="G39" s="70"/>
      <c r="H39" s="70"/>
      <c r="I39" s="70"/>
    </row>
    <row r="40" spans="1:9" ht="12.75" customHeight="1" x14ac:dyDescent="0.2">
      <c r="A40" s="306" t="s">
        <v>855</v>
      </c>
      <c r="B40" s="59"/>
      <c r="C40" s="816">
        <v>200</v>
      </c>
      <c r="D40" s="74">
        <v>-600000</v>
      </c>
      <c r="E40" s="74">
        <v>600000</v>
      </c>
      <c r="F40" s="74"/>
      <c r="G40" s="95"/>
      <c r="H40" s="95"/>
      <c r="I40" s="95"/>
    </row>
    <row r="41" spans="1:9" ht="12.75" customHeight="1" x14ac:dyDescent="0.2">
      <c r="A41" s="308" t="s">
        <v>935</v>
      </c>
      <c r="B41" s="146"/>
      <c r="C41" s="642">
        <v>100</v>
      </c>
      <c r="D41" s="637">
        <v>86827</v>
      </c>
      <c r="E41" s="637">
        <v>434132</v>
      </c>
      <c r="F41" s="637"/>
      <c r="G41" s="70"/>
      <c r="H41" s="70"/>
      <c r="I41" s="70"/>
    </row>
    <row r="42" spans="1:9" ht="12.75" customHeight="1" x14ac:dyDescent="0.2">
      <c r="A42" s="306" t="s">
        <v>957</v>
      </c>
      <c r="B42" s="896"/>
      <c r="C42" s="896">
        <v>100</v>
      </c>
      <c r="D42" s="74">
        <v>314250</v>
      </c>
      <c r="E42" s="74">
        <v>-314250</v>
      </c>
      <c r="F42" s="74"/>
      <c r="G42" s="95"/>
      <c r="H42" s="95"/>
      <c r="I42" s="95"/>
    </row>
    <row r="43" spans="1:9" ht="12.75" customHeight="1" x14ac:dyDescent="0.2">
      <c r="A43" s="308" t="s">
        <v>958</v>
      </c>
      <c r="B43" s="146"/>
      <c r="C43" s="642">
        <v>100</v>
      </c>
      <c r="D43" s="637">
        <v>14723</v>
      </c>
      <c r="E43" s="637">
        <v>73615</v>
      </c>
      <c r="F43" s="637"/>
      <c r="G43" s="70"/>
      <c r="H43" s="70"/>
      <c r="I43" s="70"/>
    </row>
    <row r="44" spans="1:9" ht="12.75" customHeight="1" x14ac:dyDescent="0.2">
      <c r="A44" s="306" t="s">
        <v>959</v>
      </c>
      <c r="B44" s="896"/>
      <c r="C44" s="896">
        <v>100</v>
      </c>
      <c r="D44" s="74">
        <v>44100</v>
      </c>
      <c r="E44" s="74">
        <v>-44100</v>
      </c>
      <c r="F44" s="74"/>
      <c r="G44" s="95"/>
      <c r="H44" s="95"/>
      <c r="I44" s="95"/>
    </row>
    <row r="45" spans="1:9" ht="12.75" customHeight="1" x14ac:dyDescent="0.2">
      <c r="A45" s="323" t="s">
        <v>629</v>
      </c>
      <c r="B45" s="146"/>
      <c r="C45" s="642"/>
      <c r="D45" s="637"/>
      <c r="E45" s="637"/>
      <c r="F45" s="637"/>
      <c r="G45" s="70"/>
      <c r="H45" s="70"/>
      <c r="I45" s="70"/>
    </row>
    <row r="46" spans="1:9" ht="12.75" customHeight="1" x14ac:dyDescent="0.2">
      <c r="A46" s="306" t="s">
        <v>621</v>
      </c>
      <c r="B46" s="59"/>
      <c r="C46" s="816">
        <v>100</v>
      </c>
      <c r="D46" s="74"/>
      <c r="E46" s="74">
        <v>1592150</v>
      </c>
      <c r="F46" s="74"/>
      <c r="G46" s="95"/>
      <c r="H46" s="95"/>
      <c r="I46" s="95"/>
    </row>
    <row r="47" spans="1:9" ht="12.75" customHeight="1" x14ac:dyDescent="0.2">
      <c r="A47" s="308"/>
      <c r="B47" s="146"/>
      <c r="C47" s="642" t="s">
        <v>167</v>
      </c>
      <c r="D47" s="637"/>
      <c r="E47" s="637">
        <v>319728</v>
      </c>
      <c r="F47" s="637">
        <v>-319728</v>
      </c>
      <c r="G47" s="70"/>
      <c r="H47" s="70"/>
      <c r="I47" s="70"/>
    </row>
    <row r="48" spans="1:9" ht="12.75" customHeight="1" x14ac:dyDescent="0.2">
      <c r="A48" s="306" t="s">
        <v>622</v>
      </c>
      <c r="B48" s="59"/>
      <c r="C48" s="816">
        <v>200</v>
      </c>
      <c r="D48" s="74"/>
      <c r="E48" s="74">
        <v>1916098</v>
      </c>
      <c r="F48" s="74">
        <f>2154048-E48</f>
        <v>237950</v>
      </c>
      <c r="G48" s="95">
        <f>1980426-F48-E48</f>
        <v>-173622</v>
      </c>
      <c r="H48" s="95">
        <f>2546970-G48-F48-E48</f>
        <v>566544</v>
      </c>
      <c r="I48" s="95">
        <f>2956338-H48-G48-F48-E48</f>
        <v>409368</v>
      </c>
    </row>
    <row r="49" spans="1:9" ht="12.75" customHeight="1" x14ac:dyDescent="0.2">
      <c r="A49" s="308" t="s">
        <v>623</v>
      </c>
      <c r="B49" s="146"/>
      <c r="C49" s="642">
        <v>100</v>
      </c>
      <c r="D49" s="637"/>
      <c r="E49" s="637">
        <v>1130435</v>
      </c>
      <c r="F49" s="637">
        <f>1469567-E49</f>
        <v>339132</v>
      </c>
      <c r="G49" s="70"/>
      <c r="H49" s="70"/>
      <c r="I49" s="70"/>
    </row>
    <row r="50" spans="1:9" ht="12.75" customHeight="1" x14ac:dyDescent="0.2">
      <c r="A50" s="306"/>
      <c r="B50" s="59"/>
      <c r="C50" s="816">
        <v>200</v>
      </c>
      <c r="D50" s="74"/>
      <c r="E50" s="74">
        <v>334850</v>
      </c>
      <c r="F50" s="74">
        <f>66468-E50</f>
        <v>-268382</v>
      </c>
      <c r="G50" s="95"/>
      <c r="H50" s="95"/>
      <c r="I50" s="95"/>
    </row>
    <row r="51" spans="1:9" ht="12.75" customHeight="1" x14ac:dyDescent="0.2">
      <c r="A51" s="308"/>
      <c r="B51" s="146"/>
      <c r="C51" s="642" t="s">
        <v>167</v>
      </c>
      <c r="D51" s="637"/>
      <c r="E51" s="637">
        <v>3060</v>
      </c>
      <c r="F51" s="637">
        <v>-3060</v>
      </c>
      <c r="G51" s="70"/>
      <c r="H51" s="70"/>
      <c r="I51" s="70"/>
    </row>
    <row r="52" spans="1:9" ht="12.75" customHeight="1" x14ac:dyDescent="0.2">
      <c r="A52" s="306" t="s">
        <v>671</v>
      </c>
      <c r="B52" s="59"/>
      <c r="C52" s="816">
        <v>200</v>
      </c>
      <c r="D52" s="74"/>
      <c r="E52" s="74">
        <v>300000</v>
      </c>
      <c r="F52" s="74"/>
      <c r="G52" s="95"/>
      <c r="H52" s="95"/>
      <c r="I52" s="95"/>
    </row>
    <row r="53" spans="1:9" ht="12.75" customHeight="1" x14ac:dyDescent="0.2">
      <c r="A53" s="308" t="s">
        <v>702</v>
      </c>
      <c r="B53" s="146"/>
      <c r="C53" s="642">
        <v>100</v>
      </c>
      <c r="D53" s="637"/>
      <c r="E53" s="637">
        <v>1496398</v>
      </c>
      <c r="F53" s="637">
        <f>1580892-E53</f>
        <v>84494</v>
      </c>
      <c r="G53" s="70"/>
      <c r="H53" s="70"/>
      <c r="I53" s="70"/>
    </row>
    <row r="54" spans="1:9" ht="12.75" customHeight="1" x14ac:dyDescent="0.2">
      <c r="A54" s="881" t="s">
        <v>747</v>
      </c>
      <c r="B54" s="59"/>
      <c r="C54" s="816"/>
      <c r="D54" s="74"/>
      <c r="E54" s="74"/>
      <c r="F54" s="74"/>
      <c r="G54" s="95"/>
      <c r="H54" s="95"/>
      <c r="I54" s="95"/>
    </row>
    <row r="55" spans="1:9" ht="12.75" customHeight="1" x14ac:dyDescent="0.2">
      <c r="A55" s="308" t="s">
        <v>751</v>
      </c>
      <c r="B55" s="146"/>
      <c r="C55" s="642">
        <v>100</v>
      </c>
      <c r="D55" s="637"/>
      <c r="E55" s="637">
        <v>-5172705</v>
      </c>
      <c r="F55" s="637"/>
      <c r="G55" s="70">
        <v>5172705</v>
      </c>
      <c r="H55" s="70"/>
      <c r="I55" s="70"/>
    </row>
    <row r="56" spans="1:9" ht="12.75" customHeight="1" x14ac:dyDescent="0.2">
      <c r="A56" s="306" t="s">
        <v>907</v>
      </c>
      <c r="B56" s="59"/>
      <c r="C56" s="816">
        <v>100</v>
      </c>
      <c r="D56" s="74"/>
      <c r="E56" s="74">
        <v>-101639</v>
      </c>
      <c r="F56" s="74">
        <v>101639</v>
      </c>
      <c r="G56" s="95"/>
      <c r="H56" s="95"/>
      <c r="I56" s="95"/>
    </row>
    <row r="57" spans="1:9" x14ac:dyDescent="0.2">
      <c r="A57" s="323" t="s">
        <v>911</v>
      </c>
      <c r="B57" s="146"/>
      <c r="C57" s="642"/>
      <c r="D57" s="637"/>
      <c r="E57" s="637"/>
      <c r="F57" s="637"/>
      <c r="G57" s="70"/>
      <c r="H57" s="70"/>
      <c r="I57" s="70"/>
    </row>
    <row r="58" spans="1:9" x14ac:dyDescent="0.2">
      <c r="A58" s="306" t="s">
        <v>807</v>
      </c>
      <c r="B58" s="59"/>
      <c r="C58" s="816">
        <v>100</v>
      </c>
      <c r="D58" s="74"/>
      <c r="E58" s="74">
        <f>-19200000-507747-101550</f>
        <v>-19809297</v>
      </c>
      <c r="F58" s="74"/>
      <c r="G58" s="95"/>
      <c r="H58" s="95"/>
      <c r="I58" s="95"/>
    </row>
    <row r="59" spans="1:9" x14ac:dyDescent="0.2">
      <c r="A59" s="308" t="s">
        <v>972</v>
      </c>
      <c r="B59" s="146"/>
      <c r="C59" s="642">
        <v>100</v>
      </c>
      <c r="D59" s="637"/>
      <c r="E59" s="637">
        <v>-11792051</v>
      </c>
      <c r="F59" s="637"/>
      <c r="G59" s="70"/>
      <c r="H59" s="70"/>
      <c r="I59" s="70"/>
    </row>
    <row r="60" spans="1:9" x14ac:dyDescent="0.2">
      <c r="A60" s="306"/>
      <c r="B60" s="59"/>
      <c r="C60" s="899" t="s">
        <v>167</v>
      </c>
      <c r="D60" s="74"/>
      <c r="E60" s="74">
        <v>-510000</v>
      </c>
      <c r="F60" s="74"/>
      <c r="G60" s="95"/>
      <c r="H60" s="95"/>
      <c r="I60" s="95"/>
    </row>
    <row r="61" spans="1:9" x14ac:dyDescent="0.2">
      <c r="A61" s="308" t="s">
        <v>1011</v>
      </c>
      <c r="B61" s="146"/>
      <c r="C61" s="642">
        <v>100</v>
      </c>
      <c r="D61" s="637"/>
      <c r="E61" s="637">
        <v>-1592150</v>
      </c>
      <c r="F61" s="637"/>
      <c r="G61" s="70"/>
      <c r="H61" s="70"/>
      <c r="I61" s="70"/>
    </row>
    <row r="62" spans="1:9" x14ac:dyDescent="0.2">
      <c r="A62" s="306"/>
      <c r="B62" s="59"/>
      <c r="C62" s="899" t="s">
        <v>167</v>
      </c>
      <c r="D62" s="74"/>
      <c r="E62" s="74">
        <v>-319728</v>
      </c>
      <c r="F62" s="74">
        <v>319728</v>
      </c>
      <c r="G62" s="95"/>
      <c r="H62" s="95"/>
      <c r="I62" s="95"/>
    </row>
    <row r="63" spans="1:9" x14ac:dyDescent="0.2">
      <c r="A63" s="308" t="s">
        <v>1012</v>
      </c>
      <c r="B63" s="146"/>
      <c r="C63" s="642">
        <v>100</v>
      </c>
      <c r="D63" s="637"/>
      <c r="E63" s="637">
        <v>125000</v>
      </c>
      <c r="F63" s="637"/>
      <c r="G63" s="70"/>
      <c r="H63" s="70"/>
      <c r="I63" s="70"/>
    </row>
    <row r="64" spans="1:9" x14ac:dyDescent="0.2">
      <c r="A64" s="306" t="s">
        <v>1014</v>
      </c>
      <c r="B64" s="59"/>
      <c r="C64" s="816">
        <v>100</v>
      </c>
      <c r="D64" s="74"/>
      <c r="E64" s="74"/>
      <c r="F64" s="74">
        <v>-253823</v>
      </c>
      <c r="G64" s="95">
        <v>-5172705</v>
      </c>
      <c r="H64" s="95"/>
      <c r="I64" s="95"/>
    </row>
    <row r="65" spans="1:9" x14ac:dyDescent="0.2">
      <c r="A65" s="308" t="s">
        <v>1016</v>
      </c>
      <c r="B65" s="146"/>
      <c r="C65" s="642">
        <v>200</v>
      </c>
      <c r="D65" s="637"/>
      <c r="E65" s="637"/>
      <c r="F65" s="637">
        <v>-237950</v>
      </c>
      <c r="G65" s="70">
        <v>173622</v>
      </c>
      <c r="H65" s="70">
        <v>-566544</v>
      </c>
      <c r="I65" s="70">
        <v>-409368</v>
      </c>
    </row>
    <row r="66" spans="1:9" x14ac:dyDescent="0.2">
      <c r="A66" s="306"/>
      <c r="B66" s="59"/>
      <c r="C66" s="816"/>
      <c r="D66" s="74"/>
      <c r="E66" s="74"/>
      <c r="F66" s="74"/>
      <c r="G66" s="95"/>
      <c r="H66" s="95"/>
      <c r="I66" s="95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4">
    <tabColor theme="3"/>
    <pageSetUpPr fitToPage="1"/>
  </sheetPr>
  <dimension ref="A1:K56"/>
  <sheetViews>
    <sheetView topLeftCell="A4" zoomScaleNormal="100" zoomScaleSheetLayoutView="90" workbookViewId="0">
      <selection activeCell="F16" sqref="F1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23</v>
      </c>
      <c r="C6" s="963" t="s">
        <v>123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165">
        <v>138537912</v>
      </c>
      <c r="C9" s="34">
        <v>139765668</v>
      </c>
      <c r="D9" s="227">
        <f>+C9+D25+D26+D27+D28+D29+D30+D31</f>
        <v>141575330</v>
      </c>
      <c r="E9" s="115">
        <f>+D9+E33+E25+E26+E27+E37+E28+E29+E30+E31</f>
        <v>126599446</v>
      </c>
      <c r="F9" s="411">
        <f>+E9+F37</f>
        <v>126635188</v>
      </c>
      <c r="G9" s="34">
        <f>+F9+G33+G40</f>
        <v>126635188</v>
      </c>
      <c r="H9" s="227">
        <f>+G9</f>
        <v>126635188</v>
      </c>
      <c r="I9" s="51">
        <f t="shared" ref="E9:I15" si="0">+H9</f>
        <v>126635188</v>
      </c>
      <c r="K9" s="7">
        <v>100</v>
      </c>
    </row>
    <row r="10" spans="1:11" x14ac:dyDescent="0.2">
      <c r="A10" s="10" t="s">
        <v>5</v>
      </c>
      <c r="B10" s="36">
        <v>92504851</v>
      </c>
      <c r="C10" s="36">
        <v>92842354</v>
      </c>
      <c r="D10" s="230">
        <f>+C10+D21+D39</f>
        <v>106466354</v>
      </c>
      <c r="E10" s="550">
        <f>+D10+E24+E34+E39</f>
        <v>88351948</v>
      </c>
      <c r="F10" s="548">
        <f>+E10+F24+F39</f>
        <v>87375948</v>
      </c>
      <c r="G10" s="36">
        <f>+F10+G34+G41</f>
        <v>87375948</v>
      </c>
      <c r="H10" s="230">
        <f>+G10</f>
        <v>87375948</v>
      </c>
      <c r="I10" s="37">
        <f t="shared" si="0"/>
        <v>87375948</v>
      </c>
      <c r="K10" s="7">
        <v>200</v>
      </c>
    </row>
    <row r="11" spans="1:11" x14ac:dyDescent="0.2">
      <c r="A11" s="9" t="s">
        <v>6</v>
      </c>
      <c r="B11" s="34">
        <f>3814733+545878-29467</f>
        <v>4331144</v>
      </c>
      <c r="C11" s="34">
        <v>4373744</v>
      </c>
      <c r="D11" s="227">
        <f t="shared" ref="D11:F12" si="1">+C11</f>
        <v>4373744</v>
      </c>
      <c r="E11" s="115">
        <f>+D11+E35</f>
        <v>4016769</v>
      </c>
      <c r="F11" s="411">
        <f t="shared" si="1"/>
        <v>4016769</v>
      </c>
      <c r="G11" s="34">
        <f>+F11+G35+G42</f>
        <v>4016769</v>
      </c>
      <c r="H11" s="227">
        <f>+G11</f>
        <v>4016769</v>
      </c>
      <c r="I11" s="35">
        <f t="shared" si="0"/>
        <v>4016769</v>
      </c>
      <c r="K11" s="7" t="s">
        <v>167</v>
      </c>
    </row>
    <row r="12" spans="1:11" x14ac:dyDescent="0.2">
      <c r="A12" s="10" t="s">
        <v>7</v>
      </c>
      <c r="B12" s="36">
        <v>1668749</v>
      </c>
      <c r="C12" s="36">
        <v>1201757</v>
      </c>
      <c r="D12" s="230">
        <f t="shared" si="1"/>
        <v>1201757</v>
      </c>
      <c r="E12" s="550">
        <f>+D12+E23+E36</f>
        <v>1201757</v>
      </c>
      <c r="F12" s="548">
        <f>+E12+F23+F36</f>
        <v>1201757</v>
      </c>
      <c r="G12" s="36">
        <f>+F12</f>
        <v>1201757</v>
      </c>
      <c r="H12" s="230">
        <f t="shared" si="0"/>
        <v>1201757</v>
      </c>
      <c r="I12" s="37">
        <f t="shared" si="0"/>
        <v>1201757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2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237042656</v>
      </c>
      <c r="C16" s="40">
        <f t="shared" ref="C16:H16" si="3">SUM(C9:C15)</f>
        <v>238183523</v>
      </c>
      <c r="D16" s="40">
        <f t="shared" si="3"/>
        <v>253617185</v>
      </c>
      <c r="E16" s="573">
        <f t="shared" si="3"/>
        <v>220169920</v>
      </c>
      <c r="F16" s="40">
        <f t="shared" si="3"/>
        <v>219229662</v>
      </c>
      <c r="G16" s="40">
        <f t="shared" si="3"/>
        <v>219229662</v>
      </c>
      <c r="H16" s="40">
        <f t="shared" si="3"/>
        <v>219229662</v>
      </c>
      <c r="I16" s="40">
        <f>SUM(I9:I15)</f>
        <v>219229662</v>
      </c>
    </row>
    <row r="18" spans="1:10" x14ac:dyDescent="0.2">
      <c r="D18" s="416"/>
      <c r="E18" s="416">
        <f>+E16-D16</f>
        <v>-33447265</v>
      </c>
      <c r="F18" s="416"/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676" t="s">
        <v>511</v>
      </c>
      <c r="B20" s="71"/>
      <c r="C20" s="72"/>
      <c r="D20" s="73"/>
      <c r="E20" s="73"/>
      <c r="F20" s="73"/>
      <c r="G20" s="74"/>
      <c r="H20" s="74"/>
      <c r="I20" s="74"/>
    </row>
    <row r="21" spans="1:10" ht="15" customHeight="1" x14ac:dyDescent="0.2">
      <c r="A21" s="308" t="s">
        <v>534</v>
      </c>
      <c r="B21" s="67"/>
      <c r="C21" s="68">
        <v>200</v>
      </c>
      <c r="D21" s="69">
        <v>14000000</v>
      </c>
      <c r="E21" s="69"/>
      <c r="F21" s="70"/>
      <c r="G21" s="70"/>
      <c r="H21" s="70"/>
      <c r="I21" s="70"/>
    </row>
    <row r="22" spans="1:10" ht="13" customHeight="1" x14ac:dyDescent="0.2">
      <c r="A22" s="676" t="s">
        <v>629</v>
      </c>
      <c r="B22" s="93"/>
      <c r="C22" s="103"/>
      <c r="D22" s="104"/>
      <c r="E22" s="104"/>
      <c r="F22" s="104"/>
      <c r="G22" s="104"/>
      <c r="H22" s="95"/>
      <c r="I22" s="95"/>
      <c r="J22" s="17"/>
    </row>
    <row r="23" spans="1:10" ht="12.75" customHeight="1" x14ac:dyDescent="0.2">
      <c r="A23" s="898" t="s">
        <v>640</v>
      </c>
      <c r="B23" s="85"/>
      <c r="C23" s="68">
        <v>500</v>
      </c>
      <c r="D23" s="69"/>
      <c r="E23" s="69">
        <v>400000</v>
      </c>
      <c r="F23" s="69">
        <v>-400000</v>
      </c>
      <c r="G23" s="69"/>
      <c r="H23" s="70"/>
      <c r="I23" s="70"/>
      <c r="J23" s="17"/>
    </row>
    <row r="24" spans="1:10" ht="12.75" customHeight="1" x14ac:dyDescent="0.2">
      <c r="A24" s="484"/>
      <c r="B24" s="79"/>
      <c r="C24" s="72">
        <v>200</v>
      </c>
      <c r="D24" s="73"/>
      <c r="E24" s="73">
        <v>600000</v>
      </c>
      <c r="F24" s="73">
        <v>-600000</v>
      </c>
      <c r="G24" s="73"/>
      <c r="H24" s="74"/>
      <c r="I24" s="74"/>
      <c r="J24" s="17"/>
    </row>
    <row r="25" spans="1:10" ht="12.75" customHeight="1" x14ac:dyDescent="0.2">
      <c r="A25" s="926" t="s">
        <v>830</v>
      </c>
      <c r="B25" s="85"/>
      <c r="C25" s="346">
        <v>100</v>
      </c>
      <c r="D25" s="925">
        <v>21674</v>
      </c>
      <c r="E25" s="925">
        <v>130046</v>
      </c>
      <c r="F25" s="69"/>
      <c r="G25" s="69"/>
      <c r="H25" s="70"/>
      <c r="I25" s="70"/>
      <c r="J25" s="17"/>
    </row>
    <row r="26" spans="1:10" ht="12.75" customHeight="1" x14ac:dyDescent="0.2">
      <c r="A26" s="484" t="s">
        <v>900</v>
      </c>
      <c r="B26" s="79"/>
      <c r="C26" s="72">
        <v>100</v>
      </c>
      <c r="D26" s="73">
        <v>58050</v>
      </c>
      <c r="E26" s="73">
        <v>-58050</v>
      </c>
      <c r="F26" s="73"/>
      <c r="G26" s="73"/>
      <c r="H26" s="74"/>
      <c r="I26" s="74"/>
      <c r="J26" s="17"/>
    </row>
    <row r="27" spans="1:10" ht="12.75" customHeight="1" x14ac:dyDescent="0.2">
      <c r="A27" s="926" t="s">
        <v>837</v>
      </c>
      <c r="B27" s="85"/>
      <c r="C27" s="346">
        <v>100</v>
      </c>
      <c r="D27" s="925">
        <v>22776</v>
      </c>
      <c r="E27" s="925">
        <v>136654</v>
      </c>
      <c r="F27" s="69"/>
      <c r="G27" s="69"/>
      <c r="H27" s="70"/>
      <c r="I27" s="70"/>
      <c r="J27" s="17"/>
    </row>
    <row r="28" spans="1:10" ht="12.75" customHeight="1" x14ac:dyDescent="0.2">
      <c r="A28" s="890" t="s">
        <v>945</v>
      </c>
      <c r="B28" s="79"/>
      <c r="C28" s="72">
        <v>100</v>
      </c>
      <c r="D28" s="73">
        <v>7238</v>
      </c>
      <c r="E28" s="73">
        <v>36192</v>
      </c>
      <c r="F28" s="73"/>
      <c r="G28" s="73"/>
      <c r="H28" s="74"/>
      <c r="I28" s="74"/>
      <c r="J28" s="17"/>
    </row>
    <row r="29" spans="1:10" ht="12.75" customHeight="1" x14ac:dyDescent="0.2">
      <c r="A29" s="926" t="s">
        <v>946</v>
      </c>
      <c r="B29" s="85"/>
      <c r="C29" s="346">
        <v>100</v>
      </c>
      <c r="D29" s="925">
        <v>25800</v>
      </c>
      <c r="E29" s="925">
        <v>-25800</v>
      </c>
      <c r="F29" s="69"/>
      <c r="G29" s="69"/>
      <c r="H29" s="70"/>
      <c r="I29" s="70"/>
      <c r="J29" s="17"/>
    </row>
    <row r="30" spans="1:10" ht="12.75" customHeight="1" x14ac:dyDescent="0.2">
      <c r="A30" s="890" t="s">
        <v>962</v>
      </c>
      <c r="B30" s="79"/>
      <c r="C30" s="72">
        <v>100</v>
      </c>
      <c r="D30" s="73">
        <v>424624</v>
      </c>
      <c r="E30" s="73">
        <v>2123122</v>
      </c>
      <c r="F30" s="73"/>
      <c r="G30" s="73"/>
      <c r="H30" s="74"/>
      <c r="I30" s="74"/>
      <c r="J30" s="17"/>
    </row>
    <row r="31" spans="1:10" ht="12.75" customHeight="1" x14ac:dyDescent="0.2">
      <c r="A31" s="926" t="s">
        <v>963</v>
      </c>
      <c r="B31" s="85"/>
      <c r="C31" s="346">
        <v>100</v>
      </c>
      <c r="D31" s="925">
        <v>1249500</v>
      </c>
      <c r="E31" s="925">
        <v>-1249500</v>
      </c>
      <c r="F31" s="69"/>
      <c r="G31" s="69"/>
      <c r="H31" s="70"/>
      <c r="I31" s="70"/>
      <c r="J31" s="17"/>
    </row>
    <row r="32" spans="1:10" ht="12.75" customHeight="1" x14ac:dyDescent="0.2">
      <c r="A32" s="160" t="s">
        <v>747</v>
      </c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2.75" customHeight="1" x14ac:dyDescent="0.2">
      <c r="A33" s="926" t="s">
        <v>890</v>
      </c>
      <c r="B33" s="85"/>
      <c r="C33" s="346">
        <v>100</v>
      </c>
      <c r="D33" s="925"/>
      <c r="E33" s="925">
        <v>-16032806</v>
      </c>
      <c r="F33" s="69"/>
      <c r="G33" s="69">
        <v>16032806</v>
      </c>
      <c r="H33" s="70"/>
      <c r="I33" s="70"/>
      <c r="J33" s="17"/>
    </row>
    <row r="34" spans="1:10" ht="12.75" customHeight="1" x14ac:dyDescent="0.2">
      <c r="A34" s="484" t="s">
        <v>756</v>
      </c>
      <c r="B34" s="79"/>
      <c r="C34" s="72">
        <v>200</v>
      </c>
      <c r="D34" s="73"/>
      <c r="E34" s="73">
        <v>-19466406</v>
      </c>
      <c r="F34" s="73"/>
      <c r="G34" s="73">
        <v>19466406</v>
      </c>
      <c r="H34" s="74"/>
      <c r="I34" s="74"/>
      <c r="J34" s="17"/>
    </row>
    <row r="35" spans="1:10" ht="12.75" customHeight="1" x14ac:dyDescent="0.2">
      <c r="A35" s="926" t="s">
        <v>757</v>
      </c>
      <c r="B35" s="85"/>
      <c r="C35" s="346" t="s">
        <v>167</v>
      </c>
      <c r="D35" s="925"/>
      <c r="E35" s="925">
        <v>-356975</v>
      </c>
      <c r="F35" s="69"/>
      <c r="G35" s="69">
        <v>356975</v>
      </c>
      <c r="H35" s="70"/>
      <c r="I35" s="70"/>
      <c r="J35" s="17"/>
    </row>
    <row r="36" spans="1:10" ht="12.75" customHeight="1" x14ac:dyDescent="0.2">
      <c r="A36" s="484" t="s">
        <v>758</v>
      </c>
      <c r="B36" s="79"/>
      <c r="C36" s="72">
        <v>500</v>
      </c>
      <c r="D36" s="73"/>
      <c r="E36" s="73">
        <v>-400000</v>
      </c>
      <c r="F36" s="73">
        <v>400000</v>
      </c>
      <c r="G36" s="73"/>
      <c r="H36" s="74"/>
      <c r="I36" s="74"/>
      <c r="J36" s="17"/>
    </row>
    <row r="37" spans="1:10" ht="12.75" customHeight="1" x14ac:dyDescent="0.2">
      <c r="A37" s="926" t="s">
        <v>909</v>
      </c>
      <c r="B37" s="85"/>
      <c r="C37" s="346">
        <v>100</v>
      </c>
      <c r="D37" s="925"/>
      <c r="E37" s="925">
        <v>-35742</v>
      </c>
      <c r="F37" s="69">
        <v>35742</v>
      </c>
      <c r="G37" s="69"/>
      <c r="H37" s="70"/>
      <c r="I37" s="70"/>
      <c r="J37" s="17"/>
    </row>
    <row r="38" spans="1:10" ht="12.75" customHeight="1" x14ac:dyDescent="0.2">
      <c r="A38" s="160" t="s">
        <v>911</v>
      </c>
      <c r="B38" s="79"/>
      <c r="C38" s="72"/>
      <c r="D38" s="73"/>
      <c r="E38" s="73"/>
      <c r="F38" s="73"/>
      <c r="G38" s="73"/>
      <c r="H38" s="74"/>
      <c r="I38" s="74"/>
      <c r="J38" s="17"/>
    </row>
    <row r="39" spans="1:10" ht="12.75" customHeight="1" x14ac:dyDescent="0.2">
      <c r="A39" s="926" t="s">
        <v>926</v>
      </c>
      <c r="B39" s="85"/>
      <c r="C39" s="346">
        <v>200</v>
      </c>
      <c r="D39" s="925">
        <v>-376000</v>
      </c>
      <c r="E39" s="925">
        <f>376000+376000</f>
        <v>752000</v>
      </c>
      <c r="F39" s="69">
        <v>-376000</v>
      </c>
      <c r="G39" s="69"/>
      <c r="H39" s="70"/>
      <c r="I39" s="70"/>
      <c r="J39" s="17"/>
    </row>
    <row r="40" spans="1:10" ht="12.75" customHeight="1" x14ac:dyDescent="0.2">
      <c r="A40" s="890" t="s">
        <v>1015</v>
      </c>
      <c r="B40" s="79"/>
      <c r="C40" s="72">
        <v>100</v>
      </c>
      <c r="D40" s="73"/>
      <c r="E40" s="73"/>
      <c r="F40" s="73"/>
      <c r="G40" s="73">
        <v>-16032806</v>
      </c>
      <c r="H40" s="74"/>
      <c r="I40" s="74"/>
      <c r="J40" s="17"/>
    </row>
    <row r="41" spans="1:10" ht="12.75" customHeight="1" x14ac:dyDescent="0.2">
      <c r="A41" s="926"/>
      <c r="B41" s="85"/>
      <c r="C41" s="346">
        <v>200</v>
      </c>
      <c r="D41" s="925"/>
      <c r="E41" s="925"/>
      <c r="F41" s="69"/>
      <c r="G41" s="69">
        <v>-19466406</v>
      </c>
      <c r="H41" s="70"/>
      <c r="I41" s="70"/>
      <c r="J41" s="17"/>
    </row>
    <row r="42" spans="1:10" ht="12.75" customHeight="1" x14ac:dyDescent="0.2">
      <c r="A42" s="484"/>
      <c r="B42" s="79"/>
      <c r="C42" s="72" t="s">
        <v>167</v>
      </c>
      <c r="D42" s="73"/>
      <c r="E42" s="73"/>
      <c r="F42" s="73"/>
      <c r="G42" s="73">
        <v>-356975</v>
      </c>
      <c r="H42" s="74"/>
      <c r="I42" s="74"/>
      <c r="J42" s="17"/>
    </row>
    <row r="43" spans="1:10" ht="12.75" customHeight="1" x14ac:dyDescent="0.2">
      <c r="A43" s="926"/>
      <c r="B43" s="85"/>
      <c r="C43" s="346"/>
      <c r="D43" s="925"/>
      <c r="E43" s="925"/>
      <c r="F43" s="69"/>
      <c r="G43" s="69"/>
      <c r="H43" s="70"/>
      <c r="I43" s="70"/>
      <c r="J43" s="17"/>
    </row>
    <row r="44" spans="1:10" ht="12.75" customHeight="1" x14ac:dyDescent="0.2">
      <c r="A44" s="484"/>
      <c r="B44" s="79"/>
      <c r="C44" s="72"/>
      <c r="D44" s="73"/>
      <c r="E44" s="73"/>
      <c r="F44" s="73"/>
      <c r="G44" s="73"/>
      <c r="H44" s="74"/>
      <c r="I44" s="74"/>
    </row>
    <row r="45" spans="1:10" ht="12.75" customHeight="1" x14ac:dyDescent="0.2">
      <c r="A45" s="926"/>
      <c r="B45" s="85"/>
      <c r="C45" s="346"/>
      <c r="D45" s="925"/>
      <c r="E45" s="925"/>
      <c r="F45" s="69"/>
      <c r="G45" s="69"/>
      <c r="H45" s="70"/>
      <c r="I45" s="70"/>
    </row>
    <row r="46" spans="1:10" ht="12.75" customHeight="1" x14ac:dyDescent="0.2">
      <c r="A46" s="484"/>
      <c r="B46" s="79"/>
      <c r="C46" s="72"/>
      <c r="D46" s="73"/>
      <c r="E46" s="73"/>
      <c r="F46" s="73"/>
      <c r="G46" s="73"/>
      <c r="H46" s="74"/>
      <c r="I46" s="74"/>
    </row>
    <row r="47" spans="1:10" ht="12.75" customHeight="1" x14ac:dyDescent="0.2">
      <c r="A47" s="926"/>
      <c r="B47" s="85"/>
      <c r="C47" s="346"/>
      <c r="D47" s="925"/>
      <c r="E47" s="925"/>
      <c r="F47" s="69"/>
      <c r="G47" s="69"/>
      <c r="H47" s="70"/>
      <c r="I47" s="70"/>
    </row>
    <row r="48" spans="1:10" ht="12.75" customHeight="1" x14ac:dyDescent="0.2">
      <c r="A48" s="484"/>
      <c r="B48" s="79"/>
      <c r="C48" s="72"/>
      <c r="D48" s="73"/>
      <c r="E48" s="73"/>
      <c r="F48" s="73"/>
      <c r="G48" s="73"/>
      <c r="H48" s="74"/>
      <c r="I48" s="74"/>
    </row>
    <row r="49" spans="1:9" ht="12.75" customHeight="1" x14ac:dyDescent="0.2">
      <c r="A49" s="59"/>
      <c r="B49" s="59"/>
      <c r="C49" s="330"/>
      <c r="D49" s="59"/>
      <c r="E49" s="485"/>
      <c r="F49" s="59"/>
      <c r="G49" s="59"/>
      <c r="H49" s="59"/>
      <c r="I49" s="59"/>
    </row>
    <row r="50" spans="1:9" ht="12.75" customHeight="1" x14ac:dyDescent="0.2">
      <c r="A50" s="441"/>
      <c r="B50" s="441"/>
      <c r="C50" s="441"/>
      <c r="D50" s="441"/>
      <c r="E50" s="441"/>
      <c r="F50" s="441"/>
      <c r="G50" s="441"/>
      <c r="H50" s="441"/>
      <c r="I50" s="441"/>
    </row>
    <row r="51" spans="1:9" ht="12.75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</row>
    <row r="52" spans="1:9" ht="12.75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</row>
    <row r="53" spans="1:9" ht="12.75" customHeight="1" x14ac:dyDescent="0.2"/>
    <row r="54" spans="1:9" ht="12.75" customHeight="1" x14ac:dyDescent="0.2"/>
    <row r="55" spans="1:9" ht="12.75" customHeight="1" x14ac:dyDescent="0.2"/>
    <row r="56" spans="1:9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D25:E25">
    <cfRule type="expression" dxfId="79" priority="15">
      <formula>MOD(ROW(),2)=1</formula>
    </cfRule>
  </conditionalFormatting>
  <conditionalFormatting sqref="A25">
    <cfRule type="expression" dxfId="78" priority="16">
      <formula>MOD(ROW(),2)=1</formula>
    </cfRule>
  </conditionalFormatting>
  <conditionalFormatting sqref="D27:E27 D33:E33 D35:E35 D37:E37">
    <cfRule type="expression" dxfId="77" priority="7">
      <formula>MOD(ROW(),2)=1</formula>
    </cfRule>
  </conditionalFormatting>
  <conditionalFormatting sqref="A27 A33 A35 A37">
    <cfRule type="expression" dxfId="76" priority="8">
      <formula>MOD(ROW(),2)=1</formula>
    </cfRule>
  </conditionalFormatting>
  <conditionalFormatting sqref="D39:E39 D41:E41 D43:E43 D45:E45 D47:E47">
    <cfRule type="expression" dxfId="75" priority="5">
      <formula>MOD(ROW(),2)=1</formula>
    </cfRule>
  </conditionalFormatting>
  <conditionalFormatting sqref="A39 A41 A43 A45 A47">
    <cfRule type="expression" dxfId="74" priority="6">
      <formula>MOD(ROW(),2)=1</formula>
    </cfRule>
  </conditionalFormatting>
  <conditionalFormatting sqref="D29:E29">
    <cfRule type="expression" dxfId="73" priority="3">
      <formula>MOD(ROW(),2)=1</formula>
    </cfRule>
  </conditionalFormatting>
  <conditionalFormatting sqref="A29">
    <cfRule type="expression" dxfId="72" priority="4">
      <formula>MOD(ROW(),2)=1</formula>
    </cfRule>
  </conditionalFormatting>
  <conditionalFormatting sqref="D31:E31">
    <cfRule type="expression" dxfId="71" priority="1">
      <formula>MOD(ROW(),2)=1</formula>
    </cfRule>
  </conditionalFormatting>
  <conditionalFormatting sqref="A31">
    <cfRule type="expression" dxfId="70" priority="2">
      <formula>MOD(ROW(),2)=1</formula>
    </cfRule>
  </conditionalFormatting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5">
    <tabColor theme="3"/>
    <pageSetUpPr fitToPage="1"/>
  </sheetPr>
  <dimension ref="A1:K55"/>
  <sheetViews>
    <sheetView zoomScaleNormal="100" zoomScaleSheetLayoutView="90" workbookViewId="0">
      <selection activeCell="G20" sqref="G20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38</v>
      </c>
      <c r="C6" s="963" t="s">
        <v>122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</row>
    <row r="9" spans="1:11" x14ac:dyDescent="0.2">
      <c r="A9" s="9" t="s">
        <v>4</v>
      </c>
      <c r="B9" s="34">
        <v>2402513</v>
      </c>
      <c r="C9" s="34">
        <v>2709242</v>
      </c>
      <c r="D9" s="227">
        <f>+C9+D24+D26+D27+D28+D30+D31</f>
        <v>2765020</v>
      </c>
      <c r="E9" s="115">
        <f>+D9+E33+E26+E27+E28+E36+E39+E30+E31</f>
        <v>2436508</v>
      </c>
      <c r="F9" s="411">
        <f>+E9+F36</f>
        <v>2450611</v>
      </c>
      <c r="G9" s="34">
        <f>+F9+G33+G39+G40</f>
        <v>2450611</v>
      </c>
      <c r="H9" s="227">
        <f>+G9+H40</f>
        <v>2783655</v>
      </c>
      <c r="I9" s="51">
        <f t="shared" ref="E9:I15" si="0">+H9</f>
        <v>2783655</v>
      </c>
      <c r="K9" s="7">
        <v>100</v>
      </c>
    </row>
    <row r="10" spans="1:11" x14ac:dyDescent="0.2">
      <c r="A10" s="10" t="s">
        <v>5</v>
      </c>
      <c r="B10" s="36">
        <f>2314128+291124</f>
        <v>2605252</v>
      </c>
      <c r="C10" s="36">
        <v>2916267</v>
      </c>
      <c r="D10" s="230">
        <f>+C10+D25+D29</f>
        <v>2916267</v>
      </c>
      <c r="E10" s="550">
        <f>+D10+E22+E25+E34+E29+E38+E40+E41</f>
        <v>2283634</v>
      </c>
      <c r="F10" s="548">
        <f>+E10</f>
        <v>2283634</v>
      </c>
      <c r="G10" s="36">
        <f>+F10+G34+G38+G41</f>
        <v>2283634</v>
      </c>
      <c r="H10" s="230">
        <f>+G10+H41</f>
        <v>2316267</v>
      </c>
      <c r="I10" s="37">
        <f t="shared" si="0"/>
        <v>2316267</v>
      </c>
      <c r="K10" s="7">
        <v>200</v>
      </c>
    </row>
    <row r="11" spans="1:11" x14ac:dyDescent="0.2">
      <c r="A11" s="9" t="s">
        <v>6</v>
      </c>
      <c r="B11" s="34">
        <v>18118</v>
      </c>
      <c r="C11" s="34">
        <v>49054</v>
      </c>
      <c r="D11" s="227">
        <f>+C11</f>
        <v>49054</v>
      </c>
      <c r="E11" s="115">
        <f>+D11+E35</f>
        <v>40194</v>
      </c>
      <c r="F11" s="411">
        <f t="shared" si="0"/>
        <v>40194</v>
      </c>
      <c r="G11" s="34">
        <f>+F11+G35+G42</f>
        <v>40194</v>
      </c>
      <c r="H11" s="227">
        <f>+G11+H42</f>
        <v>49054</v>
      </c>
      <c r="I11" s="35">
        <f t="shared" si="0"/>
        <v>49054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5025883</v>
      </c>
      <c r="C16" s="40">
        <f t="shared" ref="C16:I16" si="2">SUM(C9:C15)</f>
        <v>5674563</v>
      </c>
      <c r="D16" s="40">
        <f t="shared" si="2"/>
        <v>5730341</v>
      </c>
      <c r="E16" s="573">
        <f t="shared" si="2"/>
        <v>4760336</v>
      </c>
      <c r="F16" s="40">
        <f t="shared" si="2"/>
        <v>4774439</v>
      </c>
      <c r="G16" s="40">
        <f t="shared" si="2"/>
        <v>4774439</v>
      </c>
      <c r="H16" s="40">
        <f t="shared" si="2"/>
        <v>5148976</v>
      </c>
      <c r="I16" s="40">
        <f t="shared" si="2"/>
        <v>5148976</v>
      </c>
    </row>
    <row r="18" spans="1:10" x14ac:dyDescent="0.2">
      <c r="E18" s="416">
        <f>+E16-D16</f>
        <v>-970005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2.75" customHeight="1" x14ac:dyDescent="0.2">
      <c r="A21" s="701" t="s">
        <v>404</v>
      </c>
      <c r="B21" s="85"/>
      <c r="C21" s="75"/>
      <c r="D21" s="70"/>
      <c r="E21" s="70"/>
      <c r="F21" s="70"/>
      <c r="G21" s="70"/>
      <c r="H21" s="70"/>
      <c r="I21" s="70"/>
    </row>
    <row r="22" spans="1:10" ht="12.75" customHeight="1" x14ac:dyDescent="0.2">
      <c r="A22" s="794" t="s">
        <v>488</v>
      </c>
      <c r="B22" s="90"/>
      <c r="C22" s="793">
        <v>200</v>
      </c>
      <c r="D22" s="92"/>
      <c r="E22" s="92">
        <v>-600000</v>
      </c>
      <c r="F22" s="92"/>
      <c r="G22" s="92"/>
      <c r="H22" s="92"/>
      <c r="I22" s="92"/>
      <c r="J22" s="17"/>
    </row>
    <row r="23" spans="1:10" ht="12.75" customHeight="1" x14ac:dyDescent="0.2">
      <c r="A23" s="836" t="s">
        <v>494</v>
      </c>
      <c r="B23" s="582"/>
      <c r="C23" s="837"/>
      <c r="D23" s="201"/>
      <c r="E23" s="70"/>
      <c r="F23" s="70"/>
      <c r="G23" s="70"/>
      <c r="H23" s="70"/>
      <c r="I23" s="70"/>
      <c r="J23" s="17"/>
    </row>
    <row r="24" spans="1:10" ht="12.75" customHeight="1" x14ac:dyDescent="0.2">
      <c r="A24" s="306" t="s">
        <v>502</v>
      </c>
      <c r="B24" s="305"/>
      <c r="C24" s="251">
        <v>100</v>
      </c>
      <c r="D24" s="252">
        <v>29664</v>
      </c>
      <c r="E24" s="74"/>
      <c r="F24" s="74"/>
      <c r="G24" s="74"/>
      <c r="H24" s="74"/>
      <c r="I24" s="74"/>
      <c r="J24" s="17"/>
    </row>
    <row r="25" spans="1:10" ht="12.75" customHeight="1" x14ac:dyDescent="0.2">
      <c r="A25" s="308" t="s">
        <v>687</v>
      </c>
      <c r="B25" s="85"/>
      <c r="C25" s="75">
        <v>200</v>
      </c>
      <c r="D25" s="70">
        <v>1248000</v>
      </c>
      <c r="E25" s="70">
        <v>-1248000</v>
      </c>
      <c r="F25" s="70"/>
      <c r="G25" s="70"/>
      <c r="H25" s="70"/>
      <c r="I25" s="70"/>
      <c r="J25" s="17"/>
    </row>
    <row r="26" spans="1:10" ht="12.75" customHeight="1" x14ac:dyDescent="0.2">
      <c r="A26" s="926" t="s">
        <v>827</v>
      </c>
      <c r="B26" s="918"/>
      <c r="C26" s="919">
        <v>100</v>
      </c>
      <c r="D26" s="925">
        <v>3526</v>
      </c>
      <c r="E26" s="925">
        <v>21156</v>
      </c>
      <c r="F26" s="920"/>
      <c r="G26" s="920"/>
      <c r="H26" s="920"/>
      <c r="I26" s="920"/>
      <c r="J26" s="17"/>
    </row>
    <row r="27" spans="1:10" ht="12.75" customHeight="1" x14ac:dyDescent="0.2">
      <c r="A27" s="308" t="s">
        <v>901</v>
      </c>
      <c r="B27" s="85"/>
      <c r="C27" s="75">
        <v>100</v>
      </c>
      <c r="D27" s="70">
        <v>9900</v>
      </c>
      <c r="E27" s="70">
        <v>-9900</v>
      </c>
      <c r="F27" s="70"/>
      <c r="G27" s="70"/>
      <c r="H27" s="70"/>
      <c r="I27" s="70"/>
      <c r="J27" s="17"/>
    </row>
    <row r="28" spans="1:10" ht="12.75" customHeight="1" x14ac:dyDescent="0.2">
      <c r="A28" s="926" t="s">
        <v>835</v>
      </c>
      <c r="B28" s="918"/>
      <c r="C28" s="919">
        <v>100</v>
      </c>
      <c r="D28" s="925">
        <v>638</v>
      </c>
      <c r="E28" s="925">
        <v>3829</v>
      </c>
      <c r="F28" s="920"/>
      <c r="G28" s="920"/>
      <c r="H28" s="920"/>
      <c r="I28" s="920"/>
      <c r="J28" s="17"/>
    </row>
    <row r="29" spans="1:10" ht="12.75" customHeight="1" x14ac:dyDescent="0.2">
      <c r="A29" s="308" t="s">
        <v>952</v>
      </c>
      <c r="B29" s="85"/>
      <c r="C29" s="75">
        <v>200</v>
      </c>
      <c r="D29" s="70">
        <v>-1248000</v>
      </c>
      <c r="E29" s="70">
        <v>1248000</v>
      </c>
      <c r="F29" s="70"/>
      <c r="G29" s="70"/>
      <c r="H29" s="70"/>
      <c r="I29" s="70"/>
      <c r="J29" s="17"/>
    </row>
    <row r="30" spans="1:10" ht="12.75" customHeight="1" x14ac:dyDescent="0.2">
      <c r="A30" s="926" t="s">
        <v>943</v>
      </c>
      <c r="B30" s="918"/>
      <c r="C30" s="919">
        <v>100</v>
      </c>
      <c r="D30" s="925">
        <v>2600</v>
      </c>
      <c r="E30" s="925">
        <v>13000</v>
      </c>
      <c r="F30" s="920"/>
      <c r="G30" s="920"/>
      <c r="H30" s="920"/>
      <c r="I30" s="920"/>
      <c r="J30" s="17"/>
    </row>
    <row r="31" spans="1:10" ht="12.75" customHeight="1" x14ac:dyDescent="0.2">
      <c r="A31" s="308" t="s">
        <v>944</v>
      </c>
      <c r="B31" s="85"/>
      <c r="C31" s="75">
        <v>100</v>
      </c>
      <c r="D31" s="70">
        <v>9450</v>
      </c>
      <c r="E31" s="70">
        <v>-9450</v>
      </c>
      <c r="F31" s="70"/>
      <c r="G31" s="70"/>
      <c r="H31" s="70"/>
      <c r="I31" s="70"/>
      <c r="J31" s="17"/>
    </row>
    <row r="32" spans="1:10" ht="12.75" customHeight="1" x14ac:dyDescent="0.2">
      <c r="A32" s="928" t="s">
        <v>748</v>
      </c>
      <c r="B32" s="918"/>
      <c r="C32" s="919"/>
      <c r="D32" s="925"/>
      <c r="E32" s="925"/>
      <c r="F32" s="920"/>
      <c r="G32" s="920"/>
      <c r="H32" s="920"/>
      <c r="I32" s="920"/>
      <c r="J32" s="17"/>
    </row>
    <row r="33" spans="1:10" ht="12.75" customHeight="1" x14ac:dyDescent="0.2">
      <c r="A33" s="308" t="s">
        <v>790</v>
      </c>
      <c r="B33" s="85"/>
      <c r="C33" s="75">
        <v>100</v>
      </c>
      <c r="D33" s="70"/>
      <c r="E33" s="70">
        <v>-323044</v>
      </c>
      <c r="F33" s="70"/>
      <c r="G33" s="70">
        <v>323044</v>
      </c>
      <c r="H33" s="70"/>
      <c r="I33" s="70"/>
      <c r="J33" s="17"/>
    </row>
    <row r="34" spans="1:10" ht="12.75" customHeight="1" x14ac:dyDescent="0.2">
      <c r="A34" s="926" t="s">
        <v>789</v>
      </c>
      <c r="B34" s="918"/>
      <c r="C34" s="919">
        <v>200</v>
      </c>
      <c r="D34" s="925"/>
      <c r="E34" s="925">
        <f>-42912+279</f>
        <v>-42633</v>
      </c>
      <c r="F34" s="920"/>
      <c r="G34" s="920">
        <v>42633</v>
      </c>
      <c r="H34" s="920"/>
      <c r="I34" s="920"/>
      <c r="J34" s="17"/>
    </row>
    <row r="35" spans="1:10" ht="12.75" customHeight="1" x14ac:dyDescent="0.2">
      <c r="A35" s="308" t="s">
        <v>783</v>
      </c>
      <c r="B35" s="85"/>
      <c r="C35" s="75" t="s">
        <v>167</v>
      </c>
      <c r="D35" s="70"/>
      <c r="E35" s="70">
        <v>-8860</v>
      </c>
      <c r="F35" s="70"/>
      <c r="G35" s="70">
        <v>8860</v>
      </c>
      <c r="H35" s="70"/>
      <c r="I35" s="70"/>
      <c r="J35" s="17"/>
    </row>
    <row r="36" spans="1:10" ht="12.75" customHeight="1" x14ac:dyDescent="0.2">
      <c r="A36" s="926" t="s">
        <v>910</v>
      </c>
      <c r="B36" s="918"/>
      <c r="C36" s="919">
        <v>100</v>
      </c>
      <c r="D36" s="925"/>
      <c r="E36" s="925">
        <v>-14103</v>
      </c>
      <c r="F36" s="920">
        <v>14103</v>
      </c>
      <c r="G36" s="920"/>
      <c r="H36" s="920"/>
      <c r="I36" s="920"/>
      <c r="J36" s="17"/>
    </row>
    <row r="37" spans="1:10" ht="12.75" customHeight="1" x14ac:dyDescent="0.2">
      <c r="A37" s="323" t="s">
        <v>913</v>
      </c>
      <c r="B37" s="85"/>
      <c r="C37" s="75"/>
      <c r="D37" s="70"/>
      <c r="E37" s="70"/>
      <c r="F37" s="70"/>
      <c r="G37" s="70"/>
      <c r="H37" s="70"/>
      <c r="I37" s="70"/>
      <c r="J37" s="17"/>
    </row>
    <row r="38" spans="1:10" ht="12.75" customHeight="1" x14ac:dyDescent="0.2">
      <c r="A38" s="926" t="s">
        <v>917</v>
      </c>
      <c r="B38" s="918"/>
      <c r="C38" s="919">
        <v>200</v>
      </c>
      <c r="D38" s="925"/>
      <c r="E38" s="925">
        <v>10000</v>
      </c>
      <c r="F38" s="920"/>
      <c r="G38" s="920">
        <v>-10000</v>
      </c>
      <c r="H38" s="920"/>
      <c r="I38" s="920"/>
      <c r="J38" s="17"/>
    </row>
    <row r="39" spans="1:10" ht="12.75" customHeight="1" x14ac:dyDescent="0.2">
      <c r="A39" s="308"/>
      <c r="B39" s="85"/>
      <c r="C39" s="75">
        <v>100</v>
      </c>
      <c r="D39" s="70"/>
      <c r="E39" s="70">
        <v>-10000</v>
      </c>
      <c r="F39" s="70"/>
      <c r="G39" s="70">
        <v>10000</v>
      </c>
      <c r="H39" s="70"/>
      <c r="I39" s="70"/>
      <c r="J39" s="17"/>
    </row>
    <row r="40" spans="1:10" ht="13" customHeight="1" x14ac:dyDescent="0.2">
      <c r="A40" s="926" t="s">
        <v>997</v>
      </c>
      <c r="B40" s="918"/>
      <c r="C40" s="919">
        <v>100</v>
      </c>
      <c r="D40" s="925"/>
      <c r="E40" s="925"/>
      <c r="F40" s="920"/>
      <c r="G40" s="920">
        <f>-323044-10000</f>
        <v>-333044</v>
      </c>
      <c r="H40" s="920">
        <v>333044</v>
      </c>
      <c r="I40" s="920"/>
      <c r="J40" s="17"/>
    </row>
    <row r="41" spans="1:10" ht="13" customHeight="1" x14ac:dyDescent="0.2">
      <c r="A41" s="308"/>
      <c r="B41" s="85"/>
      <c r="C41" s="75">
        <v>200</v>
      </c>
      <c r="D41" s="70"/>
      <c r="E41" s="70"/>
      <c r="F41" s="70"/>
      <c r="G41" s="70">
        <f>-42633+10000</f>
        <v>-32633</v>
      </c>
      <c r="H41" s="70">
        <v>32633</v>
      </c>
      <c r="I41" s="70"/>
      <c r="J41" s="17"/>
    </row>
    <row r="42" spans="1:10" ht="13" customHeight="1" x14ac:dyDescent="0.2">
      <c r="A42" s="926"/>
      <c r="B42" s="918"/>
      <c r="C42" s="899" t="s">
        <v>167</v>
      </c>
      <c r="D42" s="925"/>
      <c r="E42" s="925"/>
      <c r="F42" s="920"/>
      <c r="G42" s="920">
        <v>-8860</v>
      </c>
      <c r="H42" s="920">
        <v>8860</v>
      </c>
      <c r="I42" s="920"/>
      <c r="J42" s="17"/>
    </row>
    <row r="43" spans="1:10" ht="13" customHeight="1" x14ac:dyDescent="0.2">
      <c r="A43" s="308"/>
      <c r="B43" s="85"/>
      <c r="C43" s="75"/>
      <c r="D43" s="70"/>
      <c r="E43" s="70"/>
      <c r="F43" s="70"/>
      <c r="G43" s="70"/>
      <c r="H43" s="70"/>
      <c r="I43" s="70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x14ac:dyDescent="0.2">
      <c r="A54" s="82"/>
      <c r="B54" s="82"/>
      <c r="C54" s="82"/>
      <c r="D54" s="82"/>
      <c r="E54" s="82"/>
      <c r="F54" s="82"/>
      <c r="G54" s="82"/>
      <c r="H54" s="82"/>
      <c r="I54" s="82"/>
    </row>
    <row r="55" spans="1:10" x14ac:dyDescent="0.2">
      <c r="A55" s="82"/>
      <c r="B55" s="82"/>
      <c r="C55" s="82"/>
      <c r="D55" s="82"/>
      <c r="E55" s="82"/>
      <c r="F55" s="82"/>
      <c r="G55" s="82"/>
      <c r="H55" s="82"/>
      <c r="I55" s="82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">
    <cfRule type="expression" dxfId="69" priority="19">
      <formula>MOD(ROW(),2)=1</formula>
    </cfRule>
  </conditionalFormatting>
  <conditionalFormatting sqref="D26:E26">
    <cfRule type="expression" dxfId="68" priority="18">
      <formula>MOD(ROW(),2)=1</formula>
    </cfRule>
  </conditionalFormatting>
  <conditionalFormatting sqref="A32 A34">
    <cfRule type="expression" dxfId="67" priority="12">
      <formula>MOD(ROW(),2)=1</formula>
    </cfRule>
  </conditionalFormatting>
  <conditionalFormatting sqref="D32:E32 D34:E34">
    <cfRule type="expression" dxfId="66" priority="11">
      <formula>MOD(ROW(),2)=1</formula>
    </cfRule>
  </conditionalFormatting>
  <conditionalFormatting sqref="A36">
    <cfRule type="expression" dxfId="65" priority="6">
      <formula>MOD(ROW(),2)=1</formula>
    </cfRule>
  </conditionalFormatting>
  <conditionalFormatting sqref="D36:E36">
    <cfRule type="expression" dxfId="64" priority="5">
      <formula>MOD(ROW(),2)=1</formula>
    </cfRule>
  </conditionalFormatting>
  <conditionalFormatting sqref="A38 A40 A42">
    <cfRule type="expression" dxfId="63" priority="8">
      <formula>MOD(ROW(),2)=1</formula>
    </cfRule>
  </conditionalFormatting>
  <conditionalFormatting sqref="D38:E38 D40:E40 D42:E42">
    <cfRule type="expression" dxfId="62" priority="7">
      <formula>MOD(ROW(),2)=1</formula>
    </cfRule>
  </conditionalFormatting>
  <conditionalFormatting sqref="A28 A30">
    <cfRule type="expression" dxfId="61" priority="2">
      <formula>MOD(ROW(),2)=1</formula>
    </cfRule>
  </conditionalFormatting>
  <conditionalFormatting sqref="D28:E28 D30:E30">
    <cfRule type="expression" dxfId="60" priority="1">
      <formula>MOD(ROW(),2)=1</formula>
    </cfRule>
  </conditionalFormatting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6">
    <tabColor theme="3"/>
  </sheetPr>
  <dimension ref="A1:K70"/>
  <sheetViews>
    <sheetView topLeftCell="A7" zoomScaleNormal="100" zoomScaleSheetLayoutView="90" workbookViewId="0">
      <selection activeCell="H27" sqref="H27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14</v>
      </c>
      <c r="C6" s="963" t="s">
        <v>121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</row>
    <row r="9" spans="1:11" x14ac:dyDescent="0.2">
      <c r="A9" s="9" t="s">
        <v>4</v>
      </c>
      <c r="B9" s="34">
        <v>57173653</v>
      </c>
      <c r="C9" s="34">
        <v>58328165</v>
      </c>
      <c r="D9" s="227">
        <f>+C9+D43+D44+D45+D46+D47</f>
        <v>58855060</v>
      </c>
      <c r="E9" s="115">
        <f>+D9+E22+E24+E31+E49+E52+E60+E43+E44+E45+E64+E46+E47</f>
        <v>57654465</v>
      </c>
      <c r="F9" s="411">
        <f>+E9+F22+F24+F32+F49+F64</f>
        <v>57704718</v>
      </c>
      <c r="G9" s="34">
        <f>+F9+G49+G60+G66</f>
        <v>57734118</v>
      </c>
      <c r="H9" s="227">
        <f>+G9+H49+H66</f>
        <v>60315998</v>
      </c>
      <c r="I9" s="51">
        <f>+H9+I49</f>
        <v>60347188</v>
      </c>
      <c r="K9" s="7">
        <v>100</v>
      </c>
    </row>
    <row r="10" spans="1:11" x14ac:dyDescent="0.2">
      <c r="A10" s="10" t="s">
        <v>5</v>
      </c>
      <c r="B10" s="36">
        <f>72958547-27600</f>
        <v>72930947</v>
      </c>
      <c r="C10" s="36">
        <v>90224827</v>
      </c>
      <c r="D10" s="230">
        <f>+C10+D42+D57</f>
        <v>83524827</v>
      </c>
      <c r="E10" s="550">
        <f>+D10+E23+E25+E27+E28+E29+E33+E37+E39+E42+E50+E53+E55+E57+E61</f>
        <v>90506143</v>
      </c>
      <c r="F10" s="548">
        <f>+E10+F23+F25+F33+F53+F57</f>
        <v>90234054</v>
      </c>
      <c r="G10" s="36">
        <f>+F10+G27+G33+G53+G61+G67</f>
        <v>90181428</v>
      </c>
      <c r="H10" s="230">
        <f>+G10+H53+H67</f>
        <v>95682631</v>
      </c>
      <c r="I10" s="37">
        <f>+H10+I53</f>
        <v>95690303</v>
      </c>
      <c r="K10" s="7">
        <v>200</v>
      </c>
    </row>
    <row r="11" spans="1:11" x14ac:dyDescent="0.2">
      <c r="A11" s="9" t="s">
        <v>6</v>
      </c>
      <c r="B11" s="34">
        <f>6068127+1313890</f>
        <v>7382017</v>
      </c>
      <c r="C11" s="34">
        <v>7519148</v>
      </c>
      <c r="D11" s="227">
        <f>+C11+D41</f>
        <v>7787348</v>
      </c>
      <c r="E11" s="115">
        <f>+D11+E34+E38+E41+E54+E58+E62+E63</f>
        <v>6768973</v>
      </c>
      <c r="F11" s="411">
        <f>+E11+F34+F54+F58</f>
        <v>6033903</v>
      </c>
      <c r="G11" s="34">
        <f>+F11+G34+G62+G63+G68+G69</f>
        <v>5943903</v>
      </c>
      <c r="H11" s="227">
        <f>+G11+H68+H69</f>
        <v>6752378</v>
      </c>
      <c r="I11" s="35">
        <f>+H11</f>
        <v>6752378</v>
      </c>
      <c r="K11" s="7" t="s">
        <v>167</v>
      </c>
    </row>
    <row r="12" spans="1:11" x14ac:dyDescent="0.2">
      <c r="A12" s="10" t="s">
        <v>7</v>
      </c>
      <c r="B12" s="36">
        <f>697048+1</f>
        <v>697049</v>
      </c>
      <c r="C12" s="36">
        <v>0</v>
      </c>
      <c r="D12" s="230">
        <f t="shared" ref="D12:D15" si="0">+C12</f>
        <v>0</v>
      </c>
      <c r="E12" s="550">
        <f t="shared" ref="E12:E13" si="1">+D12</f>
        <v>0</v>
      </c>
      <c r="F12" s="548">
        <f t="shared" ref="E12:I15" si="2">+E12</f>
        <v>0</v>
      </c>
      <c r="G12" s="36">
        <f t="shared" si="2"/>
        <v>0</v>
      </c>
      <c r="H12" s="230">
        <f t="shared" si="2"/>
        <v>0</v>
      </c>
      <c r="I12" s="37">
        <f t="shared" si="2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2"/>
        <v>0</v>
      </c>
      <c r="G13" s="34">
        <f t="shared" si="2"/>
        <v>0</v>
      </c>
      <c r="H13" s="227">
        <f t="shared" si="2"/>
        <v>0</v>
      </c>
      <c r="I13" s="35">
        <f t="shared" si="2"/>
        <v>0</v>
      </c>
      <c r="K13" s="7">
        <v>700</v>
      </c>
    </row>
    <row r="14" spans="1:11" x14ac:dyDescent="0.2">
      <c r="A14" s="10" t="s">
        <v>9</v>
      </c>
      <c r="B14" s="36">
        <v>4500000</v>
      </c>
      <c r="C14" s="36">
        <v>4500000</v>
      </c>
      <c r="D14" s="230">
        <f>+C14</f>
        <v>4500000</v>
      </c>
      <c r="E14" s="550">
        <f>+D14+E35+E51+E56</f>
        <v>4423404</v>
      </c>
      <c r="F14" s="548">
        <f>+E14+F35</f>
        <v>923404</v>
      </c>
      <c r="G14" s="36">
        <f>+F14</f>
        <v>923404</v>
      </c>
      <c r="H14" s="230">
        <f>+G14</f>
        <v>923404</v>
      </c>
      <c r="I14" s="37">
        <f>+H14</f>
        <v>923404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2"/>
        <v>0</v>
      </c>
      <c r="F15" s="549">
        <f t="shared" si="2"/>
        <v>0</v>
      </c>
      <c r="G15" s="38">
        <f t="shared" si="2"/>
        <v>0</v>
      </c>
      <c r="H15" s="231">
        <f t="shared" si="2"/>
        <v>0</v>
      </c>
      <c r="I15" s="39">
        <f t="shared" si="2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142683666</v>
      </c>
      <c r="C16" s="40">
        <f t="shared" ref="C16:I16" si="3">SUM(C9:C15)</f>
        <v>160572140</v>
      </c>
      <c r="D16" s="40">
        <f t="shared" si="3"/>
        <v>154667235</v>
      </c>
      <c r="E16" s="573">
        <f t="shared" si="3"/>
        <v>159352985</v>
      </c>
      <c r="F16" s="40">
        <f t="shared" si="3"/>
        <v>154896079</v>
      </c>
      <c r="G16" s="40">
        <f t="shared" si="3"/>
        <v>154782853</v>
      </c>
      <c r="H16" s="40">
        <f t="shared" si="3"/>
        <v>163674411</v>
      </c>
      <c r="I16" s="40">
        <f t="shared" si="3"/>
        <v>163713273</v>
      </c>
    </row>
    <row r="18" spans="1:11" x14ac:dyDescent="0.2">
      <c r="E18" s="416">
        <f>+E16-D16</f>
        <v>4685750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1" ht="15" customHeight="1" x14ac:dyDescent="0.2">
      <c r="A21" s="168" t="s">
        <v>234</v>
      </c>
      <c r="B21" s="85"/>
      <c r="C21" s="87"/>
      <c r="D21" s="70"/>
      <c r="E21" s="70"/>
      <c r="F21" s="70"/>
      <c r="G21" s="70"/>
      <c r="H21" s="70"/>
      <c r="I21" s="70"/>
    </row>
    <row r="22" spans="1:11" s="59" customFormat="1" ht="13" customHeight="1" x14ac:dyDescent="0.2">
      <c r="A22" s="78" t="s">
        <v>257</v>
      </c>
      <c r="B22" s="71"/>
      <c r="C22" s="72">
        <v>100</v>
      </c>
      <c r="D22" s="73"/>
      <c r="E22" s="74">
        <v>14563</v>
      </c>
      <c r="F22" s="74">
        <v>15000</v>
      </c>
      <c r="G22" s="74"/>
      <c r="H22" s="74"/>
      <c r="I22" s="74"/>
      <c r="J22" s="82"/>
      <c r="K22" s="7"/>
    </row>
    <row r="23" spans="1:11" ht="13" customHeight="1" x14ac:dyDescent="0.2">
      <c r="A23" s="84" t="s">
        <v>258</v>
      </c>
      <c r="B23" s="85"/>
      <c r="C23" s="68">
        <v>200</v>
      </c>
      <c r="D23" s="69"/>
      <c r="E23" s="69">
        <v>5521</v>
      </c>
      <c r="F23" s="69">
        <v>5686</v>
      </c>
      <c r="G23" s="69"/>
      <c r="H23" s="70"/>
      <c r="I23" s="70"/>
      <c r="J23" s="17"/>
    </row>
    <row r="24" spans="1:11" ht="13" customHeight="1" x14ac:dyDescent="0.2">
      <c r="A24" s="78" t="s">
        <v>259</v>
      </c>
      <c r="B24" s="79"/>
      <c r="C24" s="72">
        <v>100</v>
      </c>
      <c r="D24" s="73"/>
      <c r="E24" s="73">
        <v>9069</v>
      </c>
      <c r="F24" s="73">
        <v>9342</v>
      </c>
      <c r="G24" s="73"/>
      <c r="H24" s="74"/>
      <c r="I24" s="74"/>
      <c r="J24" s="17"/>
    </row>
    <row r="25" spans="1:11" ht="12.75" customHeight="1" x14ac:dyDescent="0.2">
      <c r="A25" s="173"/>
      <c r="B25" s="85"/>
      <c r="C25" s="68">
        <v>200</v>
      </c>
      <c r="D25" s="69"/>
      <c r="E25" s="69">
        <v>30796</v>
      </c>
      <c r="F25" s="69">
        <v>31721</v>
      </c>
      <c r="G25" s="69"/>
      <c r="H25" s="70"/>
      <c r="I25" s="70"/>
      <c r="J25" s="17"/>
    </row>
    <row r="26" spans="1:11" ht="13" customHeight="1" x14ac:dyDescent="0.2">
      <c r="A26" s="478" t="s">
        <v>250</v>
      </c>
      <c r="B26" s="71"/>
      <c r="C26" s="72"/>
      <c r="D26" s="73"/>
      <c r="E26" s="73"/>
      <c r="F26" s="74"/>
      <c r="G26" s="74"/>
      <c r="H26" s="74"/>
      <c r="I26" s="74"/>
      <c r="J26" s="17"/>
    </row>
    <row r="27" spans="1:11" ht="13" customHeight="1" x14ac:dyDescent="0.2">
      <c r="A27" s="308" t="s">
        <v>291</v>
      </c>
      <c r="B27" s="132"/>
      <c r="C27" s="132">
        <v>200</v>
      </c>
      <c r="D27" s="70"/>
      <c r="E27" s="70">
        <v>-50000</v>
      </c>
      <c r="F27" s="70"/>
      <c r="G27" s="70">
        <v>-50000</v>
      </c>
      <c r="H27" s="70"/>
      <c r="I27" s="70"/>
      <c r="J27" s="17"/>
    </row>
    <row r="28" spans="1:11" ht="13" customHeight="1" x14ac:dyDescent="0.2">
      <c r="A28" s="82" t="s">
        <v>293</v>
      </c>
      <c r="B28" s="59"/>
      <c r="C28" s="82">
        <v>200</v>
      </c>
      <c r="D28" s="59"/>
      <c r="E28" s="74">
        <v>-80000</v>
      </c>
      <c r="F28" s="74"/>
      <c r="G28" s="73"/>
      <c r="H28" s="74"/>
      <c r="I28" s="74"/>
      <c r="J28" s="17"/>
    </row>
    <row r="29" spans="1:11" ht="13" customHeight="1" x14ac:dyDescent="0.2">
      <c r="A29" s="132" t="s">
        <v>292</v>
      </c>
      <c r="B29" s="146"/>
      <c r="C29" s="132">
        <v>200</v>
      </c>
      <c r="D29" s="146"/>
      <c r="E29" s="70">
        <v>-162000</v>
      </c>
      <c r="F29" s="70"/>
      <c r="G29" s="69"/>
      <c r="H29" s="70"/>
      <c r="I29" s="70"/>
      <c r="J29" s="17"/>
    </row>
    <row r="30" spans="1:11" ht="13" customHeight="1" x14ac:dyDescent="0.2">
      <c r="A30" s="169" t="s">
        <v>358</v>
      </c>
      <c r="B30" s="488"/>
      <c r="C30" s="94"/>
      <c r="D30" s="95"/>
      <c r="E30" s="95"/>
      <c r="F30" s="95"/>
      <c r="G30" s="95"/>
      <c r="H30" s="95"/>
      <c r="I30" s="95"/>
      <c r="J30" s="17"/>
    </row>
    <row r="31" spans="1:11" ht="13" customHeight="1" x14ac:dyDescent="0.2">
      <c r="A31" s="635" t="s">
        <v>363</v>
      </c>
      <c r="B31" s="132"/>
      <c r="C31" s="132">
        <v>100</v>
      </c>
      <c r="D31" s="132"/>
      <c r="E31" s="70">
        <v>-116300</v>
      </c>
      <c r="F31" s="70"/>
      <c r="G31" s="132"/>
      <c r="H31" s="132"/>
      <c r="I31" s="132"/>
      <c r="J31" s="17"/>
    </row>
    <row r="32" spans="1:11" ht="12.75" customHeight="1" x14ac:dyDescent="0.2">
      <c r="A32" s="670" t="s">
        <v>399</v>
      </c>
      <c r="B32" s="59"/>
      <c r="C32" s="82">
        <v>100</v>
      </c>
      <c r="D32" s="74"/>
      <c r="E32" s="74"/>
      <c r="F32" s="74">
        <v>-75000</v>
      </c>
      <c r="G32" s="74"/>
      <c r="H32" s="74"/>
      <c r="I32" s="74"/>
      <c r="J32" s="18"/>
    </row>
    <row r="33" spans="1:10" ht="12.75" customHeight="1" x14ac:dyDescent="0.2">
      <c r="A33" s="132"/>
      <c r="B33" s="146"/>
      <c r="C33" s="243">
        <v>200</v>
      </c>
      <c r="D33" s="132"/>
      <c r="E33" s="70">
        <f>7005520-3768520</f>
        <v>3237000</v>
      </c>
      <c r="F33" s="70">
        <f>8050290-3237000-3768520</f>
        <v>1044770</v>
      </c>
      <c r="G33" s="70">
        <v>-10000</v>
      </c>
      <c r="H33" s="70"/>
      <c r="I33" s="70"/>
      <c r="J33" s="18"/>
    </row>
    <row r="34" spans="1:10" ht="12.75" customHeight="1" x14ac:dyDescent="0.2">
      <c r="A34" s="673" t="s">
        <v>402</v>
      </c>
      <c r="B34" s="59"/>
      <c r="C34" s="795" t="s">
        <v>167</v>
      </c>
      <c r="D34" s="74"/>
      <c r="E34" s="74">
        <v>-57000</v>
      </c>
      <c r="F34" s="74">
        <f>-218540+62000+229770+57000</f>
        <v>130230</v>
      </c>
      <c r="G34" s="74">
        <v>-90000</v>
      </c>
      <c r="H34" s="82"/>
      <c r="I34" s="82"/>
      <c r="J34" s="18"/>
    </row>
    <row r="35" spans="1:10" ht="12.75" customHeight="1" x14ac:dyDescent="0.2">
      <c r="A35" s="503"/>
      <c r="B35" s="143"/>
      <c r="C35" s="797">
        <v>800</v>
      </c>
      <c r="D35" s="203"/>
      <c r="E35" s="145">
        <v>-500000</v>
      </c>
      <c r="F35" s="145">
        <v>-3500000</v>
      </c>
      <c r="G35" s="145"/>
      <c r="H35" s="145"/>
      <c r="I35" s="145"/>
      <c r="J35" s="18"/>
    </row>
    <row r="36" spans="1:10" ht="12.75" customHeight="1" x14ac:dyDescent="0.2">
      <c r="A36" s="366" t="s">
        <v>404</v>
      </c>
      <c r="B36" s="207"/>
      <c r="C36" s="20"/>
      <c r="D36" s="207"/>
      <c r="E36" s="95"/>
      <c r="F36" s="95"/>
      <c r="G36" s="95"/>
      <c r="H36" s="95"/>
      <c r="I36" s="95"/>
      <c r="J36" s="18"/>
    </row>
    <row r="37" spans="1:10" ht="12.75" customHeight="1" x14ac:dyDescent="0.2">
      <c r="A37" s="308" t="s">
        <v>489</v>
      </c>
      <c r="B37" s="132"/>
      <c r="C37" s="243">
        <v>200</v>
      </c>
      <c r="D37" s="70"/>
      <c r="E37" s="70">
        <v>-200000</v>
      </c>
      <c r="F37" s="70"/>
      <c r="G37" s="70"/>
      <c r="H37" s="70"/>
      <c r="I37" s="70"/>
      <c r="J37" s="18"/>
    </row>
    <row r="38" spans="1:10" ht="12.75" customHeight="1" x14ac:dyDescent="0.2">
      <c r="A38" s="82"/>
      <c r="B38" s="59"/>
      <c r="C38" s="796" t="s">
        <v>167</v>
      </c>
      <c r="D38" s="59"/>
      <c r="E38" s="74">
        <v>-750000</v>
      </c>
      <c r="F38" s="74"/>
      <c r="G38" s="74"/>
      <c r="H38" s="74"/>
      <c r="I38" s="74"/>
      <c r="J38" s="18"/>
    </row>
    <row r="39" spans="1:10" ht="12.75" customHeight="1" x14ac:dyDescent="0.2">
      <c r="A39" s="732" t="s">
        <v>422</v>
      </c>
      <c r="B39" s="189"/>
      <c r="C39" s="487">
        <v>200</v>
      </c>
      <c r="D39" s="139"/>
      <c r="E39" s="139">
        <v>-200000</v>
      </c>
      <c r="F39" s="139"/>
      <c r="G39" s="139"/>
      <c r="H39" s="139"/>
      <c r="I39" s="139"/>
      <c r="J39" s="18"/>
    </row>
    <row r="40" spans="1:10" ht="12.75" customHeight="1" x14ac:dyDescent="0.2">
      <c r="A40" s="676" t="s">
        <v>511</v>
      </c>
      <c r="B40" s="59"/>
      <c r="C40" s="59"/>
      <c r="D40" s="59"/>
      <c r="E40" s="59"/>
      <c r="F40" s="59"/>
      <c r="G40" s="585"/>
      <c r="H40" s="585"/>
      <c r="I40" s="585"/>
    </row>
    <row r="41" spans="1:10" ht="12.75" customHeight="1" x14ac:dyDescent="0.2">
      <c r="A41" s="308" t="s">
        <v>535</v>
      </c>
      <c r="B41" s="146"/>
      <c r="C41" s="642">
        <v>300</v>
      </c>
      <c r="D41" s="637">
        <v>268200</v>
      </c>
      <c r="E41" s="637">
        <v>-268200</v>
      </c>
      <c r="F41" s="637"/>
      <c r="G41" s="70"/>
      <c r="H41" s="70"/>
      <c r="I41" s="70"/>
    </row>
    <row r="42" spans="1:10" ht="12.75" customHeight="1" x14ac:dyDescent="0.2">
      <c r="A42" s="306" t="s">
        <v>593</v>
      </c>
      <c r="B42" s="59"/>
      <c r="C42" s="816">
        <v>200</v>
      </c>
      <c r="D42" s="74">
        <v>-5500000</v>
      </c>
      <c r="E42" s="74">
        <v>5500000</v>
      </c>
      <c r="F42" s="74"/>
      <c r="G42" s="95"/>
      <c r="H42" s="95"/>
      <c r="I42" s="95"/>
    </row>
    <row r="43" spans="1:10" x14ac:dyDescent="0.2">
      <c r="A43" s="308" t="s">
        <v>827</v>
      </c>
      <c r="B43" s="146"/>
      <c r="C43" s="895">
        <v>100</v>
      </c>
      <c r="D43" s="924">
        <v>65901</v>
      </c>
      <c r="E43" s="637">
        <v>395403</v>
      </c>
      <c r="F43" s="637"/>
      <c r="G43" s="70"/>
      <c r="H43" s="70"/>
      <c r="I43" s="70"/>
    </row>
    <row r="44" spans="1:10" x14ac:dyDescent="0.2">
      <c r="A44" s="306" t="s">
        <v>901</v>
      </c>
      <c r="B44" s="59"/>
      <c r="C44" s="816">
        <v>100</v>
      </c>
      <c r="D44" s="925">
        <v>146300</v>
      </c>
      <c r="E44" s="74">
        <v>-146300</v>
      </c>
      <c r="F44" s="74"/>
      <c r="G44" s="95"/>
      <c r="H44" s="95"/>
      <c r="I44" s="95"/>
    </row>
    <row r="45" spans="1:10" x14ac:dyDescent="0.2">
      <c r="A45" s="308" t="s">
        <v>835</v>
      </c>
      <c r="B45" s="146"/>
      <c r="C45" s="642">
        <v>100</v>
      </c>
      <c r="D45" s="637">
        <v>29612</v>
      </c>
      <c r="E45" s="637">
        <v>177669</v>
      </c>
      <c r="F45" s="637"/>
      <c r="G45" s="70"/>
      <c r="H45" s="70"/>
      <c r="I45" s="70"/>
    </row>
    <row r="46" spans="1:10" x14ac:dyDescent="0.2">
      <c r="A46" s="306" t="s">
        <v>941</v>
      </c>
      <c r="B46" s="59"/>
      <c r="C46" s="816">
        <v>100</v>
      </c>
      <c r="D46" s="925">
        <v>62982</v>
      </c>
      <c r="E46" s="74">
        <v>314910</v>
      </c>
      <c r="F46" s="74"/>
      <c r="G46" s="95"/>
      <c r="H46" s="95"/>
      <c r="I46" s="95"/>
    </row>
    <row r="47" spans="1:10" x14ac:dyDescent="0.2">
      <c r="A47" s="308" t="s">
        <v>942</v>
      </c>
      <c r="B47" s="146"/>
      <c r="C47" s="642">
        <v>100</v>
      </c>
      <c r="D47" s="637">
        <v>222100</v>
      </c>
      <c r="E47" s="637">
        <v>-222100</v>
      </c>
      <c r="F47" s="637"/>
      <c r="G47" s="70"/>
      <c r="H47" s="70"/>
      <c r="I47" s="70"/>
    </row>
    <row r="48" spans="1:10" x14ac:dyDescent="0.2">
      <c r="A48" s="881" t="s">
        <v>629</v>
      </c>
      <c r="B48" s="59"/>
      <c r="C48" s="816"/>
      <c r="D48" s="74"/>
      <c r="E48" s="74"/>
      <c r="F48" s="74"/>
      <c r="G48" s="95"/>
      <c r="H48" s="95"/>
      <c r="I48" s="95"/>
    </row>
    <row r="49" spans="1:9" ht="12.75" customHeight="1" x14ac:dyDescent="0.2">
      <c r="A49" s="308" t="s">
        <v>630</v>
      </c>
      <c r="B49" s="146"/>
      <c r="C49" s="642">
        <v>100</v>
      </c>
      <c r="D49" s="637"/>
      <c r="E49" s="637">
        <v>951456</v>
      </c>
      <c r="F49" s="637">
        <f>980000-E49</f>
        <v>28544</v>
      </c>
      <c r="G49" s="70">
        <f>1009400-F49-E49</f>
        <v>29400</v>
      </c>
      <c r="H49" s="70">
        <f>1039682-G49-F49-E49</f>
        <v>30282</v>
      </c>
      <c r="I49" s="70">
        <f>1070872-H49-G49-F49-E49</f>
        <v>31190</v>
      </c>
    </row>
    <row r="50" spans="1:9" ht="12.75" customHeight="1" x14ac:dyDescent="0.2">
      <c r="A50" s="306" t="s">
        <v>631</v>
      </c>
      <c r="B50" s="59"/>
      <c r="C50" s="816">
        <v>200</v>
      </c>
      <c r="D50" s="74"/>
      <c r="E50" s="74">
        <v>125140</v>
      </c>
      <c r="F50" s="74"/>
      <c r="G50" s="95"/>
      <c r="H50" s="95"/>
      <c r="I50" s="95"/>
    </row>
    <row r="51" spans="1:9" ht="12.75" customHeight="1" x14ac:dyDescent="0.2">
      <c r="A51" s="308" t="s">
        <v>632</v>
      </c>
      <c r="B51" s="146"/>
      <c r="C51" s="642">
        <v>800</v>
      </c>
      <c r="D51" s="637"/>
      <c r="E51" s="637">
        <v>923404</v>
      </c>
      <c r="F51" s="637"/>
      <c r="G51" s="70"/>
      <c r="H51" s="70"/>
      <c r="I51" s="70"/>
    </row>
    <row r="52" spans="1:9" ht="12.75" customHeight="1" x14ac:dyDescent="0.2">
      <c r="A52" s="306" t="s">
        <v>633</v>
      </c>
      <c r="B52" s="59"/>
      <c r="C52" s="816">
        <v>100</v>
      </c>
      <c r="D52" s="74"/>
      <c r="E52" s="74">
        <v>45000</v>
      </c>
      <c r="F52" s="74"/>
      <c r="G52" s="95"/>
      <c r="H52" s="95"/>
      <c r="I52" s="95"/>
    </row>
    <row r="53" spans="1:9" ht="12.75" customHeight="1" x14ac:dyDescent="0.2">
      <c r="A53" s="308"/>
      <c r="B53" s="146"/>
      <c r="C53" s="642">
        <v>200</v>
      </c>
      <c r="D53" s="637"/>
      <c r="E53" s="637">
        <v>2218540</v>
      </c>
      <c r="F53" s="637">
        <f>1214274-E53</f>
        <v>-1004266</v>
      </c>
      <c r="G53" s="70">
        <f>1221648-F53-E53</f>
        <v>7374</v>
      </c>
      <c r="H53" s="70">
        <f>1229170-G53-F53-E53</f>
        <v>7522</v>
      </c>
      <c r="I53" s="70">
        <f>1236842-H53-G53-F53-E53</f>
        <v>7672</v>
      </c>
    </row>
    <row r="54" spans="1:9" ht="12.75" customHeight="1" x14ac:dyDescent="0.2">
      <c r="A54" s="306"/>
      <c r="B54" s="59"/>
      <c r="C54" s="816" t="s">
        <v>167</v>
      </c>
      <c r="D54" s="74"/>
      <c r="E54" s="74">
        <v>15300</v>
      </c>
      <c r="F54" s="74">
        <v>-15300</v>
      </c>
      <c r="G54" s="95"/>
      <c r="H54" s="95"/>
      <c r="I54" s="95"/>
    </row>
    <row r="55" spans="1:9" ht="12.75" customHeight="1" x14ac:dyDescent="0.2">
      <c r="A55" s="308" t="s">
        <v>688</v>
      </c>
      <c r="B55" s="146"/>
      <c r="C55" s="642">
        <v>200</v>
      </c>
      <c r="D55" s="637"/>
      <c r="E55" s="637">
        <v>500000</v>
      </c>
      <c r="F55" s="637"/>
      <c r="G55" s="70"/>
      <c r="H55" s="70"/>
      <c r="I55" s="70"/>
    </row>
    <row r="56" spans="1:9" ht="12.75" customHeight="1" x14ac:dyDescent="0.2">
      <c r="A56" s="306"/>
      <c r="B56" s="59"/>
      <c r="C56" s="816">
        <v>800</v>
      </c>
      <c r="D56" s="74"/>
      <c r="E56" s="74">
        <v>-500000</v>
      </c>
      <c r="F56" s="74"/>
      <c r="G56" s="95"/>
      <c r="H56" s="95"/>
      <c r="I56" s="95"/>
    </row>
    <row r="57" spans="1:9" x14ac:dyDescent="0.2">
      <c r="A57" s="308" t="s">
        <v>692</v>
      </c>
      <c r="B57" s="146"/>
      <c r="C57" s="642">
        <v>200</v>
      </c>
      <c r="D57" s="637">
        <v>-1200000</v>
      </c>
      <c r="E57" s="637">
        <f>1200000+350000</f>
        <v>1550000</v>
      </c>
      <c r="F57" s="637">
        <v>-350000</v>
      </c>
      <c r="G57" s="70"/>
      <c r="H57" s="70"/>
      <c r="I57" s="70"/>
    </row>
    <row r="58" spans="1:9" x14ac:dyDescent="0.2">
      <c r="A58" s="306"/>
      <c r="B58" s="59"/>
      <c r="C58" s="816" t="s">
        <v>167</v>
      </c>
      <c r="D58" s="74"/>
      <c r="E58" s="74">
        <v>850000</v>
      </c>
      <c r="F58" s="74">
        <v>-850000</v>
      </c>
      <c r="G58" s="95"/>
      <c r="H58" s="95"/>
      <c r="I58" s="95"/>
    </row>
    <row r="59" spans="1:9" x14ac:dyDescent="0.2">
      <c r="A59" s="323" t="s">
        <v>747</v>
      </c>
      <c r="B59" s="146"/>
      <c r="C59" s="642"/>
      <c r="D59" s="637"/>
      <c r="E59" s="637"/>
      <c r="F59" s="637"/>
      <c r="G59" s="70"/>
      <c r="H59" s="70"/>
      <c r="I59" s="70"/>
    </row>
    <row r="60" spans="1:9" x14ac:dyDescent="0.2">
      <c r="A60" s="306" t="s">
        <v>768</v>
      </c>
      <c r="B60" s="59"/>
      <c r="C60" s="816">
        <v>100</v>
      </c>
      <c r="D60" s="74"/>
      <c r="E60" s="74">
        <v>-2551598</v>
      </c>
      <c r="F60" s="74"/>
      <c r="G60" s="95">
        <v>2551598</v>
      </c>
      <c r="H60" s="95"/>
      <c r="I60" s="95"/>
    </row>
    <row r="61" spans="1:9" x14ac:dyDescent="0.2">
      <c r="A61" s="308" t="s">
        <v>765</v>
      </c>
      <c r="B61" s="146"/>
      <c r="C61" s="642">
        <v>200</v>
      </c>
      <c r="D61" s="637"/>
      <c r="E61" s="637">
        <v>-5493681</v>
      </c>
      <c r="F61" s="637"/>
      <c r="G61" s="70">
        <v>5493681</v>
      </c>
      <c r="H61" s="70"/>
      <c r="I61" s="70"/>
    </row>
    <row r="62" spans="1:9" x14ac:dyDescent="0.2">
      <c r="A62" s="306" t="s">
        <v>766</v>
      </c>
      <c r="B62" s="59"/>
      <c r="C62" s="816" t="s">
        <v>167</v>
      </c>
      <c r="D62" s="74"/>
      <c r="E62" s="74">
        <v>-703600</v>
      </c>
      <c r="F62" s="74"/>
      <c r="G62" s="95">
        <v>703600</v>
      </c>
      <c r="H62" s="95"/>
      <c r="I62" s="95"/>
    </row>
    <row r="63" spans="1:9" x14ac:dyDescent="0.2">
      <c r="A63" s="308" t="s">
        <v>767</v>
      </c>
      <c r="B63" s="146"/>
      <c r="C63" s="642" t="s">
        <v>167</v>
      </c>
      <c r="D63" s="637"/>
      <c r="E63" s="637">
        <v>-104875</v>
      </c>
      <c r="F63" s="637"/>
      <c r="G63" s="70">
        <v>104875</v>
      </c>
      <c r="H63" s="70"/>
      <c r="I63" s="70"/>
    </row>
    <row r="64" spans="1:9" x14ac:dyDescent="0.2">
      <c r="A64" s="306" t="s">
        <v>909</v>
      </c>
      <c r="B64" s="59"/>
      <c r="C64" s="816">
        <v>100</v>
      </c>
      <c r="D64" s="74"/>
      <c r="E64" s="74">
        <v>-72367</v>
      </c>
      <c r="F64" s="74">
        <v>72367</v>
      </c>
      <c r="G64" s="95"/>
      <c r="H64" s="95"/>
      <c r="I64" s="95"/>
    </row>
    <row r="65" spans="1:9" x14ac:dyDescent="0.2">
      <c r="A65" s="323" t="s">
        <v>911</v>
      </c>
      <c r="B65" s="146"/>
      <c r="C65" s="642"/>
      <c r="D65" s="637"/>
      <c r="E65" s="637"/>
      <c r="F65" s="637"/>
      <c r="G65" s="70"/>
      <c r="H65" s="70"/>
      <c r="I65" s="70"/>
    </row>
    <row r="66" spans="1:9" x14ac:dyDescent="0.2">
      <c r="A66" s="306" t="s">
        <v>999</v>
      </c>
      <c r="B66" s="59"/>
      <c r="C66" s="816">
        <v>100</v>
      </c>
      <c r="D66" s="74"/>
      <c r="E66" s="74"/>
      <c r="F66" s="74"/>
      <c r="G66" s="74">
        <v>-2551598</v>
      </c>
      <c r="H66" s="95">
        <v>2551598</v>
      </c>
      <c r="I66" s="95"/>
    </row>
    <row r="67" spans="1:9" x14ac:dyDescent="0.2">
      <c r="A67" s="308"/>
      <c r="B67" s="146"/>
      <c r="C67" s="642">
        <v>200</v>
      </c>
      <c r="D67" s="637"/>
      <c r="E67" s="637"/>
      <c r="F67" s="637"/>
      <c r="G67" s="637">
        <v>-5493681</v>
      </c>
      <c r="H67" s="70">
        <v>5493681</v>
      </c>
      <c r="I67" s="70"/>
    </row>
    <row r="68" spans="1:9" x14ac:dyDescent="0.2">
      <c r="A68" s="306"/>
      <c r="B68" s="59"/>
      <c r="C68" s="899" t="s">
        <v>167</v>
      </c>
      <c r="D68" s="74"/>
      <c r="E68" s="74"/>
      <c r="F68" s="74"/>
      <c r="G68" s="74">
        <v>-703600</v>
      </c>
      <c r="H68" s="95">
        <v>703600</v>
      </c>
      <c r="I68" s="95"/>
    </row>
    <row r="69" spans="1:9" x14ac:dyDescent="0.2">
      <c r="A69" s="308"/>
      <c r="B69" s="146"/>
      <c r="C69" s="642" t="s">
        <v>167</v>
      </c>
      <c r="D69" s="637"/>
      <c r="E69" s="637"/>
      <c r="F69" s="637"/>
      <c r="G69" s="637">
        <v>-104875</v>
      </c>
      <c r="H69" s="70">
        <v>104875</v>
      </c>
      <c r="I69" s="70"/>
    </row>
    <row r="70" spans="1:9" x14ac:dyDescent="0.2">
      <c r="A70" s="306"/>
      <c r="B70" s="59"/>
      <c r="C70" s="899"/>
      <c r="D70" s="74"/>
      <c r="E70" s="74"/>
      <c r="F70" s="74"/>
      <c r="G70" s="74"/>
      <c r="H70" s="95"/>
      <c r="I70" s="95"/>
    </row>
  </sheetData>
  <mergeCells count="6">
    <mergeCell ref="A1:I1"/>
    <mergeCell ref="A2:I2"/>
    <mergeCell ref="A3:I3"/>
    <mergeCell ref="A4:I4"/>
    <mergeCell ref="C6:I6"/>
    <mergeCell ref="C5:I5"/>
  </mergeCells>
  <conditionalFormatting sqref="D43:D44">
    <cfRule type="expression" dxfId="59" priority="7">
      <formula>MOD(ROW(),2)=1</formula>
    </cfRule>
  </conditionalFormatting>
  <conditionalFormatting sqref="D46">
    <cfRule type="expression" dxfId="58" priority="1">
      <formula>MOD(ROW(),2)=1</formula>
    </cfRule>
  </conditionalFormatting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7">
    <tabColor theme="3"/>
    <pageSetUpPr fitToPage="1"/>
  </sheetPr>
  <dimension ref="A1:K62"/>
  <sheetViews>
    <sheetView topLeftCell="A4" zoomScaleNormal="100" zoomScaleSheetLayoutView="90" workbookViewId="0">
      <selection activeCell="D9" sqref="D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20</v>
      </c>
      <c r="C6" s="968" t="s">
        <v>120</v>
      </c>
      <c r="D6" s="968"/>
      <c r="E6" s="968"/>
      <c r="F6" s="968"/>
      <c r="G6" s="968"/>
      <c r="H6" s="968"/>
      <c r="I6" s="968"/>
    </row>
    <row r="7" spans="1:11" ht="16" thickBot="1" x14ac:dyDescent="0.25">
      <c r="A7" s="88" t="s">
        <v>274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8875590</v>
      </c>
      <c r="C9" s="34">
        <v>9395654</v>
      </c>
      <c r="D9" s="227">
        <f>+C9+D29+D30+D31+D32+D33+D34+D35+D36</f>
        <v>9487678</v>
      </c>
      <c r="E9" s="115">
        <f>+D9+E24+E30+E42+E31+E32+E33+E44+E34+E46+E35+E36</f>
        <v>10101149</v>
      </c>
      <c r="F9" s="411">
        <f>+E9+F44</f>
        <v>10125246</v>
      </c>
      <c r="G9" s="34">
        <f>+F9+G42+G47</f>
        <v>10125246</v>
      </c>
      <c r="H9" s="227">
        <f>+G9+H47</f>
        <v>12363020</v>
      </c>
      <c r="I9" s="51">
        <f t="shared" ref="E9:I15" si="0">+H9</f>
        <v>12363020</v>
      </c>
      <c r="K9" s="7">
        <v>100</v>
      </c>
    </row>
    <row r="10" spans="1:11" x14ac:dyDescent="0.2">
      <c r="A10" s="10" t="s">
        <v>5</v>
      </c>
      <c r="B10" s="36">
        <f>162701004-'20S-Public Prop-SEPTA'!B10-'20SR-Public Prop-Space Rentals'!B10-'20U-Public Prop-Utilities'!B10+146002+1095819</f>
        <v>33313742</v>
      </c>
      <c r="C10" s="36">
        <v>31314408</v>
      </c>
      <c r="D10" s="230">
        <f>+C10+D27+D28</f>
        <v>36914408</v>
      </c>
      <c r="E10" s="550">
        <f>+D10+E22+E25+E27+E28+E38+E39+E40+E43</f>
        <v>30549657</v>
      </c>
      <c r="F10" s="548">
        <f>+E10+F22+F25+F38+F39+F40</f>
        <v>31088871</v>
      </c>
      <c r="G10" s="36">
        <f>+F10+G22+G25+G38+G39+G40+G43+G48</f>
        <v>31643931</v>
      </c>
      <c r="H10" s="230">
        <f>+G10+H25+H38+H39+H40+H48</f>
        <v>35066216</v>
      </c>
      <c r="I10" s="37">
        <f>+H10+I39+I40+I41</f>
        <v>35135648</v>
      </c>
      <c r="K10" s="7">
        <v>200</v>
      </c>
    </row>
    <row r="11" spans="1:11" x14ac:dyDescent="0.2">
      <c r="A11" s="9" t="s">
        <v>6</v>
      </c>
      <c r="B11" s="34">
        <f>877051+148125</f>
        <v>1025176</v>
      </c>
      <c r="C11" s="34">
        <v>1338535</v>
      </c>
      <c r="D11" s="227">
        <f t="shared" ref="D11:D15" si="1">+C11</f>
        <v>1338535</v>
      </c>
      <c r="E11" s="115">
        <f>+D11</f>
        <v>1338535</v>
      </c>
      <c r="F11" s="411">
        <f>+E11</f>
        <v>1338535</v>
      </c>
      <c r="G11" s="34">
        <f t="shared" si="0"/>
        <v>1338535</v>
      </c>
      <c r="H11" s="227">
        <f t="shared" si="0"/>
        <v>1338535</v>
      </c>
      <c r="I11" s="35">
        <f t="shared" si="0"/>
        <v>1338535</v>
      </c>
      <c r="K11" s="7" t="s">
        <v>167</v>
      </c>
    </row>
    <row r="12" spans="1:11" x14ac:dyDescent="0.2">
      <c r="A12" s="10" t="s">
        <v>7</v>
      </c>
      <c r="B12" s="36">
        <v>659401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48" t="s">
        <v>9</v>
      </c>
      <c r="B14" s="43">
        <v>27678626</v>
      </c>
      <c r="C14" s="49">
        <v>26643000</v>
      </c>
      <c r="D14" s="228">
        <f>+C14</f>
        <v>26643000</v>
      </c>
      <c r="E14" s="114">
        <v>28235000</v>
      </c>
      <c r="F14" s="412">
        <v>29992000</v>
      </c>
      <c r="G14" s="49">
        <v>31746000</v>
      </c>
      <c r="H14" s="232">
        <v>33682000</v>
      </c>
      <c r="I14" s="50">
        <f>+H14</f>
        <v>33682000</v>
      </c>
      <c r="J14"/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71552535</v>
      </c>
      <c r="C16" s="40">
        <f t="shared" ref="C16:I16" si="2">SUM(C9:C15)</f>
        <v>68691597</v>
      </c>
      <c r="D16" s="40">
        <f t="shared" si="2"/>
        <v>74383621</v>
      </c>
      <c r="E16" s="573">
        <f t="shared" si="2"/>
        <v>70224341</v>
      </c>
      <c r="F16" s="40">
        <f t="shared" si="2"/>
        <v>72544652</v>
      </c>
      <c r="G16" s="40">
        <f t="shared" si="2"/>
        <v>74853712</v>
      </c>
      <c r="H16" s="40">
        <f t="shared" si="2"/>
        <v>82449771</v>
      </c>
      <c r="I16" s="40">
        <f t="shared" si="2"/>
        <v>82519203</v>
      </c>
    </row>
    <row r="17" spans="1:10" x14ac:dyDescent="0.2">
      <c r="B17" s="854">
        <f>+'20S-Public Prop-SEPTA'!B16+'20SR-Public Prop-Space Rentals'!B16+'20U-Public Prop-Utilities'!B16</f>
        <v>130629083</v>
      </c>
    </row>
    <row r="18" spans="1:10" x14ac:dyDescent="0.2">
      <c r="B18" s="854">
        <f>+B17+B16</f>
        <v>202181618</v>
      </c>
      <c r="E18" s="416">
        <f>+E16-D16</f>
        <v>-4159280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  <c r="J20" s="17"/>
    </row>
    <row r="21" spans="1:10" ht="13" customHeight="1" x14ac:dyDescent="0.2">
      <c r="A21" s="402" t="s">
        <v>282</v>
      </c>
      <c r="B21" s="146"/>
      <c r="C21" s="146"/>
      <c r="D21" s="146"/>
      <c r="E21" s="146"/>
      <c r="F21" s="144"/>
      <c r="G21" s="144"/>
      <c r="H21" s="145"/>
      <c r="I21" s="145"/>
      <c r="J21" s="17"/>
    </row>
    <row r="22" spans="1:10" ht="12.75" customHeight="1" x14ac:dyDescent="0.2">
      <c r="A22" s="586" t="s">
        <v>331</v>
      </c>
      <c r="B22" s="82"/>
      <c r="C22" s="82">
        <v>200</v>
      </c>
      <c r="D22" s="74"/>
      <c r="E22" s="83">
        <f>1681690-1230550</f>
        <v>451140</v>
      </c>
      <c r="F22" s="83">
        <f>2146364-1681690</f>
        <v>464674</v>
      </c>
      <c r="G22" s="83">
        <f>2624978-2146364</f>
        <v>478614</v>
      </c>
      <c r="H22" s="95"/>
      <c r="I22" s="95"/>
      <c r="J22" s="17"/>
    </row>
    <row r="23" spans="1:10" ht="12.75" customHeight="1" x14ac:dyDescent="0.2">
      <c r="A23" s="453" t="s">
        <v>358</v>
      </c>
      <c r="B23" s="146"/>
      <c r="C23" s="146"/>
      <c r="D23" s="146"/>
      <c r="E23" s="130"/>
      <c r="F23" s="146"/>
      <c r="G23" s="146"/>
      <c r="H23" s="146"/>
      <c r="I23" s="146"/>
      <c r="J23" s="17"/>
    </row>
    <row r="24" spans="1:10" ht="12.75" customHeight="1" x14ac:dyDescent="0.2">
      <c r="A24" s="306" t="s">
        <v>392</v>
      </c>
      <c r="B24" s="82"/>
      <c r="C24" s="82">
        <v>100</v>
      </c>
      <c r="D24" s="74"/>
      <c r="E24" s="83">
        <v>2850000</v>
      </c>
      <c r="F24" s="82"/>
      <c r="G24" s="82"/>
      <c r="H24" s="82"/>
      <c r="I24" s="82"/>
      <c r="J24" s="17"/>
    </row>
    <row r="25" spans="1:10" ht="12.75" customHeight="1" x14ac:dyDescent="0.2">
      <c r="A25" s="741" t="s">
        <v>383</v>
      </c>
      <c r="B25" s="189"/>
      <c r="C25" s="487">
        <v>200</v>
      </c>
      <c r="D25" s="189"/>
      <c r="E25" s="455">
        <v>10000</v>
      </c>
      <c r="F25" s="455">
        <v>11000</v>
      </c>
      <c r="G25" s="455">
        <v>11000</v>
      </c>
      <c r="H25" s="455">
        <v>11000</v>
      </c>
      <c r="I25" s="455"/>
      <c r="J25" s="17"/>
    </row>
    <row r="26" spans="1:10" ht="12.75" customHeight="1" x14ac:dyDescent="0.2">
      <c r="A26" s="676" t="s">
        <v>511</v>
      </c>
      <c r="B26" s="59"/>
      <c r="C26" s="59"/>
      <c r="D26" s="59"/>
      <c r="E26" s="59"/>
      <c r="F26" s="59"/>
      <c r="G26" s="585"/>
      <c r="H26" s="585"/>
      <c r="I26" s="585"/>
    </row>
    <row r="27" spans="1:10" ht="12.75" customHeight="1" x14ac:dyDescent="0.2">
      <c r="A27" s="308" t="s">
        <v>536</v>
      </c>
      <c r="B27" s="146"/>
      <c r="C27" s="642">
        <v>200</v>
      </c>
      <c r="D27" s="637">
        <v>4400000</v>
      </c>
      <c r="E27" s="637">
        <v>-4400000</v>
      </c>
      <c r="F27" s="637"/>
      <c r="G27" s="70"/>
      <c r="H27" s="70"/>
      <c r="I27" s="70"/>
    </row>
    <row r="28" spans="1:10" ht="12.75" customHeight="1" x14ac:dyDescent="0.2">
      <c r="A28" s="830" t="s">
        <v>537</v>
      </c>
      <c r="B28" s="59"/>
      <c r="C28" s="330">
        <v>200</v>
      </c>
      <c r="D28" s="83">
        <v>1200000</v>
      </c>
      <c r="E28" s="83">
        <v>-1200000</v>
      </c>
      <c r="F28" s="83"/>
      <c r="G28" s="83"/>
      <c r="H28" s="83"/>
      <c r="I28" s="83"/>
    </row>
    <row r="29" spans="1:10" ht="12.75" customHeight="1" x14ac:dyDescent="0.2">
      <c r="A29" s="308" t="s">
        <v>505</v>
      </c>
      <c r="B29" s="146"/>
      <c r="C29" s="243">
        <v>100</v>
      </c>
      <c r="D29" s="637">
        <v>10967</v>
      </c>
      <c r="E29" s="637"/>
      <c r="F29" s="637"/>
      <c r="G29" s="70"/>
      <c r="H29" s="70"/>
      <c r="I29" s="70"/>
    </row>
    <row r="30" spans="1:10" ht="12.75" customHeight="1" x14ac:dyDescent="0.2">
      <c r="A30" s="870" t="s">
        <v>584</v>
      </c>
      <c r="B30" s="59"/>
      <c r="C30" s="330">
        <v>100</v>
      </c>
      <c r="D30" s="83">
        <v>2539726</v>
      </c>
      <c r="E30" s="83">
        <v>-2539726</v>
      </c>
      <c r="F30" s="83"/>
      <c r="G30" s="83"/>
      <c r="H30" s="83"/>
      <c r="I30" s="83"/>
    </row>
    <row r="31" spans="1:10" ht="12.75" customHeight="1" x14ac:dyDescent="0.2">
      <c r="A31" s="926" t="s">
        <v>825</v>
      </c>
      <c r="B31" s="146"/>
      <c r="C31" s="243">
        <v>100</v>
      </c>
      <c r="D31" s="925">
        <v>3113</v>
      </c>
      <c r="E31" s="925">
        <v>18677</v>
      </c>
      <c r="F31" s="637"/>
      <c r="G31" s="70"/>
      <c r="H31" s="70"/>
      <c r="I31" s="70"/>
    </row>
    <row r="32" spans="1:10" ht="12.75" customHeight="1" x14ac:dyDescent="0.2">
      <c r="A32" s="926" t="s">
        <v>898</v>
      </c>
      <c r="B32" s="59"/>
      <c r="C32" s="330">
        <v>100</v>
      </c>
      <c r="D32" s="925">
        <v>9450</v>
      </c>
      <c r="E32" s="897">
        <v>-9450</v>
      </c>
      <c r="F32" s="83"/>
      <c r="G32" s="781"/>
      <c r="H32" s="781"/>
      <c r="I32" s="781"/>
    </row>
    <row r="33" spans="1:9" ht="12.75" customHeight="1" x14ac:dyDescent="0.2">
      <c r="A33" s="926" t="s">
        <v>833</v>
      </c>
      <c r="B33" s="146"/>
      <c r="C33" s="243">
        <v>100</v>
      </c>
      <c r="D33" s="925">
        <v>6543</v>
      </c>
      <c r="E33" s="925">
        <v>39257</v>
      </c>
      <c r="F33" s="637"/>
      <c r="G33" s="70"/>
      <c r="H33" s="70"/>
      <c r="I33" s="70"/>
    </row>
    <row r="34" spans="1:9" ht="12.75" customHeight="1" x14ac:dyDescent="0.2">
      <c r="A34" s="926" t="s">
        <v>888</v>
      </c>
      <c r="B34" s="59"/>
      <c r="C34" s="330">
        <v>100</v>
      </c>
      <c r="D34" s="925">
        <v>-2539726</v>
      </c>
      <c r="E34" s="897">
        <v>2539726</v>
      </c>
      <c r="F34" s="83"/>
      <c r="G34" s="781"/>
      <c r="H34" s="781"/>
      <c r="I34" s="781"/>
    </row>
    <row r="35" spans="1:9" ht="12.75" customHeight="1" x14ac:dyDescent="0.2">
      <c r="A35" s="926" t="s">
        <v>937</v>
      </c>
      <c r="B35" s="146"/>
      <c r="C35" s="243">
        <v>100</v>
      </c>
      <c r="D35" s="925">
        <v>14951</v>
      </c>
      <c r="E35" s="925">
        <v>74752</v>
      </c>
      <c r="F35" s="637"/>
      <c r="G35" s="70"/>
      <c r="H35" s="70"/>
      <c r="I35" s="70"/>
    </row>
    <row r="36" spans="1:9" ht="12.75" customHeight="1" x14ac:dyDescent="0.2">
      <c r="A36" s="926" t="s">
        <v>938</v>
      </c>
      <c r="B36" s="59"/>
      <c r="C36" s="330">
        <v>100</v>
      </c>
      <c r="D36" s="925">
        <v>47000</v>
      </c>
      <c r="E36" s="897">
        <v>-47000</v>
      </c>
      <c r="F36" s="83"/>
      <c r="G36" s="781"/>
      <c r="H36" s="781"/>
      <c r="I36" s="781"/>
    </row>
    <row r="37" spans="1:9" ht="12.75" customHeight="1" x14ac:dyDescent="0.2">
      <c r="A37" s="928" t="s">
        <v>596</v>
      </c>
      <c r="B37" s="146"/>
      <c r="C37" s="243"/>
      <c r="D37" s="925"/>
      <c r="E37" s="925"/>
      <c r="F37" s="637"/>
      <c r="G37" s="70"/>
      <c r="H37" s="70"/>
      <c r="I37" s="70"/>
    </row>
    <row r="38" spans="1:9" ht="12.75" customHeight="1" x14ac:dyDescent="0.2">
      <c r="A38" s="926" t="s">
        <v>635</v>
      </c>
      <c r="B38" s="59"/>
      <c r="C38" s="330">
        <v>200</v>
      </c>
      <c r="D38" s="925"/>
      <c r="E38" s="897">
        <v>808984</v>
      </c>
      <c r="F38" s="897">
        <f>833254-E38</f>
        <v>24270</v>
      </c>
      <c r="G38" s="897">
        <f>858252-F38-E38</f>
        <v>24998</v>
      </c>
      <c r="H38" s="897">
        <f>884000-G38-F38-E38</f>
        <v>25748</v>
      </c>
      <c r="I38" s="897"/>
    </row>
    <row r="39" spans="1:9" ht="12.75" customHeight="1" x14ac:dyDescent="0.2">
      <c r="A39" s="926" t="s">
        <v>636</v>
      </c>
      <c r="B39" s="146"/>
      <c r="C39" s="243">
        <v>200</v>
      </c>
      <c r="D39" s="925"/>
      <c r="E39" s="925">
        <v>533000</v>
      </c>
      <c r="F39" s="911">
        <f>548990-E39</f>
        <v>15990</v>
      </c>
      <c r="G39" s="911">
        <f>565460-F39-E39</f>
        <v>16470</v>
      </c>
      <c r="H39" s="911">
        <f>582424-G39-F39-E39</f>
        <v>16964</v>
      </c>
      <c r="I39" s="911">
        <f>910520-H38-G38-F38-E38</f>
        <v>26520</v>
      </c>
    </row>
    <row r="40" spans="1:9" ht="12.75" customHeight="1" x14ac:dyDescent="0.2">
      <c r="A40" s="926" t="s">
        <v>637</v>
      </c>
      <c r="B40" s="59"/>
      <c r="C40" s="330">
        <v>200</v>
      </c>
      <c r="D40" s="925"/>
      <c r="E40" s="897">
        <v>776000</v>
      </c>
      <c r="F40" s="897">
        <f>799280-776000</f>
        <v>23280</v>
      </c>
      <c r="G40" s="897">
        <f>823258-F40-E40</f>
        <v>23978</v>
      </c>
      <c r="H40" s="897">
        <f>847956-G40-F40-E40</f>
        <v>24698</v>
      </c>
      <c r="I40" s="897">
        <f>599897-H39-G39-F39-E39</f>
        <v>17473</v>
      </c>
    </row>
    <row r="41" spans="1:9" ht="12.75" customHeight="1" x14ac:dyDescent="0.2">
      <c r="A41" s="928" t="s">
        <v>747</v>
      </c>
      <c r="B41" s="146"/>
      <c r="C41" s="243"/>
      <c r="D41" s="925"/>
      <c r="E41" s="925"/>
      <c r="F41" s="911"/>
      <c r="G41" s="911"/>
      <c r="H41" s="911"/>
      <c r="I41" s="911">
        <f>873395-H40-G40-F40-E40</f>
        <v>25439</v>
      </c>
    </row>
    <row r="42" spans="1:9" ht="12.75" customHeight="1" x14ac:dyDescent="0.2">
      <c r="A42" s="926" t="s">
        <v>895</v>
      </c>
      <c r="B42" s="59"/>
      <c r="C42" s="330">
        <v>100</v>
      </c>
      <c r="D42" s="925"/>
      <c r="E42" s="897">
        <v>-2237774</v>
      </c>
      <c r="F42" s="897"/>
      <c r="G42" s="897">
        <v>2237774</v>
      </c>
      <c r="H42" s="897"/>
      <c r="I42" s="897"/>
    </row>
    <row r="43" spans="1:9" ht="12.75" customHeight="1" x14ac:dyDescent="0.2">
      <c r="A43" s="926" t="s">
        <v>773</v>
      </c>
      <c r="B43" s="146"/>
      <c r="C43" s="243">
        <v>200</v>
      </c>
      <c r="D43" s="925"/>
      <c r="E43" s="925">
        <v>-3343875</v>
      </c>
      <c r="F43" s="911"/>
      <c r="G43" s="911">
        <v>3343875</v>
      </c>
      <c r="H43" s="911"/>
      <c r="I43" s="911"/>
    </row>
    <row r="44" spans="1:9" ht="12.75" customHeight="1" x14ac:dyDescent="0.2">
      <c r="A44" s="926" t="s">
        <v>905</v>
      </c>
      <c r="B44" s="59"/>
      <c r="C44" s="330">
        <v>100</v>
      </c>
      <c r="D44" s="925"/>
      <c r="E44" s="897">
        <v>-24097</v>
      </c>
      <c r="F44" s="897">
        <v>24097</v>
      </c>
      <c r="G44" s="897"/>
      <c r="H44" s="897"/>
      <c r="I44" s="897"/>
    </row>
    <row r="45" spans="1:9" ht="12.75" customHeight="1" x14ac:dyDescent="0.2">
      <c r="A45" s="928" t="s">
        <v>911</v>
      </c>
      <c r="B45" s="146"/>
      <c r="C45" s="243"/>
      <c r="D45" s="925"/>
      <c r="E45" s="925"/>
      <c r="F45" s="911"/>
      <c r="G45" s="911"/>
      <c r="H45" s="911"/>
      <c r="I45" s="911"/>
    </row>
    <row r="46" spans="1:9" ht="12.75" customHeight="1" x14ac:dyDescent="0.2">
      <c r="A46" s="926" t="s">
        <v>923</v>
      </c>
      <c r="B46" s="59"/>
      <c r="C46" s="330">
        <v>100</v>
      </c>
      <c r="D46" s="925"/>
      <c r="E46" s="897">
        <v>-50894</v>
      </c>
      <c r="F46" s="897"/>
      <c r="G46" s="897"/>
      <c r="H46" s="897"/>
      <c r="I46" s="897"/>
    </row>
    <row r="47" spans="1:9" ht="12.75" customHeight="1" x14ac:dyDescent="0.2">
      <c r="A47" s="926" t="s">
        <v>997</v>
      </c>
      <c r="B47" s="146"/>
      <c r="C47" s="243">
        <v>100</v>
      </c>
      <c r="D47" s="925"/>
      <c r="E47" s="925"/>
      <c r="F47" s="911"/>
      <c r="G47" s="911">
        <v>-2237774</v>
      </c>
      <c r="H47" s="911">
        <v>2237774</v>
      </c>
      <c r="I47" s="911"/>
    </row>
    <row r="48" spans="1:9" ht="12.75" customHeight="1" x14ac:dyDescent="0.2">
      <c r="A48" s="926"/>
      <c r="B48" s="59"/>
      <c r="C48" s="330">
        <v>200</v>
      </c>
      <c r="D48" s="925"/>
      <c r="E48" s="897"/>
      <c r="F48" s="897"/>
      <c r="G48" s="897">
        <v>-3343875</v>
      </c>
      <c r="H48" s="897">
        <v>3343875</v>
      </c>
      <c r="I48" s="897"/>
    </row>
    <row r="49" spans="1:9" ht="12.75" customHeight="1" x14ac:dyDescent="0.2">
      <c r="A49" s="926"/>
      <c r="B49" s="146"/>
      <c r="C49" s="243"/>
      <c r="D49" s="925"/>
      <c r="E49" s="925"/>
      <c r="F49" s="911"/>
      <c r="G49" s="911"/>
      <c r="H49" s="911"/>
      <c r="I49" s="911"/>
    </row>
    <row r="50" spans="1:9" ht="12.75" customHeight="1" x14ac:dyDescent="0.2">
      <c r="A50" s="926"/>
      <c r="B50" s="59"/>
      <c r="C50" s="330"/>
      <c r="D50" s="925"/>
      <c r="E50" s="897"/>
      <c r="F50" s="897"/>
      <c r="G50" s="897"/>
      <c r="H50" s="897"/>
      <c r="I50" s="897"/>
    </row>
    <row r="51" spans="1:9" ht="12.75" customHeight="1" x14ac:dyDescent="0.2"/>
    <row r="53" spans="1:9" ht="12.75" customHeight="1" x14ac:dyDescent="0.2">
      <c r="A53" s="78"/>
      <c r="C53" s="330"/>
    </row>
    <row r="54" spans="1:9" ht="12.75" customHeight="1" thickBot="1" x14ac:dyDescent="0.25">
      <c r="A54" s="382" t="s">
        <v>335</v>
      </c>
      <c r="B54" s="337"/>
      <c r="C54" s="337"/>
      <c r="D54" s="373" t="s">
        <v>89</v>
      </c>
      <c r="E54" s="373" t="s">
        <v>206</v>
      </c>
      <c r="F54" s="373" t="s">
        <v>225</v>
      </c>
      <c r="G54" s="373" t="s">
        <v>249</v>
      </c>
      <c r="H54" s="374" t="s">
        <v>308</v>
      </c>
      <c r="I54" s="374" t="s">
        <v>438</v>
      </c>
    </row>
    <row r="55" spans="1:9" ht="12.75" customHeight="1" thickTop="1" x14ac:dyDescent="0.2">
      <c r="A55" s="375" t="s">
        <v>269</v>
      </c>
      <c r="B55" s="371"/>
      <c r="C55" s="371"/>
      <c r="D55" s="372">
        <f t="shared" ref="D55:G55" si="3">SUM(D56:D59)</f>
        <v>26643000</v>
      </c>
      <c r="E55" s="372">
        <f t="shared" si="3"/>
        <v>28235000</v>
      </c>
      <c r="F55" s="372">
        <f t="shared" si="3"/>
        <v>29992000</v>
      </c>
      <c r="G55" s="372">
        <f t="shared" si="3"/>
        <v>31746000</v>
      </c>
      <c r="H55" s="376">
        <f t="shared" ref="H55:I55" si="4">SUM(H56:H59)</f>
        <v>33682000</v>
      </c>
      <c r="I55" s="376">
        <f t="shared" si="4"/>
        <v>33682000</v>
      </c>
    </row>
    <row r="56" spans="1:9" ht="12.75" customHeight="1" x14ac:dyDescent="0.2">
      <c r="A56" s="377" t="s">
        <v>270</v>
      </c>
      <c r="B56" s="53"/>
      <c r="C56" s="53">
        <v>800</v>
      </c>
      <c r="D56" s="378">
        <f>34103000-9235000</f>
        <v>24868000</v>
      </c>
      <c r="E56" s="378">
        <f>36342000-9882000</f>
        <v>26460000</v>
      </c>
      <c r="F56" s="378">
        <f>38791000-10574000</f>
        <v>28217000</v>
      </c>
      <c r="G56" s="378">
        <f>41286000-11315000</f>
        <v>29971000</v>
      </c>
      <c r="H56" s="379">
        <f>44015000-12108000</f>
        <v>31907000</v>
      </c>
      <c r="I56" s="379">
        <f>44015000-12108000</f>
        <v>31907000</v>
      </c>
    </row>
    <row r="57" spans="1:9" ht="12.75" customHeight="1" x14ac:dyDescent="0.2">
      <c r="A57" s="377" t="s">
        <v>271</v>
      </c>
      <c r="B57" s="53"/>
      <c r="C57" s="53">
        <v>800</v>
      </c>
      <c r="D57" s="378">
        <v>350000</v>
      </c>
      <c r="E57" s="378">
        <v>350000</v>
      </c>
      <c r="F57" s="378">
        <v>350000</v>
      </c>
      <c r="G57" s="378">
        <v>350000</v>
      </c>
      <c r="H57" s="379">
        <v>350000</v>
      </c>
      <c r="I57" s="379">
        <v>350000</v>
      </c>
    </row>
    <row r="58" spans="1:9" ht="12.75" customHeight="1" x14ac:dyDescent="0.2">
      <c r="A58" s="377" t="s">
        <v>273</v>
      </c>
      <c r="B58" s="53"/>
      <c r="C58" s="53">
        <v>800</v>
      </c>
      <c r="D58" s="378">
        <v>125000</v>
      </c>
      <c r="E58" s="378">
        <v>125000</v>
      </c>
      <c r="F58" s="378">
        <v>125000</v>
      </c>
      <c r="G58" s="378">
        <v>125000</v>
      </c>
      <c r="H58" s="379">
        <v>125000</v>
      </c>
      <c r="I58" s="379">
        <v>125000</v>
      </c>
    </row>
    <row r="59" spans="1:9" ht="12.75" customHeight="1" x14ac:dyDescent="0.2">
      <c r="A59" s="380" t="s">
        <v>272</v>
      </c>
      <c r="B59" s="369"/>
      <c r="C59" s="369">
        <v>800</v>
      </c>
      <c r="D59" s="370">
        <v>1300000</v>
      </c>
      <c r="E59" s="370">
        <v>1300000</v>
      </c>
      <c r="F59" s="370">
        <v>1300000</v>
      </c>
      <c r="G59" s="370">
        <v>1300000</v>
      </c>
      <c r="H59" s="381">
        <v>1300000</v>
      </c>
      <c r="I59" s="381">
        <v>1300000</v>
      </c>
    </row>
    <row r="60" spans="1:9" ht="12.75" customHeight="1" x14ac:dyDescent="0.2">
      <c r="D60" s="14"/>
      <c r="E60" s="14"/>
      <c r="F60" s="14"/>
      <c r="G60" s="14"/>
      <c r="H60" s="14"/>
      <c r="I60" s="14"/>
    </row>
    <row r="61" spans="1:9" ht="12.75" customHeight="1" x14ac:dyDescent="0.2">
      <c r="C61" s="15" t="s">
        <v>463</v>
      </c>
      <c r="D61" s="14">
        <v>26643000</v>
      </c>
      <c r="E61" s="14">
        <v>28235000</v>
      </c>
      <c r="F61" s="14">
        <v>29992000</v>
      </c>
      <c r="G61" s="14">
        <v>31746000</v>
      </c>
      <c r="H61" s="14">
        <v>33682000</v>
      </c>
      <c r="I61" s="14">
        <f>+H61</f>
        <v>33682000</v>
      </c>
    </row>
    <row r="62" spans="1:9" ht="12.75" customHeight="1" x14ac:dyDescent="0.2">
      <c r="C62" s="15" t="s">
        <v>336</v>
      </c>
      <c r="E62" s="199">
        <f>+E55-E61</f>
        <v>0</v>
      </c>
      <c r="F62" s="199">
        <f t="shared" ref="F62:I62" si="5">+F55-F61</f>
        <v>0</v>
      </c>
      <c r="G62" s="199">
        <f t="shared" si="5"/>
        <v>0</v>
      </c>
      <c r="H62" s="199">
        <f t="shared" si="5"/>
        <v>0</v>
      </c>
      <c r="I62" s="199">
        <f t="shared" si="5"/>
        <v>0</v>
      </c>
    </row>
  </sheetData>
  <mergeCells count="6">
    <mergeCell ref="A1:I1"/>
    <mergeCell ref="A2:I2"/>
    <mergeCell ref="A3:I3"/>
    <mergeCell ref="A4:I4"/>
    <mergeCell ref="C6:I6"/>
    <mergeCell ref="C5:I5"/>
  </mergeCells>
  <conditionalFormatting sqref="A31:A32">
    <cfRule type="expression" dxfId="57" priority="18">
      <formula>MOD(ROW(),2)=1</formula>
    </cfRule>
  </conditionalFormatting>
  <conditionalFormatting sqref="D31:D32">
    <cfRule type="expression" dxfId="56" priority="17">
      <formula>MOD(ROW(),2)=1</formula>
    </cfRule>
  </conditionalFormatting>
  <conditionalFormatting sqref="E31">
    <cfRule type="expression" dxfId="55" priority="16">
      <formula>MOD(ROW(),2)=1</formula>
    </cfRule>
  </conditionalFormatting>
  <conditionalFormatting sqref="A33:A34 A37:A44">
    <cfRule type="expression" dxfId="54" priority="9">
      <formula>MOD(ROW(),2)=1</formula>
    </cfRule>
  </conditionalFormatting>
  <conditionalFormatting sqref="D33:D34 D37:D44">
    <cfRule type="expression" dxfId="53" priority="8">
      <formula>MOD(ROW(),2)=1</formula>
    </cfRule>
  </conditionalFormatting>
  <conditionalFormatting sqref="E33 E37 E39 E41 E43">
    <cfRule type="expression" dxfId="52" priority="7">
      <formula>MOD(ROW(),2)=1</formula>
    </cfRule>
  </conditionalFormatting>
  <conditionalFormatting sqref="A45:A50">
    <cfRule type="expression" dxfId="51" priority="6">
      <formula>MOD(ROW(),2)=1</formula>
    </cfRule>
  </conditionalFormatting>
  <conditionalFormatting sqref="D45:D50">
    <cfRule type="expression" dxfId="50" priority="5">
      <formula>MOD(ROW(),2)=1</formula>
    </cfRule>
  </conditionalFormatting>
  <conditionalFormatting sqref="E45 E47 E49">
    <cfRule type="expression" dxfId="49" priority="4">
      <formula>MOD(ROW(),2)=1</formula>
    </cfRule>
  </conditionalFormatting>
  <conditionalFormatting sqref="E35">
    <cfRule type="expression" dxfId="48" priority="1">
      <formula>MOD(ROW(),2)=1</formula>
    </cfRule>
  </conditionalFormatting>
  <conditionalFormatting sqref="A35:A36">
    <cfRule type="expression" dxfId="47" priority="3">
      <formula>MOD(ROW(),2)=1</formula>
    </cfRule>
  </conditionalFormatting>
  <conditionalFormatting sqref="D35:D36">
    <cfRule type="expression" dxfId="46" priority="2">
      <formula>MOD(ROW(),2)=1</formula>
    </cfRule>
  </conditionalFormatting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8">
    <tabColor theme="3"/>
    <pageSetUpPr fitToPage="1"/>
  </sheetPr>
  <dimension ref="A1:K64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20.5" style="7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78</v>
      </c>
      <c r="C6" s="968" t="s">
        <v>119</v>
      </c>
      <c r="D6" s="968"/>
      <c r="E6" s="968"/>
      <c r="F6" s="968"/>
      <c r="G6" s="968"/>
      <c r="H6" s="968"/>
      <c r="I6" s="968"/>
    </row>
    <row r="7" spans="1:11" ht="16" thickBot="1" x14ac:dyDescent="0.25">
      <c r="A7" s="88" t="s">
        <v>193</v>
      </c>
      <c r="C7" s="7" t="s">
        <v>555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>+C9</f>
        <v>0</v>
      </c>
      <c r="E9" s="115">
        <f>+D9</f>
        <v>0</v>
      </c>
      <c r="F9" s="411">
        <f t="shared" ref="E9:I15" si="0">+E9</f>
        <v>0</v>
      </c>
      <c r="G9" s="34">
        <f t="shared" si="0"/>
        <v>0</v>
      </c>
      <c r="H9" s="227">
        <f t="shared" si="0"/>
        <v>0</v>
      </c>
      <c r="I9" s="51">
        <f t="shared" si="0"/>
        <v>0</v>
      </c>
      <c r="K9" s="7">
        <v>100</v>
      </c>
    </row>
    <row r="10" spans="1:11" x14ac:dyDescent="0.2">
      <c r="A10" s="10" t="s">
        <v>5</v>
      </c>
      <c r="B10" s="43">
        <v>84608000</v>
      </c>
      <c r="C10" s="36">
        <v>87556000</v>
      </c>
      <c r="D10" s="230">
        <f>+C10+D27</f>
        <v>86356000</v>
      </c>
      <c r="E10" s="114">
        <f>88955000+E27</f>
        <v>84608000</v>
      </c>
      <c r="F10" s="412">
        <v>91629000</v>
      </c>
      <c r="G10" s="49">
        <v>94816000</v>
      </c>
      <c r="H10" s="228">
        <v>98117000</v>
      </c>
      <c r="I10" s="50">
        <v>101532000</v>
      </c>
      <c r="J10" s="213">
        <f>SUM(D10:I10)</f>
        <v>557058000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84608000</v>
      </c>
      <c r="C16" s="40">
        <f t="shared" ref="C16:I16" si="2">SUM(C9:C15)</f>
        <v>87556000</v>
      </c>
      <c r="D16" s="40">
        <f t="shared" si="2"/>
        <v>86356000</v>
      </c>
      <c r="E16" s="573">
        <f t="shared" si="2"/>
        <v>84608000</v>
      </c>
      <c r="F16" s="40">
        <f t="shared" si="2"/>
        <v>91629000</v>
      </c>
      <c r="G16" s="40">
        <f t="shared" si="2"/>
        <v>94816000</v>
      </c>
      <c r="H16" s="40">
        <f t="shared" si="2"/>
        <v>98117000</v>
      </c>
      <c r="I16" s="40">
        <f t="shared" si="2"/>
        <v>101532000</v>
      </c>
    </row>
    <row r="18" spans="1:11" x14ac:dyDescent="0.2">
      <c r="E18" s="416">
        <f>+E16-D16</f>
        <v>-1748000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119"/>
      <c r="B20" s="71"/>
      <c r="C20" s="72"/>
      <c r="D20" s="73"/>
      <c r="E20" s="73"/>
      <c r="F20" s="73"/>
      <c r="G20" s="74"/>
      <c r="H20" s="74"/>
      <c r="I20" s="74"/>
    </row>
    <row r="21" spans="1:11" ht="13" customHeight="1" x14ac:dyDescent="0.2">
      <c r="A21" s="597" t="s">
        <v>334</v>
      </c>
      <c r="B21" s="67"/>
      <c r="C21" s="68">
        <v>200</v>
      </c>
      <c r="D21" s="69"/>
      <c r="E21" s="70">
        <v>88955000</v>
      </c>
      <c r="F21" s="70">
        <v>91629000</v>
      </c>
      <c r="G21" s="70">
        <v>94816000</v>
      </c>
      <c r="H21" s="70">
        <v>98117000</v>
      </c>
      <c r="I21" s="70">
        <v>101532000</v>
      </c>
      <c r="J21" s="213">
        <f t="shared" ref="J21" si="3">SUM(D21:I21)</f>
        <v>475049000</v>
      </c>
    </row>
    <row r="22" spans="1:11" s="59" customFormat="1" ht="13" customHeight="1" x14ac:dyDescent="0.2">
      <c r="A22" s="914" t="s">
        <v>464</v>
      </c>
      <c r="B22" s="67"/>
      <c r="C22" s="68"/>
      <c r="D22" s="69"/>
      <c r="E22" s="144"/>
      <c r="F22" s="145"/>
      <c r="G22" s="145"/>
      <c r="H22" s="145"/>
      <c r="I22" s="145"/>
      <c r="J22" s="213"/>
      <c r="K22" s="7"/>
    </row>
    <row r="23" spans="1:11" ht="13" customHeight="1" x14ac:dyDescent="0.2">
      <c r="A23" s="597"/>
      <c r="B23" s="196"/>
      <c r="C23" s="155"/>
      <c r="D23" s="874" t="s">
        <v>580</v>
      </c>
      <c r="E23" s="69">
        <v>91025000</v>
      </c>
      <c r="F23" s="70">
        <v>94259000</v>
      </c>
      <c r="G23" s="70">
        <v>98004000</v>
      </c>
      <c r="H23" s="70">
        <v>101901000</v>
      </c>
      <c r="I23" s="70">
        <v>101901000</v>
      </c>
      <c r="J23" s="213"/>
    </row>
    <row r="24" spans="1:11" s="59" customFormat="1" ht="13" customHeight="1" x14ac:dyDescent="0.2">
      <c r="A24" s="78"/>
      <c r="B24" s="79"/>
      <c r="C24" s="72"/>
      <c r="D24" s="73"/>
      <c r="E24" s="73"/>
      <c r="F24" s="73"/>
      <c r="G24" s="73"/>
      <c r="H24" s="74"/>
      <c r="I24" s="74"/>
      <c r="J24" s="82"/>
      <c r="K24" s="7"/>
    </row>
    <row r="25" spans="1:11" ht="13" customHeight="1" x14ac:dyDescent="0.2">
      <c r="A25" s="160"/>
      <c r="B25" s="79"/>
      <c r="C25" s="72"/>
      <c r="D25" s="73"/>
      <c r="E25" s="391">
        <f>+E21-E23</f>
        <v>-2070000</v>
      </c>
      <c r="F25" s="391">
        <f t="shared" ref="F25:I25" si="4">+F21-F23</f>
        <v>-2630000</v>
      </c>
      <c r="G25" s="391">
        <f t="shared" si="4"/>
        <v>-3188000</v>
      </c>
      <c r="H25" s="391">
        <f t="shared" si="4"/>
        <v>-3784000</v>
      </c>
      <c r="I25" s="391">
        <f t="shared" si="4"/>
        <v>-369000</v>
      </c>
      <c r="J25" s="17"/>
    </row>
    <row r="26" spans="1:11" ht="13" customHeight="1" x14ac:dyDescent="0.2">
      <c r="A26" s="676" t="s">
        <v>511</v>
      </c>
      <c r="B26" s="79"/>
      <c r="C26" s="489"/>
      <c r="D26" s="73"/>
      <c r="E26" s="73"/>
      <c r="F26" s="73"/>
      <c r="G26" s="73"/>
      <c r="H26" s="74"/>
      <c r="I26" s="74"/>
      <c r="J26" s="17"/>
    </row>
    <row r="27" spans="1:11" ht="13" customHeight="1" x14ac:dyDescent="0.2">
      <c r="A27" s="830" t="s">
        <v>538</v>
      </c>
      <c r="B27" s="59"/>
      <c r="C27" s="330">
        <v>200</v>
      </c>
      <c r="D27" s="83">
        <v>-1200000</v>
      </c>
      <c r="E27" s="83">
        <v>-4347000</v>
      </c>
      <c r="F27" s="73"/>
      <c r="G27" s="73"/>
      <c r="H27" s="74"/>
      <c r="I27" s="74"/>
      <c r="J27" s="17"/>
    </row>
    <row r="28" spans="1:11" ht="13" customHeight="1" x14ac:dyDescent="0.2">
      <c r="A28" s="78"/>
      <c r="B28" s="79"/>
      <c r="C28" s="72"/>
      <c r="D28" s="73"/>
      <c r="E28" s="73"/>
      <c r="F28" s="73"/>
      <c r="G28" s="73"/>
      <c r="H28" s="74"/>
      <c r="I28" s="74"/>
      <c r="J28" s="17"/>
    </row>
    <row r="29" spans="1:11" ht="13" customHeight="1" x14ac:dyDescent="0.2">
      <c r="A29" s="78"/>
      <c r="B29" s="79"/>
      <c r="C29" s="72"/>
      <c r="D29" s="73"/>
      <c r="E29" s="73"/>
      <c r="F29" s="73"/>
      <c r="G29" s="73"/>
      <c r="H29" s="74"/>
      <c r="I29" s="74"/>
      <c r="J29" s="17"/>
    </row>
    <row r="30" spans="1:11" ht="13" customHeight="1" x14ac:dyDescent="0.2">
      <c r="A30" s="78"/>
      <c r="B30" s="79"/>
      <c r="C30" s="72"/>
      <c r="D30" s="73"/>
      <c r="E30" s="73"/>
      <c r="F30" s="73"/>
      <c r="G30" s="73"/>
      <c r="H30" s="74"/>
      <c r="I30" s="74"/>
      <c r="J30" s="17"/>
    </row>
    <row r="31" spans="1:11" ht="13" customHeight="1" x14ac:dyDescent="0.2">
      <c r="A31" s="78"/>
      <c r="B31" s="79"/>
      <c r="C31" s="72"/>
      <c r="D31" s="73"/>
      <c r="E31" s="73"/>
      <c r="F31" s="73"/>
      <c r="G31" s="73"/>
      <c r="H31" s="74"/>
      <c r="I31" s="74"/>
      <c r="J31" s="17"/>
    </row>
    <row r="32" spans="1:11" ht="13" customHeight="1" x14ac:dyDescent="0.2">
      <c r="A32" s="78"/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4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2"/>
      <c r="D46" s="73"/>
      <c r="E46" s="74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49">
        <v>82801000</v>
      </c>
      <c r="F53" s="49">
        <v>87534000</v>
      </c>
      <c r="G53" s="49">
        <v>92537000</v>
      </c>
      <c r="H53" s="190">
        <v>92537000</v>
      </c>
      <c r="I53" s="190"/>
      <c r="J53" s="17"/>
    </row>
    <row r="54" spans="1:10" ht="13" customHeight="1" x14ac:dyDescent="0.2">
      <c r="A54" s="78"/>
      <c r="B54" s="79"/>
      <c r="C54" s="72"/>
      <c r="D54" s="73"/>
      <c r="E54" s="70">
        <f>+E53-E16</f>
        <v>-1807000</v>
      </c>
      <c r="F54" s="70">
        <f>+F53-F16</f>
        <v>-4095000</v>
      </c>
      <c r="G54" s="70">
        <f>+G53-G16</f>
        <v>-2279000</v>
      </c>
      <c r="H54" s="70">
        <f>+H53-H16</f>
        <v>-5580000</v>
      </c>
      <c r="I54" s="70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2"/>
      <c r="D57" s="73"/>
      <c r="E57" s="73"/>
      <c r="F57" s="73"/>
      <c r="G57" s="73"/>
      <c r="H57" s="74"/>
      <c r="I57" s="74"/>
      <c r="J57" s="17"/>
    </row>
    <row r="58" spans="1:10" ht="13" customHeight="1" x14ac:dyDescent="0.2">
      <c r="A58" s="78"/>
      <c r="B58" s="79"/>
      <c r="C58" s="72"/>
      <c r="D58" s="73"/>
      <c r="E58" s="73"/>
      <c r="F58" s="73"/>
      <c r="G58" s="73"/>
      <c r="H58" s="74"/>
      <c r="I58" s="74"/>
      <c r="J58" s="17"/>
    </row>
    <row r="59" spans="1:10" ht="13" customHeight="1" x14ac:dyDescent="0.2">
      <c r="A59" s="78"/>
      <c r="B59" s="79"/>
      <c r="C59" s="72"/>
      <c r="D59" s="73"/>
      <c r="E59" s="73"/>
      <c r="F59" s="73"/>
      <c r="G59" s="73"/>
      <c r="H59" s="74"/>
      <c r="I59" s="74"/>
      <c r="J59" s="17"/>
    </row>
    <row r="60" spans="1:10" ht="13" customHeight="1" x14ac:dyDescent="0.2">
      <c r="A60" s="78"/>
      <c r="B60" s="79"/>
      <c r="C60" s="72"/>
      <c r="D60" s="73"/>
      <c r="E60" s="73"/>
      <c r="F60" s="73"/>
      <c r="G60" s="73"/>
      <c r="H60" s="74"/>
      <c r="I60" s="74"/>
      <c r="J60" s="17"/>
    </row>
    <row r="61" spans="1:10" ht="13" customHeight="1" x14ac:dyDescent="0.2">
      <c r="A61" s="78"/>
      <c r="B61" s="79"/>
      <c r="C61" s="76"/>
      <c r="D61" s="74"/>
      <c r="E61" s="74"/>
      <c r="F61" s="74"/>
      <c r="G61" s="74"/>
      <c r="H61" s="74"/>
      <c r="I61" s="74"/>
      <c r="J61" s="17"/>
    </row>
    <row r="62" spans="1:10" ht="13" customHeight="1" x14ac:dyDescent="0.2">
      <c r="A62" s="78"/>
      <c r="B62" s="79"/>
      <c r="C62" s="76"/>
      <c r="D62" s="74"/>
      <c r="E62" s="74"/>
      <c r="F62" s="74"/>
      <c r="G62" s="74"/>
      <c r="H62" s="74"/>
      <c r="I62" s="74"/>
      <c r="J62" s="17"/>
    </row>
    <row r="63" spans="1:10" ht="13" customHeight="1" x14ac:dyDescent="0.2">
      <c r="A63" s="78"/>
      <c r="B63" s="79"/>
      <c r="C63" s="76"/>
      <c r="D63" s="74"/>
      <c r="E63" s="74"/>
      <c r="F63" s="74"/>
      <c r="G63" s="74"/>
      <c r="H63" s="74"/>
      <c r="I63" s="74"/>
      <c r="J63" s="17"/>
    </row>
    <row r="64" spans="1:10" ht="13" customHeight="1" x14ac:dyDescent="0.2">
      <c r="A64" s="78"/>
      <c r="B64" s="79"/>
      <c r="C64" s="76"/>
      <c r="D64" s="74"/>
      <c r="E64" s="74"/>
      <c r="F64" s="74"/>
      <c r="G64" s="74"/>
      <c r="H64" s="74"/>
      <c r="I64" s="74"/>
      <c r="J64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8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9">
    <tabColor theme="3"/>
    <pageSetUpPr fitToPage="1"/>
  </sheetPr>
  <dimension ref="A1:K53"/>
  <sheetViews>
    <sheetView topLeftCell="A8" zoomScaleNormal="100" zoomScaleSheetLayoutView="90" workbookViewId="0">
      <selection activeCell="D25" sqref="D25:I2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6.1640625" style="7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80</v>
      </c>
      <c r="C6" s="963" t="s">
        <v>118</v>
      </c>
      <c r="D6" s="963"/>
      <c r="E6" s="963"/>
      <c r="F6" s="963"/>
      <c r="G6" s="963"/>
      <c r="H6" s="963"/>
      <c r="I6" s="963"/>
    </row>
    <row r="7" spans="1:11" ht="16" thickBot="1" x14ac:dyDescent="0.25">
      <c r="A7" s="88" t="s">
        <v>193</v>
      </c>
      <c r="C7" s="7" t="s">
        <v>553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v>20912273</v>
      </c>
      <c r="C10" s="43">
        <v>26278677</v>
      </c>
      <c r="D10" s="45">
        <f>+C10</f>
        <v>26278677</v>
      </c>
      <c r="E10" s="114">
        <f>26113076+E33+E25</f>
        <v>25567715</v>
      </c>
      <c r="F10" s="114">
        <f>25677141+F33+F25</f>
        <v>25473164</v>
      </c>
      <c r="G10" s="114">
        <f>25601607+G33+G25</f>
        <v>25570423</v>
      </c>
      <c r="H10" s="114">
        <f>26316824+H33+H25</f>
        <v>30230784</v>
      </c>
      <c r="I10" s="114">
        <f>26316824+I33+I25</f>
        <v>31075653</v>
      </c>
      <c r="J10"/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20912273</v>
      </c>
      <c r="C16" s="40">
        <f t="shared" ref="C16:I16" si="2">SUM(C9:C15)</f>
        <v>26278677</v>
      </c>
      <c r="D16" s="40">
        <f t="shared" si="2"/>
        <v>26278677</v>
      </c>
      <c r="E16" s="573">
        <f t="shared" si="2"/>
        <v>25567715</v>
      </c>
      <c r="F16" s="40">
        <f t="shared" si="2"/>
        <v>25473164</v>
      </c>
      <c r="G16" s="40">
        <f t="shared" si="2"/>
        <v>25570423</v>
      </c>
      <c r="H16" s="40">
        <f t="shared" si="2"/>
        <v>30230784</v>
      </c>
      <c r="I16" s="40">
        <f t="shared" si="2"/>
        <v>31075653</v>
      </c>
    </row>
    <row r="18" spans="1:10" x14ac:dyDescent="0.2">
      <c r="D18" s="416">
        <f>+D16-C16</f>
        <v>0</v>
      </c>
      <c r="E18" s="416">
        <f>+E16-D16</f>
        <v>-710962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466</v>
      </c>
      <c r="B20" s="71"/>
      <c r="C20" s="96"/>
      <c r="D20" s="73"/>
      <c r="E20" s="73"/>
      <c r="F20" s="73"/>
      <c r="G20" s="74"/>
      <c r="H20" s="74"/>
      <c r="I20" s="74"/>
    </row>
    <row r="21" spans="1:10" ht="13" customHeight="1" x14ac:dyDescent="0.2">
      <c r="A21" s="664" t="s">
        <v>397</v>
      </c>
      <c r="B21" s="79"/>
      <c r="C21" s="76">
        <v>200</v>
      </c>
      <c r="D21" s="74"/>
      <c r="E21" s="74">
        <v>1200000</v>
      </c>
      <c r="F21" s="74">
        <f>+E21</f>
        <v>1200000</v>
      </c>
      <c r="G21" s="74">
        <f>+F21</f>
        <v>1200000</v>
      </c>
      <c r="H21" s="74">
        <f>+G21</f>
        <v>1200000</v>
      </c>
      <c r="I21" s="74"/>
      <c r="J21" s="17"/>
    </row>
    <row r="22" spans="1:10" ht="13" customHeight="1" thickBot="1" x14ac:dyDescent="0.25">
      <c r="A22" s="748" t="s">
        <v>467</v>
      </c>
      <c r="B22" s="743"/>
      <c r="C22" s="744">
        <v>200</v>
      </c>
      <c r="D22" s="745"/>
      <c r="E22" s="745">
        <v>-698457</v>
      </c>
      <c r="F22" s="745">
        <v>-700142</v>
      </c>
      <c r="G22" s="745">
        <v>-701866</v>
      </c>
      <c r="H22" s="745">
        <v>-703629</v>
      </c>
      <c r="I22" s="745"/>
      <c r="J22" s="17"/>
    </row>
    <row r="23" spans="1:10" ht="13" customHeight="1" x14ac:dyDescent="0.2">
      <c r="A23" s="160" t="s">
        <v>450</v>
      </c>
      <c r="B23" s="59"/>
      <c r="C23" s="330"/>
      <c r="D23" s="83"/>
      <c r="E23" s="83"/>
      <c r="F23" s="83"/>
      <c r="G23" s="83"/>
      <c r="H23" s="83"/>
      <c r="I23" s="83"/>
      <c r="J23" s="17"/>
    </row>
    <row r="24" spans="1:10" ht="13" customHeight="1" x14ac:dyDescent="0.2">
      <c r="A24" s="323" t="s">
        <v>747</v>
      </c>
      <c r="B24" s="146"/>
      <c r="C24" s="243"/>
      <c r="D24" s="637"/>
      <c r="E24" s="637"/>
      <c r="F24" s="637"/>
      <c r="G24" s="70"/>
      <c r="H24" s="70"/>
      <c r="I24" s="70"/>
      <c r="J24" s="17"/>
    </row>
    <row r="25" spans="1:10" ht="13" customHeight="1" x14ac:dyDescent="0.2">
      <c r="A25" s="890" t="s">
        <v>774</v>
      </c>
      <c r="B25" s="59"/>
      <c r="C25" s="330">
        <v>200</v>
      </c>
      <c r="D25" s="95"/>
      <c r="E25" s="95">
        <v>-3987289</v>
      </c>
      <c r="F25" s="95">
        <v>-3987289</v>
      </c>
      <c r="G25" s="95">
        <v>-3987289</v>
      </c>
      <c r="H25" s="95">
        <v>0</v>
      </c>
      <c r="I25" s="95">
        <v>0</v>
      </c>
      <c r="J25" s="17"/>
    </row>
    <row r="26" spans="1:10" ht="13" customHeight="1" x14ac:dyDescent="0.2">
      <c r="A26" s="308"/>
      <c r="B26" s="146"/>
      <c r="C26" s="243"/>
      <c r="D26" s="637"/>
      <c r="E26" s="637"/>
      <c r="F26" s="637"/>
      <c r="G26" s="70"/>
      <c r="H26" s="70"/>
      <c r="I26" s="70"/>
      <c r="J26" s="17"/>
    </row>
    <row r="27" spans="1:10" ht="13" customHeight="1" x14ac:dyDescent="0.2">
      <c r="A27" s="830"/>
      <c r="B27" s="59"/>
      <c r="C27" s="330"/>
      <c r="D27" s="83"/>
      <c r="E27" s="83"/>
      <c r="F27" s="83"/>
      <c r="G27" s="83"/>
      <c r="H27" s="83"/>
      <c r="I27" s="83"/>
      <c r="J27" s="17"/>
    </row>
    <row r="28" spans="1:10" ht="13" customHeight="1" x14ac:dyDescent="0.2">
      <c r="A28" s="308"/>
      <c r="B28" s="146"/>
      <c r="C28" s="243"/>
      <c r="D28" s="637"/>
      <c r="E28" s="637"/>
      <c r="F28" s="637"/>
      <c r="G28" s="70"/>
      <c r="H28" s="70"/>
      <c r="I28" s="70"/>
      <c r="J28" s="17"/>
    </row>
    <row r="29" spans="1:10" ht="13" customHeight="1" x14ac:dyDescent="0.2">
      <c r="A29" s="78"/>
      <c r="B29" s="79"/>
      <c r="C29" s="76"/>
      <c r="D29" s="74"/>
      <c r="E29" s="74"/>
      <c r="F29" s="74"/>
      <c r="G29" s="74"/>
      <c r="H29" s="74"/>
      <c r="I29" s="74"/>
      <c r="J29" s="17"/>
    </row>
    <row r="30" spans="1:10" ht="13" customHeight="1" x14ac:dyDescent="0.2">
      <c r="A30" s="452" t="s">
        <v>450</v>
      </c>
      <c r="E30" s="238"/>
      <c r="F30" s="238"/>
      <c r="G30" s="238"/>
      <c r="H30" s="238"/>
      <c r="I30" s="238"/>
      <c r="J30" s="17"/>
    </row>
    <row r="31" spans="1:10" ht="13" customHeight="1" x14ac:dyDescent="0.2">
      <c r="A31" s="742" t="s">
        <v>465</v>
      </c>
      <c r="B31" s="79"/>
      <c r="C31" s="72"/>
      <c r="D31" s="238">
        <v>26278677</v>
      </c>
      <c r="E31" s="238">
        <v>29555004</v>
      </c>
      <c r="F31" s="238">
        <v>29460453</v>
      </c>
      <c r="G31" s="238">
        <v>29557712</v>
      </c>
      <c r="H31" s="238">
        <v>30230784</v>
      </c>
      <c r="I31" s="238">
        <v>31075653</v>
      </c>
      <c r="J31" s="17"/>
    </row>
    <row r="32" spans="1:10" ht="12.75" customHeight="1" x14ac:dyDescent="0.2">
      <c r="A32" s="616" t="s">
        <v>344</v>
      </c>
      <c r="B32" s="79"/>
      <c r="C32" s="72"/>
      <c r="D32" s="238">
        <v>26278677</v>
      </c>
      <c r="E32" s="238">
        <v>26113076</v>
      </c>
      <c r="F32" s="238">
        <v>25677141</v>
      </c>
      <c r="G32" s="238">
        <v>25601607</v>
      </c>
      <c r="H32" s="238">
        <v>26316824</v>
      </c>
      <c r="I32" s="73">
        <v>26316824</v>
      </c>
      <c r="J32" s="17"/>
    </row>
    <row r="33" spans="1:10" ht="13" customHeight="1" x14ac:dyDescent="0.2">
      <c r="A33" s="616" t="s">
        <v>343</v>
      </c>
      <c r="B33" s="79"/>
      <c r="C33" s="72"/>
      <c r="D33" s="617">
        <f t="shared" ref="D33:I33" si="3">+D31-D32</f>
        <v>0</v>
      </c>
      <c r="E33" s="617">
        <f t="shared" si="3"/>
        <v>3441928</v>
      </c>
      <c r="F33" s="617">
        <f t="shared" si="3"/>
        <v>3783312</v>
      </c>
      <c r="G33" s="617">
        <f t="shared" si="3"/>
        <v>3956105</v>
      </c>
      <c r="H33" s="617">
        <f t="shared" si="3"/>
        <v>3913960</v>
      </c>
      <c r="I33" s="617">
        <f t="shared" si="3"/>
        <v>4758829</v>
      </c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80"/>
      <c r="B36" s="71"/>
      <c r="C36" s="72"/>
      <c r="D36" s="73"/>
      <c r="E36" s="73"/>
      <c r="F36" s="74"/>
      <c r="G36" s="74"/>
      <c r="H36" s="74"/>
      <c r="I36" s="74"/>
      <c r="J36" s="17"/>
    </row>
    <row r="37" spans="1:10" ht="13" customHeight="1" x14ac:dyDescent="0.2">
      <c r="A37" s="78"/>
      <c r="B37" s="71"/>
      <c r="C37" s="72"/>
      <c r="D37" s="73"/>
      <c r="E37" s="73"/>
      <c r="F37" s="74"/>
      <c r="G37" s="74"/>
      <c r="H37" s="74"/>
      <c r="I37" s="74"/>
      <c r="J37" s="17"/>
    </row>
    <row r="38" spans="1:10" ht="13" customHeight="1" x14ac:dyDescent="0.2">
      <c r="A38" s="78"/>
      <c r="B38" s="71"/>
      <c r="C38" s="72"/>
      <c r="D38" s="73"/>
      <c r="E38" s="73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2"/>
      <c r="D39" s="73"/>
      <c r="E39" s="73"/>
      <c r="F39" s="73"/>
      <c r="G39" s="73"/>
      <c r="H39" s="74"/>
      <c r="I39" s="74"/>
      <c r="J39" s="17"/>
    </row>
    <row r="40" spans="1:10" ht="13" customHeight="1" x14ac:dyDescent="0.2">
      <c r="A40" s="78"/>
      <c r="B40" s="79"/>
      <c r="C40" s="72"/>
      <c r="D40" s="73"/>
      <c r="E40" s="73"/>
      <c r="F40" s="73"/>
      <c r="G40" s="73"/>
      <c r="H40" s="74"/>
      <c r="I40" s="74"/>
      <c r="J40" s="17"/>
    </row>
    <row r="41" spans="1:10" ht="13" customHeight="1" x14ac:dyDescent="0.2">
      <c r="A41" s="78"/>
      <c r="B41" s="79"/>
      <c r="C41" s="72"/>
      <c r="D41" s="73"/>
      <c r="E41" s="73"/>
      <c r="F41" s="73"/>
      <c r="G41" s="73"/>
      <c r="H41" s="74"/>
      <c r="I41" s="74"/>
      <c r="J41" s="17"/>
    </row>
    <row r="42" spans="1:10" ht="13" customHeight="1" x14ac:dyDescent="0.2">
      <c r="A42" s="78"/>
      <c r="B42" s="79"/>
      <c r="C42" s="72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4"/>
      <c r="E50" s="74"/>
      <c r="F50" s="74"/>
      <c r="G50" s="74"/>
      <c r="H50" s="74"/>
      <c r="I50" s="74"/>
      <c r="J50" s="17"/>
    </row>
    <row r="51" spans="1:10" ht="13" customHeight="1" x14ac:dyDescent="0.2">
      <c r="A51" s="78"/>
      <c r="B51" s="79"/>
      <c r="C51" s="76"/>
      <c r="D51" s="74"/>
      <c r="E51" s="74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70">
    <tabColor theme="3"/>
    <pageSetUpPr fitToPage="1"/>
  </sheetPr>
  <dimension ref="A1:K60"/>
  <sheetViews>
    <sheetView topLeftCell="C1" zoomScaleNormal="100" zoomScaleSheetLayoutView="90" workbookViewId="0">
      <selection activeCell="D9" sqref="D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6.5" style="7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 t="s">
        <v>82</v>
      </c>
      <c r="C6" s="968" t="s">
        <v>117</v>
      </c>
      <c r="D6" s="968"/>
      <c r="E6" s="968"/>
      <c r="F6" s="968"/>
      <c r="G6" s="968"/>
      <c r="H6" s="968"/>
      <c r="I6" s="968"/>
    </row>
    <row r="7" spans="1:11" ht="16" thickBot="1" x14ac:dyDescent="0.25">
      <c r="A7" s="88" t="s">
        <v>170</v>
      </c>
      <c r="C7" s="7" t="s">
        <v>554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 t="shared" ref="D9:D15" si="0">+C9</f>
        <v>0</v>
      </c>
      <c r="E9" s="115">
        <f>+D9</f>
        <v>0</v>
      </c>
      <c r="F9" s="411">
        <f t="shared" ref="E9:I15" si="1">+E9</f>
        <v>0</v>
      </c>
      <c r="G9" s="34">
        <f t="shared" si="1"/>
        <v>0</v>
      </c>
      <c r="H9" s="227">
        <f t="shared" si="1"/>
        <v>0</v>
      </c>
      <c r="I9" s="51">
        <f t="shared" si="1"/>
        <v>0</v>
      </c>
      <c r="K9" s="7">
        <v>100</v>
      </c>
    </row>
    <row r="10" spans="1:11" x14ac:dyDescent="0.2">
      <c r="A10" s="10" t="s">
        <v>5</v>
      </c>
      <c r="B10" s="43">
        <f>24962808+146002</f>
        <v>25108810</v>
      </c>
      <c r="C10" s="36">
        <v>27393339</v>
      </c>
      <c r="D10" s="230">
        <f>+C10</f>
        <v>27393339</v>
      </c>
      <c r="E10" s="114">
        <f>25055344+E33</f>
        <v>25447623</v>
      </c>
      <c r="F10" s="412">
        <f>25898337+F33</f>
        <v>26304495</v>
      </c>
      <c r="G10" s="49">
        <f>26820921+G33</f>
        <v>27242881</v>
      </c>
      <c r="H10" s="228">
        <f>27723386+H33</f>
        <v>28160163</v>
      </c>
      <c r="I10" s="50">
        <f>27723386+I33</f>
        <v>29108406</v>
      </c>
      <c r="J10" s="364">
        <f>SUM(D10:I10)</f>
        <v>163656907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si="0"/>
        <v>0</v>
      </c>
      <c r="E11" s="115">
        <f t="shared" si="1"/>
        <v>0</v>
      </c>
      <c r="F11" s="411">
        <f t="shared" si="1"/>
        <v>0</v>
      </c>
      <c r="G11" s="34">
        <f t="shared" si="1"/>
        <v>0</v>
      </c>
      <c r="H11" s="227">
        <f t="shared" si="1"/>
        <v>0</v>
      </c>
      <c r="I11" s="35">
        <f t="shared" si="1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0"/>
        <v>0</v>
      </c>
      <c r="E12" s="550">
        <f t="shared" si="1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 t="shared" si="1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 t="shared" si="1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25108810</v>
      </c>
      <c r="C16" s="40">
        <f t="shared" ref="C16:I16" si="2">SUM(C9:C15)</f>
        <v>27393339</v>
      </c>
      <c r="D16" s="40">
        <f t="shared" si="2"/>
        <v>27393339</v>
      </c>
      <c r="E16" s="573">
        <f t="shared" si="2"/>
        <v>25447623</v>
      </c>
      <c r="F16" s="40">
        <f t="shared" si="2"/>
        <v>26304495</v>
      </c>
      <c r="G16" s="40">
        <f t="shared" si="2"/>
        <v>27242881</v>
      </c>
      <c r="H16" s="40">
        <f t="shared" si="2"/>
        <v>28160163</v>
      </c>
      <c r="I16" s="40">
        <f t="shared" si="2"/>
        <v>29108406</v>
      </c>
    </row>
    <row r="17" spans="1:11" ht="14.25" customHeight="1" x14ac:dyDescent="0.2">
      <c r="C17" s="164"/>
      <c r="D17" s="164"/>
    </row>
    <row r="18" spans="1:11" x14ac:dyDescent="0.2">
      <c r="E18" s="416">
        <f>+E16-D16</f>
        <v>-1945716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194" t="s">
        <v>468</v>
      </c>
      <c r="B20" s="79"/>
      <c r="C20" s="72"/>
      <c r="D20" s="45"/>
      <c r="E20" s="232"/>
      <c r="F20" s="73"/>
      <c r="G20" s="74"/>
      <c r="H20" s="74"/>
      <c r="I20" s="74"/>
    </row>
    <row r="21" spans="1:11" ht="13" customHeight="1" thickBot="1" x14ac:dyDescent="0.25">
      <c r="A21" s="749" t="s">
        <v>390</v>
      </c>
      <c r="B21" s="743"/>
      <c r="C21" s="750"/>
      <c r="D21" s="751">
        <v>3000000</v>
      </c>
      <c r="E21" s="752"/>
      <c r="F21" s="752"/>
      <c r="G21" s="752"/>
      <c r="H21" s="752"/>
      <c r="I21" s="752"/>
      <c r="J21" s="17"/>
    </row>
    <row r="22" spans="1:11" s="59" customFormat="1" ht="13" customHeight="1" x14ac:dyDescent="0.2">
      <c r="A22" s="616"/>
      <c r="B22" s="79"/>
      <c r="C22" s="72"/>
      <c r="D22" s="73"/>
      <c r="E22" s="747"/>
      <c r="F22" s="747"/>
      <c r="G22" s="747"/>
      <c r="H22" s="747"/>
      <c r="I22" s="747"/>
      <c r="J22" s="82"/>
      <c r="K22" s="7"/>
    </row>
    <row r="23" spans="1:11" ht="13" customHeight="1" x14ac:dyDescent="0.2">
      <c r="A23" s="616"/>
      <c r="B23" s="79"/>
      <c r="C23" s="72"/>
      <c r="D23" s="73"/>
      <c r="E23" s="746"/>
      <c r="F23" s="746"/>
      <c r="G23" s="746"/>
      <c r="H23" s="746"/>
      <c r="I23" s="746"/>
      <c r="J23" s="17"/>
    </row>
    <row r="24" spans="1:11" s="59" customFormat="1" ht="13" customHeight="1" x14ac:dyDescent="0.2">
      <c r="A24" s="78"/>
      <c r="B24" s="79"/>
      <c r="C24" s="72"/>
      <c r="D24" s="104"/>
      <c r="E24" s="104"/>
      <c r="F24" s="104"/>
      <c r="G24" s="104"/>
      <c r="H24" s="104"/>
      <c r="I24" s="104"/>
      <c r="J24" s="20"/>
      <c r="K24" s="7"/>
    </row>
    <row r="25" spans="1:11" ht="13" customHeight="1" x14ac:dyDescent="0.2">
      <c r="A25" s="194"/>
      <c r="B25" s="79"/>
      <c r="C25" s="72"/>
      <c r="D25" s="45"/>
      <c r="E25" s="232"/>
      <c r="F25" s="232"/>
      <c r="G25" s="232"/>
      <c r="H25" s="232"/>
      <c r="I25" s="232"/>
      <c r="J25" s="365"/>
    </row>
    <row r="26" spans="1:11" ht="13" customHeight="1" x14ac:dyDescent="0.2">
      <c r="A26" s="731"/>
      <c r="B26" s="79"/>
      <c r="C26" s="72"/>
      <c r="D26" s="45"/>
      <c r="E26" s="238"/>
      <c r="F26" s="232"/>
      <c r="G26" s="232"/>
      <c r="H26" s="232"/>
      <c r="I26" s="232"/>
      <c r="J26" s="365"/>
    </row>
    <row r="27" spans="1:11" ht="13" customHeight="1" x14ac:dyDescent="0.2">
      <c r="A27" s="78"/>
      <c r="B27" s="79"/>
      <c r="C27" s="72"/>
      <c r="D27" s="104"/>
      <c r="E27" s="104"/>
      <c r="F27" s="104"/>
      <c r="G27" s="104"/>
      <c r="H27" s="104"/>
      <c r="I27" s="104"/>
      <c r="J27" s="365"/>
    </row>
    <row r="28" spans="1:11" ht="13" customHeight="1" x14ac:dyDescent="0.2">
      <c r="A28" s="78"/>
      <c r="B28" s="79"/>
      <c r="C28" s="72"/>
      <c r="D28" s="104"/>
      <c r="E28" s="104"/>
      <c r="F28" s="104"/>
      <c r="G28" s="104"/>
      <c r="H28" s="95"/>
      <c r="I28" s="95"/>
      <c r="J28" s="218"/>
    </row>
    <row r="29" spans="1:11" ht="13" customHeight="1" x14ac:dyDescent="0.2">
      <c r="A29" s="78"/>
      <c r="B29" s="79"/>
      <c r="C29" s="72"/>
      <c r="D29" s="104"/>
      <c r="E29" s="104"/>
      <c r="F29" s="104"/>
      <c r="G29" s="104"/>
      <c r="H29" s="95"/>
      <c r="I29" s="95"/>
      <c r="J29" s="17"/>
    </row>
    <row r="30" spans="1:11" ht="13" customHeight="1" x14ac:dyDescent="0.2">
      <c r="A30" s="452" t="s">
        <v>450</v>
      </c>
      <c r="B30" s="71"/>
      <c r="C30" s="72"/>
      <c r="D30" s="73"/>
      <c r="E30" s="73"/>
      <c r="F30" s="73"/>
      <c r="G30" s="74"/>
      <c r="H30" s="74"/>
      <c r="I30" s="74"/>
      <c r="J30" s="17"/>
    </row>
    <row r="31" spans="1:11" ht="13" customHeight="1" x14ac:dyDescent="0.2">
      <c r="A31" s="870" t="s">
        <v>582</v>
      </c>
      <c r="B31" s="79"/>
      <c r="C31" s="72"/>
      <c r="D31" s="73"/>
      <c r="E31" s="238">
        <v>25447623</v>
      </c>
      <c r="F31" s="238">
        <v>26304495</v>
      </c>
      <c r="G31" s="238">
        <v>27242881</v>
      </c>
      <c r="H31" s="238">
        <v>28160163</v>
      </c>
      <c r="I31" s="238">
        <v>29108406</v>
      </c>
      <c r="J31" s="17"/>
    </row>
    <row r="32" spans="1:11" ht="13" customHeight="1" x14ac:dyDescent="0.2">
      <c r="A32" s="616" t="s">
        <v>344</v>
      </c>
      <c r="B32" s="79"/>
      <c r="C32" s="72"/>
      <c r="D32" s="73"/>
      <c r="E32" s="73">
        <v>25055344</v>
      </c>
      <c r="F32" s="73">
        <v>25898337</v>
      </c>
      <c r="G32" s="73">
        <v>26820921</v>
      </c>
      <c r="H32" s="73">
        <v>27723386</v>
      </c>
      <c r="I32" s="73">
        <f>+H32</f>
        <v>27723386</v>
      </c>
      <c r="J32" s="17"/>
    </row>
    <row r="33" spans="1:10" ht="13" customHeight="1" x14ac:dyDescent="0.2">
      <c r="A33" s="616" t="s">
        <v>343</v>
      </c>
      <c r="B33" s="79"/>
      <c r="C33" s="72"/>
      <c r="D33" s="73"/>
      <c r="E33" s="617">
        <f>+E31-E32</f>
        <v>392279</v>
      </c>
      <c r="F33" s="617">
        <f t="shared" ref="F33:I33" si="3">+F31-F32</f>
        <v>406158</v>
      </c>
      <c r="G33" s="617">
        <f t="shared" si="3"/>
        <v>421960</v>
      </c>
      <c r="H33" s="617">
        <f t="shared" si="3"/>
        <v>436777</v>
      </c>
      <c r="I33" s="617">
        <f t="shared" si="3"/>
        <v>1385020</v>
      </c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4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2.75" customHeight="1" x14ac:dyDescent="0.2">
      <c r="A46" s="78"/>
      <c r="B46" s="71"/>
      <c r="C46" s="72"/>
      <c r="D46" s="73"/>
      <c r="E46" s="74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1">
    <tabColor theme="3"/>
    <pageSetUpPr fitToPage="1"/>
  </sheetPr>
  <dimension ref="A1:K57"/>
  <sheetViews>
    <sheetView zoomScaleNormal="100" zoomScaleSheetLayoutView="90" workbookViewId="0">
      <selection activeCell="G17" sqref="G17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31</v>
      </c>
      <c r="C6" s="963" t="s">
        <v>116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2983490</v>
      </c>
      <c r="C9" s="34">
        <v>3226285</v>
      </c>
      <c r="D9" s="227">
        <f>+C9+D21+D24+D25+D26+D27+D28</f>
        <v>3295922</v>
      </c>
      <c r="E9" s="115">
        <f>+D9+E30+E24+E25+E26+E33+E27+E28</f>
        <v>3117312</v>
      </c>
      <c r="F9" s="411">
        <f>+E9+F33</f>
        <v>3126359</v>
      </c>
      <c r="G9" s="34">
        <f>+F9+G30+G35</f>
        <v>3126359</v>
      </c>
      <c r="H9" s="227">
        <f>+G9+H35</f>
        <v>3317819</v>
      </c>
      <c r="I9" s="51">
        <f t="shared" ref="E9:I15" si="0">+H9</f>
        <v>3317819</v>
      </c>
      <c r="K9" s="7">
        <v>100</v>
      </c>
    </row>
    <row r="10" spans="1:11" x14ac:dyDescent="0.2">
      <c r="A10" s="10" t="s">
        <v>5</v>
      </c>
      <c r="B10" s="36">
        <v>1164571</v>
      </c>
      <c r="C10" s="36">
        <v>1538779</v>
      </c>
      <c r="D10" s="230">
        <f>+C10+D22</f>
        <v>1373779</v>
      </c>
      <c r="E10" s="550">
        <f>+D10+E22+E31</f>
        <v>743265</v>
      </c>
      <c r="F10" s="548">
        <f>+E10</f>
        <v>743265</v>
      </c>
      <c r="G10" s="36">
        <f>+F10+G31+G36</f>
        <v>743265</v>
      </c>
      <c r="H10" s="230">
        <f>+G10+H36</f>
        <v>1538779</v>
      </c>
      <c r="I10" s="37">
        <f t="shared" si="0"/>
        <v>1538779</v>
      </c>
      <c r="K10" s="7">
        <v>200</v>
      </c>
    </row>
    <row r="11" spans="1:11" x14ac:dyDescent="0.2">
      <c r="A11" s="9" t="s">
        <v>6</v>
      </c>
      <c r="B11" s="34">
        <f>119883+113805</f>
        <v>233688</v>
      </c>
      <c r="C11" s="34">
        <v>143758</v>
      </c>
      <c r="D11" s="227">
        <f>+C11+D23</f>
        <v>308758</v>
      </c>
      <c r="E11" s="115">
        <f>+D11+E23</f>
        <v>143758</v>
      </c>
      <c r="F11" s="411">
        <f t="shared" si="0"/>
        <v>143758</v>
      </c>
      <c r="G11" s="34">
        <f>+F11</f>
        <v>143758</v>
      </c>
      <c r="H11" s="227">
        <f t="shared" si="0"/>
        <v>143758</v>
      </c>
      <c r="I11" s="35">
        <f t="shared" si="0"/>
        <v>143758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1456</v>
      </c>
      <c r="D12" s="230">
        <f>+C12</f>
        <v>1456</v>
      </c>
      <c r="E12" s="550">
        <f>+D12+E32</f>
        <v>0</v>
      </c>
      <c r="F12" s="548">
        <f t="shared" si="0"/>
        <v>0</v>
      </c>
      <c r="G12" s="36">
        <f>+F12+G32+G37</f>
        <v>0</v>
      </c>
      <c r="H12" s="230">
        <f>+G12+H37</f>
        <v>1456</v>
      </c>
      <c r="I12" s="37">
        <f t="shared" si="0"/>
        <v>1456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4381749</v>
      </c>
      <c r="C16" s="40">
        <f t="shared" ref="C16:I16" si="2">SUM(C9:C15)</f>
        <v>4910278</v>
      </c>
      <c r="D16" s="40">
        <f t="shared" si="2"/>
        <v>4979915</v>
      </c>
      <c r="E16" s="573">
        <f t="shared" si="2"/>
        <v>4004335</v>
      </c>
      <c r="F16" s="40">
        <f t="shared" si="2"/>
        <v>4013382</v>
      </c>
      <c r="G16" s="40">
        <f t="shared" si="2"/>
        <v>4013382</v>
      </c>
      <c r="H16" s="40">
        <f t="shared" si="2"/>
        <v>5001812</v>
      </c>
      <c r="I16" s="40">
        <f t="shared" si="2"/>
        <v>5001812</v>
      </c>
    </row>
    <row r="18" spans="1:11" x14ac:dyDescent="0.2">
      <c r="E18" s="416">
        <f>+E16-D16</f>
        <v>-975580</v>
      </c>
    </row>
    <row r="19" spans="1:11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1" ht="15" customHeight="1" thickTop="1" x14ac:dyDescent="0.2">
      <c r="A20" s="833" t="s">
        <v>494</v>
      </c>
      <c r="B20" s="834"/>
      <c r="C20" s="241"/>
      <c r="D20" s="835"/>
      <c r="E20" s="74"/>
      <c r="F20" s="74"/>
      <c r="G20" s="74"/>
      <c r="H20" s="74"/>
      <c r="I20" s="74"/>
    </row>
    <row r="21" spans="1:11" ht="15" customHeight="1" x14ac:dyDescent="0.2">
      <c r="A21" s="303" t="s">
        <v>502</v>
      </c>
      <c r="B21" s="304"/>
      <c r="C21" s="249">
        <v>100</v>
      </c>
      <c r="D21" s="250">
        <v>31874</v>
      </c>
      <c r="E21" s="70"/>
      <c r="F21" s="70"/>
      <c r="G21" s="70"/>
      <c r="H21" s="70"/>
      <c r="I21" s="70"/>
    </row>
    <row r="22" spans="1:11" ht="13" customHeight="1" x14ac:dyDescent="0.2">
      <c r="A22" s="367" t="s">
        <v>506</v>
      </c>
      <c r="B22" s="102"/>
      <c r="C22" s="103">
        <v>200</v>
      </c>
      <c r="D22" s="104">
        <v>-165000</v>
      </c>
      <c r="E22" s="95">
        <v>165000</v>
      </c>
      <c r="F22" s="95"/>
      <c r="G22" s="95"/>
      <c r="H22" s="95"/>
      <c r="I22" s="95"/>
      <c r="J22" s="17"/>
    </row>
    <row r="23" spans="1:11" s="59" customFormat="1" ht="13" customHeight="1" x14ac:dyDescent="0.2">
      <c r="A23" s="453"/>
      <c r="B23" s="185"/>
      <c r="C23" s="844" t="s">
        <v>167</v>
      </c>
      <c r="D23" s="69">
        <v>165000</v>
      </c>
      <c r="E23" s="70">
        <v>-165000</v>
      </c>
      <c r="F23" s="70"/>
      <c r="G23" s="70"/>
      <c r="H23" s="70"/>
      <c r="I23" s="70"/>
      <c r="J23" s="82"/>
      <c r="K23" s="7"/>
    </row>
    <row r="24" spans="1:11" ht="13" customHeight="1" x14ac:dyDescent="0.2">
      <c r="A24" s="926" t="s">
        <v>827</v>
      </c>
      <c r="B24" s="102"/>
      <c r="C24" s="103">
        <v>100</v>
      </c>
      <c r="D24" s="925">
        <v>2619</v>
      </c>
      <c r="E24" s="925">
        <v>15713</v>
      </c>
      <c r="F24" s="95"/>
      <c r="G24" s="95"/>
      <c r="H24" s="95"/>
      <c r="I24" s="95"/>
      <c r="J24" s="17"/>
    </row>
    <row r="25" spans="1:11" ht="13" customHeight="1" x14ac:dyDescent="0.2">
      <c r="A25" s="926" t="s">
        <v>901</v>
      </c>
      <c r="B25" s="185"/>
      <c r="C25" s="844">
        <v>100</v>
      </c>
      <c r="D25" s="925">
        <v>7150</v>
      </c>
      <c r="E25" s="925">
        <v>-7150</v>
      </c>
      <c r="F25" s="70"/>
      <c r="G25" s="70"/>
      <c r="H25" s="70"/>
      <c r="I25" s="70"/>
      <c r="J25" s="17"/>
    </row>
    <row r="26" spans="1:11" ht="13" customHeight="1" x14ac:dyDescent="0.2">
      <c r="A26" s="926" t="s">
        <v>835</v>
      </c>
      <c r="B26" s="102"/>
      <c r="C26" s="103">
        <v>100</v>
      </c>
      <c r="D26" s="925">
        <v>564</v>
      </c>
      <c r="E26" s="925">
        <v>3384</v>
      </c>
      <c r="F26" s="95"/>
      <c r="G26" s="95"/>
      <c r="H26" s="95"/>
      <c r="I26" s="95"/>
      <c r="J26" s="17"/>
    </row>
    <row r="27" spans="1:11" ht="13" customHeight="1" x14ac:dyDescent="0.2">
      <c r="A27" s="926" t="s">
        <v>941</v>
      </c>
      <c r="B27" s="185"/>
      <c r="C27" s="844">
        <v>100</v>
      </c>
      <c r="D27" s="925">
        <v>6230</v>
      </c>
      <c r="E27" s="925">
        <v>31150</v>
      </c>
      <c r="F27" s="70"/>
      <c r="G27" s="70"/>
      <c r="H27" s="70"/>
      <c r="I27" s="70"/>
      <c r="J27" s="17"/>
    </row>
    <row r="28" spans="1:11" ht="13" customHeight="1" x14ac:dyDescent="0.2">
      <c r="A28" s="926" t="s">
        <v>942</v>
      </c>
      <c r="B28" s="102"/>
      <c r="C28" s="103">
        <v>100</v>
      </c>
      <c r="D28" s="925">
        <v>21200</v>
      </c>
      <c r="E28" s="925">
        <v>-21200</v>
      </c>
      <c r="F28" s="95"/>
      <c r="G28" s="95"/>
      <c r="H28" s="95"/>
      <c r="I28" s="95"/>
      <c r="J28" s="17"/>
    </row>
    <row r="29" spans="1:11" ht="13" customHeight="1" x14ac:dyDescent="0.2">
      <c r="A29" s="928" t="s">
        <v>748</v>
      </c>
      <c r="B29" s="185"/>
      <c r="C29" s="844"/>
      <c r="D29" s="925"/>
      <c r="E29" s="925"/>
      <c r="F29" s="70"/>
      <c r="G29" s="70"/>
      <c r="H29" s="70"/>
      <c r="I29" s="70"/>
      <c r="J29" s="17"/>
    </row>
    <row r="30" spans="1:11" ht="13" customHeight="1" x14ac:dyDescent="0.2">
      <c r="A30" s="926" t="s">
        <v>778</v>
      </c>
      <c r="B30" s="102"/>
      <c r="C30" s="103">
        <v>100</v>
      </c>
      <c r="D30" s="925"/>
      <c r="E30" s="925">
        <v>-191460</v>
      </c>
      <c r="F30" s="95"/>
      <c r="G30" s="95">
        <v>191460</v>
      </c>
      <c r="H30" s="95"/>
      <c r="I30" s="95"/>
      <c r="J30" s="17"/>
    </row>
    <row r="31" spans="1:11" ht="13" customHeight="1" x14ac:dyDescent="0.2">
      <c r="A31" s="926" t="s">
        <v>779</v>
      </c>
      <c r="B31" s="185"/>
      <c r="C31" s="844">
        <v>200</v>
      </c>
      <c r="D31" s="925"/>
      <c r="E31" s="925">
        <v>-795514</v>
      </c>
      <c r="F31" s="70"/>
      <c r="G31" s="70">
        <v>795514</v>
      </c>
      <c r="H31" s="70"/>
      <c r="I31" s="70"/>
      <c r="J31" s="17"/>
    </row>
    <row r="32" spans="1:11" ht="13" customHeight="1" x14ac:dyDescent="0.2">
      <c r="A32" s="926" t="s">
        <v>780</v>
      </c>
      <c r="B32" s="102"/>
      <c r="C32" s="103">
        <v>500</v>
      </c>
      <c r="D32" s="925"/>
      <c r="E32" s="925">
        <v>-1456</v>
      </c>
      <c r="F32" s="95"/>
      <c r="G32" s="95">
        <v>1456</v>
      </c>
      <c r="H32" s="95"/>
      <c r="I32" s="95"/>
      <c r="J32" s="17"/>
    </row>
    <row r="33" spans="1:10" ht="13" customHeight="1" x14ac:dyDescent="0.2">
      <c r="A33" s="926" t="s">
        <v>910</v>
      </c>
      <c r="B33" s="185"/>
      <c r="C33" s="844">
        <v>100</v>
      </c>
      <c r="D33" s="925"/>
      <c r="E33" s="925">
        <v>-9047</v>
      </c>
      <c r="F33" s="70">
        <v>9047</v>
      </c>
      <c r="G33" s="70"/>
      <c r="H33" s="70"/>
      <c r="I33" s="70"/>
      <c r="J33" s="17"/>
    </row>
    <row r="34" spans="1:10" ht="12" customHeight="1" x14ac:dyDescent="0.2">
      <c r="A34" s="928" t="s">
        <v>998</v>
      </c>
      <c r="B34" s="102"/>
      <c r="C34" s="103"/>
      <c r="D34" s="925"/>
      <c r="E34" s="925"/>
      <c r="F34" s="95"/>
      <c r="G34" s="95"/>
      <c r="H34" s="95"/>
      <c r="I34" s="95"/>
      <c r="J34" s="17"/>
    </row>
    <row r="35" spans="1:10" ht="13" customHeight="1" x14ac:dyDescent="0.2">
      <c r="A35" s="926" t="s">
        <v>999</v>
      </c>
      <c r="B35" s="185"/>
      <c r="C35" s="844">
        <v>100</v>
      </c>
      <c r="D35" s="925"/>
      <c r="E35" s="925"/>
      <c r="F35" s="70"/>
      <c r="G35" s="70">
        <v>-191460</v>
      </c>
      <c r="H35" s="70">
        <v>191460</v>
      </c>
      <c r="I35" s="70"/>
      <c r="J35" s="17"/>
    </row>
    <row r="36" spans="1:10" ht="13" customHeight="1" x14ac:dyDescent="0.2">
      <c r="A36" s="926"/>
      <c r="B36" s="102"/>
      <c r="C36" s="103">
        <v>200</v>
      </c>
      <c r="D36" s="925"/>
      <c r="E36" s="925"/>
      <c r="F36" s="95"/>
      <c r="G36" s="95">
        <v>-795514</v>
      </c>
      <c r="H36" s="95">
        <v>795514</v>
      </c>
      <c r="I36" s="95"/>
      <c r="J36" s="17"/>
    </row>
    <row r="37" spans="1:10" ht="13" customHeight="1" x14ac:dyDescent="0.2">
      <c r="A37" s="926"/>
      <c r="B37" s="185"/>
      <c r="C37" s="844">
        <v>500</v>
      </c>
      <c r="D37" s="925"/>
      <c r="E37" s="925"/>
      <c r="F37" s="70"/>
      <c r="G37" s="70">
        <v>-1456</v>
      </c>
      <c r="H37" s="70">
        <v>1456</v>
      </c>
      <c r="I37" s="70"/>
      <c r="J37" s="17"/>
    </row>
    <row r="38" spans="1:10" ht="13" customHeight="1" x14ac:dyDescent="0.2">
      <c r="A38" s="926"/>
      <c r="B38" s="102"/>
      <c r="C38" s="103"/>
      <c r="D38" s="925"/>
      <c r="E38" s="925"/>
      <c r="F38" s="95"/>
      <c r="G38" s="95"/>
      <c r="H38" s="95"/>
      <c r="I38" s="95"/>
      <c r="J38" s="17"/>
    </row>
    <row r="39" spans="1:10" ht="13" customHeight="1" x14ac:dyDescent="0.2">
      <c r="A39" s="926"/>
      <c r="B39" s="185"/>
      <c r="C39" s="844"/>
      <c r="D39" s="925"/>
      <c r="E39" s="925"/>
      <c r="F39" s="70"/>
      <c r="G39" s="70"/>
      <c r="H39" s="70"/>
      <c r="I39" s="70"/>
      <c r="J39" s="17"/>
    </row>
    <row r="40" spans="1:10" ht="13" customHeight="1" x14ac:dyDescent="0.2">
      <c r="A40" s="78"/>
      <c r="B40" s="71"/>
      <c r="C40" s="72"/>
      <c r="D40" s="73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1"/>
      <c r="C41" s="72"/>
      <c r="D41" s="73"/>
      <c r="E41" s="73"/>
      <c r="F41" s="74"/>
      <c r="G41" s="74"/>
      <c r="H41" s="74"/>
      <c r="I41" s="74"/>
      <c r="J41" s="17"/>
    </row>
    <row r="42" spans="1:10" ht="13" customHeight="1" x14ac:dyDescent="0.2">
      <c r="A42" s="78"/>
      <c r="B42" s="71"/>
      <c r="C42" s="72"/>
      <c r="D42" s="73"/>
      <c r="E42" s="73"/>
      <c r="F42" s="74"/>
      <c r="G42" s="74"/>
      <c r="H42" s="74"/>
      <c r="I42" s="74"/>
      <c r="J42" s="17"/>
    </row>
    <row r="43" spans="1:10" ht="13" customHeight="1" x14ac:dyDescent="0.2">
      <c r="A43" s="78"/>
      <c r="B43" s="71"/>
      <c r="C43" s="72"/>
      <c r="D43" s="73"/>
      <c r="E43" s="73"/>
      <c r="F43" s="74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4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4"/>
      <c r="G45" s="74"/>
      <c r="H45" s="74"/>
      <c r="I45" s="74"/>
      <c r="J45" s="17"/>
    </row>
    <row r="46" spans="1:10" ht="13" customHeight="1" x14ac:dyDescent="0.2">
      <c r="A46" s="78"/>
      <c r="B46" s="71"/>
      <c r="C46" s="72"/>
      <c r="D46" s="73"/>
      <c r="E46" s="73"/>
      <c r="F46" s="74"/>
      <c r="G46" s="74"/>
      <c r="H46" s="74"/>
      <c r="I46" s="74"/>
      <c r="J46" s="17"/>
    </row>
    <row r="47" spans="1:10" ht="13" customHeight="1" x14ac:dyDescent="0.2">
      <c r="A47" s="78"/>
      <c r="B47" s="71"/>
      <c r="C47" s="72"/>
      <c r="D47" s="73"/>
      <c r="E47" s="73"/>
      <c r="F47" s="74"/>
      <c r="G47" s="74"/>
      <c r="H47" s="74"/>
      <c r="I47" s="74"/>
      <c r="J47" s="17"/>
    </row>
    <row r="48" spans="1:10" ht="13" customHeight="1" x14ac:dyDescent="0.2">
      <c r="A48" s="78"/>
      <c r="B48" s="71"/>
      <c r="C48" s="72"/>
      <c r="D48" s="73"/>
      <c r="E48" s="73"/>
      <c r="F48" s="74"/>
      <c r="G48" s="74"/>
      <c r="H48" s="74"/>
      <c r="I48" s="74"/>
      <c r="J48" s="17"/>
    </row>
    <row r="49" spans="1:10" ht="13" customHeight="1" x14ac:dyDescent="0.2">
      <c r="A49" s="78"/>
      <c r="B49" s="71"/>
      <c r="C49" s="72"/>
      <c r="D49" s="73"/>
      <c r="E49" s="73"/>
      <c r="F49" s="74"/>
      <c r="G49" s="74"/>
      <c r="H49" s="74"/>
      <c r="I49" s="74"/>
      <c r="J49" s="17"/>
    </row>
    <row r="50" spans="1:10" ht="13" customHeight="1" x14ac:dyDescent="0.2">
      <c r="A50" s="78"/>
      <c r="B50" s="71"/>
      <c r="C50" s="72"/>
      <c r="D50" s="73"/>
      <c r="E50" s="73"/>
      <c r="F50" s="74"/>
      <c r="G50" s="74"/>
      <c r="H50" s="74"/>
      <c r="I50" s="74"/>
      <c r="J50" s="17"/>
    </row>
    <row r="51" spans="1:10" ht="13" customHeight="1" x14ac:dyDescent="0.2">
      <c r="A51" s="78"/>
      <c r="B51" s="71"/>
      <c r="C51" s="72"/>
      <c r="D51" s="73"/>
      <c r="E51" s="73"/>
      <c r="F51" s="74"/>
      <c r="G51" s="74"/>
      <c r="H51" s="74"/>
      <c r="I51" s="74"/>
      <c r="J51" s="17"/>
    </row>
    <row r="52" spans="1:10" ht="13" customHeight="1" x14ac:dyDescent="0.2">
      <c r="A52" s="78"/>
      <c r="B52" s="79"/>
      <c r="C52" s="76"/>
      <c r="D52" s="74"/>
      <c r="E52" s="74"/>
      <c r="F52" s="74"/>
      <c r="G52" s="74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x14ac:dyDescent="0.2">
      <c r="A56" s="82"/>
      <c r="B56" s="82"/>
      <c r="C56" s="82"/>
      <c r="D56" s="82"/>
      <c r="E56" s="82"/>
      <c r="F56" s="82"/>
      <c r="G56" s="82"/>
      <c r="H56" s="82"/>
      <c r="I56" s="82"/>
    </row>
    <row r="57" spans="1:10" x14ac:dyDescent="0.2">
      <c r="A57" s="82"/>
      <c r="B57" s="82"/>
      <c r="C57" s="82"/>
      <c r="D57" s="82"/>
      <c r="E57" s="82"/>
      <c r="F57" s="82"/>
      <c r="G57" s="82"/>
      <c r="H57" s="82"/>
      <c r="I57" s="82"/>
    </row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45" priority="13">
      <formula>MOD(ROW(),2)=1</formula>
    </cfRule>
  </conditionalFormatting>
  <conditionalFormatting sqref="D24:E25">
    <cfRule type="expression" dxfId="44" priority="12">
      <formula>MOD(ROW(),2)=1</formula>
    </cfRule>
  </conditionalFormatting>
  <conditionalFormatting sqref="A26 A29:A33">
    <cfRule type="expression" dxfId="43" priority="9">
      <formula>MOD(ROW(),2)=1</formula>
    </cfRule>
  </conditionalFormatting>
  <conditionalFormatting sqref="D26:E26 D33 D29:E32">
    <cfRule type="expression" dxfId="42" priority="8">
      <formula>MOD(ROW(),2)=1</formula>
    </cfRule>
  </conditionalFormatting>
  <conditionalFormatting sqref="E33">
    <cfRule type="expression" dxfId="41" priority="7">
      <formula>MOD(ROW(),2)=1</formula>
    </cfRule>
  </conditionalFormatting>
  <conditionalFormatting sqref="A27">
    <cfRule type="expression" dxfId="40" priority="6">
      <formula>MOD(ROW(),2)=1</formula>
    </cfRule>
  </conditionalFormatting>
  <conditionalFormatting sqref="D27:E27">
    <cfRule type="expression" dxfId="39" priority="5">
      <formula>MOD(ROW(),2)=1</formula>
    </cfRule>
  </conditionalFormatting>
  <conditionalFormatting sqref="A28">
    <cfRule type="expression" dxfId="38" priority="4">
      <formula>MOD(ROW(),2)=1</formula>
    </cfRule>
  </conditionalFormatting>
  <conditionalFormatting sqref="D28:E28">
    <cfRule type="expression" dxfId="37" priority="3">
      <formula>MOD(ROW(),2)=1</formula>
    </cfRule>
  </conditionalFormatting>
  <conditionalFormatting sqref="A34:A39">
    <cfRule type="expression" dxfId="36" priority="2">
      <formula>MOD(ROW(),2)=1</formula>
    </cfRule>
  </conditionalFormatting>
  <conditionalFormatting sqref="D34:E39">
    <cfRule type="expression" dxfId="35" priority="1">
      <formula>MOD(ROW(),2)=1</formula>
    </cfRule>
  </conditionalFormatting>
  <pageMargins left="0.5" right="0.5" top="0.5" bottom="0.5" header="0.3" footer="0.3"/>
  <pageSetup scale="69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2">
    <pageSetUpPr fitToPage="1"/>
  </sheetPr>
  <dimension ref="A1:K56"/>
  <sheetViews>
    <sheetView zoomScaleNormal="100" zoomScaleSheetLayoutView="90" workbookViewId="0">
      <selection activeCell="G19" sqref="G1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>
        <v>68</v>
      </c>
      <c r="C6" s="963" t="s">
        <v>115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4262942</v>
      </c>
      <c r="C9" s="34">
        <v>4286409</v>
      </c>
      <c r="D9" s="227">
        <f>+C9+D26+D31+D28</f>
        <v>4299820</v>
      </c>
      <c r="E9" s="115">
        <f>+D9+E30+E31</f>
        <v>3956193</v>
      </c>
      <c r="F9" s="411">
        <f>+E9</f>
        <v>3956193</v>
      </c>
      <c r="G9" s="34">
        <f>+F9+G30+G33</f>
        <v>3956193</v>
      </c>
      <c r="H9" s="227">
        <f>+G9+H33</f>
        <v>4380284</v>
      </c>
      <c r="I9" s="51">
        <f t="shared" ref="E9:I15" si="0">+H9</f>
        <v>4380284</v>
      </c>
      <c r="K9" s="7">
        <v>100</v>
      </c>
    </row>
    <row r="10" spans="1:11" x14ac:dyDescent="0.2">
      <c r="A10" s="10" t="s">
        <v>5</v>
      </c>
      <c r="B10" s="36">
        <v>82583</v>
      </c>
      <c r="C10" s="36">
        <v>125000</v>
      </c>
      <c r="D10" s="230">
        <f>+C10+D25</f>
        <v>238700</v>
      </c>
      <c r="E10" s="550">
        <f>+D10+E25</f>
        <v>125000</v>
      </c>
      <c r="F10" s="548">
        <f>+E10+F23</f>
        <v>75486</v>
      </c>
      <c r="G10" s="36">
        <f>+F10</f>
        <v>75486</v>
      </c>
      <c r="H10" s="230">
        <f t="shared" si="0"/>
        <v>75486</v>
      </c>
      <c r="I10" s="37">
        <f t="shared" si="0"/>
        <v>75486</v>
      </c>
      <c r="K10" s="7">
        <v>200</v>
      </c>
    </row>
    <row r="11" spans="1:11" x14ac:dyDescent="0.2">
      <c r="A11" s="9" t="s">
        <v>6</v>
      </c>
      <c r="B11" s="34">
        <f>20071+3635</f>
        <v>23706</v>
      </c>
      <c r="C11" s="34">
        <v>140236</v>
      </c>
      <c r="D11" s="227">
        <f>+C11</f>
        <v>140236</v>
      </c>
      <c r="E11" s="115">
        <f>+D11</f>
        <v>140236</v>
      </c>
      <c r="F11" s="411">
        <f>+E11+F22</f>
        <v>189750</v>
      </c>
      <c r="G11" s="34">
        <f>+F11</f>
        <v>189750</v>
      </c>
      <c r="H11" s="227">
        <f t="shared" si="0"/>
        <v>189750</v>
      </c>
      <c r="I11" s="35">
        <f t="shared" si="0"/>
        <v>189750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4369231</v>
      </c>
      <c r="C16" s="40">
        <f t="shared" ref="C16:I16" si="2">SUM(C9:C15)</f>
        <v>4551645</v>
      </c>
      <c r="D16" s="40">
        <f t="shared" si="2"/>
        <v>4678756</v>
      </c>
      <c r="E16" s="573">
        <f t="shared" si="2"/>
        <v>4221429</v>
      </c>
      <c r="F16" s="40">
        <f t="shared" si="2"/>
        <v>4221429</v>
      </c>
      <c r="G16" s="40">
        <f t="shared" si="2"/>
        <v>4221429</v>
      </c>
      <c r="H16" s="40">
        <f t="shared" si="2"/>
        <v>4645520</v>
      </c>
      <c r="I16" s="40">
        <f t="shared" si="2"/>
        <v>4645520</v>
      </c>
    </row>
    <row r="18" spans="1:10" x14ac:dyDescent="0.2">
      <c r="E18" s="416">
        <f>+E16-D16</f>
        <v>-457327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3" customHeight="1" thickTop="1" x14ac:dyDescent="0.2">
      <c r="A20" s="236" t="s">
        <v>444</v>
      </c>
      <c r="B20" s="79"/>
      <c r="C20" s="72"/>
      <c r="D20" s="73"/>
      <c r="E20" s="73"/>
      <c r="F20" s="73"/>
      <c r="G20" s="73"/>
      <c r="H20" s="73"/>
      <c r="I20" s="74"/>
      <c r="J20" s="17"/>
    </row>
    <row r="21" spans="1:10" ht="13" customHeight="1" x14ac:dyDescent="0.2">
      <c r="A21" s="168" t="s">
        <v>358</v>
      </c>
      <c r="B21" s="85"/>
      <c r="C21" s="68"/>
      <c r="D21" s="69"/>
      <c r="E21" s="69"/>
      <c r="F21" s="69"/>
      <c r="G21" s="69"/>
      <c r="H21" s="70"/>
      <c r="I21" s="70"/>
      <c r="J21" s="17"/>
    </row>
    <row r="22" spans="1:10" ht="13" customHeight="1" x14ac:dyDescent="0.2">
      <c r="A22" s="306" t="s">
        <v>385</v>
      </c>
      <c r="B22" s="79"/>
      <c r="C22" s="804" t="s">
        <v>167</v>
      </c>
      <c r="D22" s="73"/>
      <c r="E22" s="73"/>
      <c r="F22" s="73">
        <v>49514</v>
      </c>
      <c r="G22" s="73"/>
      <c r="H22" s="95"/>
      <c r="I22" s="95"/>
      <c r="J22" s="17"/>
    </row>
    <row r="23" spans="1:10" ht="13" customHeight="1" x14ac:dyDescent="0.2">
      <c r="A23" s="176"/>
      <c r="B23" s="140"/>
      <c r="C23" s="187">
        <v>200</v>
      </c>
      <c r="D23" s="139"/>
      <c r="E23" s="139"/>
      <c r="F23" s="139">
        <v>-49514</v>
      </c>
      <c r="G23" s="139"/>
      <c r="H23" s="139"/>
      <c r="I23" s="139"/>
      <c r="J23" s="17"/>
    </row>
    <row r="24" spans="1:10" ht="13" customHeight="1" x14ac:dyDescent="0.2">
      <c r="A24" s="236" t="s">
        <v>511</v>
      </c>
      <c r="B24" s="79"/>
      <c r="C24" s="72"/>
      <c r="D24" s="73"/>
      <c r="E24" s="73"/>
      <c r="F24" s="73"/>
      <c r="G24" s="73"/>
      <c r="H24" s="73"/>
      <c r="I24" s="74"/>
      <c r="J24" s="17"/>
    </row>
    <row r="25" spans="1:10" ht="13" customHeight="1" x14ac:dyDescent="0.2">
      <c r="A25" s="823" t="s">
        <v>495</v>
      </c>
      <c r="B25" s="85"/>
      <c r="C25" s="68">
        <v>200</v>
      </c>
      <c r="D25" s="69">
        <v>113700</v>
      </c>
      <c r="E25" s="69">
        <v>-113700</v>
      </c>
      <c r="F25" s="69"/>
      <c r="G25" s="69"/>
      <c r="H25" s="70"/>
      <c r="I25" s="70"/>
      <c r="J25" s="17"/>
    </row>
    <row r="26" spans="1:10" ht="13" customHeight="1" x14ac:dyDescent="0.2">
      <c r="A26" s="184" t="s">
        <v>705</v>
      </c>
      <c r="B26" s="79"/>
      <c r="C26" s="72">
        <v>100</v>
      </c>
      <c r="D26" s="73">
        <v>102000</v>
      </c>
      <c r="E26" s="73"/>
      <c r="F26" s="73"/>
      <c r="G26" s="73"/>
      <c r="H26" s="74"/>
      <c r="I26" s="74"/>
      <c r="J26" s="17"/>
    </row>
    <row r="27" spans="1:10" ht="13" customHeight="1" x14ac:dyDescent="0.2">
      <c r="A27" s="898" t="s">
        <v>844</v>
      </c>
      <c r="B27" s="85"/>
      <c r="C27" s="68"/>
      <c r="D27" s="69"/>
      <c r="E27" s="69"/>
      <c r="F27" s="69"/>
      <c r="G27" s="69"/>
      <c r="H27" s="70"/>
      <c r="I27" s="70"/>
      <c r="J27" s="17"/>
    </row>
    <row r="28" spans="1:10" ht="13" customHeight="1" x14ac:dyDescent="0.2">
      <c r="A28" s="184" t="s">
        <v>856</v>
      </c>
      <c r="B28" s="79"/>
      <c r="C28" s="72">
        <v>100</v>
      </c>
      <c r="D28" s="73">
        <v>-102000</v>
      </c>
      <c r="E28" s="73"/>
      <c r="F28" s="73"/>
      <c r="G28" s="73"/>
      <c r="H28" s="74"/>
      <c r="I28" s="74"/>
      <c r="J28" s="17"/>
    </row>
    <row r="29" spans="1:10" ht="13" customHeight="1" x14ac:dyDescent="0.2">
      <c r="A29" s="402" t="s">
        <v>748</v>
      </c>
      <c r="B29" s="85"/>
      <c r="C29" s="68"/>
      <c r="D29" s="69"/>
      <c r="E29" s="69"/>
      <c r="F29" s="69"/>
      <c r="G29" s="69"/>
      <c r="H29" s="70"/>
      <c r="I29" s="70"/>
      <c r="J29" s="17"/>
    </row>
    <row r="30" spans="1:10" ht="13" customHeight="1" x14ac:dyDescent="0.2">
      <c r="A30" s="184" t="s">
        <v>778</v>
      </c>
      <c r="B30" s="79"/>
      <c r="C30" s="72">
        <v>100</v>
      </c>
      <c r="D30" s="73"/>
      <c r="E30" s="73">
        <v>-424091</v>
      </c>
      <c r="F30" s="73"/>
      <c r="G30" s="73">
        <v>424091</v>
      </c>
      <c r="H30" s="74"/>
      <c r="I30" s="74"/>
      <c r="J30" s="17"/>
    </row>
    <row r="31" spans="1:10" ht="13" customHeight="1" x14ac:dyDescent="0.2">
      <c r="A31" s="898" t="s">
        <v>845</v>
      </c>
      <c r="B31" s="85"/>
      <c r="C31" s="68">
        <v>100</v>
      </c>
      <c r="D31" s="69">
        <v>13411</v>
      </c>
      <c r="E31" s="69">
        <v>80464</v>
      </c>
      <c r="F31" s="69"/>
      <c r="G31" s="69"/>
      <c r="H31" s="70"/>
      <c r="I31" s="70"/>
      <c r="J31" s="17"/>
    </row>
    <row r="32" spans="1:10" ht="13" customHeight="1" x14ac:dyDescent="0.2">
      <c r="A32" s="194" t="s">
        <v>913</v>
      </c>
      <c r="B32" s="79"/>
      <c r="C32" s="72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898" t="s">
        <v>999</v>
      </c>
      <c r="B33" s="85"/>
      <c r="C33" s="68">
        <v>100</v>
      </c>
      <c r="D33" s="69"/>
      <c r="E33" s="69"/>
      <c r="F33" s="69"/>
      <c r="G33" s="69">
        <v>-424091</v>
      </c>
      <c r="H33" s="70">
        <v>424091</v>
      </c>
      <c r="I33" s="70"/>
      <c r="J33" s="17"/>
    </row>
    <row r="34" spans="1:10" ht="13" customHeight="1" x14ac:dyDescent="0.2">
      <c r="A34" s="184"/>
      <c r="B34" s="79"/>
      <c r="C34" s="72"/>
      <c r="D34" s="73"/>
      <c r="E34" s="73"/>
      <c r="F34" s="73"/>
      <c r="G34" s="73"/>
      <c r="H34" s="74"/>
      <c r="I34" s="74"/>
      <c r="J34" s="17"/>
    </row>
    <row r="35" spans="1:10" ht="12.75" customHeight="1" x14ac:dyDescent="0.2">
      <c r="A35" s="898"/>
      <c r="B35" s="85"/>
      <c r="C35" s="68"/>
      <c r="D35" s="69"/>
      <c r="E35" s="69"/>
      <c r="F35" s="69"/>
      <c r="G35" s="69"/>
      <c r="H35" s="70"/>
      <c r="I35" s="70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80"/>
      <c r="B39" s="71"/>
      <c r="C39" s="72"/>
      <c r="D39" s="73"/>
      <c r="E39" s="73"/>
      <c r="F39" s="74"/>
      <c r="G39" s="74"/>
      <c r="H39" s="74"/>
      <c r="I39" s="74"/>
      <c r="J39" s="17"/>
    </row>
    <row r="40" spans="1:10" ht="13" customHeight="1" x14ac:dyDescent="0.2">
      <c r="A40" s="78"/>
      <c r="B40" s="71"/>
      <c r="C40" s="72"/>
      <c r="D40" s="73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1"/>
      <c r="C41" s="72"/>
      <c r="D41" s="73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1"/>
      <c r="C42" s="72"/>
      <c r="D42" s="73"/>
      <c r="E42" s="74"/>
      <c r="F42" s="74"/>
      <c r="G42" s="73"/>
      <c r="H42" s="74"/>
      <c r="I42" s="74"/>
      <c r="J42" s="17"/>
    </row>
    <row r="43" spans="1:10" ht="13" customHeight="1" x14ac:dyDescent="0.2">
      <c r="A43" s="78"/>
      <c r="B43" s="79"/>
      <c r="C43" s="72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2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2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6"/>
      <c r="D53" s="74"/>
      <c r="E53" s="74"/>
      <c r="F53" s="74"/>
      <c r="G53" s="74"/>
      <c r="H53" s="74"/>
      <c r="I53" s="74"/>
      <c r="J53" s="17"/>
    </row>
    <row r="54" spans="1:10" ht="13" customHeight="1" x14ac:dyDescent="0.2">
      <c r="A54" s="78"/>
      <c r="B54" s="79"/>
      <c r="C54" s="76"/>
      <c r="D54" s="74"/>
      <c r="E54" s="74"/>
      <c r="F54" s="74"/>
      <c r="G54" s="74"/>
      <c r="H54" s="74"/>
      <c r="I54" s="74"/>
      <c r="J54" s="17"/>
    </row>
    <row r="55" spans="1:10" ht="13" customHeight="1" x14ac:dyDescent="0.2">
      <c r="A55" s="78"/>
      <c r="B55" s="79"/>
      <c r="C55" s="76"/>
      <c r="D55" s="74"/>
      <c r="E55" s="74"/>
      <c r="F55" s="74"/>
      <c r="G55" s="74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K60"/>
  <sheetViews>
    <sheetView zoomScaleNormal="100" zoomScaleSheetLayoutView="90" workbookViewId="0">
      <selection activeCell="G18" sqref="G18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2">
        <v>63</v>
      </c>
      <c r="C6" s="963" t="s">
        <v>164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928286</v>
      </c>
      <c r="C9" s="34">
        <v>962864</v>
      </c>
      <c r="D9" s="227">
        <f>+C9+D21+D23+D24</f>
        <v>997459</v>
      </c>
      <c r="E9" s="115">
        <f>+D9+E21+E26+E31+E23+E24</f>
        <v>987587</v>
      </c>
      <c r="F9" s="411">
        <f>+E9+F31</f>
        <v>997835</v>
      </c>
      <c r="G9" s="34">
        <f t="shared" ref="D9:G11" si="0">+F9</f>
        <v>997835</v>
      </c>
      <c r="H9" s="227">
        <f t="shared" ref="F9:I15" si="1">+G9</f>
        <v>997835</v>
      </c>
      <c r="I9" s="51">
        <f t="shared" si="1"/>
        <v>997835</v>
      </c>
      <c r="K9" s="7">
        <v>100</v>
      </c>
    </row>
    <row r="10" spans="1:11" x14ac:dyDescent="0.2">
      <c r="A10" s="10" t="s">
        <v>5</v>
      </c>
      <c r="B10" s="36">
        <v>34658</v>
      </c>
      <c r="C10" s="36">
        <v>75200</v>
      </c>
      <c r="D10" s="230">
        <f>+C10+D22</f>
        <v>42900</v>
      </c>
      <c r="E10" s="550">
        <f>+D10+E22+E27+E29</f>
        <v>37900</v>
      </c>
      <c r="F10" s="548">
        <f t="shared" si="0"/>
        <v>37900</v>
      </c>
      <c r="G10" s="36">
        <f>+F10+G29+G33</f>
        <v>37900</v>
      </c>
      <c r="H10" s="230">
        <f>+G10+H33</f>
        <v>42900</v>
      </c>
      <c r="I10" s="37">
        <f t="shared" si="1"/>
        <v>42900</v>
      </c>
      <c r="K10" s="7">
        <v>200</v>
      </c>
    </row>
    <row r="11" spans="1:11" x14ac:dyDescent="0.2">
      <c r="A11" s="9" t="s">
        <v>6</v>
      </c>
      <c r="B11" s="34">
        <f>7050+8358</f>
        <v>15408</v>
      </c>
      <c r="C11" s="34">
        <v>22727</v>
      </c>
      <c r="D11" s="227">
        <f t="shared" si="0"/>
        <v>22727</v>
      </c>
      <c r="E11" s="115">
        <f>+D11+E30</f>
        <v>17727</v>
      </c>
      <c r="F11" s="411">
        <f t="shared" si="0"/>
        <v>17727</v>
      </c>
      <c r="G11" s="34">
        <f>+F11+G30+G34</f>
        <v>17727</v>
      </c>
      <c r="H11" s="227">
        <f>+G11+H34</f>
        <v>22727</v>
      </c>
      <c r="I11" s="35">
        <f t="shared" si="1"/>
        <v>22727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ref="D12:E15" si="2">+C12</f>
        <v>0</v>
      </c>
      <c r="E12" s="550">
        <f t="shared" si="2"/>
        <v>0</v>
      </c>
      <c r="F12" s="548">
        <f t="shared" si="1"/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2"/>
        <v>0</v>
      </c>
      <c r="E13" s="115">
        <f t="shared" si="2"/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2"/>
        <v>0</v>
      </c>
      <c r="E14" s="550">
        <f t="shared" si="2"/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2"/>
        <v>0</v>
      </c>
      <c r="E15" s="551">
        <f t="shared" si="2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978352</v>
      </c>
      <c r="C16" s="40">
        <f t="shared" ref="C16:I16" si="3">SUM(C9:C15)</f>
        <v>1060791</v>
      </c>
      <c r="D16" s="40">
        <f t="shared" si="3"/>
        <v>1063086</v>
      </c>
      <c r="E16" s="573">
        <f t="shared" si="3"/>
        <v>1043214</v>
      </c>
      <c r="F16" s="40">
        <f t="shared" si="3"/>
        <v>1053462</v>
      </c>
      <c r="G16" s="40">
        <f t="shared" si="3"/>
        <v>1053462</v>
      </c>
      <c r="H16" s="40">
        <f t="shared" si="3"/>
        <v>1063462</v>
      </c>
      <c r="I16" s="40">
        <f t="shared" si="3"/>
        <v>1063462</v>
      </c>
    </row>
    <row r="17" spans="1:10" x14ac:dyDescent="0.2">
      <c r="B17" s="226"/>
    </row>
    <row r="18" spans="1:10" x14ac:dyDescent="0.2">
      <c r="E18" s="416">
        <f>+E16-D16</f>
        <v>-19872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6" thickTop="1" x14ac:dyDescent="0.2">
      <c r="A20" s="236" t="s">
        <v>494</v>
      </c>
      <c r="B20" s="211"/>
      <c r="C20" s="211"/>
      <c r="D20" s="211"/>
      <c r="E20" s="211"/>
      <c r="F20" s="211"/>
      <c r="G20" s="211"/>
      <c r="H20" s="211"/>
      <c r="I20" s="211"/>
    </row>
    <row r="21" spans="1:10" ht="13" customHeight="1" x14ac:dyDescent="0.2">
      <c r="A21" s="447" t="s">
        <v>512</v>
      </c>
      <c r="B21" s="154"/>
      <c r="C21" s="186">
        <v>100</v>
      </c>
      <c r="D21" s="144">
        <v>32300</v>
      </c>
      <c r="E21" s="144">
        <v>-32300</v>
      </c>
      <c r="F21" s="144"/>
      <c r="G21" s="144"/>
      <c r="H21" s="145"/>
      <c r="I21" s="145"/>
      <c r="J21" s="17"/>
    </row>
    <row r="22" spans="1:10" s="59" customFormat="1" ht="13" customHeight="1" x14ac:dyDescent="0.2">
      <c r="A22" s="450"/>
      <c r="B22" s="79"/>
      <c r="C22" s="76">
        <v>200</v>
      </c>
      <c r="D22" s="73">
        <v>-32300</v>
      </c>
      <c r="E22" s="73">
        <v>32300</v>
      </c>
      <c r="F22" s="73"/>
      <c r="G22" s="73"/>
      <c r="H22" s="74"/>
      <c r="I22" s="74"/>
      <c r="J22" s="82"/>
    </row>
    <row r="23" spans="1:10" s="59" customFormat="1" ht="13" customHeight="1" x14ac:dyDescent="0.2">
      <c r="A23" s="447" t="s">
        <v>953</v>
      </c>
      <c r="B23" s="154"/>
      <c r="C23" s="186">
        <v>100</v>
      </c>
      <c r="D23" s="144">
        <v>445</v>
      </c>
      <c r="E23" s="144">
        <v>2226</v>
      </c>
      <c r="F23" s="144"/>
      <c r="G23" s="144"/>
      <c r="H23" s="145"/>
      <c r="I23" s="145"/>
      <c r="J23" s="82"/>
    </row>
    <row r="24" spans="1:10" s="59" customFormat="1" ht="13" customHeight="1" x14ac:dyDescent="0.2">
      <c r="A24" s="922" t="s">
        <v>954</v>
      </c>
      <c r="B24" s="79"/>
      <c r="C24" s="76">
        <v>100</v>
      </c>
      <c r="D24" s="73">
        <v>1850</v>
      </c>
      <c r="E24" s="73">
        <v>-1850</v>
      </c>
      <c r="F24" s="73"/>
      <c r="G24" s="73"/>
      <c r="H24" s="74"/>
      <c r="I24" s="74"/>
      <c r="J24" s="82"/>
    </row>
    <row r="25" spans="1:10" ht="13" customHeight="1" x14ac:dyDescent="0.2">
      <c r="A25" s="887" t="s">
        <v>598</v>
      </c>
      <c r="B25" s="154"/>
      <c r="C25" s="186"/>
      <c r="D25" s="144"/>
      <c r="E25" s="144"/>
      <c r="F25" s="69"/>
      <c r="G25" s="69"/>
      <c r="H25" s="70"/>
      <c r="I25" s="70"/>
      <c r="J25" s="17"/>
    </row>
    <row r="26" spans="1:10" ht="13" customHeight="1" x14ac:dyDescent="0.2">
      <c r="A26" s="886" t="s">
        <v>612</v>
      </c>
      <c r="B26" s="93"/>
      <c r="C26" s="94">
        <v>100</v>
      </c>
      <c r="D26" s="104"/>
      <c r="E26" s="104">
        <v>32300</v>
      </c>
      <c r="F26" s="104"/>
      <c r="G26" s="104"/>
      <c r="H26" s="95"/>
      <c r="I26" s="95"/>
      <c r="J26" s="17"/>
    </row>
    <row r="27" spans="1:10" ht="13" customHeight="1" x14ac:dyDescent="0.2">
      <c r="A27" s="447"/>
      <c r="B27" s="154"/>
      <c r="C27" s="186">
        <v>200</v>
      </c>
      <c r="D27" s="144"/>
      <c r="E27" s="144">
        <v>-32300</v>
      </c>
      <c r="F27" s="144"/>
      <c r="G27" s="144"/>
      <c r="H27" s="145"/>
      <c r="I27" s="145"/>
      <c r="J27" s="17"/>
    </row>
    <row r="28" spans="1:10" ht="13" customHeight="1" x14ac:dyDescent="0.2">
      <c r="A28" s="460" t="s">
        <v>747</v>
      </c>
      <c r="B28" s="93"/>
      <c r="C28" s="94"/>
      <c r="D28" s="104"/>
      <c r="E28" s="104"/>
      <c r="F28" s="104"/>
      <c r="G28" s="104"/>
      <c r="H28" s="95"/>
      <c r="I28" s="95"/>
      <c r="J28" s="17"/>
    </row>
    <row r="29" spans="1:10" ht="13" customHeight="1" x14ac:dyDescent="0.2">
      <c r="A29" s="447" t="s">
        <v>803</v>
      </c>
      <c r="B29" s="154"/>
      <c r="C29" s="186">
        <v>200</v>
      </c>
      <c r="D29" s="144"/>
      <c r="E29" s="144">
        <v>-5000</v>
      </c>
      <c r="F29" s="144"/>
      <c r="G29" s="144">
        <v>5000</v>
      </c>
      <c r="H29" s="145"/>
      <c r="I29" s="145"/>
      <c r="J29" s="17"/>
    </row>
    <row r="30" spans="1:10" ht="13" customHeight="1" x14ac:dyDescent="0.2">
      <c r="A30" s="922" t="s">
        <v>804</v>
      </c>
      <c r="B30" s="79"/>
      <c r="C30" s="899" t="s">
        <v>167</v>
      </c>
      <c r="D30" s="73"/>
      <c r="E30" s="73">
        <v>-5000</v>
      </c>
      <c r="F30" s="73"/>
      <c r="G30" s="73">
        <v>5000</v>
      </c>
      <c r="H30" s="74"/>
      <c r="I30" s="74"/>
      <c r="J30" s="17"/>
    </row>
    <row r="31" spans="1:10" ht="13" customHeight="1" x14ac:dyDescent="0.2">
      <c r="A31" s="447" t="s">
        <v>905</v>
      </c>
      <c r="B31" s="154"/>
      <c r="C31" s="186">
        <v>100</v>
      </c>
      <c r="D31" s="144"/>
      <c r="E31" s="144">
        <v>-10248</v>
      </c>
      <c r="F31" s="144">
        <v>10248</v>
      </c>
      <c r="G31" s="144"/>
      <c r="H31" s="145"/>
      <c r="I31" s="145"/>
      <c r="J31" s="17"/>
    </row>
    <row r="32" spans="1:10" ht="13" customHeight="1" x14ac:dyDescent="0.2">
      <c r="A32" s="696" t="s">
        <v>911</v>
      </c>
      <c r="B32" s="79"/>
      <c r="C32" s="76"/>
      <c r="D32" s="73"/>
      <c r="E32" s="73"/>
      <c r="F32" s="73"/>
      <c r="G32" s="73"/>
      <c r="H32" s="74"/>
      <c r="I32" s="74"/>
      <c r="J32" s="17"/>
    </row>
    <row r="33" spans="1:10" ht="13" customHeight="1" x14ac:dyDescent="0.2">
      <c r="A33" s="447" t="s">
        <v>995</v>
      </c>
      <c r="B33" s="154"/>
      <c r="C33" s="186">
        <v>200</v>
      </c>
      <c r="D33" s="144"/>
      <c r="E33" s="144"/>
      <c r="F33" s="144"/>
      <c r="G33" s="144">
        <v>-5000</v>
      </c>
      <c r="H33" s="145">
        <v>5000</v>
      </c>
      <c r="I33" s="145"/>
      <c r="J33" s="17"/>
    </row>
    <row r="34" spans="1:10" ht="13" customHeight="1" x14ac:dyDescent="0.2">
      <c r="A34" s="78"/>
      <c r="B34" s="79"/>
      <c r="C34" s="899" t="s">
        <v>167</v>
      </c>
      <c r="D34" s="74"/>
      <c r="E34" s="74"/>
      <c r="F34" s="74"/>
      <c r="G34" s="74">
        <v>-5000</v>
      </c>
      <c r="H34" s="74">
        <v>5000</v>
      </c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6.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81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6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6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6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6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6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6"/>
      <c r="D56" s="73"/>
      <c r="E56" s="73"/>
      <c r="F56" s="73"/>
      <c r="G56" s="73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3">
    <tabColor theme="3"/>
    <pageSetUpPr fitToPage="1"/>
  </sheetPr>
  <dimension ref="A1:K53"/>
  <sheetViews>
    <sheetView topLeftCell="A35" zoomScaleNormal="100" zoomScaleSheetLayoutView="90" workbookViewId="0">
      <selection activeCell="A46" sqref="A46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36</v>
      </c>
      <c r="C6" s="963" t="s">
        <v>114</v>
      </c>
      <c r="D6" s="963"/>
      <c r="E6" s="963"/>
      <c r="F6" s="963"/>
      <c r="G6" s="963"/>
      <c r="H6" s="963"/>
      <c r="I6" s="963"/>
    </row>
    <row r="7" spans="1:11" ht="16" thickBot="1" x14ac:dyDescent="0.25"/>
    <row r="8" spans="1:11" s="8" customFormat="1" ht="30" customHeight="1" x14ac:dyDescent="0.2">
      <c r="A8" s="1" t="s">
        <v>3</v>
      </c>
      <c r="B8" s="216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</row>
    <row r="9" spans="1:11" x14ac:dyDescent="0.2">
      <c r="A9" s="9" t="s">
        <v>4</v>
      </c>
      <c r="B9" s="34">
        <v>22700386</v>
      </c>
      <c r="C9" s="34">
        <v>23934508</v>
      </c>
      <c r="D9" s="227">
        <f>+C9+D27+D28+D29+D30+D31+D32</f>
        <v>24217852</v>
      </c>
      <c r="E9" s="115">
        <f>+D9+E34+E38+E28+E29+E30+E41+E31+E32+E43</f>
        <v>22648673</v>
      </c>
      <c r="F9" s="411">
        <f>+E9+F41</f>
        <v>22765075</v>
      </c>
      <c r="G9" s="34">
        <f>+F9+G38+G46</f>
        <v>22765075</v>
      </c>
      <c r="H9" s="227">
        <f>+G9+H46</f>
        <v>24593237</v>
      </c>
      <c r="I9" s="51">
        <f t="shared" ref="E9:I15" si="0">+H9</f>
        <v>24593237</v>
      </c>
      <c r="K9" s="7">
        <v>100</v>
      </c>
    </row>
    <row r="10" spans="1:11" x14ac:dyDescent="0.2">
      <c r="A10" s="10" t="s">
        <v>5</v>
      </c>
      <c r="B10" s="36">
        <f>7539810+167035</f>
        <v>7706845</v>
      </c>
      <c r="C10" s="36">
        <v>7755749</v>
      </c>
      <c r="D10" s="230">
        <f>+C10</f>
        <v>7755749</v>
      </c>
      <c r="E10" s="550">
        <f>+D10+E22+E24+E35+E39+E45</f>
        <v>5787749</v>
      </c>
      <c r="F10" s="548">
        <f>+E10</f>
        <v>5787749</v>
      </c>
      <c r="G10" s="36">
        <f>+F10+G39+G47</f>
        <v>5787749</v>
      </c>
      <c r="H10" s="230">
        <f>+G10+H47</f>
        <v>7812749</v>
      </c>
      <c r="I10" s="37">
        <f t="shared" si="0"/>
        <v>7812749</v>
      </c>
      <c r="K10" s="7">
        <v>200</v>
      </c>
    </row>
    <row r="11" spans="1:11" x14ac:dyDescent="0.2">
      <c r="A11" s="9" t="s">
        <v>6</v>
      </c>
      <c r="B11" s="34">
        <f>563301+324478</f>
        <v>887779</v>
      </c>
      <c r="C11" s="34">
        <v>1188976</v>
      </c>
      <c r="D11" s="227">
        <f>+C11</f>
        <v>1188976</v>
      </c>
      <c r="E11" s="115">
        <f>+D11+E23+E25+E36+E40+E44</f>
        <v>774976</v>
      </c>
      <c r="F11" s="411">
        <f>+E11</f>
        <v>774976</v>
      </c>
      <c r="G11" s="34">
        <f>+F11+G40+G48</f>
        <v>774976</v>
      </c>
      <c r="H11" s="227">
        <f>+G11+H48</f>
        <v>879976</v>
      </c>
      <c r="I11" s="35">
        <f t="shared" si="0"/>
        <v>879976</v>
      </c>
      <c r="K11" s="7" t="s">
        <v>167</v>
      </c>
    </row>
    <row r="12" spans="1:11" x14ac:dyDescent="0.2">
      <c r="A12" s="10" t="s">
        <v>7</v>
      </c>
      <c r="B12" s="36">
        <v>328357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31623367</v>
      </c>
      <c r="C16" s="40">
        <f t="shared" ref="C16:I16" si="2">SUM(C9:C15)</f>
        <v>32879233</v>
      </c>
      <c r="D16" s="40">
        <f t="shared" si="2"/>
        <v>33162577</v>
      </c>
      <c r="E16" s="573">
        <f t="shared" si="2"/>
        <v>29211398</v>
      </c>
      <c r="F16" s="40">
        <f t="shared" si="2"/>
        <v>29327800</v>
      </c>
      <c r="G16" s="40">
        <f t="shared" si="2"/>
        <v>29327800</v>
      </c>
      <c r="H16" s="40">
        <f t="shared" si="2"/>
        <v>33285962</v>
      </c>
      <c r="I16" s="40">
        <f t="shared" si="2"/>
        <v>33285962</v>
      </c>
    </row>
    <row r="18" spans="1:10" x14ac:dyDescent="0.2">
      <c r="E18" s="416">
        <f>+E16-D16</f>
        <v>-3951179</v>
      </c>
    </row>
    <row r="19" spans="1:10" ht="15.75" customHeight="1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3.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2.75" customHeight="1" x14ac:dyDescent="0.2">
      <c r="A21" s="173" t="s">
        <v>358</v>
      </c>
      <c r="B21" s="146"/>
      <c r="C21" s="146"/>
      <c r="D21" s="146"/>
      <c r="E21" s="69"/>
      <c r="F21" s="69"/>
      <c r="G21" s="69"/>
      <c r="H21" s="70"/>
      <c r="I21" s="70"/>
      <c r="J21" s="17"/>
    </row>
    <row r="22" spans="1:10" ht="12.75" customHeight="1" x14ac:dyDescent="0.2">
      <c r="A22" s="692" t="s">
        <v>432</v>
      </c>
      <c r="B22" s="59"/>
      <c r="C22" s="94">
        <v>200</v>
      </c>
      <c r="D22" s="73"/>
      <c r="E22" s="104">
        <v>-125000</v>
      </c>
      <c r="F22" s="644"/>
      <c r="G22" s="207"/>
      <c r="H22" s="207"/>
      <c r="I22" s="207"/>
    </row>
    <row r="23" spans="1:10" ht="12.75" customHeight="1" x14ac:dyDescent="0.2">
      <c r="A23" s="308"/>
      <c r="B23" s="146"/>
      <c r="C23" s="186" t="s">
        <v>167</v>
      </c>
      <c r="D23" s="144"/>
      <c r="E23" s="806">
        <v>-265000</v>
      </c>
      <c r="F23" s="144"/>
      <c r="G23" s="146"/>
      <c r="H23" s="146"/>
      <c r="I23" s="146"/>
    </row>
    <row r="24" spans="1:10" ht="12.75" customHeight="1" x14ac:dyDescent="0.2">
      <c r="A24" s="306" t="s">
        <v>372</v>
      </c>
      <c r="B24" s="59"/>
      <c r="C24" s="82">
        <v>200</v>
      </c>
      <c r="D24" s="104"/>
      <c r="E24" s="644">
        <v>-3000</v>
      </c>
      <c r="F24" s="104"/>
      <c r="G24" s="59"/>
      <c r="H24" s="59"/>
      <c r="I24" s="59"/>
    </row>
    <row r="25" spans="1:10" ht="12.75" customHeight="1" x14ac:dyDescent="0.2">
      <c r="A25" s="176"/>
      <c r="B25" s="189"/>
      <c r="C25" s="805" t="s">
        <v>167</v>
      </c>
      <c r="D25" s="138"/>
      <c r="E25" s="138">
        <v>-9000</v>
      </c>
      <c r="F25" s="807"/>
      <c r="G25" s="138"/>
      <c r="H25" s="138"/>
      <c r="I25" s="138"/>
    </row>
    <row r="26" spans="1:10" ht="12.75" customHeight="1" x14ac:dyDescent="0.2">
      <c r="A26" s="833" t="s">
        <v>494</v>
      </c>
      <c r="B26" s="834"/>
      <c r="C26" s="241"/>
      <c r="D26" s="835"/>
      <c r="E26" s="391"/>
      <c r="F26" s="391"/>
      <c r="G26" s="391"/>
      <c r="H26" s="391"/>
      <c r="I26" s="391"/>
    </row>
    <row r="27" spans="1:10" ht="12.75" customHeight="1" x14ac:dyDescent="0.2">
      <c r="A27" s="303" t="s">
        <v>502</v>
      </c>
      <c r="B27" s="304"/>
      <c r="C27" s="249">
        <v>100</v>
      </c>
      <c r="D27" s="250">
        <v>43625</v>
      </c>
      <c r="E27" s="843"/>
      <c r="F27" s="69"/>
      <c r="G27" s="146"/>
      <c r="H27" s="146"/>
      <c r="I27" s="146"/>
    </row>
    <row r="28" spans="1:10" ht="12.75" customHeight="1" x14ac:dyDescent="0.2">
      <c r="A28" s="926" t="s">
        <v>830</v>
      </c>
      <c r="B28" s="207"/>
      <c r="C28" s="94">
        <v>100</v>
      </c>
      <c r="D28" s="925">
        <v>21864</v>
      </c>
      <c r="E28" s="925">
        <v>131181</v>
      </c>
      <c r="F28" s="104"/>
      <c r="G28" s="207"/>
      <c r="H28" s="207"/>
      <c r="I28" s="207"/>
    </row>
    <row r="29" spans="1:10" ht="12.75" customHeight="1" x14ac:dyDescent="0.2">
      <c r="A29" s="926" t="s">
        <v>900</v>
      </c>
      <c r="B29" s="146"/>
      <c r="C29" s="186">
        <v>100</v>
      </c>
      <c r="D29" s="925">
        <v>65200</v>
      </c>
      <c r="E29" s="925">
        <v>-65200</v>
      </c>
      <c r="F29" s="144"/>
      <c r="G29" s="146"/>
      <c r="H29" s="146"/>
      <c r="I29" s="146"/>
    </row>
    <row r="30" spans="1:10" ht="12.75" customHeight="1" x14ac:dyDescent="0.2">
      <c r="A30" s="926" t="s">
        <v>837</v>
      </c>
      <c r="B30" s="207"/>
      <c r="C30" s="94">
        <v>100</v>
      </c>
      <c r="D30" s="925">
        <v>8533</v>
      </c>
      <c r="E30" s="925">
        <v>51196</v>
      </c>
      <c r="F30" s="104"/>
      <c r="G30" s="207"/>
      <c r="H30" s="207"/>
      <c r="I30" s="207"/>
    </row>
    <row r="31" spans="1:10" ht="12.75" customHeight="1" x14ac:dyDescent="0.2">
      <c r="A31" s="926" t="s">
        <v>945</v>
      </c>
      <c r="B31" s="146"/>
      <c r="C31" s="186">
        <v>100</v>
      </c>
      <c r="D31" s="925">
        <v>31222</v>
      </c>
      <c r="E31" s="925">
        <v>156108</v>
      </c>
      <c r="F31" s="144"/>
      <c r="G31" s="146"/>
      <c r="H31" s="146"/>
      <c r="I31" s="146"/>
    </row>
    <row r="32" spans="1:10" ht="12.75" customHeight="1" x14ac:dyDescent="0.2">
      <c r="A32" s="926" t="s">
        <v>946</v>
      </c>
      <c r="B32" s="207"/>
      <c r="C32" s="94">
        <v>100</v>
      </c>
      <c r="D32" s="925">
        <v>112900</v>
      </c>
      <c r="E32" s="925">
        <v>-112900</v>
      </c>
      <c r="F32" s="104"/>
      <c r="G32" s="207"/>
      <c r="H32" s="207"/>
      <c r="I32" s="207"/>
    </row>
    <row r="33" spans="1:9" ht="12.75" customHeight="1" x14ac:dyDescent="0.2">
      <c r="A33" s="928" t="s">
        <v>625</v>
      </c>
      <c r="B33" s="146"/>
      <c r="C33" s="186"/>
      <c r="D33" s="925"/>
      <c r="E33" s="925"/>
      <c r="F33" s="144"/>
      <c r="G33" s="146"/>
      <c r="H33" s="146"/>
      <c r="I33" s="146"/>
    </row>
    <row r="34" spans="1:9" ht="12.75" customHeight="1" x14ac:dyDescent="0.2">
      <c r="A34" s="926" t="s">
        <v>644</v>
      </c>
      <c r="B34" s="207"/>
      <c r="C34" s="94">
        <v>100</v>
      </c>
      <c r="D34" s="925"/>
      <c r="E34" s="925">
        <v>290000</v>
      </c>
      <c r="F34" s="925"/>
      <c r="G34" s="925"/>
      <c r="H34" s="925"/>
      <c r="I34" s="925"/>
    </row>
    <row r="35" spans="1:9" ht="12.75" customHeight="1" x14ac:dyDescent="0.2">
      <c r="A35" s="926"/>
      <c r="B35" s="146"/>
      <c r="C35" s="186">
        <v>200</v>
      </c>
      <c r="D35" s="144"/>
      <c r="E35" s="144">
        <v>25000</v>
      </c>
      <c r="F35" s="144"/>
      <c r="G35" s="144"/>
      <c r="H35" s="144"/>
      <c r="I35" s="144"/>
    </row>
    <row r="36" spans="1:9" ht="12.75" customHeight="1" x14ac:dyDescent="0.2">
      <c r="A36" s="926"/>
      <c r="B36" s="207"/>
      <c r="C36" s="94" t="s">
        <v>167</v>
      </c>
      <c r="D36" s="925"/>
      <c r="E36" s="925">
        <v>50000</v>
      </c>
      <c r="F36" s="925"/>
      <c r="G36" s="925"/>
      <c r="H36" s="925"/>
      <c r="I36" s="925"/>
    </row>
    <row r="37" spans="1:9" ht="12.75" customHeight="1" x14ac:dyDescent="0.2">
      <c r="A37" s="928" t="s">
        <v>748</v>
      </c>
      <c r="B37" s="146"/>
      <c r="C37" s="186"/>
      <c r="D37" s="144"/>
      <c r="E37" s="144"/>
      <c r="F37" s="144"/>
      <c r="G37" s="144"/>
      <c r="H37" s="144"/>
      <c r="I37" s="144"/>
    </row>
    <row r="38" spans="1:9" ht="12.75" customHeight="1" x14ac:dyDescent="0.2">
      <c r="A38" s="926" t="s">
        <v>788</v>
      </c>
      <c r="B38" s="207"/>
      <c r="C38" s="94">
        <v>100</v>
      </c>
      <c r="D38" s="925"/>
      <c r="E38" s="925">
        <v>-1828162</v>
      </c>
      <c r="F38" s="925"/>
      <c r="G38" s="925">
        <v>1828162</v>
      </c>
      <c r="H38" s="925"/>
      <c r="I38" s="925"/>
    </row>
    <row r="39" spans="1:9" ht="12.75" customHeight="1" x14ac:dyDescent="0.2">
      <c r="A39" s="926" t="s">
        <v>786</v>
      </c>
      <c r="B39" s="146"/>
      <c r="C39" s="186">
        <v>200</v>
      </c>
      <c r="D39" s="144"/>
      <c r="E39" s="144">
        <v>-2025000</v>
      </c>
      <c r="F39" s="144"/>
      <c r="G39" s="144">
        <v>2025000</v>
      </c>
      <c r="H39" s="144"/>
      <c r="I39" s="144"/>
    </row>
    <row r="40" spans="1:9" ht="12.75" customHeight="1" x14ac:dyDescent="0.2">
      <c r="A40" s="926" t="s">
        <v>787</v>
      </c>
      <c r="B40" s="207"/>
      <c r="C40" s="94" t="s">
        <v>167</v>
      </c>
      <c r="D40" s="925"/>
      <c r="E40" s="925">
        <v>-105000</v>
      </c>
      <c r="F40" s="925"/>
      <c r="G40" s="925">
        <v>105000</v>
      </c>
      <c r="H40" s="925"/>
      <c r="I40" s="925"/>
    </row>
    <row r="41" spans="1:9" ht="12.75" customHeight="1" x14ac:dyDescent="0.2">
      <c r="A41" s="926" t="s">
        <v>910</v>
      </c>
      <c r="B41" s="146"/>
      <c r="C41" s="186">
        <v>100</v>
      </c>
      <c r="D41" s="144"/>
      <c r="E41" s="144">
        <v>-116402</v>
      </c>
      <c r="F41" s="144">
        <v>116402</v>
      </c>
      <c r="G41" s="144"/>
      <c r="H41" s="144"/>
      <c r="I41" s="144"/>
    </row>
    <row r="42" spans="1:9" ht="12.75" customHeight="1" x14ac:dyDescent="0.2">
      <c r="A42" s="928" t="s">
        <v>913</v>
      </c>
      <c r="B42" s="207"/>
      <c r="C42" s="94"/>
      <c r="D42" s="925"/>
      <c r="E42" s="925"/>
      <c r="F42" s="925"/>
      <c r="G42" s="925"/>
      <c r="H42" s="925"/>
      <c r="I42" s="925"/>
    </row>
    <row r="43" spans="1:9" ht="12.75" customHeight="1" x14ac:dyDescent="0.2">
      <c r="A43" s="926" t="s">
        <v>919</v>
      </c>
      <c r="B43" s="146"/>
      <c r="C43" s="186">
        <v>100</v>
      </c>
      <c r="D43" s="144"/>
      <c r="E43" s="144">
        <v>-75000</v>
      </c>
      <c r="F43" s="144"/>
      <c r="G43" s="144"/>
      <c r="H43" s="144"/>
      <c r="I43" s="144"/>
    </row>
    <row r="44" spans="1:9" ht="12.75" customHeight="1" x14ac:dyDescent="0.2">
      <c r="A44" s="926"/>
      <c r="B44" s="207"/>
      <c r="C44" s="950" t="s">
        <v>167</v>
      </c>
      <c r="D44" s="925"/>
      <c r="E44" s="925">
        <v>-85000</v>
      </c>
      <c r="F44" s="925"/>
      <c r="G44" s="925"/>
      <c r="H44" s="925"/>
      <c r="I44" s="925"/>
    </row>
    <row r="45" spans="1:9" ht="12.75" customHeight="1" x14ac:dyDescent="0.2">
      <c r="A45" s="926"/>
      <c r="B45" s="146"/>
      <c r="C45" s="946">
        <v>200</v>
      </c>
      <c r="D45" s="144"/>
      <c r="E45" s="144">
        <v>160000</v>
      </c>
      <c r="F45" s="144"/>
      <c r="G45" s="144"/>
      <c r="H45" s="144"/>
      <c r="I45" s="144"/>
    </row>
    <row r="46" spans="1:9" ht="12.75" customHeight="1" x14ac:dyDescent="0.2">
      <c r="A46" s="926" t="s">
        <v>997</v>
      </c>
      <c r="B46" s="207"/>
      <c r="C46" s="94">
        <v>100</v>
      </c>
      <c r="D46" s="925"/>
      <c r="E46" s="925"/>
      <c r="F46" s="925"/>
      <c r="G46" s="925">
        <v>-1828162</v>
      </c>
      <c r="H46" s="925">
        <v>1828162</v>
      </c>
      <c r="I46" s="925"/>
    </row>
    <row r="47" spans="1:9" ht="12.75" customHeight="1" x14ac:dyDescent="0.2">
      <c r="A47" s="926"/>
      <c r="B47" s="146"/>
      <c r="C47" s="186">
        <v>200</v>
      </c>
      <c r="D47" s="144"/>
      <c r="E47" s="144"/>
      <c r="F47" s="144"/>
      <c r="G47" s="144">
        <v>-2025000</v>
      </c>
      <c r="H47" s="144">
        <v>2025000</v>
      </c>
      <c r="I47" s="144"/>
    </row>
    <row r="48" spans="1:9" ht="12.75" customHeight="1" x14ac:dyDescent="0.2">
      <c r="A48" s="926"/>
      <c r="B48" s="207"/>
      <c r="C48" s="94" t="s">
        <v>167</v>
      </c>
      <c r="D48" s="925"/>
      <c r="E48" s="925"/>
      <c r="F48" s="925"/>
      <c r="G48" s="925">
        <v>-105000</v>
      </c>
      <c r="H48" s="925">
        <v>105000</v>
      </c>
      <c r="I48" s="925"/>
    </row>
    <row r="49" spans="1:9" ht="12.75" customHeight="1" x14ac:dyDescent="0.2">
      <c r="A49" s="926"/>
      <c r="B49" s="146"/>
      <c r="C49" s="186"/>
      <c r="D49" s="144"/>
      <c r="E49" s="144"/>
      <c r="F49" s="144"/>
      <c r="G49" s="144"/>
      <c r="H49" s="144"/>
      <c r="I49" s="144"/>
    </row>
    <row r="50" spans="1:9" ht="12.75" customHeight="1" x14ac:dyDescent="0.2">
      <c r="A50" s="926"/>
      <c r="B50" s="207"/>
      <c r="C50" s="94"/>
      <c r="D50" s="925"/>
      <c r="E50" s="925"/>
      <c r="F50" s="925"/>
      <c r="G50" s="925"/>
      <c r="H50" s="925"/>
      <c r="I50" s="925"/>
    </row>
    <row r="51" spans="1:9" ht="12.75" customHeight="1" x14ac:dyDescent="0.2">
      <c r="A51" s="926"/>
      <c r="B51" s="146"/>
      <c r="C51" s="186"/>
      <c r="D51" s="144"/>
      <c r="E51" s="144"/>
      <c r="F51" s="144"/>
      <c r="G51" s="144"/>
      <c r="H51" s="144"/>
      <c r="I51" s="144"/>
    </row>
    <row r="52" spans="1:9" ht="12.75" customHeight="1" x14ac:dyDescent="0.2">
      <c r="A52" s="926"/>
      <c r="B52" s="207"/>
      <c r="C52" s="94"/>
      <c r="D52" s="925"/>
      <c r="E52" s="925"/>
      <c r="F52" s="925"/>
      <c r="G52" s="925"/>
      <c r="H52" s="925"/>
      <c r="I52" s="925"/>
    </row>
    <row r="53" spans="1:9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28:A29">
    <cfRule type="expression" dxfId="34" priority="19">
      <formula>MOD(ROW(),2)=1</formula>
    </cfRule>
  </conditionalFormatting>
  <conditionalFormatting sqref="D28:E29">
    <cfRule type="expression" dxfId="33" priority="18">
      <formula>MOD(ROW(),2)=1</formula>
    </cfRule>
  </conditionalFormatting>
  <conditionalFormatting sqref="A30 A33:A41">
    <cfRule type="expression" dxfId="32" priority="15">
      <formula>MOD(ROW(),2)=1</formula>
    </cfRule>
  </conditionalFormatting>
  <conditionalFormatting sqref="D30:E30 D33:E33">
    <cfRule type="expression" dxfId="31" priority="14">
      <formula>MOD(ROW(),2)=1</formula>
    </cfRule>
  </conditionalFormatting>
  <conditionalFormatting sqref="D42:E46 F42:I42 F44:I44 F46:G46 I46">
    <cfRule type="expression" dxfId="30" priority="8">
      <formula>MOD(ROW(),2)=1</formula>
    </cfRule>
  </conditionalFormatting>
  <conditionalFormatting sqref="D34:E35 D34:I34">
    <cfRule type="expression" dxfId="29" priority="11">
      <formula>MOD(ROW(),2)=1</formula>
    </cfRule>
  </conditionalFormatting>
  <conditionalFormatting sqref="D36:E41 F36:I36 F38:I38 F40:I40">
    <cfRule type="expression" dxfId="28" priority="10">
      <formula>MOD(ROW(),2)=1</formula>
    </cfRule>
  </conditionalFormatting>
  <conditionalFormatting sqref="A42:A46">
    <cfRule type="expression" dxfId="27" priority="9">
      <formula>MOD(ROW(),2)=1</formula>
    </cfRule>
  </conditionalFormatting>
  <conditionalFormatting sqref="A31">
    <cfRule type="expression" dxfId="26" priority="7">
      <formula>MOD(ROW(),2)=1</formula>
    </cfRule>
  </conditionalFormatting>
  <conditionalFormatting sqref="D31:E31">
    <cfRule type="expression" dxfId="25" priority="6">
      <formula>MOD(ROW(),2)=1</formula>
    </cfRule>
  </conditionalFormatting>
  <conditionalFormatting sqref="A32">
    <cfRule type="expression" dxfId="24" priority="5">
      <formula>MOD(ROW(),2)=1</formula>
    </cfRule>
  </conditionalFormatting>
  <conditionalFormatting sqref="D32:E32">
    <cfRule type="expression" dxfId="23" priority="4">
      <formula>MOD(ROW(),2)=1</formula>
    </cfRule>
  </conditionalFormatting>
  <conditionalFormatting sqref="A47:A52">
    <cfRule type="expression" dxfId="22" priority="3">
      <formula>MOD(ROW(),2)=1</formula>
    </cfRule>
  </conditionalFormatting>
  <conditionalFormatting sqref="D47:E52 F48:G48 F50:I50 F52:I52 I48">
    <cfRule type="expression" dxfId="21" priority="2">
      <formula>MOD(ROW(),2)=1</formula>
    </cfRule>
  </conditionalFormatting>
  <conditionalFormatting sqref="H46 H48">
    <cfRule type="expression" dxfId="20" priority="1">
      <formula>MOD(ROW(),2)=1</formula>
    </cfRule>
  </conditionalFormatting>
  <pageMargins left="0.5" right="0.5" top="0.5" bottom="0.5" header="0.3" footer="0.3"/>
  <pageSetup scale="70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4">
    <pageSetUpPr fitToPage="1"/>
  </sheetPr>
  <dimension ref="A1:K53"/>
  <sheetViews>
    <sheetView zoomScaleNormal="100" zoomScaleSheetLayoutView="90" workbookViewId="0">
      <selection sqref="A1:I1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>
        <v>70</v>
      </c>
      <c r="C6" s="963" t="s">
        <v>113</v>
      </c>
      <c r="D6" s="963"/>
      <c r="E6" s="963"/>
      <c r="F6" s="963"/>
      <c r="G6" s="963"/>
      <c r="H6" s="963"/>
      <c r="I6" s="963"/>
    </row>
    <row r="7" spans="1:11" ht="16" thickBot="1" x14ac:dyDescent="0.25">
      <c r="B7" s="53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</row>
    <row r="9" spans="1:11" x14ac:dyDescent="0.2">
      <c r="A9" s="9" t="s">
        <v>4</v>
      </c>
      <c r="B9" s="165">
        <v>27638571</v>
      </c>
      <c r="C9" s="34">
        <v>25443537</v>
      </c>
      <c r="D9" s="227">
        <f>+C9+D25+D26+D27+D28+D29+D30+D31</f>
        <v>25662295</v>
      </c>
      <c r="E9" s="115">
        <f>+D9+E25+E26+E27+E28+E29+E33+E30+E31</f>
        <v>25192450</v>
      </c>
      <c r="F9" s="411">
        <f>+E9</f>
        <v>25192450</v>
      </c>
      <c r="G9" s="34">
        <f>+F9+G33+G35</f>
        <v>25192450</v>
      </c>
      <c r="H9" s="227">
        <f>+G9+H35</f>
        <v>26088989</v>
      </c>
      <c r="I9" s="51">
        <f t="shared" ref="E9:I15" si="0">+H9</f>
        <v>26088989</v>
      </c>
      <c r="K9" s="7">
        <v>100</v>
      </c>
    </row>
    <row r="10" spans="1:11" x14ac:dyDescent="0.2">
      <c r="A10" s="10" t="s">
        <v>5</v>
      </c>
      <c r="B10" s="36">
        <f>613826+1</f>
        <v>613827</v>
      </c>
      <c r="C10" s="36">
        <v>894517</v>
      </c>
      <c r="D10" s="230">
        <f>+C10</f>
        <v>894517</v>
      </c>
      <c r="E10" s="550">
        <f>+D10+E22</f>
        <v>1105267</v>
      </c>
      <c r="F10" s="548">
        <f>+E10+F29</f>
        <v>1105267</v>
      </c>
      <c r="G10" s="36">
        <f t="shared" si="0"/>
        <v>1105267</v>
      </c>
      <c r="H10" s="230">
        <f t="shared" si="0"/>
        <v>1105267</v>
      </c>
      <c r="I10" s="37">
        <f t="shared" si="0"/>
        <v>1105267</v>
      </c>
      <c r="K10" s="7">
        <v>200</v>
      </c>
    </row>
    <row r="11" spans="1:11" x14ac:dyDescent="0.2">
      <c r="A11" s="9" t="s">
        <v>6</v>
      </c>
      <c r="B11" s="34">
        <f>353448+296669</f>
        <v>650117</v>
      </c>
      <c r="C11" s="34">
        <v>708907</v>
      </c>
      <c r="D11" s="227">
        <f>+C11</f>
        <v>708907</v>
      </c>
      <c r="E11" s="115">
        <f>+D11+E23</f>
        <v>498157</v>
      </c>
      <c r="F11" s="411">
        <f>+E11+F32</f>
        <v>498157</v>
      </c>
      <c r="G11" s="34">
        <f t="shared" si="0"/>
        <v>498157</v>
      </c>
      <c r="H11" s="227">
        <f>+G11</f>
        <v>498157</v>
      </c>
      <c r="I11" s="35">
        <f t="shared" si="0"/>
        <v>498157</v>
      </c>
      <c r="K11" s="7" t="s">
        <v>167</v>
      </c>
    </row>
    <row r="12" spans="1:11" x14ac:dyDescent="0.2">
      <c r="A12" s="10" t="s">
        <v>7</v>
      </c>
      <c r="B12" s="43">
        <v>250743</v>
      </c>
      <c r="C12" s="36">
        <v>0</v>
      </c>
      <c r="D12" s="230">
        <f t="shared" ref="D12:D15" si="1">+C12</f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1"/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29153258</v>
      </c>
      <c r="C16" s="40">
        <f t="shared" ref="C16:I16" si="2">SUM(C9:C15)</f>
        <v>27046961</v>
      </c>
      <c r="D16" s="40">
        <f t="shared" si="2"/>
        <v>27265719</v>
      </c>
      <c r="E16" s="573">
        <f t="shared" si="2"/>
        <v>26795874</v>
      </c>
      <c r="F16" s="40">
        <f t="shared" si="2"/>
        <v>26795874</v>
      </c>
      <c r="G16" s="40">
        <f t="shared" si="2"/>
        <v>26795874</v>
      </c>
      <c r="H16" s="40">
        <f t="shared" si="2"/>
        <v>27692413</v>
      </c>
      <c r="I16" s="40">
        <f t="shared" si="2"/>
        <v>27692413</v>
      </c>
    </row>
    <row r="17" spans="1:10" x14ac:dyDescent="0.2">
      <c r="B17" s="17"/>
    </row>
    <row r="18" spans="1:10" x14ac:dyDescent="0.2">
      <c r="E18" s="416">
        <f>+E16-D16</f>
        <v>-469845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2.75" customHeight="1" x14ac:dyDescent="0.2">
      <c r="A21" s="173" t="s">
        <v>309</v>
      </c>
      <c r="B21" s="67"/>
      <c r="C21" s="68"/>
      <c r="D21" s="69"/>
      <c r="E21" s="69"/>
      <c r="F21" s="70"/>
      <c r="G21" s="70"/>
      <c r="H21" s="70"/>
      <c r="I21" s="70"/>
    </row>
    <row r="22" spans="1:10" ht="12.75" customHeight="1" x14ac:dyDescent="0.2">
      <c r="A22" s="306" t="s">
        <v>350</v>
      </c>
      <c r="B22" s="184"/>
      <c r="C22" s="251">
        <v>200</v>
      </c>
      <c r="D22" s="73"/>
      <c r="E22" s="73">
        <v>210750</v>
      </c>
      <c r="F22" s="73"/>
      <c r="G22" s="73"/>
      <c r="H22" s="74"/>
      <c r="I22" s="74"/>
      <c r="J22" s="17"/>
    </row>
    <row r="23" spans="1:10" ht="12.75" customHeight="1" x14ac:dyDescent="0.2">
      <c r="A23" s="498"/>
      <c r="B23" s="140"/>
      <c r="C23" s="137" t="s">
        <v>167</v>
      </c>
      <c r="D23" s="138"/>
      <c r="E23" s="138">
        <v>-210750</v>
      </c>
      <c r="F23" s="138"/>
      <c r="G23" s="138"/>
      <c r="H23" s="139"/>
      <c r="I23" s="139"/>
      <c r="J23" s="17"/>
    </row>
    <row r="24" spans="1:10" ht="12.75" customHeight="1" x14ac:dyDescent="0.2">
      <c r="A24" s="927" t="s">
        <v>831</v>
      </c>
      <c r="B24" s="398"/>
      <c r="C24" s="399"/>
      <c r="D24" s="391"/>
      <c r="E24" s="391"/>
      <c r="F24" s="77"/>
      <c r="G24" s="77"/>
      <c r="H24" s="77"/>
      <c r="I24" s="77"/>
      <c r="J24" s="17"/>
    </row>
    <row r="25" spans="1:10" ht="12.75" customHeight="1" x14ac:dyDescent="0.2">
      <c r="A25" s="926" t="s">
        <v>824</v>
      </c>
      <c r="B25" s="67"/>
      <c r="C25" s="68">
        <v>100</v>
      </c>
      <c r="D25" s="925">
        <v>158</v>
      </c>
      <c r="E25" s="925">
        <v>947</v>
      </c>
      <c r="F25" s="70"/>
      <c r="G25" s="70"/>
      <c r="H25" s="70"/>
      <c r="I25" s="70"/>
      <c r="J25" s="17"/>
    </row>
    <row r="26" spans="1:10" ht="12.75" customHeight="1" x14ac:dyDescent="0.2">
      <c r="A26" s="926" t="s">
        <v>899</v>
      </c>
      <c r="B26" s="184"/>
      <c r="C26" s="251">
        <v>100</v>
      </c>
      <c r="D26" s="925">
        <v>700</v>
      </c>
      <c r="E26" s="925">
        <v>-700</v>
      </c>
      <c r="F26" s="73"/>
      <c r="G26" s="73"/>
      <c r="H26" s="74"/>
      <c r="I26" s="74"/>
      <c r="J26" s="17"/>
    </row>
    <row r="27" spans="1:10" ht="12.75" customHeight="1" x14ac:dyDescent="0.2">
      <c r="A27" s="926" t="s">
        <v>839</v>
      </c>
      <c r="B27" s="67"/>
      <c r="C27" s="68">
        <v>100</v>
      </c>
      <c r="D27" s="925">
        <v>519</v>
      </c>
      <c r="E27" s="925">
        <v>3116</v>
      </c>
      <c r="F27" s="70"/>
      <c r="G27" s="70"/>
      <c r="H27" s="70"/>
      <c r="I27" s="70"/>
      <c r="J27" s="17"/>
    </row>
    <row r="28" spans="1:10" ht="12.75" customHeight="1" x14ac:dyDescent="0.2">
      <c r="A28" s="926" t="s">
        <v>842</v>
      </c>
      <c r="B28" s="184"/>
      <c r="C28" s="251">
        <v>100</v>
      </c>
      <c r="D28" s="925">
        <v>69427</v>
      </c>
      <c r="E28" s="925">
        <v>544563</v>
      </c>
      <c r="F28" s="73"/>
      <c r="G28" s="73"/>
      <c r="H28" s="74"/>
      <c r="I28" s="74"/>
      <c r="J28" s="17"/>
    </row>
    <row r="29" spans="1:10" ht="12.75" customHeight="1" x14ac:dyDescent="0.2">
      <c r="A29" s="926" t="s">
        <v>843</v>
      </c>
      <c r="B29" s="67"/>
      <c r="C29" s="68">
        <v>100</v>
      </c>
      <c r="D29" s="925">
        <v>127600</v>
      </c>
      <c r="E29" s="925">
        <v>-127600</v>
      </c>
      <c r="F29" s="70"/>
      <c r="G29" s="70"/>
      <c r="H29" s="70"/>
      <c r="I29" s="70"/>
      <c r="J29" s="17"/>
    </row>
    <row r="30" spans="1:10" ht="12.75" customHeight="1" x14ac:dyDescent="0.2">
      <c r="A30" s="926" t="s">
        <v>941</v>
      </c>
      <c r="B30" s="184"/>
      <c r="C30" s="251">
        <v>100</v>
      </c>
      <c r="D30" s="925">
        <v>4454</v>
      </c>
      <c r="E30" s="925">
        <v>22268</v>
      </c>
      <c r="F30" s="73"/>
      <c r="G30" s="73"/>
      <c r="H30" s="74"/>
      <c r="I30" s="74"/>
      <c r="J30" s="17"/>
    </row>
    <row r="31" spans="1:10" ht="12.75" customHeight="1" x14ac:dyDescent="0.2">
      <c r="A31" s="926" t="s">
        <v>942</v>
      </c>
      <c r="B31" s="67"/>
      <c r="C31" s="68">
        <v>100</v>
      </c>
      <c r="D31" s="925">
        <v>15900</v>
      </c>
      <c r="E31" s="925">
        <v>-15900</v>
      </c>
      <c r="F31" s="70"/>
      <c r="G31" s="70"/>
      <c r="H31" s="70"/>
      <c r="I31" s="70"/>
      <c r="J31" s="17"/>
    </row>
    <row r="32" spans="1:10" ht="12.75" customHeight="1" x14ac:dyDescent="0.2">
      <c r="A32" s="931" t="s">
        <v>748</v>
      </c>
      <c r="B32" s="93"/>
      <c r="C32" s="716"/>
      <c r="D32" s="104"/>
      <c r="E32" s="104"/>
      <c r="F32" s="104"/>
      <c r="G32" s="104"/>
      <c r="H32" s="95"/>
      <c r="I32" s="95"/>
      <c r="J32" s="17"/>
    </row>
    <row r="33" spans="1:10" ht="12.75" customHeight="1" x14ac:dyDescent="0.2">
      <c r="A33" s="926" t="s">
        <v>871</v>
      </c>
      <c r="B33" s="67"/>
      <c r="C33" s="68">
        <v>100</v>
      </c>
      <c r="D33" s="925"/>
      <c r="E33" s="925">
        <v>-896539</v>
      </c>
      <c r="F33" s="70"/>
      <c r="G33" s="70">
        <v>896539</v>
      </c>
      <c r="H33" s="70"/>
      <c r="I33" s="70"/>
      <c r="J33" s="17"/>
    </row>
    <row r="34" spans="1:10" ht="12.75" customHeight="1" x14ac:dyDescent="0.2">
      <c r="A34" s="928" t="s">
        <v>913</v>
      </c>
      <c r="B34" s="184"/>
      <c r="C34" s="251"/>
      <c r="D34" s="925"/>
      <c r="E34" s="925"/>
      <c r="F34" s="73"/>
      <c r="G34" s="73"/>
      <c r="H34" s="74"/>
      <c r="I34" s="74"/>
      <c r="J34" s="17"/>
    </row>
    <row r="35" spans="1:10" ht="12.75" customHeight="1" x14ac:dyDescent="0.2">
      <c r="A35" s="926" t="s">
        <v>999</v>
      </c>
      <c r="B35" s="67"/>
      <c r="C35" s="68">
        <v>100</v>
      </c>
      <c r="D35" s="925"/>
      <c r="E35" s="925"/>
      <c r="F35" s="70"/>
      <c r="G35" s="70">
        <v>-896539</v>
      </c>
      <c r="H35" s="70">
        <v>896539</v>
      </c>
      <c r="I35" s="70"/>
      <c r="J35" s="17"/>
    </row>
    <row r="36" spans="1:10" ht="12.75" customHeight="1" x14ac:dyDescent="0.2">
      <c r="A36" s="926"/>
      <c r="B36" s="184"/>
      <c r="C36" s="251"/>
      <c r="D36" s="925"/>
      <c r="E36" s="925"/>
      <c r="F36" s="73"/>
      <c r="G36" s="73"/>
      <c r="H36" s="74"/>
      <c r="I36" s="74"/>
      <c r="J36" s="17"/>
    </row>
    <row r="37" spans="1:10" ht="12.75" customHeight="1" x14ac:dyDescent="0.2">
      <c r="A37" s="78"/>
      <c r="B37" s="79"/>
      <c r="C37" s="72"/>
      <c r="D37" s="73"/>
      <c r="E37" s="73"/>
      <c r="F37" s="73"/>
      <c r="G37" s="73"/>
      <c r="H37" s="74"/>
      <c r="I37" s="74"/>
      <c r="J37" s="17"/>
    </row>
    <row r="38" spans="1:10" ht="12.75" customHeight="1" x14ac:dyDescent="0.2">
      <c r="A38" s="78"/>
      <c r="B38" s="79"/>
      <c r="C38" s="72"/>
      <c r="D38" s="73"/>
      <c r="E38" s="73"/>
      <c r="F38" s="73"/>
      <c r="G38" s="73"/>
      <c r="H38" s="74"/>
      <c r="I38" s="74"/>
      <c r="J38" s="17"/>
    </row>
    <row r="39" spans="1:10" ht="12.75" customHeight="1" x14ac:dyDescent="0.2">
      <c r="A39" s="78"/>
      <c r="B39" s="79"/>
      <c r="C39" s="72"/>
      <c r="D39" s="73"/>
      <c r="E39" s="73"/>
      <c r="F39" s="73"/>
      <c r="G39" s="73"/>
      <c r="H39" s="74"/>
      <c r="I39" s="74"/>
      <c r="J39" s="17"/>
    </row>
    <row r="40" spans="1:10" ht="12.75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2.75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2.7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2.75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2.75" customHeigh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17"/>
    </row>
    <row r="45" spans="1:10" ht="12.75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17"/>
    </row>
    <row r="46" spans="1:10" ht="12.75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17"/>
    </row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25:A26">
    <cfRule type="expression" dxfId="19" priority="28">
      <formula>MOD(ROW(),2)=1</formula>
    </cfRule>
  </conditionalFormatting>
  <conditionalFormatting sqref="D25:E26">
    <cfRule type="expression" dxfId="18" priority="27">
      <formula>MOD(ROW(),2)=1</formula>
    </cfRule>
  </conditionalFormatting>
  <conditionalFormatting sqref="A27">
    <cfRule type="expression" dxfId="17" priority="24">
      <formula>MOD(ROW(),2)=1</formula>
    </cfRule>
  </conditionalFormatting>
  <conditionalFormatting sqref="D27:E27">
    <cfRule type="expression" dxfId="16" priority="23">
      <formula>MOD(ROW(),2)=1</formula>
    </cfRule>
  </conditionalFormatting>
  <conditionalFormatting sqref="A28">
    <cfRule type="expression" dxfId="15" priority="22">
      <formula>MOD(ROW(),2)=1</formula>
    </cfRule>
  </conditionalFormatting>
  <conditionalFormatting sqref="A29">
    <cfRule type="expression" dxfId="14" priority="20">
      <formula>MOD(ROW(),2)=1</formula>
    </cfRule>
  </conditionalFormatting>
  <conditionalFormatting sqref="D28:E28">
    <cfRule type="expression" dxfId="13" priority="17">
      <formula>MOD(ROW(),2)=1</formula>
    </cfRule>
  </conditionalFormatting>
  <conditionalFormatting sqref="D29:E29">
    <cfRule type="expression" dxfId="12" priority="18">
      <formula>MOD(ROW(),2)=1</formula>
    </cfRule>
  </conditionalFormatting>
  <conditionalFormatting sqref="A30">
    <cfRule type="expression" dxfId="11" priority="12">
      <formula>MOD(ROW(),2)=1</formula>
    </cfRule>
  </conditionalFormatting>
  <conditionalFormatting sqref="A31">
    <cfRule type="expression" dxfId="10" priority="11">
      <formula>MOD(ROW(),2)=1</formula>
    </cfRule>
  </conditionalFormatting>
  <conditionalFormatting sqref="D31:E31">
    <cfRule type="expression" dxfId="9" priority="10">
      <formula>MOD(ROW(),2)=1</formula>
    </cfRule>
  </conditionalFormatting>
  <conditionalFormatting sqref="D30:E30">
    <cfRule type="expression" dxfId="8" priority="9">
      <formula>MOD(ROW(),2)=1</formula>
    </cfRule>
  </conditionalFormatting>
  <conditionalFormatting sqref="A33">
    <cfRule type="expression" dxfId="7" priority="8">
      <formula>MOD(ROW(),2)=1</formula>
    </cfRule>
  </conditionalFormatting>
  <conditionalFormatting sqref="D33:E33">
    <cfRule type="expression" dxfId="6" priority="7">
      <formula>MOD(ROW(),2)=1</formula>
    </cfRule>
  </conditionalFormatting>
  <conditionalFormatting sqref="A34">
    <cfRule type="expression" dxfId="5" priority="6">
      <formula>MOD(ROW(),2)=1</formula>
    </cfRule>
  </conditionalFormatting>
  <conditionalFormatting sqref="D34:E34">
    <cfRule type="expression" dxfId="4" priority="5">
      <formula>MOD(ROW(),2)=1</formula>
    </cfRule>
  </conditionalFormatting>
  <conditionalFormatting sqref="A35">
    <cfRule type="expression" dxfId="3" priority="4">
      <formula>MOD(ROW(),2)=1</formula>
    </cfRule>
  </conditionalFormatting>
  <conditionalFormatting sqref="D35:E35">
    <cfRule type="expression" dxfId="2" priority="3">
      <formula>MOD(ROW(),2)=1</formula>
    </cfRule>
  </conditionalFormatting>
  <conditionalFormatting sqref="A36">
    <cfRule type="expression" dxfId="1" priority="2">
      <formula>MOD(ROW(),2)=1</formula>
    </cfRule>
  </conditionalFormatting>
  <conditionalFormatting sqref="D36:E36">
    <cfRule type="expression" dxfId="0" priority="1">
      <formula>MOD(ROW(),2)=1</formula>
    </cfRule>
  </conditionalFormatting>
  <pageMargins left="0.5" right="0.5" top="0.5" bottom="0.5" header="0.3" footer="0.3"/>
  <pageSetup scale="74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5">
    <tabColor theme="3"/>
    <pageSetUpPr fitToPage="1"/>
  </sheetPr>
  <dimension ref="A1:K71"/>
  <sheetViews>
    <sheetView zoomScaleNormal="100" zoomScaleSheetLayoutView="90" workbookViewId="0">
      <selection activeCell="D13" sqref="D1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0" width="19.5" style="7" customWidth="1"/>
    <col min="11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267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3">
        <v>37</v>
      </c>
      <c r="C6" s="963" t="s">
        <v>112</v>
      </c>
      <c r="D6" s="963"/>
      <c r="E6" s="963"/>
      <c r="F6" s="963"/>
      <c r="G6" s="963"/>
      <c r="H6" s="963"/>
      <c r="I6" s="963"/>
    </row>
    <row r="7" spans="1:11" ht="16" thickBot="1" x14ac:dyDescent="0.25">
      <c r="A7" s="88" t="s">
        <v>197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f>+C9</f>
        <v>0</v>
      </c>
      <c r="E9" s="115">
        <f>+D9</f>
        <v>0</v>
      </c>
      <c r="F9" s="411">
        <f t="shared" ref="E9:I15" si="0">+E9</f>
        <v>0</v>
      </c>
      <c r="G9" s="34">
        <f t="shared" si="0"/>
        <v>0</v>
      </c>
      <c r="H9" s="227">
        <f t="shared" si="0"/>
        <v>0</v>
      </c>
      <c r="I9" s="51">
        <f t="shared" si="0"/>
        <v>0</v>
      </c>
      <c r="K9" s="7">
        <v>100</v>
      </c>
    </row>
    <row r="10" spans="1:11" x14ac:dyDescent="0.2">
      <c r="A10" s="10" t="s">
        <v>5</v>
      </c>
      <c r="B10" s="43">
        <f>97145595+62892</f>
        <v>97208487</v>
      </c>
      <c r="C10" s="49">
        <v>109222498</v>
      </c>
      <c r="D10" s="228">
        <f>+C10-7000000</f>
        <v>102222498</v>
      </c>
      <c r="E10" s="114">
        <v>96918314</v>
      </c>
      <c r="F10" s="412">
        <v>107630658</v>
      </c>
      <c r="G10" s="49">
        <v>120537138</v>
      </c>
      <c r="H10" s="228">
        <v>128709377</v>
      </c>
      <c r="I10" s="50">
        <v>128530733</v>
      </c>
      <c r="J10" s="213">
        <f>SUM(E10:I10)</f>
        <v>582326220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f t="shared" ref="D11:D15" si="1">+C11</f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f t="shared" si="1"/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  <c r="K12" s="7">
        <v>500</v>
      </c>
    </row>
    <row r="13" spans="1:11" x14ac:dyDescent="0.2">
      <c r="A13" s="9" t="s">
        <v>8</v>
      </c>
      <c r="B13" s="34">
        <v>159786966</v>
      </c>
      <c r="C13" s="34">
        <v>187482819</v>
      </c>
      <c r="D13" s="227">
        <f>+C13</f>
        <v>187482819</v>
      </c>
      <c r="E13" s="499">
        <v>185714117</v>
      </c>
      <c r="F13" s="563">
        <v>203916919</v>
      </c>
      <c r="G13" s="165">
        <v>216115419</v>
      </c>
      <c r="H13" s="229">
        <v>235167513</v>
      </c>
      <c r="I13" s="118">
        <v>245495557</v>
      </c>
      <c r="J13" s="213">
        <f>SUM(E13:I13)</f>
        <v>1086409525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256995453</v>
      </c>
      <c r="C16" s="40">
        <f t="shared" ref="C16:J16" si="2">SUM(C9:C15)</f>
        <v>296705317</v>
      </c>
      <c r="D16" s="40">
        <f t="shared" si="2"/>
        <v>289705317</v>
      </c>
      <c r="E16" s="573">
        <f t="shared" si="2"/>
        <v>282632431</v>
      </c>
      <c r="F16" s="40">
        <f t="shared" si="2"/>
        <v>311547577</v>
      </c>
      <c r="G16" s="40">
        <f t="shared" si="2"/>
        <v>336652557</v>
      </c>
      <c r="H16" s="40">
        <f t="shared" si="2"/>
        <v>363876890</v>
      </c>
      <c r="I16" s="40">
        <f t="shared" si="2"/>
        <v>374026290</v>
      </c>
      <c r="J16" s="390">
        <f t="shared" si="2"/>
        <v>1668735745</v>
      </c>
    </row>
    <row r="17" spans="1:10" x14ac:dyDescent="0.2">
      <c r="E17" s="214"/>
    </row>
    <row r="18" spans="1:10" x14ac:dyDescent="0.2">
      <c r="E18" s="416">
        <f>+E16-D16</f>
        <v>-7072886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  <c r="J19" s="389" t="s">
        <v>567</v>
      </c>
    </row>
    <row r="20" spans="1:10" ht="16.5" customHeight="1" thickTop="1" x14ac:dyDescent="0.2">
      <c r="J20" s="17"/>
    </row>
    <row r="21" spans="1:10" ht="13" customHeight="1" x14ac:dyDescent="0.2">
      <c r="A21" s="868" t="s">
        <v>724</v>
      </c>
      <c r="B21" s="947" t="s">
        <v>968</v>
      </c>
      <c r="C21" s="859">
        <v>200</v>
      </c>
      <c r="D21" s="860"/>
      <c r="E21" s="861">
        <v>96918314</v>
      </c>
      <c r="F21" s="862">
        <v>107630658</v>
      </c>
      <c r="G21" s="862">
        <v>120537138</v>
      </c>
      <c r="H21" s="862">
        <v>128709377</v>
      </c>
      <c r="I21" s="862">
        <v>128530733</v>
      </c>
      <c r="J21" s="863">
        <f t="shared" ref="J21:J22" si="3">SUM(E21:I21)</f>
        <v>582326220</v>
      </c>
    </row>
    <row r="22" spans="1:10" ht="13" customHeight="1" x14ac:dyDescent="0.2">
      <c r="A22" s="80"/>
      <c r="B22" s="858"/>
      <c r="C22" s="859">
        <v>700</v>
      </c>
      <c r="D22" s="860"/>
      <c r="E22" s="861">
        <v>185714117</v>
      </c>
      <c r="F22" s="862">
        <v>203916919</v>
      </c>
      <c r="G22" s="862">
        <v>216115419</v>
      </c>
      <c r="H22" s="862">
        <v>235167513</v>
      </c>
      <c r="I22" s="862">
        <v>245495557</v>
      </c>
      <c r="J22" s="863">
        <f t="shared" si="3"/>
        <v>1086409525</v>
      </c>
    </row>
    <row r="23" spans="1:10" ht="13" customHeight="1" x14ac:dyDescent="0.2">
      <c r="A23" s="80"/>
      <c r="B23" s="858"/>
      <c r="C23" s="859"/>
      <c r="D23" s="860"/>
      <c r="E23" s="864">
        <f t="shared" ref="E23:I23" si="4">SUM(E21:E22)</f>
        <v>282632431</v>
      </c>
      <c r="F23" s="864">
        <f t="shared" si="4"/>
        <v>311547577</v>
      </c>
      <c r="G23" s="864">
        <f t="shared" si="4"/>
        <v>336652557</v>
      </c>
      <c r="H23" s="864">
        <f t="shared" si="4"/>
        <v>363876890</v>
      </c>
      <c r="I23" s="864">
        <f t="shared" si="4"/>
        <v>374026290</v>
      </c>
      <c r="J23" s="864">
        <f t="shared" ref="J23" si="5">SUM(J21:J22)</f>
        <v>1668735745</v>
      </c>
    </row>
    <row r="24" spans="1:10" ht="13" customHeight="1" x14ac:dyDescent="0.2">
      <c r="A24" s="80"/>
      <c r="B24" s="858"/>
      <c r="C24" s="859"/>
      <c r="D24" s="860"/>
      <c r="E24" s="861"/>
      <c r="F24" s="862"/>
      <c r="G24" s="862"/>
      <c r="H24" s="862"/>
      <c r="I24" s="862"/>
      <c r="J24" s="865"/>
    </row>
    <row r="25" spans="1:10" ht="13" customHeight="1" x14ac:dyDescent="0.2">
      <c r="A25" s="80"/>
      <c r="B25" s="947" t="s">
        <v>969</v>
      </c>
      <c r="C25" s="859">
        <v>200</v>
      </c>
      <c r="D25" s="860"/>
      <c r="E25" s="861">
        <v>99255814</v>
      </c>
      <c r="F25" s="862">
        <v>108711058</v>
      </c>
      <c r="G25" s="862">
        <v>124455050</v>
      </c>
      <c r="H25" s="862">
        <v>125227227</v>
      </c>
      <c r="I25" s="862">
        <v>125036520</v>
      </c>
      <c r="J25" s="863">
        <f t="shared" ref="J25:J26" si="6">SUM(E25:I25)</f>
        <v>582685669</v>
      </c>
    </row>
    <row r="26" spans="1:10" ht="13" customHeight="1" x14ac:dyDescent="0.2">
      <c r="A26" s="80"/>
      <c r="B26" s="858"/>
      <c r="C26" s="859">
        <v>700</v>
      </c>
      <c r="D26" s="860"/>
      <c r="E26" s="866">
        <v>181589117</v>
      </c>
      <c r="F26" s="867">
        <v>204731919</v>
      </c>
      <c r="G26" s="867">
        <v>218735144</v>
      </c>
      <c r="H26" s="867">
        <v>242239863</v>
      </c>
      <c r="I26" s="867">
        <v>255616857</v>
      </c>
      <c r="J26" s="863">
        <f t="shared" si="6"/>
        <v>1102912900</v>
      </c>
    </row>
    <row r="27" spans="1:10" ht="13" customHeight="1" x14ac:dyDescent="0.2">
      <c r="A27" s="80"/>
      <c r="B27" s="858"/>
      <c r="C27" s="859"/>
      <c r="D27" s="860"/>
      <c r="E27" s="861">
        <f t="shared" ref="E27:I27" si="7">SUM(E25:E26)</f>
        <v>280844931</v>
      </c>
      <c r="F27" s="861">
        <f t="shared" si="7"/>
        <v>313442977</v>
      </c>
      <c r="G27" s="861">
        <f t="shared" si="7"/>
        <v>343190194</v>
      </c>
      <c r="H27" s="861">
        <f t="shared" si="7"/>
        <v>367467090</v>
      </c>
      <c r="I27" s="861">
        <f t="shared" si="7"/>
        <v>380653377</v>
      </c>
      <c r="J27" s="864">
        <f t="shared" ref="J27" si="8">SUM(J25:J26)</f>
        <v>1685598569</v>
      </c>
    </row>
    <row r="28" spans="1:10" ht="13" customHeight="1" x14ac:dyDescent="0.2">
      <c r="A28" s="80"/>
      <c r="B28" s="858"/>
      <c r="C28" s="859"/>
      <c r="D28" s="862"/>
      <c r="E28" s="861"/>
      <c r="F28" s="862"/>
      <c r="G28" s="862"/>
      <c r="H28" s="862"/>
      <c r="I28" s="862"/>
      <c r="J28" s="865"/>
    </row>
    <row r="29" spans="1:10" ht="13" customHeight="1" x14ac:dyDescent="0.2">
      <c r="A29" s="80"/>
      <c r="B29" s="858" t="s">
        <v>431</v>
      </c>
      <c r="C29" s="859">
        <v>200</v>
      </c>
      <c r="D29" s="860"/>
      <c r="E29" s="861">
        <f t="shared" ref="E29:H30" si="9">+E21-E25</f>
        <v>-2337500</v>
      </c>
      <c r="F29" s="861">
        <f t="shared" si="9"/>
        <v>-1080400</v>
      </c>
      <c r="G29" s="861">
        <f t="shared" si="9"/>
        <v>-3917912</v>
      </c>
      <c r="H29" s="861">
        <f t="shared" si="9"/>
        <v>3482150</v>
      </c>
      <c r="I29" s="861">
        <f t="shared" ref="I29" si="10">+I21-I25</f>
        <v>3494213</v>
      </c>
      <c r="J29" s="863">
        <f>SUM(E29:I29)</f>
        <v>-359449</v>
      </c>
    </row>
    <row r="30" spans="1:10" ht="13" customHeight="1" x14ac:dyDescent="0.2">
      <c r="A30" s="80"/>
      <c r="B30" s="858"/>
      <c r="C30" s="859">
        <v>700</v>
      </c>
      <c r="D30" s="860"/>
      <c r="E30" s="866">
        <f t="shared" si="9"/>
        <v>4125000</v>
      </c>
      <c r="F30" s="866">
        <f t="shared" si="9"/>
        <v>-815000</v>
      </c>
      <c r="G30" s="866">
        <f t="shared" si="9"/>
        <v>-2619725</v>
      </c>
      <c r="H30" s="866">
        <f t="shared" si="9"/>
        <v>-7072350</v>
      </c>
      <c r="I30" s="866">
        <f t="shared" ref="I30" si="11">+I22-I26</f>
        <v>-10121300</v>
      </c>
      <c r="J30" s="863">
        <f>SUM(E30:I30)</f>
        <v>-16503375</v>
      </c>
    </row>
    <row r="31" spans="1:10" ht="13" customHeight="1" x14ac:dyDescent="0.2">
      <c r="A31" s="80"/>
      <c r="B31" s="858"/>
      <c r="C31" s="859"/>
      <c r="D31" s="860"/>
      <c r="E31" s="861">
        <f t="shared" ref="E31:H31" si="12">SUM(E29:E30)</f>
        <v>1787500</v>
      </c>
      <c r="F31" s="861">
        <f t="shared" si="12"/>
        <v>-1895400</v>
      </c>
      <c r="G31" s="861">
        <f t="shared" si="12"/>
        <v>-6537637</v>
      </c>
      <c r="H31" s="861">
        <f t="shared" si="12"/>
        <v>-3590200</v>
      </c>
      <c r="I31" s="861">
        <f t="shared" ref="I31" si="13">SUM(I29:I30)</f>
        <v>-6627087</v>
      </c>
      <c r="J31" s="864">
        <f t="shared" ref="J31" si="14">SUM(J29:J30)</f>
        <v>-16862824</v>
      </c>
    </row>
    <row r="32" spans="1:10" ht="13" customHeight="1" x14ac:dyDescent="0.2">
      <c r="A32" s="481"/>
      <c r="B32" s="102"/>
      <c r="C32" s="103"/>
      <c r="D32" s="103"/>
      <c r="E32" s="432"/>
      <c r="F32" s="432"/>
      <c r="G32" s="432"/>
      <c r="H32" s="432"/>
      <c r="I32" s="432"/>
      <c r="J32" s="432"/>
    </row>
    <row r="33" spans="1:10" ht="13" customHeight="1" x14ac:dyDescent="0.2">
      <c r="A33" s="53"/>
      <c r="B33" s="102"/>
      <c r="C33" s="103"/>
      <c r="D33" s="103"/>
      <c r="E33" s="432"/>
      <c r="F33" s="104"/>
      <c r="G33" s="104"/>
      <c r="H33" s="104"/>
      <c r="I33" s="104"/>
      <c r="J33" s="718"/>
    </row>
    <row r="34" spans="1:10" ht="13" customHeight="1" x14ac:dyDescent="0.2">
      <c r="A34" s="53"/>
      <c r="B34" s="102"/>
      <c r="C34" s="103"/>
      <c r="D34" s="104"/>
      <c r="E34" s="432"/>
      <c r="F34" s="104"/>
      <c r="G34" s="104"/>
      <c r="H34" s="104"/>
      <c r="I34" s="104"/>
      <c r="J34" s="718"/>
    </row>
    <row r="35" spans="1:10" ht="13" customHeight="1" x14ac:dyDescent="0.2">
      <c r="A35" s="717"/>
      <c r="B35" s="102"/>
      <c r="C35" s="103"/>
      <c r="D35" s="104"/>
      <c r="E35" s="432"/>
      <c r="F35" s="104"/>
      <c r="G35" s="104"/>
      <c r="H35" s="104"/>
      <c r="I35" s="104"/>
      <c r="J35" s="218"/>
    </row>
    <row r="36" spans="1:10" ht="12.75" customHeight="1" x14ac:dyDescent="0.2">
      <c r="A36" s="80"/>
      <c r="B36" s="71"/>
      <c r="C36" s="72"/>
      <c r="D36" s="171"/>
      <c r="E36" s="171"/>
      <c r="F36" s="74"/>
      <c r="G36" s="74"/>
      <c r="H36" s="74"/>
      <c r="I36" s="74"/>
      <c r="J36" s="171"/>
    </row>
    <row r="37" spans="1:10" ht="12.75" customHeight="1" x14ac:dyDescent="0.2">
      <c r="A37" s="80"/>
      <c r="B37" s="71"/>
      <c r="C37" s="72"/>
      <c r="D37" s="171"/>
      <c r="E37" s="171"/>
      <c r="F37" s="74"/>
      <c r="G37" s="74"/>
      <c r="H37" s="74"/>
      <c r="I37" s="74"/>
      <c r="J37" s="171"/>
    </row>
    <row r="38" spans="1:10" ht="12.75" customHeight="1" x14ac:dyDescent="0.2">
      <c r="A38" s="80"/>
      <c r="B38" s="71"/>
      <c r="C38" s="72"/>
      <c r="D38" s="73"/>
      <c r="E38" s="214"/>
      <c r="F38" s="74"/>
      <c r="G38" s="74"/>
      <c r="H38" s="74"/>
      <c r="I38" s="74"/>
      <c r="J38" s="17"/>
    </row>
    <row r="39" spans="1:10" ht="12.75" customHeight="1" x14ac:dyDescent="0.2">
      <c r="A39" s="80"/>
      <c r="B39" s="71"/>
      <c r="C39" s="72"/>
      <c r="D39" s="73"/>
      <c r="E39" s="214"/>
      <c r="F39" s="74"/>
      <c r="G39" s="74"/>
      <c r="H39" s="74"/>
      <c r="I39" s="74"/>
      <c r="J39" s="17"/>
    </row>
    <row r="40" spans="1:10" ht="12.75" customHeight="1" x14ac:dyDescent="0.2">
      <c r="A40" s="80"/>
      <c r="B40" s="71"/>
      <c r="C40" s="72"/>
      <c r="D40" s="73"/>
      <c r="F40" s="74"/>
      <c r="G40" s="74"/>
      <c r="H40" s="74"/>
      <c r="I40" s="74"/>
      <c r="J40" s="17"/>
    </row>
    <row r="41" spans="1:10" ht="12.75" customHeight="1" x14ac:dyDescent="0.2">
      <c r="A41" s="80"/>
      <c r="B41" s="71"/>
      <c r="C41" s="72"/>
      <c r="D41" s="73"/>
      <c r="F41" s="74"/>
      <c r="G41" s="74"/>
      <c r="H41" s="74"/>
      <c r="I41" s="74"/>
      <c r="J41" s="17"/>
    </row>
    <row r="42" spans="1:10" ht="12.7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spans="1:10" ht="12.75" customHeight="1" x14ac:dyDescent="0.2"/>
    <row r="50" spans="1:10" ht="12.75" customHeight="1" x14ac:dyDescent="0.2"/>
    <row r="51" spans="1:10" ht="12.75" customHeight="1" x14ac:dyDescent="0.2"/>
    <row r="58" spans="1:10" x14ac:dyDescent="0.2">
      <c r="A58" s="80" t="s">
        <v>341</v>
      </c>
      <c r="B58" s="490" t="s">
        <v>314</v>
      </c>
      <c r="C58" s="72">
        <v>200</v>
      </c>
      <c r="D58" s="385"/>
      <c r="E58" s="333">
        <v>109222498</v>
      </c>
      <c r="F58" s="73">
        <v>116331057</v>
      </c>
      <c r="G58" s="73">
        <v>121262323</v>
      </c>
      <c r="H58" s="73">
        <v>126368869</v>
      </c>
      <c r="I58" s="73">
        <v>125868393</v>
      </c>
      <c r="J58" s="171">
        <f t="shared" ref="J58:J59" si="15">SUM(E58:I58)</f>
        <v>599053140</v>
      </c>
    </row>
    <row r="59" spans="1:10" x14ac:dyDescent="0.2">
      <c r="A59" s="80"/>
      <c r="B59" s="71"/>
      <c r="C59" s="72">
        <v>700</v>
      </c>
      <c r="D59" s="385"/>
      <c r="E59" s="333">
        <v>187482819</v>
      </c>
      <c r="F59" s="73">
        <v>189460472</v>
      </c>
      <c r="G59" s="73">
        <v>214844846</v>
      </c>
      <c r="H59" s="73">
        <v>228964828</v>
      </c>
      <c r="I59" s="73">
        <v>253787321</v>
      </c>
      <c r="J59" s="171">
        <f t="shared" si="15"/>
        <v>1074540286</v>
      </c>
    </row>
    <row r="60" spans="1:10" x14ac:dyDescent="0.2">
      <c r="A60" s="80"/>
      <c r="B60" s="71"/>
      <c r="C60" s="72"/>
      <c r="D60" s="385"/>
      <c r="E60" s="386">
        <f t="shared" ref="E60:J60" si="16">SUM(E58:E59)</f>
        <v>296705317</v>
      </c>
      <c r="F60" s="386">
        <f t="shared" si="16"/>
        <v>305791529</v>
      </c>
      <c r="G60" s="386">
        <f t="shared" si="16"/>
        <v>336107169</v>
      </c>
      <c r="H60" s="386">
        <f t="shared" si="16"/>
        <v>355333697</v>
      </c>
      <c r="I60" s="386">
        <f t="shared" si="16"/>
        <v>379655714</v>
      </c>
      <c r="J60" s="386">
        <f t="shared" si="16"/>
        <v>1673593426</v>
      </c>
    </row>
    <row r="61" spans="1:10" x14ac:dyDescent="0.2">
      <c r="A61" s="80"/>
      <c r="B61" s="71"/>
      <c r="C61" s="72"/>
      <c r="D61" s="385"/>
      <c r="E61" s="333"/>
      <c r="F61" s="73"/>
      <c r="G61" s="73"/>
      <c r="H61" s="73"/>
      <c r="I61" s="73"/>
      <c r="J61" s="17"/>
    </row>
    <row r="62" spans="1:10" x14ac:dyDescent="0.2">
      <c r="A62" s="80"/>
      <c r="B62" s="615" t="s">
        <v>342</v>
      </c>
      <c r="C62" s="72">
        <v>200</v>
      </c>
      <c r="D62" s="385"/>
      <c r="E62" s="333">
        <v>134329061</v>
      </c>
      <c r="F62" s="73">
        <v>139314301</v>
      </c>
      <c r="G62" s="73">
        <v>149548463</v>
      </c>
      <c r="H62" s="73">
        <v>149280955</v>
      </c>
      <c r="I62" s="73">
        <f>+H62</f>
        <v>149280955</v>
      </c>
      <c r="J62" s="171">
        <f t="shared" ref="J62:J63" si="17">SUM(E62:I62)</f>
        <v>721753735</v>
      </c>
    </row>
    <row r="63" spans="1:10" x14ac:dyDescent="0.2">
      <c r="A63" s="80"/>
      <c r="B63" s="71"/>
      <c r="C63" s="72">
        <v>700</v>
      </c>
      <c r="D63" s="385"/>
      <c r="E63" s="387">
        <v>178902625</v>
      </c>
      <c r="F63" s="99">
        <v>190108996</v>
      </c>
      <c r="G63" s="99">
        <v>214711821</v>
      </c>
      <c r="H63" s="99">
        <v>227769515</v>
      </c>
      <c r="I63" s="99">
        <f>+H63</f>
        <v>227769515</v>
      </c>
      <c r="J63" s="171">
        <f t="shared" si="17"/>
        <v>1039262472</v>
      </c>
    </row>
    <row r="64" spans="1:10" x14ac:dyDescent="0.2">
      <c r="A64" s="80"/>
      <c r="B64" s="71"/>
      <c r="C64" s="72"/>
      <c r="D64" s="385"/>
      <c r="E64" s="333">
        <f t="shared" ref="E64:J64" si="18">SUM(E62:E63)</f>
        <v>313231686</v>
      </c>
      <c r="F64" s="333">
        <f t="shared" si="18"/>
        <v>329423297</v>
      </c>
      <c r="G64" s="333">
        <f t="shared" si="18"/>
        <v>364260284</v>
      </c>
      <c r="H64" s="333">
        <f t="shared" si="18"/>
        <v>377050470</v>
      </c>
      <c r="I64" s="333">
        <f t="shared" si="18"/>
        <v>377050470</v>
      </c>
      <c r="J64" s="386">
        <f t="shared" si="18"/>
        <v>1761016207</v>
      </c>
    </row>
    <row r="65" spans="1:10" x14ac:dyDescent="0.2">
      <c r="A65" s="80"/>
      <c r="B65" s="71"/>
      <c r="C65" s="72"/>
      <c r="D65" s="73"/>
      <c r="E65" s="333"/>
      <c r="F65" s="73"/>
      <c r="G65" s="73"/>
      <c r="H65" s="73"/>
      <c r="I65" s="73"/>
      <c r="J65" s="17"/>
    </row>
    <row r="66" spans="1:10" x14ac:dyDescent="0.2">
      <c r="A66" s="80"/>
      <c r="B66" s="693" t="s">
        <v>431</v>
      </c>
      <c r="C66" s="72">
        <v>200</v>
      </c>
      <c r="D66" s="385"/>
      <c r="E66" s="333">
        <f t="shared" ref="E66:I67" si="19">+E58-E62</f>
        <v>-25106563</v>
      </c>
      <c r="F66" s="333">
        <f t="shared" si="19"/>
        <v>-22983244</v>
      </c>
      <c r="G66" s="333">
        <f t="shared" si="19"/>
        <v>-28286140</v>
      </c>
      <c r="H66" s="333">
        <f t="shared" si="19"/>
        <v>-22912086</v>
      </c>
      <c r="I66" s="333">
        <f t="shared" si="19"/>
        <v>-23412562</v>
      </c>
      <c r="J66" s="171">
        <f>SUM(E66:I66)</f>
        <v>-122700595</v>
      </c>
    </row>
    <row r="67" spans="1:10" x14ac:dyDescent="0.2">
      <c r="A67" s="80"/>
      <c r="B67" s="71"/>
      <c r="C67" s="72">
        <v>700</v>
      </c>
      <c r="D67" s="385"/>
      <c r="E67" s="387">
        <f t="shared" ref="E67:H67" si="20">+E59-E63</f>
        <v>8580194</v>
      </c>
      <c r="F67" s="387">
        <f t="shared" si="20"/>
        <v>-648524</v>
      </c>
      <c r="G67" s="387">
        <f t="shared" si="20"/>
        <v>133025</v>
      </c>
      <c r="H67" s="387">
        <f t="shared" si="20"/>
        <v>1195313</v>
      </c>
      <c r="I67" s="387">
        <f t="shared" si="19"/>
        <v>26017806</v>
      </c>
      <c r="J67" s="171">
        <f>SUM(E67:I67)</f>
        <v>35277814</v>
      </c>
    </row>
    <row r="68" spans="1:10" x14ac:dyDescent="0.2">
      <c r="A68" s="80"/>
      <c r="B68" s="71"/>
      <c r="C68" s="72"/>
      <c r="D68" s="385"/>
      <c r="E68" s="333">
        <f t="shared" ref="E68:J68" si="21">SUM(E66:E67)</f>
        <v>-16526369</v>
      </c>
      <c r="F68" s="333">
        <f t="shared" si="21"/>
        <v>-23631768</v>
      </c>
      <c r="G68" s="333">
        <f t="shared" si="21"/>
        <v>-28153115</v>
      </c>
      <c r="H68" s="333">
        <f t="shared" si="21"/>
        <v>-21716773</v>
      </c>
      <c r="I68" s="333">
        <f t="shared" si="21"/>
        <v>2605244</v>
      </c>
      <c r="J68" s="386">
        <f t="shared" si="21"/>
        <v>-87422781</v>
      </c>
    </row>
    <row r="69" spans="1:10" x14ac:dyDescent="0.2">
      <c r="A69" s="80"/>
      <c r="B69" s="71"/>
      <c r="C69" s="72"/>
      <c r="D69" s="385"/>
      <c r="E69" s="333"/>
      <c r="F69" s="333"/>
      <c r="G69" s="333"/>
      <c r="H69" s="333"/>
      <c r="I69" s="333"/>
      <c r="J69" s="386"/>
    </row>
    <row r="70" spans="1:10" x14ac:dyDescent="0.2">
      <c r="B70" s="71"/>
      <c r="C70" s="72"/>
      <c r="D70" s="73"/>
      <c r="E70" s="333"/>
      <c r="F70" s="73"/>
      <c r="G70" s="73"/>
      <c r="H70" s="73"/>
      <c r="I70" s="73"/>
      <c r="J70" s="388">
        <f>SUM(E68:I68)</f>
        <v>-87422781</v>
      </c>
    </row>
    <row r="71" spans="1:10" x14ac:dyDescent="0.2">
      <c r="B71" s="71"/>
      <c r="C71" s="72"/>
      <c r="D71" s="73"/>
      <c r="E71" s="333"/>
      <c r="F71" s="73"/>
      <c r="G71" s="73"/>
      <c r="H71" s="73"/>
      <c r="I71" s="73"/>
      <c r="J71" s="435">
        <f>+J70-J68</f>
        <v>0</v>
      </c>
    </row>
  </sheetData>
  <autoFilter ref="A6:I16" xr:uid="{00000000-0009-0000-0000-000047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  <pageSetUpPr fitToPage="1"/>
  </sheetPr>
  <dimension ref="A1:K50"/>
  <sheetViews>
    <sheetView zoomScaleNormal="100" zoomScaleSheetLayoutView="90" workbookViewId="0">
      <selection activeCell="A5" sqref="A5"/>
    </sheetView>
  </sheetViews>
  <sheetFormatPr baseColWidth="10" defaultColWidth="9.1640625" defaultRowHeight="15" x14ac:dyDescent="0.2"/>
  <cols>
    <col min="1" max="1" width="35.83203125" style="7" customWidth="1"/>
    <col min="2" max="9" width="14.5" style="7" customWidth="1"/>
    <col min="10" max="11" width="9.1640625" style="7"/>
    <col min="12" max="12" width="12.5" style="7" customWidth="1"/>
    <col min="13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394" t="s">
        <v>14</v>
      </c>
      <c r="B6" s="395">
        <v>12</v>
      </c>
      <c r="C6" s="963" t="s">
        <v>337</v>
      </c>
      <c r="D6" s="963"/>
      <c r="E6" s="963"/>
      <c r="F6" s="963"/>
      <c r="G6" s="963"/>
      <c r="H6" s="963"/>
      <c r="I6" s="963"/>
    </row>
    <row r="7" spans="1:11" ht="16" thickBot="1" x14ac:dyDescent="0.25">
      <c r="A7" s="509" t="s">
        <v>171</v>
      </c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575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0</v>
      </c>
      <c r="C9" s="34">
        <v>0</v>
      </c>
      <c r="D9" s="227">
        <v>0</v>
      </c>
      <c r="E9" s="115">
        <f>+D9</f>
        <v>0</v>
      </c>
      <c r="F9" s="411">
        <v>0</v>
      </c>
      <c r="G9" s="34">
        <v>0</v>
      </c>
      <c r="H9" s="227">
        <v>0</v>
      </c>
      <c r="I9" s="51">
        <v>0</v>
      </c>
      <c r="K9" s="7">
        <v>100</v>
      </c>
    </row>
    <row r="10" spans="1:11" x14ac:dyDescent="0.2">
      <c r="A10" s="10" t="s">
        <v>5</v>
      </c>
      <c r="B10" s="36">
        <f>37252300+4772154+2076213+3476216-40166</f>
        <v>47536717</v>
      </c>
      <c r="C10" s="36">
        <v>48340013</v>
      </c>
      <c r="D10" s="230">
        <f>+C10</f>
        <v>48340013</v>
      </c>
      <c r="E10" s="114">
        <f>49625360+E30</f>
        <v>51462580</v>
      </c>
      <c r="F10" s="412">
        <f>50824267+F30</f>
        <v>52270378</v>
      </c>
      <c r="G10" s="49">
        <f>52468875+G30</f>
        <v>53503636</v>
      </c>
      <c r="H10" s="232">
        <f>54179211+H30</f>
        <v>55195419</v>
      </c>
      <c r="I10" s="50">
        <f>54179211+I30</f>
        <v>56954817</v>
      </c>
      <c r="J10" s="7" t="s">
        <v>263</v>
      </c>
      <c r="K10" s="7">
        <v>200</v>
      </c>
    </row>
    <row r="11" spans="1:11" x14ac:dyDescent="0.2">
      <c r="A11" s="9" t="s">
        <v>6</v>
      </c>
      <c r="B11" s="34">
        <v>0</v>
      </c>
      <c r="C11" s="34">
        <v>0</v>
      </c>
      <c r="D11" s="227">
        <v>0</v>
      </c>
      <c r="E11" s="115">
        <v>0</v>
      </c>
      <c r="F11" s="411">
        <v>0</v>
      </c>
      <c r="G11" s="34">
        <v>0</v>
      </c>
      <c r="H11" s="227">
        <v>0</v>
      </c>
      <c r="I11" s="35">
        <v>0</v>
      </c>
      <c r="K11" s="7" t="s">
        <v>167</v>
      </c>
    </row>
    <row r="12" spans="1:11" x14ac:dyDescent="0.2">
      <c r="A12" s="10" t="s">
        <v>7</v>
      </c>
      <c r="B12" s="36">
        <v>0</v>
      </c>
      <c r="C12" s="36">
        <v>0</v>
      </c>
      <c r="D12" s="230">
        <v>0</v>
      </c>
      <c r="E12" s="550">
        <v>0</v>
      </c>
      <c r="F12" s="548">
        <v>0</v>
      </c>
      <c r="G12" s="36">
        <v>0</v>
      </c>
      <c r="H12" s="230">
        <v>0</v>
      </c>
      <c r="I12" s="37"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0">+C13</f>
        <v>0</v>
      </c>
      <c r="E13" s="115">
        <f t="shared" ref="E13:I15" si="1">+D13</f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>+D14</f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 t="shared" si="1"/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47536717</v>
      </c>
      <c r="C16" s="40">
        <f t="shared" ref="C16:I16" si="2">SUM(C9:C15)</f>
        <v>48340013</v>
      </c>
      <c r="D16" s="40">
        <f t="shared" si="2"/>
        <v>48340013</v>
      </c>
      <c r="E16" s="116">
        <f t="shared" si="2"/>
        <v>51462580</v>
      </c>
      <c r="F16" s="40">
        <f t="shared" si="2"/>
        <v>52270378</v>
      </c>
      <c r="G16" s="40">
        <f t="shared" si="2"/>
        <v>53503636</v>
      </c>
      <c r="H16" s="40">
        <f t="shared" si="2"/>
        <v>55195419</v>
      </c>
      <c r="I16" s="40">
        <f t="shared" si="2"/>
        <v>56954817</v>
      </c>
    </row>
    <row r="17" spans="1:10" x14ac:dyDescent="0.2">
      <c r="E17" s="377"/>
    </row>
    <row r="18" spans="1:10" x14ac:dyDescent="0.2">
      <c r="E18" s="416">
        <f>+E16-D16</f>
        <v>3122567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396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/>
      <c r="B20" s="71"/>
      <c r="C20" s="72"/>
      <c r="D20" s="73"/>
      <c r="E20" s="397"/>
      <c r="F20" s="73"/>
      <c r="G20" s="74"/>
      <c r="H20" s="74"/>
      <c r="I20" s="74"/>
    </row>
    <row r="21" spans="1:10" ht="24.75" hidden="1" customHeight="1" x14ac:dyDescent="0.2">
      <c r="A21" s="295" t="s">
        <v>232</v>
      </c>
      <c r="B21" s="296"/>
      <c r="C21" s="297">
        <v>200</v>
      </c>
      <c r="D21" s="298"/>
      <c r="E21" s="298">
        <f>39940750-1000000</f>
        <v>38940750</v>
      </c>
      <c r="F21" s="298">
        <f>40762593-1000000</f>
        <v>39762593</v>
      </c>
      <c r="G21" s="299">
        <f>41597010-1000000</f>
        <v>40597010</v>
      </c>
      <c r="H21" s="300">
        <f>41597010-1000000</f>
        <v>40597010</v>
      </c>
      <c r="I21" s="300"/>
      <c r="J21" s="171"/>
    </row>
    <row r="22" spans="1:10" ht="24.75" hidden="1" customHeight="1" x14ac:dyDescent="0.2">
      <c r="A22" s="292" t="s">
        <v>198</v>
      </c>
      <c r="B22" s="293"/>
      <c r="C22" s="294">
        <v>200</v>
      </c>
      <c r="D22" s="191"/>
      <c r="E22" s="191" t="e">
        <f>+#REF!-E21</f>
        <v>#REF!</v>
      </c>
      <c r="F22" s="191" t="e">
        <f>+#REF!-F21</f>
        <v>#REF!</v>
      </c>
      <c r="G22" s="191" t="e">
        <f>+#REF!-G21</f>
        <v>#REF!</v>
      </c>
      <c r="H22" s="191" t="e">
        <f>+#REF!-H21</f>
        <v>#REF!</v>
      </c>
      <c r="I22" s="191"/>
      <c r="J22" s="171"/>
    </row>
    <row r="23" spans="1:10" ht="12.75" customHeight="1" x14ac:dyDescent="0.2">
      <c r="A23" s="122"/>
      <c r="B23" s="122"/>
      <c r="C23" s="122"/>
      <c r="D23" s="122"/>
      <c r="E23" s="99"/>
      <c r="F23" s="99"/>
      <c r="G23" s="99"/>
      <c r="H23" s="99"/>
      <c r="I23" s="99"/>
      <c r="J23" s="17"/>
    </row>
    <row r="24" spans="1:10" ht="12.75" customHeight="1" x14ac:dyDescent="0.2">
      <c r="A24" s="453"/>
      <c r="B24" s="132"/>
      <c r="C24" s="132"/>
      <c r="D24" s="132"/>
      <c r="E24" s="132"/>
      <c r="F24" s="132"/>
      <c r="G24" s="132"/>
      <c r="H24" s="132"/>
      <c r="I24" s="132"/>
    </row>
    <row r="25" spans="1:10" ht="12.75" customHeight="1" x14ac:dyDescent="0.2">
      <c r="A25" s="514"/>
      <c r="B25" s="17"/>
      <c r="C25" s="591"/>
      <c r="D25" s="589"/>
      <c r="E25" s="590"/>
      <c r="F25" s="590"/>
      <c r="G25" s="590"/>
      <c r="H25" s="590"/>
      <c r="I25" s="590"/>
    </row>
    <row r="26" spans="1:10" ht="12.75" customHeight="1" x14ac:dyDescent="0.2">
      <c r="A26" s="514" t="s">
        <v>229</v>
      </c>
      <c r="B26" s="17"/>
      <c r="C26" s="17"/>
      <c r="D26" s="17"/>
      <c r="E26" s="17"/>
      <c r="F26" s="17"/>
      <c r="G26" s="17"/>
      <c r="H26" s="17"/>
      <c r="I26" s="17"/>
    </row>
    <row r="27" spans="1:10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</row>
    <row r="28" spans="1:10" ht="12.75" customHeight="1" x14ac:dyDescent="0.2">
      <c r="A28" s="588" t="s">
        <v>472</v>
      </c>
      <c r="D28" s="7">
        <v>48340013</v>
      </c>
      <c r="E28" s="608">
        <v>51462580</v>
      </c>
      <c r="F28" s="608">
        <v>52270378</v>
      </c>
      <c r="G28" s="608">
        <v>53503636</v>
      </c>
      <c r="H28" s="608">
        <v>55195419</v>
      </c>
      <c r="I28" s="608">
        <v>56954817</v>
      </c>
    </row>
    <row r="29" spans="1:10" ht="12.75" customHeight="1" x14ac:dyDescent="0.2">
      <c r="A29" s="759" t="s">
        <v>473</v>
      </c>
      <c r="B29" s="146"/>
      <c r="C29" s="146"/>
      <c r="D29" s="608">
        <v>48340013</v>
      </c>
      <c r="E29" s="608">
        <v>49625360</v>
      </c>
      <c r="F29" s="608">
        <v>50824267</v>
      </c>
      <c r="G29" s="608">
        <v>52468875</v>
      </c>
      <c r="H29" s="608">
        <v>54179211</v>
      </c>
      <c r="I29" s="145">
        <f>+H29</f>
        <v>54179211</v>
      </c>
    </row>
    <row r="30" spans="1:10" ht="12.75" customHeight="1" x14ac:dyDescent="0.2">
      <c r="A30" s="598" t="s">
        <v>198</v>
      </c>
      <c r="D30" s="609">
        <f>+D28-D29</f>
        <v>0</v>
      </c>
      <c r="E30" s="609">
        <f>+E28-E29</f>
        <v>1837220</v>
      </c>
      <c r="F30" s="609">
        <f t="shared" ref="F30:I30" si="3">+F28-F29</f>
        <v>1446111</v>
      </c>
      <c r="G30" s="609">
        <f t="shared" si="3"/>
        <v>1034761</v>
      </c>
      <c r="H30" s="609">
        <f t="shared" si="3"/>
        <v>1016208</v>
      </c>
      <c r="I30" s="609">
        <f t="shared" si="3"/>
        <v>2775606</v>
      </c>
    </row>
    <row r="31" spans="1:10" ht="12.75" customHeight="1" x14ac:dyDescent="0.2"/>
    <row r="32" spans="1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80" orientation="landscape" r:id="rId1"/>
  <headerFooter>
    <oddHeader>&amp;L&amp;10FY 2021-25 Proposed Budget&amp;R&amp;D
&amp;T</oddHeader>
    <oddFooter>&amp;L
&amp;C&amp;10Page &amp;P of &amp;N</oddFooter>
  </headerFooter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6">
    <tabColor theme="3"/>
    <pageSetUpPr fitToPage="1"/>
  </sheetPr>
  <dimension ref="A1:K79"/>
  <sheetViews>
    <sheetView zoomScaleNormal="100" zoomScaleSheetLayoutView="100" workbookViewId="0">
      <selection activeCell="E12" sqref="E12:F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1" width="9.1640625" style="7"/>
    <col min="12" max="12" width="12.5" style="7" customWidth="1"/>
    <col min="13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233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129">
        <v>12</v>
      </c>
      <c r="C6" s="963" t="s">
        <v>277</v>
      </c>
      <c r="D6" s="963"/>
      <c r="E6" s="963"/>
      <c r="F6" s="963"/>
      <c r="G6" s="963"/>
      <c r="H6" s="963"/>
      <c r="I6" s="963"/>
    </row>
    <row r="7" spans="1:11" ht="16" thickBot="1" x14ac:dyDescent="0.25">
      <c r="A7" s="306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575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83603511</v>
      </c>
      <c r="C9" s="34">
        <v>90464913</v>
      </c>
      <c r="D9" s="227">
        <f>+C9+D34+D37+D40+D41+D42+D44+D45</f>
        <v>92207341</v>
      </c>
      <c r="E9" s="115">
        <f>+D9+E22+E48+E51+E53+E40+E41+E42+E57+E44+E45</f>
        <v>87283619</v>
      </c>
      <c r="F9" s="411">
        <f>+E9+F48+F51+F57</f>
        <v>89875194</v>
      </c>
      <c r="G9" s="34">
        <f>+F9+G22+G48+G51+G53+G59</f>
        <v>92972429</v>
      </c>
      <c r="H9" s="227">
        <f>+G9+H48+H51+H59</f>
        <v>104512349</v>
      </c>
      <c r="I9" s="51">
        <f>+H9+I51</f>
        <v>104668989</v>
      </c>
      <c r="K9" s="7">
        <v>100</v>
      </c>
    </row>
    <row r="10" spans="1:11" x14ac:dyDescent="0.2">
      <c r="A10" s="10" t="s">
        <v>5</v>
      </c>
      <c r="B10" s="36">
        <f>53565193-'12D-Streets-Disposal'!B10-40166</f>
        <v>5988310</v>
      </c>
      <c r="C10" s="36">
        <v>10470639</v>
      </c>
      <c r="D10" s="230">
        <f>+C10+D35+D36+D43</f>
        <v>6442850</v>
      </c>
      <c r="E10" s="114">
        <f>+D10+E23+E28+E29+E30+E31+E32+E35+E54+E43</f>
        <v>8050100</v>
      </c>
      <c r="F10" s="412">
        <f>+E10+F26</f>
        <v>8417345</v>
      </c>
      <c r="G10" s="49">
        <f>+F10+G54+G60</f>
        <v>8417345</v>
      </c>
      <c r="H10" s="232">
        <f>+G10+H52+H60</f>
        <v>8950095</v>
      </c>
      <c r="I10" s="50">
        <f>+H10+I52</f>
        <v>8950095</v>
      </c>
      <c r="K10" s="7">
        <v>200</v>
      </c>
    </row>
    <row r="11" spans="1:11" x14ac:dyDescent="0.2">
      <c r="A11" s="9" t="s">
        <v>6</v>
      </c>
      <c r="B11" s="34">
        <f>4382551+3018069</f>
        <v>7400620</v>
      </c>
      <c r="C11" s="34">
        <v>7704196</v>
      </c>
      <c r="D11" s="227">
        <f>+C11+D38+D39</f>
        <v>8078596</v>
      </c>
      <c r="E11" s="115">
        <f>+D11+E24+E39+E47+E49+E50+E55+E56</f>
        <v>6172885</v>
      </c>
      <c r="F11" s="411">
        <f>+E11+F49</f>
        <v>6179207</v>
      </c>
      <c r="G11" s="34">
        <f>+F11+G24+G49+G55+G56+G61+G62</f>
        <v>5598280</v>
      </c>
      <c r="H11" s="227">
        <f>+G11+H49+H61+H62</f>
        <v>14925386</v>
      </c>
      <c r="I11" s="35">
        <f>+H11+I50</f>
        <v>6889386</v>
      </c>
      <c r="K11" s="7" t="s">
        <v>167</v>
      </c>
    </row>
    <row r="12" spans="1:11" x14ac:dyDescent="0.2">
      <c r="A12" s="10" t="s">
        <v>7</v>
      </c>
      <c r="B12" s="36">
        <v>14942017</v>
      </c>
      <c r="C12" s="36">
        <v>53171</v>
      </c>
      <c r="D12" s="230">
        <f>+C12</f>
        <v>53171</v>
      </c>
      <c r="E12" s="550">
        <f>+D12</f>
        <v>53171</v>
      </c>
      <c r="F12" s="548">
        <f>+E12</f>
        <v>53171</v>
      </c>
      <c r="G12" s="36">
        <f>+F12</f>
        <v>53171</v>
      </c>
      <c r="H12" s="230">
        <f>+G12</f>
        <v>53171</v>
      </c>
      <c r="I12" s="37">
        <f t="shared" ref="E12:I15" si="0">+H12</f>
        <v>53171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ref="D13:D15" si="1">+C13</f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1"/>
        <v>0</v>
      </c>
      <c r="E14" s="550">
        <f>+E64</f>
        <v>0</v>
      </c>
      <c r="F14" s="548">
        <f>+E14+F64</f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1"/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111934458</v>
      </c>
      <c r="C16" s="40">
        <f t="shared" ref="C16:I16" si="2">SUM(C9:C15)</f>
        <v>108692919</v>
      </c>
      <c r="D16" s="40">
        <f t="shared" si="2"/>
        <v>106781958</v>
      </c>
      <c r="E16" s="116">
        <f t="shared" si="2"/>
        <v>101559775</v>
      </c>
      <c r="F16" s="40">
        <f t="shared" si="2"/>
        <v>104524917</v>
      </c>
      <c r="G16" s="40">
        <f t="shared" si="2"/>
        <v>107041225</v>
      </c>
      <c r="H16" s="40">
        <f t="shared" si="2"/>
        <v>128441001</v>
      </c>
      <c r="I16" s="40">
        <f t="shared" si="2"/>
        <v>120561641</v>
      </c>
    </row>
    <row r="17" spans="1:10" x14ac:dyDescent="0.2">
      <c r="B17" s="854">
        <f>+'12D-Streets-Disposal'!B16</f>
        <v>47536717</v>
      </c>
    </row>
    <row r="18" spans="1:10" x14ac:dyDescent="0.2">
      <c r="B18" s="854">
        <f>+B17+B16</f>
        <v>159471175</v>
      </c>
      <c r="E18" s="416">
        <f>+E16-D16</f>
        <v>-5222183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444</v>
      </c>
      <c r="B20" s="71"/>
      <c r="C20" s="72"/>
      <c r="D20" s="73"/>
      <c r="E20" s="73"/>
      <c r="F20" s="73"/>
      <c r="G20" s="74"/>
      <c r="H20" s="74"/>
      <c r="I20" s="74"/>
    </row>
    <row r="21" spans="1:10" ht="12.75" customHeight="1" x14ac:dyDescent="0.2">
      <c r="A21" s="168" t="s">
        <v>282</v>
      </c>
      <c r="B21" s="146"/>
      <c r="C21" s="146"/>
      <c r="D21" s="146"/>
      <c r="E21" s="69"/>
      <c r="F21" s="69"/>
      <c r="G21" s="69"/>
      <c r="H21" s="70"/>
      <c r="I21" s="70"/>
      <c r="J21" s="171"/>
    </row>
    <row r="22" spans="1:10" ht="12.75" customHeight="1" x14ac:dyDescent="0.2">
      <c r="A22" s="82" t="s">
        <v>294</v>
      </c>
      <c r="B22" s="82"/>
      <c r="C22" s="82">
        <v>100</v>
      </c>
      <c r="D22" s="73"/>
      <c r="E22" s="73">
        <f>2747077-1581096-561875-16857</f>
        <v>587249</v>
      </c>
      <c r="F22" s="73">
        <v>0</v>
      </c>
      <c r="G22" s="73">
        <f>3334326-1581096-587249-16857-561875</f>
        <v>587249</v>
      </c>
      <c r="H22" s="74"/>
      <c r="I22" s="74"/>
      <c r="J22" s="171"/>
    </row>
    <row r="23" spans="1:10" ht="12.75" customHeight="1" x14ac:dyDescent="0.2">
      <c r="A23" s="146"/>
      <c r="B23" s="146"/>
      <c r="C23" s="242">
        <v>200</v>
      </c>
      <c r="D23" s="69"/>
      <c r="E23" s="69">
        <v>40000</v>
      </c>
      <c r="F23" s="69">
        <v>0</v>
      </c>
      <c r="G23" s="69">
        <v>0</v>
      </c>
      <c r="H23" s="70"/>
      <c r="I23" s="70"/>
      <c r="J23" s="17"/>
    </row>
    <row r="24" spans="1:10" ht="12.75" customHeight="1" x14ac:dyDescent="0.2">
      <c r="A24" s="59"/>
      <c r="B24" s="59"/>
      <c r="C24" s="330" t="s">
        <v>167</v>
      </c>
      <c r="D24" s="73"/>
      <c r="E24" s="73">
        <f>900000+1112923-3288904+596875+51857</f>
        <v>-627249</v>
      </c>
      <c r="F24" s="73">
        <v>0</v>
      </c>
      <c r="G24" s="73">
        <f>900000+525674-3288904+596875+51857+627249</f>
        <v>-587249</v>
      </c>
      <c r="H24" s="74"/>
      <c r="I24" s="74"/>
      <c r="J24" s="17"/>
    </row>
    <row r="25" spans="1:10" ht="12.75" customHeight="1" x14ac:dyDescent="0.2">
      <c r="A25" s="630" t="s">
        <v>358</v>
      </c>
      <c r="B25" s="132"/>
      <c r="C25" s="132"/>
      <c r="D25" s="69"/>
      <c r="E25" s="144"/>
      <c r="F25" s="69"/>
      <c r="G25" s="69"/>
      <c r="H25" s="70"/>
      <c r="I25" s="70"/>
    </row>
    <row r="26" spans="1:10" ht="12.75" customHeight="1" x14ac:dyDescent="0.2">
      <c r="A26" s="760" t="s">
        <v>361</v>
      </c>
      <c r="B26" s="20"/>
      <c r="C26" s="20">
        <v>200</v>
      </c>
      <c r="D26" s="104"/>
      <c r="E26" s="104"/>
      <c r="F26" s="104">
        <v>367245</v>
      </c>
      <c r="G26" s="104"/>
      <c r="H26" s="95"/>
      <c r="I26" s="95"/>
    </row>
    <row r="27" spans="1:10" ht="12.75" customHeight="1" x14ac:dyDescent="0.2">
      <c r="A27" s="701" t="s">
        <v>404</v>
      </c>
      <c r="B27" s="132"/>
      <c r="C27" s="132"/>
      <c r="D27" s="69"/>
      <c r="E27" s="69"/>
      <c r="F27" s="765"/>
      <c r="G27" s="69"/>
      <c r="H27" s="70"/>
      <c r="I27" s="70"/>
      <c r="J27" s="17"/>
    </row>
    <row r="28" spans="1:10" ht="12.75" customHeight="1" x14ac:dyDescent="0.2">
      <c r="A28" s="763" t="s">
        <v>474</v>
      </c>
      <c r="B28" s="763"/>
      <c r="C28" s="763">
        <v>200</v>
      </c>
      <c r="D28" s="764"/>
      <c r="E28" s="764">
        <v>-100000</v>
      </c>
      <c r="F28" s="764"/>
      <c r="G28" s="73"/>
      <c r="H28" s="74"/>
      <c r="I28" s="74"/>
      <c r="J28" s="17"/>
    </row>
    <row r="29" spans="1:10" ht="12.75" customHeight="1" x14ac:dyDescent="0.2">
      <c r="A29" s="761" t="s">
        <v>475</v>
      </c>
      <c r="B29" s="761"/>
      <c r="C29" s="761">
        <v>200</v>
      </c>
      <c r="D29" s="762"/>
      <c r="E29" s="762">
        <v>-100000</v>
      </c>
      <c r="F29" s="762"/>
      <c r="G29" s="69"/>
      <c r="H29" s="70"/>
      <c r="I29" s="70"/>
      <c r="J29" s="17"/>
    </row>
    <row r="30" spans="1:10" ht="12.75" customHeight="1" x14ac:dyDescent="0.2">
      <c r="A30" s="763" t="s">
        <v>476</v>
      </c>
      <c r="B30" s="763"/>
      <c r="C30" s="763">
        <v>200</v>
      </c>
      <c r="D30" s="764"/>
      <c r="E30" s="764">
        <v>-100000</v>
      </c>
      <c r="F30" s="764"/>
      <c r="G30" s="73"/>
      <c r="H30" s="74"/>
      <c r="I30" s="74"/>
      <c r="J30" s="17"/>
    </row>
    <row r="31" spans="1:10" ht="12.75" customHeight="1" x14ac:dyDescent="0.2">
      <c r="A31" s="761" t="s">
        <v>477</v>
      </c>
      <c r="B31" s="761"/>
      <c r="C31" s="761">
        <v>200</v>
      </c>
      <c r="D31" s="762"/>
      <c r="E31" s="762">
        <v>-100000</v>
      </c>
      <c r="F31" s="762"/>
      <c r="G31" s="69"/>
      <c r="H31" s="70"/>
      <c r="I31" s="70"/>
      <c r="J31" s="17"/>
    </row>
    <row r="32" spans="1:10" ht="12.75" customHeight="1" x14ac:dyDescent="0.2">
      <c r="A32" s="766" t="s">
        <v>478</v>
      </c>
      <c r="B32" s="221"/>
      <c r="C32" s="766">
        <v>200</v>
      </c>
      <c r="D32" s="221"/>
      <c r="E32" s="767">
        <v>-1000000</v>
      </c>
      <c r="F32" s="767"/>
      <c r="G32" s="99"/>
      <c r="H32" s="99"/>
      <c r="I32" s="221"/>
      <c r="J32" s="17"/>
    </row>
    <row r="33" spans="1:10" ht="12.75" customHeight="1" x14ac:dyDescent="0.2">
      <c r="A33" s="836" t="s">
        <v>494</v>
      </c>
      <c r="B33" s="582"/>
      <c r="C33" s="837"/>
      <c r="D33" s="201"/>
      <c r="E33" s="69"/>
      <c r="F33" s="69"/>
      <c r="G33" s="69"/>
      <c r="H33" s="69"/>
      <c r="I33" s="146"/>
      <c r="J33" s="17"/>
    </row>
    <row r="34" spans="1:10" ht="12.75" customHeight="1" x14ac:dyDescent="0.2">
      <c r="A34" s="306" t="s">
        <v>502</v>
      </c>
      <c r="B34" s="305"/>
      <c r="C34" s="251">
        <v>100</v>
      </c>
      <c r="D34" s="252">
        <v>60666</v>
      </c>
      <c r="E34" s="73"/>
      <c r="F34" s="73"/>
      <c r="G34" s="73"/>
      <c r="H34" s="73"/>
      <c r="I34" s="207"/>
    </row>
    <row r="35" spans="1:10" ht="12.75" customHeight="1" x14ac:dyDescent="0.2">
      <c r="A35" s="846" t="s">
        <v>539</v>
      </c>
      <c r="B35" s="146"/>
      <c r="C35" s="146">
        <v>200</v>
      </c>
      <c r="D35" s="69">
        <v>1500000</v>
      </c>
      <c r="E35" s="69">
        <v>-1500000</v>
      </c>
      <c r="F35" s="69"/>
      <c r="G35" s="69"/>
      <c r="H35" s="70"/>
      <c r="I35" s="70"/>
    </row>
    <row r="36" spans="1:10" ht="12.75" customHeight="1" x14ac:dyDescent="0.2">
      <c r="A36" s="832" t="s">
        <v>508</v>
      </c>
      <c r="B36" s="763"/>
      <c r="C36" s="763">
        <v>200</v>
      </c>
      <c r="D36" s="764">
        <v>-527789</v>
      </c>
      <c r="E36" s="764"/>
      <c r="F36" s="764"/>
      <c r="G36" s="73"/>
      <c r="H36" s="74"/>
      <c r="I36" s="74"/>
    </row>
    <row r="37" spans="1:10" ht="12.75" customHeight="1" x14ac:dyDescent="0.2">
      <c r="A37" s="761"/>
      <c r="B37" s="761"/>
      <c r="C37" s="761">
        <v>100</v>
      </c>
      <c r="D37" s="69">
        <v>353533</v>
      </c>
      <c r="E37" s="69"/>
      <c r="F37" s="69"/>
      <c r="G37" s="69"/>
      <c r="H37" s="70"/>
      <c r="I37" s="70"/>
    </row>
    <row r="38" spans="1:10" ht="12.75" customHeight="1" x14ac:dyDescent="0.2">
      <c r="A38" s="763"/>
      <c r="B38" s="763"/>
      <c r="C38" s="330" t="s">
        <v>167</v>
      </c>
      <c r="D38" s="764">
        <v>74400</v>
      </c>
      <c r="E38" s="764"/>
      <c r="F38" s="764"/>
      <c r="G38" s="73"/>
      <c r="H38" s="74"/>
      <c r="I38" s="74"/>
    </row>
    <row r="39" spans="1:10" ht="12.75" customHeight="1" x14ac:dyDescent="0.2">
      <c r="A39" s="845" t="s">
        <v>541</v>
      </c>
      <c r="B39" s="761"/>
      <c r="C39" s="882" t="s">
        <v>167</v>
      </c>
      <c r="D39" s="69">
        <v>300000</v>
      </c>
      <c r="E39" s="69">
        <v>-300000</v>
      </c>
      <c r="F39" s="69"/>
      <c r="G39" s="69"/>
      <c r="H39" s="70"/>
      <c r="I39" s="70"/>
    </row>
    <row r="40" spans="1:10" ht="12.75" customHeight="1" x14ac:dyDescent="0.2">
      <c r="A40" s="306" t="s">
        <v>825</v>
      </c>
      <c r="B40" s="59"/>
      <c r="C40" s="330">
        <v>100</v>
      </c>
      <c r="D40" s="73">
        <v>24975</v>
      </c>
      <c r="E40" s="73">
        <v>149847</v>
      </c>
      <c r="F40" s="73"/>
      <c r="G40" s="73"/>
      <c r="H40" s="73"/>
      <c r="I40" s="73"/>
    </row>
    <row r="41" spans="1:10" ht="12.75" customHeight="1" x14ac:dyDescent="0.2">
      <c r="A41" s="888" t="s">
        <v>898</v>
      </c>
      <c r="B41" s="761"/>
      <c r="C41" s="883">
        <v>100</v>
      </c>
      <c r="D41" s="69">
        <v>65200</v>
      </c>
      <c r="E41" s="69">
        <v>-65200</v>
      </c>
      <c r="F41" s="69"/>
      <c r="G41" s="884"/>
      <c r="H41" s="70"/>
      <c r="I41" s="70"/>
    </row>
    <row r="42" spans="1:10" ht="12.75" customHeight="1" x14ac:dyDescent="0.2">
      <c r="A42" s="763" t="s">
        <v>833</v>
      </c>
      <c r="B42" s="763"/>
      <c r="C42" s="330">
        <v>100</v>
      </c>
      <c r="D42" s="764">
        <v>24496</v>
      </c>
      <c r="E42" s="764">
        <v>146973</v>
      </c>
      <c r="F42" s="764"/>
      <c r="G42" s="73"/>
      <c r="H42" s="74"/>
      <c r="I42" s="74"/>
    </row>
    <row r="43" spans="1:10" ht="12.75" customHeight="1" x14ac:dyDescent="0.2">
      <c r="A43" s="888" t="s">
        <v>851</v>
      </c>
      <c r="B43" s="761"/>
      <c r="C43" s="761">
        <v>200</v>
      </c>
      <c r="D43" s="762">
        <v>-5000000</v>
      </c>
      <c r="E43" s="762">
        <v>5000000</v>
      </c>
      <c r="F43" s="762"/>
      <c r="G43" s="69"/>
      <c r="H43" s="70"/>
      <c r="I43" s="70"/>
    </row>
    <row r="44" spans="1:10" ht="12.75" customHeight="1" x14ac:dyDescent="0.2">
      <c r="A44" s="306" t="s">
        <v>937</v>
      </c>
      <c r="B44" s="59"/>
      <c r="C44" s="330">
        <v>100</v>
      </c>
      <c r="D44" s="73">
        <v>255358</v>
      </c>
      <c r="E44" s="73">
        <v>1276791</v>
      </c>
      <c r="F44" s="73"/>
      <c r="G44" s="73"/>
      <c r="H44" s="73"/>
      <c r="I44" s="73"/>
    </row>
    <row r="45" spans="1:10" ht="12.75" customHeight="1" x14ac:dyDescent="0.2">
      <c r="A45" s="888" t="s">
        <v>938</v>
      </c>
      <c r="B45" s="761"/>
      <c r="C45" s="883">
        <v>100</v>
      </c>
      <c r="D45" s="69">
        <v>958200</v>
      </c>
      <c r="E45" s="69">
        <v>-958200</v>
      </c>
      <c r="F45" s="69"/>
      <c r="G45" s="884"/>
      <c r="H45" s="70"/>
      <c r="I45" s="70"/>
    </row>
    <row r="46" spans="1:10" ht="12.75" customHeight="1" x14ac:dyDescent="0.2">
      <c r="A46" s="831" t="s">
        <v>625</v>
      </c>
      <c r="B46" s="763"/>
      <c r="C46" s="938"/>
      <c r="D46" s="764"/>
      <c r="E46" s="764"/>
      <c r="F46" s="764"/>
      <c r="G46" s="73"/>
      <c r="H46" s="74"/>
      <c r="I46" s="74"/>
      <c r="J46" s="17"/>
    </row>
    <row r="47" spans="1:10" ht="12.75" customHeight="1" x14ac:dyDescent="0.2">
      <c r="A47" s="761" t="s">
        <v>597</v>
      </c>
      <c r="B47" s="761"/>
      <c r="C47" s="883" t="s">
        <v>167</v>
      </c>
      <c r="D47" s="762"/>
      <c r="E47" s="762">
        <v>300000</v>
      </c>
      <c r="F47" s="762"/>
      <c r="G47" s="69"/>
      <c r="H47" s="70"/>
      <c r="I47" s="70"/>
    </row>
    <row r="48" spans="1:10" ht="12.75" customHeight="1" x14ac:dyDescent="0.2">
      <c r="A48" s="763" t="s">
        <v>669</v>
      </c>
      <c r="B48" s="763"/>
      <c r="C48" s="938">
        <v>100</v>
      </c>
      <c r="D48" s="764"/>
      <c r="E48" s="764">
        <v>2473399</v>
      </c>
      <c r="F48" s="764">
        <f>4990442-E48</f>
        <v>2517043</v>
      </c>
      <c r="G48" s="73">
        <f>7485663-F48-E48</f>
        <v>2495221</v>
      </c>
      <c r="H48" s="74">
        <f>9980884-G48-F48-E48</f>
        <v>2495221</v>
      </c>
      <c r="I48" s="74"/>
    </row>
    <row r="49" spans="1:9" ht="12.75" customHeight="1" x14ac:dyDescent="0.2">
      <c r="A49" s="761"/>
      <c r="B49" s="761"/>
      <c r="C49" s="883" t="s">
        <v>167</v>
      </c>
      <c r="D49" s="762"/>
      <c r="E49" s="762">
        <v>6322</v>
      </c>
      <c r="F49" s="762">
        <f>12644-E49</f>
        <v>6322</v>
      </c>
      <c r="G49" s="69">
        <f>18966-F49-E49</f>
        <v>6322</v>
      </c>
      <c r="H49" s="70">
        <f>25288-G49-F49-E49</f>
        <v>6322</v>
      </c>
      <c r="I49" s="70"/>
    </row>
    <row r="50" spans="1:9" ht="12.75" customHeight="1" x14ac:dyDescent="0.2">
      <c r="A50" s="763"/>
      <c r="B50" s="763"/>
      <c r="C50" s="938" t="s">
        <v>167</v>
      </c>
      <c r="D50" s="764"/>
      <c r="E50" s="764">
        <v>8036000</v>
      </c>
      <c r="F50" s="764"/>
      <c r="G50" s="73"/>
      <c r="H50" s="74"/>
      <c r="I50" s="74">
        <v>-8036000</v>
      </c>
    </row>
    <row r="51" spans="1:9" ht="12.75" customHeight="1" x14ac:dyDescent="0.2">
      <c r="A51" s="761" t="s">
        <v>624</v>
      </c>
      <c r="B51" s="761"/>
      <c r="C51" s="883">
        <v>100</v>
      </c>
      <c r="D51" s="762"/>
      <c r="E51" s="762">
        <v>436620</v>
      </c>
      <c r="F51" s="762">
        <f>451444-E51</f>
        <v>14824</v>
      </c>
      <c r="G51" s="69">
        <f>466209-F51-E51</f>
        <v>14765</v>
      </c>
      <c r="H51" s="70">
        <f>599415-G51-F51-E51</f>
        <v>133206</v>
      </c>
      <c r="I51" s="70">
        <f>756055-H51-G51-F51-E51</f>
        <v>156640</v>
      </c>
    </row>
    <row r="52" spans="1:9" ht="12.75" customHeight="1" x14ac:dyDescent="0.2">
      <c r="A52" s="831" t="s">
        <v>748</v>
      </c>
      <c r="B52" s="763"/>
      <c r="C52" s="938"/>
      <c r="D52" s="764"/>
      <c r="E52" s="764"/>
      <c r="F52" s="764"/>
      <c r="G52" s="73"/>
      <c r="H52" s="74"/>
      <c r="I52" s="74"/>
    </row>
    <row r="53" spans="1:9" ht="12.75" customHeight="1" x14ac:dyDescent="0.2">
      <c r="A53" s="888" t="s">
        <v>896</v>
      </c>
      <c r="B53" s="761"/>
      <c r="C53" s="883">
        <v>100</v>
      </c>
      <c r="D53" s="762"/>
      <c r="E53" s="762">
        <v>-8911493</v>
      </c>
      <c r="F53" s="762"/>
      <c r="G53" s="69">
        <v>8911493</v>
      </c>
      <c r="H53" s="70"/>
      <c r="I53" s="70"/>
    </row>
    <row r="54" spans="1:9" ht="12.75" customHeight="1" x14ac:dyDescent="0.2">
      <c r="A54" s="763"/>
      <c r="B54" s="763"/>
      <c r="C54" s="938">
        <v>200</v>
      </c>
      <c r="D54" s="764"/>
      <c r="E54" s="764">
        <f>-410000-122750</f>
        <v>-532750</v>
      </c>
      <c r="F54" s="764"/>
      <c r="G54" s="73">
        <v>532750</v>
      </c>
      <c r="H54" s="74"/>
      <c r="I54" s="74"/>
    </row>
    <row r="55" spans="1:9" ht="12.75" customHeight="1" x14ac:dyDescent="0.2">
      <c r="A55" s="761"/>
      <c r="B55" s="761"/>
      <c r="C55" s="883" t="s">
        <v>167</v>
      </c>
      <c r="D55" s="762"/>
      <c r="E55" s="762">
        <v>-984784</v>
      </c>
      <c r="F55" s="762"/>
      <c r="G55" s="69">
        <v>984784</v>
      </c>
      <c r="H55" s="70"/>
      <c r="I55" s="70"/>
    </row>
    <row r="56" spans="1:9" ht="12.75" customHeight="1" x14ac:dyDescent="0.2">
      <c r="A56" s="763"/>
      <c r="B56" s="763"/>
      <c r="C56" s="938" t="s">
        <v>167</v>
      </c>
      <c r="D56" s="764"/>
      <c r="E56" s="764">
        <v>-8336000</v>
      </c>
      <c r="F56" s="764"/>
      <c r="G56" s="73">
        <v>8336000</v>
      </c>
      <c r="H56" s="74"/>
      <c r="I56" s="74"/>
    </row>
    <row r="57" spans="1:9" ht="12.75" customHeight="1" x14ac:dyDescent="0.2">
      <c r="A57" s="888" t="s">
        <v>907</v>
      </c>
      <c r="B57" s="761"/>
      <c r="C57" s="883">
        <v>100</v>
      </c>
      <c r="D57" s="762"/>
      <c r="E57" s="762">
        <v>-59708</v>
      </c>
      <c r="F57" s="762">
        <v>59708</v>
      </c>
      <c r="G57" s="69"/>
      <c r="H57" s="70"/>
      <c r="I57" s="70"/>
    </row>
    <row r="58" spans="1:9" ht="12.75" customHeight="1" x14ac:dyDescent="0.2">
      <c r="A58" s="831" t="s">
        <v>913</v>
      </c>
      <c r="B58" s="763"/>
      <c r="C58" s="938"/>
      <c r="D58" s="764"/>
      <c r="E58" s="764"/>
      <c r="F58" s="764"/>
      <c r="G58" s="73"/>
      <c r="H58" s="74"/>
      <c r="I58" s="74"/>
    </row>
    <row r="59" spans="1:9" ht="12.75" customHeight="1" x14ac:dyDescent="0.2">
      <c r="A59" s="888" t="s">
        <v>999</v>
      </c>
      <c r="B59" s="761"/>
      <c r="C59" s="883">
        <v>100</v>
      </c>
      <c r="D59" s="762"/>
      <c r="E59" s="762"/>
      <c r="F59" s="762"/>
      <c r="G59" s="69">
        <v>-8911493</v>
      </c>
      <c r="H59" s="69">
        <v>8911493</v>
      </c>
      <c r="I59" s="70"/>
    </row>
    <row r="60" spans="1:9" ht="12.75" customHeight="1" x14ac:dyDescent="0.2">
      <c r="A60" s="763"/>
      <c r="B60" s="763"/>
      <c r="C60" s="938">
        <v>200</v>
      </c>
      <c r="D60" s="764"/>
      <c r="E60" s="764"/>
      <c r="F60" s="764"/>
      <c r="G60" s="73">
        <v>-532750</v>
      </c>
      <c r="H60" s="73">
        <v>532750</v>
      </c>
      <c r="I60" s="74"/>
    </row>
    <row r="61" spans="1:9" ht="12.75" customHeight="1" x14ac:dyDescent="0.2">
      <c r="A61" s="761"/>
      <c r="B61" s="761"/>
      <c r="C61" s="883" t="s">
        <v>167</v>
      </c>
      <c r="D61" s="762"/>
      <c r="E61" s="762"/>
      <c r="F61" s="762"/>
      <c r="G61" s="69">
        <v>-984784</v>
      </c>
      <c r="H61" s="69">
        <v>984784</v>
      </c>
      <c r="I61" s="70"/>
    </row>
    <row r="62" spans="1:9" ht="12.75" customHeight="1" x14ac:dyDescent="0.2">
      <c r="A62" s="763"/>
      <c r="B62" s="763"/>
      <c r="C62" s="938" t="s">
        <v>167</v>
      </c>
      <c r="D62" s="764"/>
      <c r="E62" s="764"/>
      <c r="F62" s="764"/>
      <c r="G62" s="73">
        <v>-8336000</v>
      </c>
      <c r="H62" s="73">
        <v>8336000</v>
      </c>
      <c r="I62" s="74"/>
    </row>
    <row r="63" spans="1:9" ht="12.75" customHeight="1" x14ac:dyDescent="0.2">
      <c r="A63" s="761"/>
      <c r="B63" s="761"/>
      <c r="C63" s="883"/>
      <c r="D63" s="762"/>
      <c r="E63" s="762"/>
      <c r="F63" s="762"/>
      <c r="G63" s="69"/>
      <c r="H63" s="70"/>
      <c r="I63" s="70"/>
    </row>
    <row r="64" spans="1:9" ht="12.75" customHeight="1" x14ac:dyDescent="0.2">
      <c r="A64" s="763"/>
      <c r="B64" s="763"/>
      <c r="C64" s="938"/>
      <c r="D64" s="764"/>
      <c r="E64" s="764"/>
      <c r="F64" s="764"/>
      <c r="G64" s="73"/>
      <c r="H64" s="74"/>
      <c r="I64" s="74"/>
    </row>
    <row r="65" spans="1:9" ht="12.75" customHeight="1" x14ac:dyDescent="0.2">
      <c r="A65" s="78"/>
      <c r="B65" s="59"/>
      <c r="C65" s="219"/>
      <c r="D65" s="73"/>
      <c r="E65" s="73"/>
      <c r="F65" s="73"/>
      <c r="G65" s="73"/>
      <c r="H65" s="73"/>
      <c r="I65" s="73"/>
    </row>
    <row r="66" spans="1:9" ht="12.75" customHeight="1" x14ac:dyDescent="0.2">
      <c r="A66" s="59"/>
      <c r="B66" s="59"/>
      <c r="C66" s="330"/>
      <c r="D66" s="73"/>
      <c r="E66" s="73"/>
      <c r="F66" s="73"/>
      <c r="G66" s="73"/>
      <c r="H66" s="73"/>
      <c r="I66" s="73"/>
    </row>
    <row r="67" spans="1:9" ht="12.75" customHeight="1" x14ac:dyDescent="0.2">
      <c r="A67" s="59"/>
      <c r="B67" s="59"/>
      <c r="C67" s="59"/>
      <c r="D67" s="59"/>
      <c r="E67" s="59"/>
      <c r="F67" s="73"/>
      <c r="G67" s="73"/>
      <c r="H67" s="73"/>
      <c r="I67" s="73"/>
    </row>
    <row r="68" spans="1:9" ht="12.75" customHeight="1" x14ac:dyDescent="0.2">
      <c r="A68" s="59"/>
      <c r="B68" s="59"/>
      <c r="C68" s="59"/>
      <c r="D68" s="59"/>
      <c r="E68" s="59"/>
      <c r="F68" s="59"/>
      <c r="G68" s="59"/>
      <c r="H68" s="59"/>
      <c r="I68" s="59"/>
    </row>
    <row r="69" spans="1:9" x14ac:dyDescent="0.2">
      <c r="A69" s="59"/>
      <c r="B69" s="59"/>
      <c r="C69" s="59"/>
      <c r="D69" s="59"/>
      <c r="E69" s="59"/>
      <c r="F69" s="59"/>
      <c r="G69" s="59"/>
      <c r="H69" s="59"/>
      <c r="I69" s="59"/>
    </row>
    <row r="70" spans="1:9" x14ac:dyDescent="0.2">
      <c r="A70" s="207"/>
      <c r="B70" s="207"/>
      <c r="C70" s="207"/>
      <c r="D70" s="207"/>
      <c r="E70" s="207"/>
      <c r="F70" s="207"/>
      <c r="G70" s="207"/>
      <c r="H70" s="207"/>
      <c r="I70" s="207"/>
    </row>
    <row r="71" spans="1:9" x14ac:dyDescent="0.2">
      <c r="A71" s="207"/>
      <c r="B71" s="207"/>
      <c r="C71" s="207"/>
      <c r="D71" s="207"/>
      <c r="E71" s="207"/>
      <c r="F71" s="207"/>
      <c r="G71" s="207"/>
      <c r="H71" s="207"/>
      <c r="I71" s="207"/>
    </row>
    <row r="72" spans="1:9" x14ac:dyDescent="0.2">
      <c r="A72" s="207"/>
      <c r="B72" s="207"/>
      <c r="C72" s="207"/>
      <c r="D72" s="207"/>
      <c r="E72" s="207"/>
      <c r="F72" s="207"/>
      <c r="G72" s="207"/>
      <c r="H72" s="207"/>
      <c r="I72" s="207"/>
    </row>
    <row r="73" spans="1:9" x14ac:dyDescent="0.2">
      <c r="A73" s="491"/>
      <c r="B73" s="491"/>
      <c r="C73" s="492"/>
      <c r="D73" s="495"/>
      <c r="E73" s="495"/>
      <c r="F73" s="495"/>
      <c r="G73" s="495"/>
      <c r="H73" s="495"/>
      <c r="I73" s="495"/>
    </row>
    <row r="74" spans="1:9" x14ac:dyDescent="0.2">
      <c r="A74" s="491"/>
      <c r="B74" s="491"/>
      <c r="C74" s="492"/>
      <c r="D74" s="491"/>
      <c r="E74" s="493"/>
      <c r="F74" s="493"/>
      <c r="G74" s="493"/>
      <c r="H74" s="493"/>
      <c r="I74" s="493"/>
    </row>
    <row r="75" spans="1:9" x14ac:dyDescent="0.2">
      <c r="A75" s="491"/>
      <c r="B75" s="491"/>
      <c r="C75" s="494"/>
      <c r="D75" s="491"/>
      <c r="E75" s="493"/>
      <c r="F75" s="493"/>
      <c r="G75" s="493"/>
      <c r="H75" s="493"/>
      <c r="I75" s="493"/>
    </row>
    <row r="76" spans="1:9" x14ac:dyDescent="0.2">
      <c r="A76" s="491"/>
      <c r="B76" s="491"/>
      <c r="C76" s="496"/>
      <c r="D76" s="491"/>
      <c r="E76" s="493"/>
      <c r="F76" s="493"/>
      <c r="G76" s="493"/>
      <c r="H76" s="493"/>
      <c r="I76" s="493"/>
    </row>
    <row r="77" spans="1:9" x14ac:dyDescent="0.2">
      <c r="A77" s="207"/>
      <c r="B77" s="207"/>
      <c r="C77" s="207"/>
      <c r="D77" s="207"/>
      <c r="E77" s="207"/>
      <c r="F77" s="207"/>
      <c r="G77" s="207"/>
      <c r="H77" s="207"/>
      <c r="I77" s="207"/>
    </row>
    <row r="78" spans="1:9" x14ac:dyDescent="0.2">
      <c r="A78" s="207"/>
      <c r="B78" s="207"/>
      <c r="C78" s="207"/>
      <c r="D78" s="207"/>
      <c r="E78" s="207"/>
      <c r="F78" s="207"/>
      <c r="G78" s="207"/>
      <c r="H78" s="207"/>
      <c r="I78" s="207"/>
    </row>
    <row r="79" spans="1:9" x14ac:dyDescent="0.2">
      <c r="A79" s="59"/>
      <c r="B79" s="59"/>
      <c r="C79" s="59"/>
      <c r="D79" s="59"/>
      <c r="E79" s="59"/>
      <c r="F79" s="59"/>
      <c r="G79" s="59"/>
      <c r="H79" s="59"/>
      <c r="I79" s="59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6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8">
    <pageSetUpPr fitToPage="1"/>
  </sheetPr>
  <dimension ref="A1:J60"/>
  <sheetViews>
    <sheetView view="pageBreakPreview" topLeftCell="A10" zoomScale="90" zoomScaleNormal="100" zoomScaleSheetLayoutView="90" workbookViewId="0">
      <selection activeCell="B13" sqref="B13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186</v>
      </c>
      <c r="C6" s="963" t="s">
        <v>187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58">
        <f>+'55-Civil Service Comm'!B9+'55L-CivServComm-Labor Reserve'!B9</f>
        <v>168597</v>
      </c>
      <c r="C9" s="259">
        <f>+'55-Civil Service Comm'!C9+'55L-CivServComm-Labor Reserve'!C9</f>
        <v>174341</v>
      </c>
      <c r="D9" s="552">
        <f>+'55-Civil Service Comm'!D9+'55L-CivServComm-Labor Reserve'!D9</f>
        <v>174742</v>
      </c>
      <c r="E9" s="570">
        <f>+'55-Civil Service Comm'!E9+'55L-CivServComm-Labor Reserve'!E9</f>
        <v>177148</v>
      </c>
      <c r="F9" s="559">
        <f>+'55-Civil Service Comm'!F9+'55L-CivServComm-Labor Reserve'!F9</f>
        <v>177148</v>
      </c>
      <c r="G9" s="259">
        <f>+'55-Civil Service Comm'!G9+'55L-CivServComm-Labor Reserve'!G9</f>
        <v>177148</v>
      </c>
      <c r="H9" s="258">
        <f>+'55-Civil Service Comm'!H9+'55L-CivServComm-Labor Reserve'!H9</f>
        <v>177148</v>
      </c>
      <c r="I9" s="283">
        <f>+'55-Civil Service Comm'!I9+'55L-CivServComm-Labor Reserve'!I9</f>
        <v>177148</v>
      </c>
    </row>
    <row r="10" spans="1:10" x14ac:dyDescent="0.2">
      <c r="A10" s="10" t="s">
        <v>5</v>
      </c>
      <c r="B10" s="260">
        <f>+'55-Civil Service Comm'!B10+'55L-CivServComm-Labor Reserve'!B10</f>
        <v>29500</v>
      </c>
      <c r="C10" s="261">
        <f>+'55-Civil Service Comm'!C10+'55L-CivServComm-Labor Reserve'!C10</f>
        <v>29500</v>
      </c>
      <c r="D10" s="553">
        <f>+'55-Civil Service Comm'!D10+'55L-CivServComm-Labor Reserve'!D10</f>
        <v>29500</v>
      </c>
      <c r="E10" s="569">
        <f>+'55-Civil Service Comm'!E10+'55L-CivServComm-Labor Reserve'!E10</f>
        <v>29500</v>
      </c>
      <c r="F10" s="560">
        <f>+'55-Civil Service Comm'!F10+'55L-CivServComm-Labor Reserve'!F10</f>
        <v>29500</v>
      </c>
      <c r="G10" s="261">
        <f>+'55-Civil Service Comm'!G10+'55L-CivServComm-Labor Reserve'!G10</f>
        <v>29500</v>
      </c>
      <c r="H10" s="260">
        <f>+'55-Civil Service Comm'!H10+'55L-CivServComm-Labor Reserve'!H10</f>
        <v>29500</v>
      </c>
      <c r="I10" s="284">
        <f>+'55-Civil Service Comm'!I10+'55L-CivServComm-Labor Reserve'!I10</f>
        <v>29500</v>
      </c>
    </row>
    <row r="11" spans="1:10" x14ac:dyDescent="0.2">
      <c r="A11" s="9" t="s">
        <v>6</v>
      </c>
      <c r="B11" s="262">
        <f>+'55-Civil Service Comm'!B11+'55L-CivServComm-Labor Reserve'!B11</f>
        <v>400</v>
      </c>
      <c r="C11" s="259">
        <f>+'55-Civil Service Comm'!C11+'55L-CivServComm-Labor Reserve'!C11</f>
        <v>1094</v>
      </c>
      <c r="D11" s="554">
        <f>+'55-Civil Service Comm'!D11+'55L-CivServComm-Labor Reserve'!D11</f>
        <v>1094</v>
      </c>
      <c r="E11" s="570">
        <f>+'55-Civil Service Comm'!E11+'55L-CivServComm-Labor Reserve'!E11</f>
        <v>1094</v>
      </c>
      <c r="F11" s="561">
        <f>+'55-Civil Service Comm'!F11+'55L-CivServComm-Labor Reserve'!F11</f>
        <v>1094</v>
      </c>
      <c r="G11" s="259">
        <f>+'55-Civil Service Comm'!G11+'55L-CivServComm-Labor Reserve'!G11</f>
        <v>1094</v>
      </c>
      <c r="H11" s="262">
        <f>+'55-Civil Service Comm'!H11+'55L-CivServComm-Labor Reserve'!H11</f>
        <v>1094</v>
      </c>
      <c r="I11" s="285">
        <f>+'55-Civil Service Comm'!I11+'55L-CivServComm-Labor Reserve'!I11</f>
        <v>1094</v>
      </c>
    </row>
    <row r="12" spans="1:10" x14ac:dyDescent="0.2">
      <c r="A12" s="10" t="s">
        <v>7</v>
      </c>
      <c r="B12" s="260">
        <f>+'55-Civil Service Comm'!B12+'55L-CivServComm-Labor Reserve'!B12</f>
        <v>0</v>
      </c>
      <c r="C12" s="261">
        <f>+'55-Civil Service Comm'!C12+'55L-CivServComm-Labor Reserve'!C12</f>
        <v>0</v>
      </c>
      <c r="D12" s="553">
        <f>+'55-Civil Service Comm'!D12+'55L-CivServComm-Labor Reserve'!D12</f>
        <v>0</v>
      </c>
      <c r="E12" s="569">
        <f>+'55-Civil Service Comm'!E12+'55L-CivServComm-Labor Reserve'!E12</f>
        <v>0</v>
      </c>
      <c r="F12" s="560">
        <f>+'55-Civil Service Comm'!F12+'55L-CivServComm-Labor Reserve'!F12</f>
        <v>0</v>
      </c>
      <c r="G12" s="261">
        <f>+'55-Civil Service Comm'!G12+'55L-CivServComm-Labor Reserve'!G12</f>
        <v>0</v>
      </c>
      <c r="H12" s="260">
        <f>+'55-Civil Service Comm'!H12+'55L-CivServComm-Labor Reserve'!H12</f>
        <v>0</v>
      </c>
      <c r="I12" s="284">
        <f>+'55-Civil Service Comm'!I12+'55L-CivServComm-Labor Reserve'!I12</f>
        <v>0</v>
      </c>
    </row>
    <row r="13" spans="1:10" x14ac:dyDescent="0.2">
      <c r="A13" s="9" t="s">
        <v>8</v>
      </c>
      <c r="B13" s="262">
        <f>+'55-Civil Service Comm'!B13+'55L-CivServComm-Labor Reserve'!B13</f>
        <v>0</v>
      </c>
      <c r="C13" s="259">
        <f>+'55-Civil Service Comm'!C13+'55L-CivServComm-Labor Reserve'!C13</f>
        <v>0</v>
      </c>
      <c r="D13" s="554">
        <f>+'55-Civil Service Comm'!D13+'55L-CivServComm-Labor Reserve'!D13</f>
        <v>0</v>
      </c>
      <c r="E13" s="570">
        <f>+'55-Civil Service Comm'!E13+'55L-CivServComm-Labor Reserve'!E13</f>
        <v>0</v>
      </c>
      <c r="F13" s="561">
        <f>+'55-Civil Service Comm'!F13+'55L-CivServComm-Labor Reserve'!F13</f>
        <v>0</v>
      </c>
      <c r="G13" s="259">
        <f>+'55-Civil Service Comm'!G13+'55L-CivServComm-Labor Reserve'!G13</f>
        <v>0</v>
      </c>
      <c r="H13" s="262">
        <f>+'55-Civil Service Comm'!H13+'55L-CivServComm-Labor Reserve'!H13</f>
        <v>0</v>
      </c>
      <c r="I13" s="285">
        <f>+'55-Civil Service Comm'!I13+'55L-CivServComm-Labor Reserve'!I13</f>
        <v>0</v>
      </c>
    </row>
    <row r="14" spans="1:10" x14ac:dyDescent="0.2">
      <c r="A14" s="10" t="s">
        <v>9</v>
      </c>
      <c r="B14" s="260">
        <f>+'55-Civil Service Comm'!B14+'55L-CivServComm-Labor Reserve'!B14</f>
        <v>0</v>
      </c>
      <c r="C14" s="261">
        <f>+'55-Civil Service Comm'!C14+'55L-CivServComm-Labor Reserve'!C14</f>
        <v>0</v>
      </c>
      <c r="D14" s="553">
        <f>+'55-Civil Service Comm'!D14+'55L-CivServComm-Labor Reserve'!D14</f>
        <v>0</v>
      </c>
      <c r="E14" s="569">
        <f>+'55-Civil Service Comm'!E14+'55L-CivServComm-Labor Reserve'!E14</f>
        <v>0</v>
      </c>
      <c r="F14" s="560">
        <f>+'55-Civil Service Comm'!F14+'55L-CivServComm-Labor Reserve'!F14</f>
        <v>0</v>
      </c>
      <c r="G14" s="261">
        <f>+'55-Civil Service Comm'!G14+'55L-CivServComm-Labor Reserve'!G14</f>
        <v>0</v>
      </c>
      <c r="H14" s="260">
        <f>+'55-Civil Service Comm'!H14+'55L-CivServComm-Labor Reserve'!H14</f>
        <v>0</v>
      </c>
      <c r="I14" s="284">
        <f>+'55-Civil Service Comm'!I14+'55L-CivServComm-Labor Reserve'!I14</f>
        <v>0</v>
      </c>
    </row>
    <row r="15" spans="1:10" ht="16" thickBot="1" x14ac:dyDescent="0.25">
      <c r="A15" s="11" t="s">
        <v>10</v>
      </c>
      <c r="B15" s="263">
        <f>+'55-Civil Service Comm'!B15+'55L-CivServComm-Labor Reserve'!B15</f>
        <v>0</v>
      </c>
      <c r="C15" s="264">
        <f>+'55-Civil Service Comm'!C15+'55L-CivServComm-Labor Reserve'!C15</f>
        <v>0</v>
      </c>
      <c r="D15" s="555">
        <f>+'55-Civil Service Comm'!D15+'55L-CivServComm-Labor Reserve'!D15</f>
        <v>0</v>
      </c>
      <c r="E15" s="571">
        <f>+'55-Civil Service Comm'!E15+'55L-CivServComm-Labor Reserve'!E15</f>
        <v>0</v>
      </c>
      <c r="F15" s="562">
        <f>+'55-Civil Service Comm'!F15+'55L-CivServComm-Labor Reserve'!F15</f>
        <v>25000000</v>
      </c>
      <c r="G15" s="264">
        <f>+'55-Civil Service Comm'!G15+'55L-CivServComm-Labor Reserve'!G15</f>
        <v>45000000</v>
      </c>
      <c r="H15" s="263">
        <f>+'55-Civil Service Comm'!H15+'55L-CivServComm-Labor Reserve'!H15</f>
        <v>65000000</v>
      </c>
      <c r="I15" s="286">
        <f>+'55-Civil Service Comm'!I15+'55L-CivServComm-Labor Reserve'!I15</f>
        <v>65000000</v>
      </c>
    </row>
    <row r="16" spans="1:10" ht="16" thickBot="1" x14ac:dyDescent="0.25">
      <c r="A16" s="4" t="s">
        <v>11</v>
      </c>
      <c r="B16" s="40">
        <f>SUM(B9:B15)</f>
        <v>198497</v>
      </c>
      <c r="C16" s="40">
        <f t="shared" ref="C16:I16" si="0">SUM(C9:C15)</f>
        <v>204935</v>
      </c>
      <c r="D16" s="40">
        <f t="shared" si="0"/>
        <v>205336</v>
      </c>
      <c r="E16" s="573">
        <f t="shared" si="0"/>
        <v>207742</v>
      </c>
      <c r="F16" s="40">
        <f t="shared" si="0"/>
        <v>25207742</v>
      </c>
      <c r="G16" s="40">
        <f t="shared" si="0"/>
        <v>45207742</v>
      </c>
      <c r="H16" s="40">
        <f t="shared" si="0"/>
        <v>65207742</v>
      </c>
      <c r="I16" s="40">
        <f t="shared" si="0"/>
        <v>65207742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2.75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2.75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2.75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2.75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2.75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2.75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2.75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2.75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2.75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2.75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2.75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2.75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2.75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2.75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2.75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2.75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2.75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2.75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2.75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2.75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2.75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2.75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9">
    <pageSetUpPr fitToPage="1"/>
  </sheetPr>
  <dimension ref="A1:J60"/>
  <sheetViews>
    <sheetView topLeftCell="A5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184</v>
      </c>
      <c r="C6" s="963" t="s">
        <v>185</v>
      </c>
      <c r="D6" s="963"/>
      <c r="E6" s="963"/>
      <c r="F6" s="963"/>
      <c r="G6" s="963"/>
      <c r="H6" s="963"/>
      <c r="I6" s="963"/>
    </row>
    <row r="7" spans="1:10" ht="16" thickBot="1" x14ac:dyDescent="0.25">
      <c r="E7" s="7" t="s">
        <v>242</v>
      </c>
    </row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5">
        <f>+'42-Commerce'!B9+'42CC-Commerce Convention Ctr'!B9+'42ES-Commerce Econ Stimulus'!B9</f>
        <v>3028159</v>
      </c>
      <c r="C9" s="266">
        <f>+'42-Commerce'!C9+'42CC-Commerce Convention Ctr'!C9+'42ES-Commerce Econ Stimulus'!C9</f>
        <v>3469881</v>
      </c>
      <c r="D9" s="265">
        <f>+'42-Commerce'!D9+'42CC-Commerce Convention Ctr'!D9+'42ES-Commerce Econ Stimulus'!D9</f>
        <v>3506080</v>
      </c>
      <c r="E9" s="566">
        <f>+'42-Commerce'!E9+'42CC-Commerce Convention Ctr'!E9+'42ES-Commerce Econ Stimulus'!E9</f>
        <v>2394341</v>
      </c>
      <c r="F9" s="556">
        <f>+'42-Commerce'!F9+'42CC-Commerce Convention Ctr'!F9+'42ES-Commerce Econ Stimulus'!F9</f>
        <v>2394341</v>
      </c>
      <c r="G9" s="265">
        <f>+'42-Commerce'!G9+'42CC-Commerce Convention Ctr'!G9+'42ES-Commerce Econ Stimulus'!G9</f>
        <v>2394341</v>
      </c>
      <c r="H9" s="265">
        <f>+'42-Commerce'!H9+'42CC-Commerce Convention Ctr'!H9+'42ES-Commerce Econ Stimulus'!H9</f>
        <v>2394341</v>
      </c>
      <c r="I9" s="282">
        <f>+'42-Commerce'!I9+'42CC-Commerce Convention Ctr'!I9+'42ES-Commerce Econ Stimulus'!I9</f>
        <v>2394341</v>
      </c>
    </row>
    <row r="10" spans="1:10" x14ac:dyDescent="0.2">
      <c r="A10" s="10" t="s">
        <v>5</v>
      </c>
      <c r="B10" s="267">
        <f>+'42-Commerce'!B10+'42CC-Commerce Convention Ctr'!B10+'42ES-Commerce Econ Stimulus'!B10</f>
        <v>40036629</v>
      </c>
      <c r="C10" s="268">
        <f>+'42-Commerce'!C10+'42CC-Commerce Convention Ctr'!C10+'42ES-Commerce Econ Stimulus'!C10</f>
        <v>28526450</v>
      </c>
      <c r="D10" s="267">
        <f>+'42-Commerce'!D10+'42CC-Commerce Convention Ctr'!D10+'42ES-Commerce Econ Stimulus'!D10</f>
        <v>28926450</v>
      </c>
      <c r="E10" s="565">
        <f>+'42-Commerce'!E10+'42CC-Commerce Convention Ctr'!E10+'42ES-Commerce Econ Stimulus'!E10</f>
        <v>19231153</v>
      </c>
      <c r="F10" s="280">
        <f>+'42-Commerce'!F10+'42CC-Commerce Convention Ctr'!F10+'42ES-Commerce Econ Stimulus'!F10</f>
        <v>19231153</v>
      </c>
      <c r="G10" s="267">
        <f>+'42-Commerce'!G10+'42CC-Commerce Convention Ctr'!G10+'42ES-Commerce Econ Stimulus'!G10</f>
        <v>29231153</v>
      </c>
      <c r="H10" s="267">
        <f>+'42-Commerce'!H10+'42CC-Commerce Convention Ctr'!H10+'42ES-Commerce Econ Stimulus'!H10</f>
        <v>29231153</v>
      </c>
      <c r="I10" s="274">
        <f>+'42-Commerce'!I10+'42CC-Commerce Convention Ctr'!I10+'42ES-Commerce Econ Stimulus'!I10</f>
        <v>29231153</v>
      </c>
    </row>
    <row r="11" spans="1:10" x14ac:dyDescent="0.2">
      <c r="A11" s="9" t="s">
        <v>6</v>
      </c>
      <c r="B11" s="269">
        <f>+'42-Commerce'!B11+'42CC-Commerce Convention Ctr'!B11+'42ES-Commerce Econ Stimulus'!B11</f>
        <v>18398</v>
      </c>
      <c r="C11" s="270">
        <f>+'42-Commerce'!C11+'42CC-Commerce Convention Ctr'!C11+'42ES-Commerce Econ Stimulus'!C11</f>
        <v>26654</v>
      </c>
      <c r="D11" s="269">
        <f>+'42-Commerce'!D11+'42CC-Commerce Convention Ctr'!D11+'42ES-Commerce Econ Stimulus'!D11</f>
        <v>26654</v>
      </c>
      <c r="E11" s="566">
        <f>+'42-Commerce'!E11+'42CC-Commerce Convention Ctr'!E11+'42ES-Commerce Econ Stimulus'!E11</f>
        <v>26654</v>
      </c>
      <c r="F11" s="279">
        <f>+'42-Commerce'!F11+'42CC-Commerce Convention Ctr'!F11+'42ES-Commerce Econ Stimulus'!F11</f>
        <v>26654</v>
      </c>
      <c r="G11" s="269">
        <f>+'42-Commerce'!G11+'42CC-Commerce Convention Ctr'!G11+'42ES-Commerce Econ Stimulus'!G11</f>
        <v>26654</v>
      </c>
      <c r="H11" s="269">
        <f>+'42-Commerce'!H11+'42CC-Commerce Convention Ctr'!H11+'42ES-Commerce Econ Stimulus'!H11</f>
        <v>26654</v>
      </c>
      <c r="I11" s="275">
        <f>+'42-Commerce'!I11+'42CC-Commerce Convention Ctr'!I11+'42ES-Commerce Econ Stimulus'!I11</f>
        <v>26654</v>
      </c>
    </row>
    <row r="12" spans="1:10" x14ac:dyDescent="0.2">
      <c r="A12" s="10" t="s">
        <v>7</v>
      </c>
      <c r="B12" s="267">
        <f>+'42-Commerce'!B12+'42CC-Commerce Convention Ctr'!B12+'42ES-Commerce Econ Stimulus'!B12</f>
        <v>500000</v>
      </c>
      <c r="C12" s="268">
        <f>+'42-Commerce'!C12+'42CC-Commerce Convention Ctr'!C12+'42ES-Commerce Econ Stimulus'!C12</f>
        <v>500000</v>
      </c>
      <c r="D12" s="267">
        <f>+'42-Commerce'!D12+'42CC-Commerce Convention Ctr'!D12+'42ES-Commerce Econ Stimulus'!D12</f>
        <v>500000</v>
      </c>
      <c r="E12" s="565">
        <f>+'42-Commerce'!E12+'42CC-Commerce Convention Ctr'!E12+'42ES-Commerce Econ Stimulus'!E12</f>
        <v>0</v>
      </c>
      <c r="F12" s="280">
        <f>+'42-Commerce'!F12+'42CC-Commerce Convention Ctr'!F12+'42ES-Commerce Econ Stimulus'!F12</f>
        <v>0</v>
      </c>
      <c r="G12" s="267">
        <f>+'42-Commerce'!G12+'42CC-Commerce Convention Ctr'!G12+'42ES-Commerce Econ Stimulus'!G12</f>
        <v>0</v>
      </c>
      <c r="H12" s="267">
        <f>+'42-Commerce'!H12+'42CC-Commerce Convention Ctr'!H12+'42ES-Commerce Econ Stimulus'!H12</f>
        <v>0</v>
      </c>
      <c r="I12" s="274">
        <f>+'42-Commerce'!I12+'42CC-Commerce Convention Ctr'!I12+'42ES-Commerce Econ Stimulus'!I12</f>
        <v>0</v>
      </c>
    </row>
    <row r="13" spans="1:10" x14ac:dyDescent="0.2">
      <c r="A13" s="9" t="s">
        <v>8</v>
      </c>
      <c r="B13" s="269">
        <f>+'42-Commerce'!B13+'42CC-Commerce Convention Ctr'!B13+'42ES-Commerce Econ Stimulus'!B13</f>
        <v>0</v>
      </c>
      <c r="C13" s="270">
        <f>+'42-Commerce'!C13+'42CC-Commerce Convention Ctr'!C13+'42ES-Commerce Econ Stimulus'!C13</f>
        <v>0</v>
      </c>
      <c r="D13" s="269">
        <f>+'42-Commerce'!D13+'42CC-Commerce Convention Ctr'!D13+'42ES-Commerce Econ Stimulus'!D13</f>
        <v>0</v>
      </c>
      <c r="E13" s="566">
        <f>+'42-Commerce'!E13+'42CC-Commerce Convention Ctr'!E13+'42ES-Commerce Econ Stimulus'!E13</f>
        <v>0</v>
      </c>
      <c r="F13" s="279">
        <f>+'42-Commerce'!F13+'42CC-Commerce Convention Ctr'!F13+'42ES-Commerce Econ Stimulus'!F13</f>
        <v>0</v>
      </c>
      <c r="G13" s="269">
        <f>+'42-Commerce'!G13+'42CC-Commerce Convention Ctr'!G13+'42ES-Commerce Econ Stimulus'!G13</f>
        <v>0</v>
      </c>
      <c r="H13" s="269">
        <f>+'42-Commerce'!H13+'42CC-Commerce Convention Ctr'!H13+'42ES-Commerce Econ Stimulus'!H13</f>
        <v>0</v>
      </c>
      <c r="I13" s="275">
        <f>+'42-Commerce'!I13+'42CC-Commerce Convention Ctr'!I13+'42ES-Commerce Econ Stimulus'!I13</f>
        <v>0</v>
      </c>
    </row>
    <row r="14" spans="1:10" x14ac:dyDescent="0.2">
      <c r="A14" s="10" t="s">
        <v>9</v>
      </c>
      <c r="B14" s="267">
        <f>+'42-Commerce'!B14+'42CC-Commerce Convention Ctr'!B14+'42ES-Commerce Econ Stimulus'!B14</f>
        <v>0</v>
      </c>
      <c r="C14" s="268">
        <f>+'42-Commerce'!C14+'42CC-Commerce Convention Ctr'!C14+'42ES-Commerce Econ Stimulus'!C14</f>
        <v>0</v>
      </c>
      <c r="D14" s="267">
        <f>+'42-Commerce'!D14+'42CC-Commerce Convention Ctr'!D14+'42ES-Commerce Econ Stimulus'!D14</f>
        <v>0</v>
      </c>
      <c r="E14" s="565">
        <f>+'42-Commerce'!E14+'42CC-Commerce Convention Ctr'!E14+'42ES-Commerce Econ Stimulus'!E14</f>
        <v>0</v>
      </c>
      <c r="F14" s="280">
        <f>+'42-Commerce'!F14+'42CC-Commerce Convention Ctr'!F14+'42ES-Commerce Econ Stimulus'!F14</f>
        <v>0</v>
      </c>
      <c r="G14" s="267">
        <f>+'42-Commerce'!G14+'42CC-Commerce Convention Ctr'!G14+'42ES-Commerce Econ Stimulus'!G14</f>
        <v>0</v>
      </c>
      <c r="H14" s="267">
        <f>+'42-Commerce'!H14+'42CC-Commerce Convention Ctr'!H14+'42ES-Commerce Econ Stimulus'!H14</f>
        <v>0</v>
      </c>
      <c r="I14" s="274">
        <f>+'42-Commerce'!I14+'42CC-Commerce Convention Ctr'!I14+'42ES-Commerce Econ Stimulus'!I14</f>
        <v>0</v>
      </c>
    </row>
    <row r="15" spans="1:10" ht="16" thickBot="1" x14ac:dyDescent="0.25">
      <c r="A15" s="11" t="s">
        <v>10</v>
      </c>
      <c r="B15" s="271">
        <f>+'42-Commerce'!B15+'42CC-Commerce Convention Ctr'!B15+'42ES-Commerce Econ Stimulus'!B15</f>
        <v>0</v>
      </c>
      <c r="C15" s="272">
        <f>+'42-Commerce'!C15+'42CC-Commerce Convention Ctr'!C15+'42ES-Commerce Econ Stimulus'!C15</f>
        <v>0</v>
      </c>
      <c r="D15" s="271">
        <f>+'42-Commerce'!D15+'42CC-Commerce Convention Ctr'!D15+'42ES-Commerce Econ Stimulus'!D15</f>
        <v>0</v>
      </c>
      <c r="E15" s="567">
        <f>+'42-Commerce'!E15+'42CC-Commerce Convention Ctr'!E15+'42ES-Commerce Econ Stimulus'!E15</f>
        <v>0</v>
      </c>
      <c r="F15" s="281">
        <f>+'42-Commerce'!F15+'42CC-Commerce Convention Ctr'!F15+'42ES-Commerce Econ Stimulus'!F15</f>
        <v>0</v>
      </c>
      <c r="G15" s="271">
        <f>+'42-Commerce'!G15+'42CC-Commerce Convention Ctr'!G15+'42ES-Commerce Econ Stimulus'!G15</f>
        <v>0</v>
      </c>
      <c r="H15" s="271">
        <f>+'42-Commerce'!H15+'42CC-Commerce Convention Ctr'!H15+'42ES-Commerce Econ Stimulus'!H15</f>
        <v>0</v>
      </c>
      <c r="I15" s="276">
        <f>+'42-Commerce'!I15+'42CC-Commerce Convention Ctr'!I15+'42ES-Commerce Econ Stimulus'!I15</f>
        <v>0</v>
      </c>
    </row>
    <row r="16" spans="1:10" ht="16" thickBot="1" x14ac:dyDescent="0.25">
      <c r="A16" s="4" t="s">
        <v>11</v>
      </c>
      <c r="B16" s="40">
        <f>SUM(B9:B15)</f>
        <v>43583186</v>
      </c>
      <c r="C16" s="40">
        <f t="shared" ref="C16:I16" si="0">SUM(C9:C15)</f>
        <v>32522985</v>
      </c>
      <c r="D16" s="40">
        <f t="shared" si="0"/>
        <v>32959184</v>
      </c>
      <c r="E16" s="573">
        <f t="shared" si="0"/>
        <v>21652148</v>
      </c>
      <c r="F16" s="40">
        <f t="shared" si="0"/>
        <v>21652148</v>
      </c>
      <c r="G16" s="40">
        <f t="shared" si="0"/>
        <v>31652148</v>
      </c>
      <c r="H16" s="40">
        <f t="shared" si="0"/>
        <v>31652148</v>
      </c>
      <c r="I16" s="40">
        <f t="shared" si="0"/>
        <v>31652148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80">
    <pageSetUpPr fitToPage="1"/>
  </sheetPr>
  <dimension ref="A1:J61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180</v>
      </c>
      <c r="C6" s="963" t="s">
        <v>179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10" t="s">
        <v>4</v>
      </c>
      <c r="B9" s="277">
        <f>+'35-Finance'!B9+'35CC-Finance - CCP'!B9+'35H-Finance - Hero'!B9+'35I-Finance - Indemnities'!B9+'35R-Finance - Refunds'!B9+'35SD-Finance-School District'!B9+'35W-Finance - Witness Fees'!B9+'35D-Finance Reg32'!B9+'35R-Finance - Recession Reserve'!B9+'35BS-Finance-BudgetStabilizat''n'!B9</f>
        <v>10169896</v>
      </c>
      <c r="C9" s="277">
        <f>+'35-Finance'!C9+'35CC-Finance - CCP'!C9+'35H-Finance - Hero'!C9+'35I-Finance - Indemnities'!C9+'35R-Finance - Refunds'!C9+'35SD-Finance-School District'!C9+'35W-Finance - Witness Fees'!C9+'35D-Finance Reg32'!C9+'35R-Finance - Recession Reserve'!C9+'35BS-Finance-BudgetStabilizat''n'!C9</f>
        <v>11734313</v>
      </c>
      <c r="D9" s="277">
        <f>+'35-Finance'!D9+'35CC-Finance - CCP'!D9+'35H-Finance - Hero'!D9+'35I-Finance - Indemnities'!D9+'35R-Finance - Refunds'!D9+'35SD-Finance-School District'!D9+'35W-Finance - Witness Fees'!D9+'35D-Finance Reg32'!D9+'35R-Finance - Recession Reserve'!D9+'35BS-Finance-BudgetStabilizat''n'!D9</f>
        <v>11916821</v>
      </c>
      <c r="E9" s="565">
        <f>+'35-Finance'!E9+'35CC-Finance - CCP'!E9+'35H-Finance - Hero'!E9+'35I-Finance - Indemnities'!E9+'35R-Finance - Refunds'!E9+'35SD-Finance-School District'!E9+'35W-Finance - Witness Fees'!E9+'35D-Finance Reg32'!E9+'35R-Finance - Recession Reserve'!E9+'35BS-Finance-BudgetStabilizat''n'!E9</f>
        <v>12962396</v>
      </c>
      <c r="F9" s="557">
        <f>+'35-Finance'!F9+'35CC-Finance - CCP'!F9+'35H-Finance - Hero'!F9+'35I-Finance - Indemnities'!F9+'35R-Finance - Refunds'!F9+'35SD-Finance-School District'!F9+'35W-Finance - Witness Fees'!F9+'35D-Finance Reg32'!F9+'35R-Finance - Recession Reserve'!F9+'35BS-Finance-BudgetStabilizat''n'!F9</f>
        <v>13001275</v>
      </c>
      <c r="G9" s="277">
        <f>+'35-Finance'!G9+'35CC-Finance - CCP'!G9+'35H-Finance - Hero'!G9+'35I-Finance - Indemnities'!G9+'35R-Finance - Refunds'!G9+'35SD-Finance-School District'!G9+'35W-Finance - Witness Fees'!G9+'35D-Finance Reg32'!G9+'35R-Finance - Recession Reserve'!G9+'35BS-Finance-BudgetStabilizat''n'!G9</f>
        <v>12975475</v>
      </c>
      <c r="H9" s="277">
        <f>+'35-Finance'!H9+'35CC-Finance - CCP'!H9+'35H-Finance - Hero'!H9+'35I-Finance - Indemnities'!H9+'35R-Finance - Refunds'!H9+'35SD-Finance-School District'!H9+'35W-Finance - Witness Fees'!H9+'35D-Finance Reg32'!H9+'35R-Finance - Recession Reserve'!H9+'35BS-Finance-BudgetStabilizat''n'!H9</f>
        <v>14638548</v>
      </c>
      <c r="I9" s="407">
        <f>+'35-Finance'!I9+'35CC-Finance - CCP'!I9+'35H-Finance - Hero'!I9+'35I-Finance - Indemnities'!I9+'35R-Finance - Refunds'!I9+'35SD-Finance-School District'!I9+'35W-Finance - Witness Fees'!I9+'35D-Finance Reg32'!I9+'35R-Finance - Recession Reserve'!I9+'35BS-Finance-BudgetStabilizat''n'!I9</f>
        <v>14740664</v>
      </c>
    </row>
    <row r="10" spans="1:10" x14ac:dyDescent="0.2">
      <c r="A10" s="31" t="s">
        <v>108</v>
      </c>
      <c r="B10" s="278">
        <f>+'35EB-Finance - Benefits'!B9</f>
        <v>1371066396</v>
      </c>
      <c r="C10" s="278">
        <f>+'35EB-Finance - Benefits'!C9</f>
        <v>1411963002</v>
      </c>
      <c r="D10" s="278">
        <f>+'35EB-Finance - Benefits'!D9</f>
        <v>1348375045</v>
      </c>
      <c r="E10" s="568">
        <f>+'35EB-Finance - Benefits'!E9</f>
        <v>1287159003</v>
      </c>
      <c r="F10" s="558">
        <f>+'35EB-Finance - Benefits'!F9</f>
        <v>1422031076</v>
      </c>
      <c r="G10" s="278">
        <f>+'35EB-Finance - Benefits'!G9</f>
        <v>1475341633</v>
      </c>
      <c r="H10" s="278">
        <f>+'35EB-Finance - Benefits'!H9</f>
        <v>1529644986</v>
      </c>
      <c r="I10" s="273">
        <f>+'35EB-Finance - Benefits'!I9</f>
        <v>1581664744</v>
      </c>
    </row>
    <row r="11" spans="1:10" x14ac:dyDescent="0.2">
      <c r="A11" s="10" t="s">
        <v>5</v>
      </c>
      <c r="B11" s="267">
        <f>+'35-Finance'!B10+'35CC-Finance - CCP'!B10+'35H-Finance - Hero'!B10+'35I-Finance - Indemnities'!B10+'35R-Finance - Refunds'!B10+'35SD-Finance-School District'!B10+'35W-Finance - Witness Fees'!B10+'35R-Finance - Recession Reserve'!B10</f>
        <v>2927013</v>
      </c>
      <c r="C11" s="267">
        <f>+'35-Finance'!C10+'35CC-Finance - CCP'!C10+'35H-Finance - Hero'!C10+'35I-Finance - Indemnities'!C10+'35R-Finance - Refunds'!C10+'35SD-Finance-School District'!C10+'35W-Finance - Witness Fees'!C10+'35R-Finance - Recession Reserve'!C10</f>
        <v>3201430</v>
      </c>
      <c r="D11" s="267">
        <f>+'35-Finance'!D10+'35CC-Finance - CCP'!D10+'35H-Finance - Hero'!D10+'35I-Finance - Indemnities'!D10+'35R-Finance - Refunds'!D10+'35SD-Finance-School District'!D10+'35W-Finance - Witness Fees'!D10+'35R-Finance - Recession Reserve'!D10</f>
        <v>3456430</v>
      </c>
      <c r="E11" s="565">
        <f>+'35-Finance'!E10+'35CC-Finance - CCP'!E10+'35H-Finance - Hero'!E10+'35I-Finance - Indemnities'!E10+'35R-Finance - Refunds'!E10+'35SD-Finance-School District'!E10+'35W-Finance - Witness Fees'!E10+'35R-Finance - Recession Reserve'!E10</f>
        <v>2798178</v>
      </c>
      <c r="F11" s="280">
        <f>+'35-Finance'!F10+'35CC-Finance - CCP'!F10+'35H-Finance - Hero'!F10+'35I-Finance - Indemnities'!F10+'35R-Finance - Refunds'!F10+'35SD-Finance-School District'!F10+'35W-Finance - Witness Fees'!F10+'35R-Finance - Recession Reserve'!F10</f>
        <v>2798178</v>
      </c>
      <c r="G11" s="267">
        <f>+'35-Finance'!G10+'35CC-Finance - CCP'!G10+'35H-Finance - Hero'!G10+'35I-Finance - Indemnities'!G10+'35R-Finance - Refunds'!G10+'35SD-Finance-School District'!G10+'35W-Finance - Witness Fees'!G10+'35R-Finance - Recession Reserve'!G10</f>
        <v>2644578</v>
      </c>
      <c r="H11" s="267">
        <f>+'35-Finance'!H10+'35CC-Finance - CCP'!H10+'35H-Finance - Hero'!H10+'35I-Finance - Indemnities'!H10+'35R-Finance - Refunds'!H10+'35SD-Finance-School District'!H10+'35W-Finance - Witness Fees'!H10+'35R-Finance - Recession Reserve'!H10</f>
        <v>3341430</v>
      </c>
      <c r="I11" s="274">
        <f>+'35-Finance'!I10+'35CC-Finance - CCP'!I10+'35H-Finance - Hero'!I10+'35I-Finance - Indemnities'!I10+'35R-Finance - Refunds'!I10+'35SD-Finance-School District'!I10+'35W-Finance - Witness Fees'!I10+'35R-Finance - Recession Reserve'!I10</f>
        <v>3341430</v>
      </c>
    </row>
    <row r="12" spans="1:10" x14ac:dyDescent="0.2">
      <c r="A12" s="9" t="s">
        <v>6</v>
      </c>
      <c r="B12" s="269">
        <f>+'35-Finance'!B11+'35CC-Finance - CCP'!B11+'35H-Finance - Hero'!B11+'35I-Finance - Indemnities'!B11+'35R-Finance - Refunds'!B11+'35SD-Finance-School District'!B11+'35W-Finance - Witness Fees'!B11+'35R-Finance - Recession Reserve'!B11</f>
        <v>73980</v>
      </c>
      <c r="C12" s="269">
        <f>+'35-Finance'!C11+'35CC-Finance - CCP'!C11+'35H-Finance - Hero'!C11+'35I-Finance - Indemnities'!C11+'35R-Finance - Refunds'!C11+'35SD-Finance-School District'!C11+'35W-Finance - Witness Fees'!C11+'35R-Finance - Recession Reserve'!C11</f>
        <v>103109</v>
      </c>
      <c r="D12" s="269">
        <f>+'35-Finance'!D11+'35CC-Finance - CCP'!D11+'35H-Finance - Hero'!D11+'35I-Finance - Indemnities'!D11+'35R-Finance - Refunds'!D11+'35SD-Finance-School District'!D11+'35W-Finance - Witness Fees'!D11+'35R-Finance - Recession Reserve'!D11</f>
        <v>103109</v>
      </c>
      <c r="E12" s="566">
        <f>+'35-Finance'!E11+'35CC-Finance - CCP'!E11+'35H-Finance - Hero'!E11+'35I-Finance - Indemnities'!E11+'35R-Finance - Refunds'!E11+'35SD-Finance-School District'!E11+'35W-Finance - Witness Fees'!E11+'35R-Finance - Recession Reserve'!E11</f>
        <v>35616</v>
      </c>
      <c r="F12" s="279">
        <f>+'35-Finance'!F11+'35CC-Finance - CCP'!F11+'35H-Finance - Hero'!F11+'35I-Finance - Indemnities'!F11+'35R-Finance - Refunds'!F11+'35SD-Finance-School District'!F11+'35W-Finance - Witness Fees'!F11+'35R-Finance - Recession Reserve'!F11</f>
        <v>35616</v>
      </c>
      <c r="G12" s="269">
        <f>+'35-Finance'!G11+'35CC-Finance - CCP'!G11+'35H-Finance - Hero'!G11+'35I-Finance - Indemnities'!G11+'35R-Finance - Refunds'!G11+'35SD-Finance-School District'!G11+'35W-Finance - Witness Fees'!G11+'35R-Finance - Recession Reserve'!G11</f>
        <v>35616</v>
      </c>
      <c r="H12" s="269">
        <f>+'35-Finance'!H11+'35CC-Finance - CCP'!H11+'35H-Finance - Hero'!H11+'35I-Finance - Indemnities'!H11+'35R-Finance - Refunds'!H11+'35SD-Finance-School District'!H11+'35W-Finance - Witness Fees'!H11+'35R-Finance - Recession Reserve'!H11</f>
        <v>103109</v>
      </c>
      <c r="I12" s="275">
        <f>+'35-Finance'!I11+'35CC-Finance - CCP'!I11+'35H-Finance - Hero'!I11+'35I-Finance - Indemnities'!I11+'35R-Finance - Refunds'!I11+'35SD-Finance-School District'!I11+'35W-Finance - Witness Fees'!I11+'35R-Finance - Recession Reserve'!I11</f>
        <v>103109</v>
      </c>
    </row>
    <row r="13" spans="1:10" x14ac:dyDescent="0.2">
      <c r="A13" s="10" t="s">
        <v>7</v>
      </c>
      <c r="B13" s="267">
        <f>+'35-Finance'!B12+'35CC-Finance - CCP'!B12+'35H-Finance - Hero'!B12+'35I-Finance - Indemnities'!B12+'35R-Finance - Refunds'!B12+'35SD-Finance-School District'!B12+'35W-Finance - Witness Fees'!B12+'35R-Finance - Recession Reserve'!B12</f>
        <v>219829478</v>
      </c>
      <c r="C13" s="267">
        <f>+'35-Finance'!C12+'35CC-Finance - CCP'!C12+'35H-Finance - Hero'!C12+'35I-Finance - Indemnities'!C12+'35R-Finance - Refunds'!C12+'35SD-Finance-School District'!C12+'35W-Finance - Witness Fees'!C12+'35R-Finance - Recession Reserve'!C12</f>
        <v>310461617</v>
      </c>
      <c r="D13" s="267">
        <f>+'35-Finance'!D12+'35CC-Finance - CCP'!D12+'35H-Finance - Hero'!D12+'35I-Finance - Indemnities'!D12+'35R-Finance - Refunds'!D12+'35SD-Finance-School District'!D12+'35W-Finance - Witness Fees'!D12+'35R-Finance - Recession Reserve'!D12</f>
        <v>313011617</v>
      </c>
      <c r="E13" s="565">
        <f>+'35-Finance'!E12+'35CC-Finance - CCP'!E12+'35H-Finance - Hero'!E12+'35I-Finance - Indemnities'!E12+'35R-Finance - Refunds'!E12+'35SD-Finance-School District'!E12+'35W-Finance - Witness Fees'!E12+'35R-Finance - Recession Reserve'!E12</f>
        <v>347459717</v>
      </c>
      <c r="F13" s="280">
        <f>+'35-Finance'!F12+'35CC-Finance - CCP'!F12+'35H-Finance - Hero'!F12+'35I-Finance - Indemnities'!F12+'35R-Finance - Refunds'!F12+'35SD-Finance-School District'!F12+'35W-Finance - Witness Fees'!F12+'35R-Finance - Recession Reserve'!F12</f>
        <v>368552276</v>
      </c>
      <c r="G13" s="267">
        <f>+'35-Finance'!G12+'35CC-Finance - CCP'!G12+'35H-Finance - Hero'!G12+'35I-Finance - Indemnities'!G12+'35R-Finance - Refunds'!G12+'35SD-Finance-School District'!G12+'35W-Finance - Witness Fees'!G12+'35R-Finance - Recession Reserve'!G12</f>
        <v>383580243</v>
      </c>
      <c r="H13" s="267">
        <f>+'35-Finance'!H12+'35CC-Finance - CCP'!H12+'35H-Finance - Hero'!H12+'35I-Finance - Indemnities'!H12+'35R-Finance - Refunds'!H12+'35SD-Finance-School District'!H12+'35W-Finance - Witness Fees'!H12+'35R-Finance - Recession Reserve'!H12</f>
        <v>392047817</v>
      </c>
      <c r="I13" s="274">
        <f>+'35-Finance'!I12+'35CC-Finance - CCP'!I12+'35H-Finance - Hero'!I12+'35I-Finance - Indemnities'!I12+'35R-Finance - Refunds'!I12+'35SD-Finance-School District'!I12+'35W-Finance - Witness Fees'!I12+'35R-Finance - Recession Reserve'!I12</f>
        <v>391945519</v>
      </c>
    </row>
    <row r="14" spans="1:10" x14ac:dyDescent="0.2">
      <c r="A14" s="9" t="s">
        <v>8</v>
      </c>
      <c r="B14" s="269">
        <f>+'35-Finance'!B13+'35CC-Finance - CCP'!B13+'35H-Finance - Hero'!B13+'35I-Finance - Indemnities'!B13+'35R-Finance - Refunds'!B13+'35SD-Finance-School District'!B13+'35W-Finance - Witness Fees'!B13+'35R-Finance - Recession Reserve'!B13</f>
        <v>0</v>
      </c>
      <c r="C14" s="269">
        <f>+'35-Finance'!C13+'35CC-Finance - CCP'!C13+'35H-Finance - Hero'!C13+'35I-Finance - Indemnities'!C13+'35R-Finance - Refunds'!C13+'35SD-Finance-School District'!C13+'35W-Finance - Witness Fees'!C13+'35R-Finance - Recession Reserve'!C13</f>
        <v>0</v>
      </c>
      <c r="D14" s="269">
        <f>+'35-Finance'!D13+'35CC-Finance - CCP'!D13+'35H-Finance - Hero'!D13+'35I-Finance - Indemnities'!D13+'35R-Finance - Refunds'!D13+'35SD-Finance-School District'!D13+'35W-Finance - Witness Fees'!D13+'35R-Finance - Recession Reserve'!D13</f>
        <v>0</v>
      </c>
      <c r="E14" s="566">
        <f>+'35-Finance'!E13+'35CC-Finance - CCP'!E13+'35H-Finance - Hero'!E13+'35I-Finance - Indemnities'!E13+'35R-Finance - Refunds'!E13+'35SD-Finance-School District'!E13+'35W-Finance - Witness Fees'!E13+'35R-Finance - Recession Reserve'!E13</f>
        <v>0</v>
      </c>
      <c r="F14" s="279">
        <f>+'35-Finance'!F13+'35CC-Finance - CCP'!F13+'35H-Finance - Hero'!F13+'35I-Finance - Indemnities'!F13+'35R-Finance - Refunds'!F13+'35SD-Finance-School District'!F13+'35W-Finance - Witness Fees'!F13+'35R-Finance - Recession Reserve'!F13</f>
        <v>0</v>
      </c>
      <c r="G14" s="269">
        <f>+'35-Finance'!G13+'35CC-Finance - CCP'!G13+'35H-Finance - Hero'!G13+'35I-Finance - Indemnities'!G13+'35R-Finance - Refunds'!G13+'35SD-Finance-School District'!G13+'35W-Finance - Witness Fees'!G13+'35R-Finance - Recession Reserve'!G13</f>
        <v>0</v>
      </c>
      <c r="H14" s="269">
        <f>+'35-Finance'!H13+'35CC-Finance - CCP'!H13+'35H-Finance - Hero'!H13+'35I-Finance - Indemnities'!H13+'35R-Finance - Refunds'!H13+'35SD-Finance-School District'!H13+'35W-Finance - Witness Fees'!H13+'35R-Finance - Recession Reserve'!H13</f>
        <v>0</v>
      </c>
      <c r="I14" s="275">
        <f>+'35-Finance'!I13+'35CC-Finance - CCP'!I13+'35H-Finance - Hero'!I13+'35I-Finance - Indemnities'!I13+'35R-Finance - Refunds'!I13+'35SD-Finance-School District'!I13+'35W-Finance - Witness Fees'!I13+'35R-Finance - Recession Reserve'!I13</f>
        <v>0</v>
      </c>
    </row>
    <row r="15" spans="1:10" x14ac:dyDescent="0.2">
      <c r="A15" s="10" t="s">
        <v>9</v>
      </c>
      <c r="B15" s="267">
        <f>+'35-Finance'!B14+'35CC-Finance - CCP'!B14+'35H-Finance - Hero'!B14+'35I-Finance - Indemnities'!B14+'35R-Finance - Refunds'!B14+'35SD-Finance-School District'!B14+'35W-Finance - Witness Fees'!B14+'35R-Finance - Recession Reserve'!B14+'35BS-Finance-BudgetStabilizat''n'!B14</f>
        <v>141193804</v>
      </c>
      <c r="C15" s="267">
        <f>+'35-Finance'!C14+'35CC-Finance - CCP'!C14+'35H-Finance - Hero'!C14+'35I-Finance - Indemnities'!C14+'35R-Finance - Refunds'!C14+'35SD-Finance-School District'!C14+'35W-Finance - Witness Fees'!C14+'35R-Finance - Recession Reserve'!C14+'35BS-Finance-BudgetStabilizat''n'!C14</f>
        <v>62561000</v>
      </c>
      <c r="D15" s="267">
        <f>+'35-Finance'!D14+'35CC-Finance - CCP'!D14+'35H-Finance - Hero'!D14+'35I-Finance - Indemnities'!D14+'35R-Finance - Refunds'!D14+'35SD-Finance-School District'!D14+'35W-Finance - Witness Fees'!D14+'35R-Finance - Recession Reserve'!D14+'35BS-Finance-BudgetStabilizat''n'!D14</f>
        <v>67561000</v>
      </c>
      <c r="E15" s="565">
        <f>+'35-Finance'!E14+'35CC-Finance - CCP'!E14+'35H-Finance - Hero'!E14+'35I-Finance - Indemnities'!E14+'35R-Finance - Refunds'!E14+'35SD-Finance-School District'!E14+'35W-Finance - Witness Fees'!E14+'35R-Finance - Recession Reserve'!E14+'35BS-Finance-BudgetStabilizat''n'!E14</f>
        <v>24500000</v>
      </c>
      <c r="F15" s="280">
        <f>+'35-Finance'!F14+'35CC-Finance - CCP'!F14+'35H-Finance - Hero'!F14+'35I-Finance - Indemnities'!F14+'35R-Finance - Refunds'!F14+'35SD-Finance-School District'!F14+'35W-Finance - Witness Fees'!F14+'35R-Finance - Recession Reserve'!F14+'35BS-Finance-BudgetStabilizat''n'!F14</f>
        <v>14110000</v>
      </c>
      <c r="G15" s="267">
        <f>+'35-Finance'!G14+'35CC-Finance - CCP'!G14+'35H-Finance - Hero'!G14+'35I-Finance - Indemnities'!G14+'35R-Finance - Refunds'!G14+'35SD-Finance-School District'!G14+'35W-Finance - Witness Fees'!G14+'35R-Finance - Recession Reserve'!G14+'35BS-Finance-BudgetStabilizat''n'!G14</f>
        <v>16022000</v>
      </c>
      <c r="H15" s="267">
        <f>+'35-Finance'!H14+'35CC-Finance - CCP'!H14+'35H-Finance - Hero'!H14+'35I-Finance - Indemnities'!H14+'35R-Finance - Refunds'!H14+'35SD-Finance-School District'!H14+'35W-Finance - Witness Fees'!H14+'35R-Finance - Recession Reserve'!H14+'35BS-Finance-BudgetStabilizat''n'!H14</f>
        <v>22458000</v>
      </c>
      <c r="I15" s="274">
        <f>+'35-Finance'!I14+'35CC-Finance - CCP'!I14+'35H-Finance - Hero'!I14+'35I-Finance - Indemnities'!I14+'35R-Finance - Refunds'!I14+'35SD-Finance-School District'!I14+'35W-Finance - Witness Fees'!I14+'35R-Finance - Recession Reserve'!I14+'35BS-Finance-BudgetStabilizat''n'!I14</f>
        <v>61095000</v>
      </c>
    </row>
    <row r="16" spans="1:10" ht="16" thickBot="1" x14ac:dyDescent="0.25">
      <c r="A16" s="11" t="s">
        <v>10</v>
      </c>
      <c r="B16" s="271">
        <f>+'35-Finance'!B15+'35CC-Finance - CCP'!B15+'35H-Finance - Hero'!B15+'35I-Finance - Indemnities'!B15+'35R-Finance - Refunds'!B15+'35SD-Finance-School District'!B15+'35W-Finance - Witness Fees'!B15+'35R-Finance - Recession Reserve'!B15</f>
        <v>0</v>
      </c>
      <c r="C16" s="271">
        <f>+'35-Finance'!C15+'35CC-Finance - CCP'!C15+'35H-Finance - Hero'!C15+'35I-Finance - Indemnities'!C15+'35R-Finance - Refunds'!C15+'35SD-Finance-School District'!C15+'35W-Finance - Witness Fees'!C15+'35R-Finance - Recession Reserve'!C15</f>
        <v>55108000</v>
      </c>
      <c r="D16" s="271">
        <f>+'35-Finance'!D15+'35CC-Finance - CCP'!D15+'35H-Finance - Hero'!D15+'35I-Finance - Indemnities'!D15+'35R-Finance - Refunds'!D15+'35SD-Finance-School District'!D15+'35W-Finance - Witness Fees'!D15+'35R-Finance - Recession Reserve'!D15</f>
        <v>18403000</v>
      </c>
      <c r="E16" s="567">
        <f>+'35-Finance'!E15+'35CC-Finance - CCP'!E15+'35H-Finance - Hero'!E15+'35I-Finance - Indemnities'!E15+'35R-Finance - Refunds'!E15+'35SD-Finance-School District'!E15+'35W-Finance - Witness Fees'!E15+'35R-Finance - Recession Reserve'!E15</f>
        <v>25000000</v>
      </c>
      <c r="F16" s="271">
        <f>+'35-Finance'!F15+'35CC-Finance - CCP'!F15+'35H-Finance - Hero'!F15+'35I-Finance - Indemnities'!F15+'35R-Finance - Refunds'!F15+'35SD-Finance-School District'!F15+'35W-Finance - Witness Fees'!F15+'35R-Finance - Recession Reserve'!F15</f>
        <v>55000000</v>
      </c>
      <c r="G16" s="271">
        <f>+'35-Finance'!G15+'35CC-Finance - CCP'!G15+'35H-Finance - Hero'!G15+'35I-Finance - Indemnities'!G15+'35R-Finance - Refunds'!G15+'35SD-Finance-School District'!G15+'35W-Finance - Witness Fees'!G15+'35R-Finance - Recession Reserve'!G15</f>
        <v>30000000</v>
      </c>
      <c r="H16" s="271">
        <f>+'35-Finance'!H15+'35CC-Finance - CCP'!H15+'35H-Finance - Hero'!H15+'35I-Finance - Indemnities'!H15+'35R-Finance - Refunds'!H15+'35SD-Finance-School District'!H15+'35W-Finance - Witness Fees'!H15+'35R-Finance - Recession Reserve'!H15</f>
        <v>25000000</v>
      </c>
      <c r="I16" s="276">
        <f>+'35-Finance'!I15+'35CC-Finance - CCP'!I15+'35H-Finance - Hero'!I15+'35I-Finance - Indemnities'!I15+'35R-Finance - Refunds'!I15+'35SD-Finance-School District'!I15+'35W-Finance - Witness Fees'!I15+'35R-Finance - Recession Reserve'!I15</f>
        <v>25000000</v>
      </c>
    </row>
    <row r="17" spans="1:10" ht="16" thickBot="1" x14ac:dyDescent="0.25">
      <c r="A17" s="4" t="s">
        <v>11</v>
      </c>
      <c r="B17" s="40">
        <f>SUM(B9:B16)</f>
        <v>1745260567</v>
      </c>
      <c r="C17" s="40">
        <f t="shared" ref="C17:I17" si="0">SUM(C9:C16)</f>
        <v>1855132471</v>
      </c>
      <c r="D17" s="40">
        <f t="shared" si="0"/>
        <v>1762827022</v>
      </c>
      <c r="E17" s="574">
        <f t="shared" si="0"/>
        <v>1699914910</v>
      </c>
      <c r="F17" s="40">
        <f t="shared" si="0"/>
        <v>1875528421</v>
      </c>
      <c r="G17" s="40">
        <f t="shared" si="0"/>
        <v>1920599545</v>
      </c>
      <c r="H17" s="40">
        <f t="shared" si="0"/>
        <v>1987233890</v>
      </c>
      <c r="I17" s="40">
        <f t="shared" si="0"/>
        <v>2077890466</v>
      </c>
    </row>
    <row r="19" spans="1:10" ht="16" thickBot="1" x14ac:dyDescent="0.25">
      <c r="A19" s="60" t="s">
        <v>12</v>
      </c>
      <c r="B19" s="60"/>
      <c r="C19" s="60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193"/>
      <c r="B20" s="193"/>
      <c r="C20" s="193"/>
      <c r="D20" s="193"/>
      <c r="E20" s="193"/>
      <c r="F20" s="193"/>
      <c r="G20" s="193"/>
      <c r="H20" s="193"/>
      <c r="I20" s="193"/>
    </row>
    <row r="21" spans="1:10" ht="13" customHeight="1" x14ac:dyDescent="0.2">
      <c r="A21" s="828" t="s">
        <v>498</v>
      </c>
      <c r="B21" s="71">
        <v>1732895935</v>
      </c>
      <c r="C21" s="72"/>
      <c r="D21" s="73"/>
      <c r="E21" s="73"/>
      <c r="F21" s="73"/>
      <c r="G21" s="74"/>
      <c r="H21" s="74"/>
      <c r="I21" s="74"/>
      <c r="J21" s="17"/>
    </row>
    <row r="22" spans="1:10" ht="13" customHeight="1" x14ac:dyDescent="0.2">
      <c r="A22" s="829" t="s">
        <v>499</v>
      </c>
      <c r="B22" s="71">
        <f>+B21-B17</f>
        <v>-12364632</v>
      </c>
      <c r="C22" s="72"/>
      <c r="D22" s="73"/>
      <c r="E22" s="73"/>
      <c r="F22" s="73"/>
      <c r="G22" s="74"/>
      <c r="H22" s="74"/>
      <c r="I22" s="74"/>
      <c r="J22" s="17"/>
    </row>
    <row r="23" spans="1:10" s="59" customFormat="1" ht="13" customHeight="1" x14ac:dyDescent="0.2">
      <c r="A23" s="78"/>
      <c r="B23" s="71"/>
      <c r="C23" s="72"/>
      <c r="D23" s="73"/>
      <c r="E23" s="73"/>
      <c r="F23" s="73"/>
      <c r="G23" s="74"/>
      <c r="H23" s="74"/>
      <c r="I23" s="74"/>
      <c r="J23" s="82"/>
    </row>
    <row r="24" spans="1:10" ht="13" customHeight="1" x14ac:dyDescent="0.2">
      <c r="A24" s="82"/>
      <c r="B24" s="82"/>
      <c r="C24" s="82"/>
      <c r="D24" s="82"/>
      <c r="E24" s="82"/>
      <c r="F24" s="82"/>
      <c r="G24" s="82"/>
      <c r="H24" s="82"/>
      <c r="I24" s="82"/>
      <c r="J24" s="17"/>
    </row>
    <row r="25" spans="1:10" s="59" customFormat="1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82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2"/>
      <c r="D34" s="73"/>
      <c r="E34" s="73"/>
      <c r="F34" s="73"/>
      <c r="G34" s="73"/>
      <c r="H34" s="73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78"/>
      <c r="B43" s="79"/>
      <c r="C43" s="76"/>
      <c r="D43" s="74"/>
      <c r="E43" s="74"/>
      <c r="F43" s="74"/>
      <c r="G43" s="74"/>
      <c r="H43" s="74"/>
      <c r="I43" s="74"/>
      <c r="J43" s="17"/>
    </row>
    <row r="44" spans="1:10" ht="13" customHeight="1" x14ac:dyDescent="0.2">
      <c r="A44" s="80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1"/>
      <c r="C46" s="72"/>
      <c r="D46" s="73"/>
      <c r="E46" s="73"/>
      <c r="F46" s="73"/>
      <c r="G46" s="74"/>
      <c r="H46" s="74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2"/>
      <c r="D57" s="73"/>
      <c r="E57" s="73"/>
      <c r="F57" s="73"/>
      <c r="G57" s="73"/>
      <c r="H57" s="73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  <row r="61" spans="1:10" x14ac:dyDescent="0.2">
      <c r="A61" s="84"/>
      <c r="B61" s="85"/>
      <c r="C61" s="75"/>
      <c r="D61" s="70"/>
      <c r="E61" s="70"/>
      <c r="F61" s="70"/>
      <c r="G61" s="70"/>
      <c r="H61" s="70"/>
      <c r="I61" s="70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83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1">
    <pageSetUpPr fitToPage="1"/>
  </sheetPr>
  <dimension ref="A1:J60"/>
  <sheetViews>
    <sheetView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83" t="s">
        <v>14</v>
      </c>
      <c r="B6" s="33">
        <v>25</v>
      </c>
      <c r="C6" s="963" t="s">
        <v>204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6">
        <f>+'25-Fleet'!B9+'25V-Fleet - Vehicle'!B9</f>
        <v>18501080</v>
      </c>
      <c r="C9" s="279">
        <f>+'25-Fleet'!C9+'25V-Fleet - Vehicle'!C9</f>
        <v>19416871</v>
      </c>
      <c r="D9" s="265">
        <f>+'25-Fleet'!D9+'25V-Fleet - Vehicle'!D9</f>
        <v>19599366</v>
      </c>
      <c r="E9" s="566">
        <f>+'25-Fleet'!E9+'25V-Fleet - Vehicle'!E9</f>
        <v>19073455</v>
      </c>
      <c r="F9" s="556">
        <f>+'25-Fleet'!F9+'25V-Fleet - Vehicle'!F9</f>
        <v>19090680</v>
      </c>
      <c r="G9" s="265">
        <f>+'25-Fleet'!G9+'25V-Fleet - Vehicle'!G9</f>
        <v>19090680</v>
      </c>
      <c r="H9" s="265">
        <f>+'25-Fleet'!H9+'25V-Fleet - Vehicle'!H9</f>
        <v>19839968</v>
      </c>
      <c r="I9" s="282">
        <f>+'25-Fleet'!I9+'25V-Fleet - Vehicle'!I9</f>
        <v>19839968</v>
      </c>
    </row>
    <row r="10" spans="1:10" x14ac:dyDescent="0.2">
      <c r="A10" s="10" t="s">
        <v>5</v>
      </c>
      <c r="B10" s="268">
        <f>+'25-Fleet'!B10+'25V-Fleet - Vehicle'!B10</f>
        <v>5674493</v>
      </c>
      <c r="C10" s="280">
        <f>+'25-Fleet'!C10+'25V-Fleet - Vehicle'!C10</f>
        <v>5305396</v>
      </c>
      <c r="D10" s="267">
        <f>+'25-Fleet'!D10+'25V-Fleet - Vehicle'!D10</f>
        <v>5305396</v>
      </c>
      <c r="E10" s="565">
        <f>+'25-Fleet'!E10+'25V-Fleet - Vehicle'!E10</f>
        <v>5353396</v>
      </c>
      <c r="F10" s="280">
        <f>+'25-Fleet'!F10+'25V-Fleet - Vehicle'!F10</f>
        <v>5401396</v>
      </c>
      <c r="G10" s="267">
        <f>+'25-Fleet'!G10+'25V-Fleet - Vehicle'!G10</f>
        <v>5449396</v>
      </c>
      <c r="H10" s="267">
        <f>+'25-Fleet'!H10+'25V-Fleet - Vehicle'!H10</f>
        <v>5449396</v>
      </c>
      <c r="I10" s="274">
        <f>+'25-Fleet'!I10+'25V-Fleet - Vehicle'!I10</f>
        <v>5449396</v>
      </c>
    </row>
    <row r="11" spans="1:10" x14ac:dyDescent="0.2">
      <c r="A11" s="9" t="s">
        <v>6</v>
      </c>
      <c r="B11" s="270">
        <f>+'25-Fleet'!B11+'25V-Fleet - Vehicle'!B11</f>
        <v>40118034</v>
      </c>
      <c r="C11" s="279">
        <f>+'25-Fleet'!C11+'25V-Fleet - Vehicle'!C11</f>
        <v>42678316</v>
      </c>
      <c r="D11" s="269">
        <f>+'25-Fleet'!D11+'25V-Fleet - Vehicle'!D11</f>
        <v>42678316</v>
      </c>
      <c r="E11" s="566">
        <f>+'25-Fleet'!E11+'25V-Fleet - Vehicle'!E11</f>
        <v>32174612</v>
      </c>
      <c r="F11" s="279">
        <f>+'25-Fleet'!F11+'25V-Fleet - Vehicle'!F11</f>
        <v>32174612</v>
      </c>
      <c r="G11" s="269">
        <f>+'25-Fleet'!G11+'25V-Fleet - Vehicle'!G11</f>
        <v>32174612</v>
      </c>
      <c r="H11" s="269">
        <f>+'25-Fleet'!H11+'25V-Fleet - Vehicle'!H11</f>
        <v>41260950</v>
      </c>
      <c r="I11" s="275">
        <f>+'25-Fleet'!I11+'25V-Fleet - Vehicle'!I11</f>
        <v>41260950</v>
      </c>
    </row>
    <row r="12" spans="1:10" x14ac:dyDescent="0.2">
      <c r="A12" s="10" t="s">
        <v>7</v>
      </c>
      <c r="B12" s="268">
        <f>+'25-Fleet'!B12+'25V-Fleet - Vehicle'!B12</f>
        <v>10000</v>
      </c>
      <c r="C12" s="280">
        <f>+'25-Fleet'!C12+'25V-Fleet - Vehicle'!C12</f>
        <v>0</v>
      </c>
      <c r="D12" s="267">
        <f>+'25-Fleet'!D12+'25V-Fleet - Vehicle'!D12</f>
        <v>0</v>
      </c>
      <c r="E12" s="565">
        <f>+'25-Fleet'!E12+'25V-Fleet - Vehicle'!E12</f>
        <v>0</v>
      </c>
      <c r="F12" s="280">
        <f>+'25-Fleet'!F12+'25V-Fleet - Vehicle'!F12</f>
        <v>0</v>
      </c>
      <c r="G12" s="267">
        <f>+'25-Fleet'!G12+'25V-Fleet - Vehicle'!G12</f>
        <v>0</v>
      </c>
      <c r="H12" s="267">
        <f>+'25-Fleet'!H12+'25V-Fleet - Vehicle'!H12</f>
        <v>0</v>
      </c>
      <c r="I12" s="274">
        <f>+'25-Fleet'!I12+'25V-Fleet - Vehicle'!I12</f>
        <v>0</v>
      </c>
    </row>
    <row r="13" spans="1:10" x14ac:dyDescent="0.2">
      <c r="A13" s="9" t="s">
        <v>8</v>
      </c>
      <c r="B13" s="270">
        <f>+'25-Fleet'!B13+'25V-Fleet - Vehicle'!B13</f>
        <v>0</v>
      </c>
      <c r="C13" s="279">
        <f>+'25-Fleet'!C13+'25V-Fleet - Vehicle'!C13</f>
        <v>0</v>
      </c>
      <c r="D13" s="269">
        <f>+'25-Fleet'!D13+'25V-Fleet - Vehicle'!D13</f>
        <v>0</v>
      </c>
      <c r="E13" s="566">
        <f>+'25-Fleet'!E13+'25V-Fleet - Vehicle'!E13</f>
        <v>0</v>
      </c>
      <c r="F13" s="279">
        <f>+'25-Fleet'!F13+'25V-Fleet - Vehicle'!F13</f>
        <v>0</v>
      </c>
      <c r="G13" s="269">
        <f>+'25-Fleet'!G13+'25V-Fleet - Vehicle'!G13</f>
        <v>0</v>
      </c>
      <c r="H13" s="269">
        <f>+'25-Fleet'!H13+'25V-Fleet - Vehicle'!H13</f>
        <v>0</v>
      </c>
      <c r="I13" s="275">
        <f>+'25-Fleet'!I13+'25V-Fleet - Vehicle'!I13</f>
        <v>0</v>
      </c>
    </row>
    <row r="14" spans="1:10" x14ac:dyDescent="0.2">
      <c r="A14" s="10" t="s">
        <v>9</v>
      </c>
      <c r="B14" s="268">
        <f>+'25-Fleet'!B14+'25V-Fleet - Vehicle'!B14</f>
        <v>0</v>
      </c>
      <c r="C14" s="280">
        <f>+'25-Fleet'!C14+'25V-Fleet - Vehicle'!C14</f>
        <v>0</v>
      </c>
      <c r="D14" s="267">
        <f>+'25-Fleet'!D14+'25V-Fleet - Vehicle'!D14</f>
        <v>0</v>
      </c>
      <c r="E14" s="565">
        <f>+'25-Fleet'!E14+'25V-Fleet - Vehicle'!E14</f>
        <v>0</v>
      </c>
      <c r="F14" s="280">
        <f>+'25-Fleet'!F14+'25V-Fleet - Vehicle'!F14</f>
        <v>0</v>
      </c>
      <c r="G14" s="267">
        <f>+'25-Fleet'!G14+'25V-Fleet - Vehicle'!G14</f>
        <v>0</v>
      </c>
      <c r="H14" s="267">
        <f>+'25-Fleet'!H14+'25V-Fleet - Vehicle'!H14</f>
        <v>0</v>
      </c>
      <c r="I14" s="274">
        <f>+'25-Fleet'!I14+'25V-Fleet - Vehicle'!I14</f>
        <v>0</v>
      </c>
    </row>
    <row r="15" spans="1:10" ht="16" thickBot="1" x14ac:dyDescent="0.25">
      <c r="A15" s="11" t="s">
        <v>10</v>
      </c>
      <c r="B15" s="272">
        <f>+'25-Fleet'!B15+'25V-Fleet - Vehicle'!B15</f>
        <v>0</v>
      </c>
      <c r="C15" s="281">
        <f>+'25-Fleet'!C15+'25V-Fleet - Vehicle'!C15</f>
        <v>0</v>
      </c>
      <c r="D15" s="271">
        <f>+'25-Fleet'!D15+'25V-Fleet - Vehicle'!D15</f>
        <v>0</v>
      </c>
      <c r="E15" s="567">
        <f>+'25-Fleet'!E15+'25V-Fleet - Vehicle'!E15</f>
        <v>0</v>
      </c>
      <c r="F15" s="281">
        <f>+'25-Fleet'!F15+'25V-Fleet - Vehicle'!F15</f>
        <v>0</v>
      </c>
      <c r="G15" s="271">
        <f>+'25-Fleet'!G15+'25V-Fleet - Vehicle'!G15</f>
        <v>0</v>
      </c>
      <c r="H15" s="271">
        <f>+'25-Fleet'!H15+'25V-Fleet - Vehicle'!H15</f>
        <v>0</v>
      </c>
      <c r="I15" s="276">
        <f>+'25-Fleet'!I15+'25V-Fleet - Vehicle'!I15</f>
        <v>0</v>
      </c>
    </row>
    <row r="16" spans="1:10" ht="16" thickBot="1" x14ac:dyDescent="0.25">
      <c r="A16" s="4" t="s">
        <v>11</v>
      </c>
      <c r="B16" s="40">
        <f>SUM(B9:B15)</f>
        <v>64303607</v>
      </c>
      <c r="C16" s="40">
        <f t="shared" ref="C16:I16" si="0">SUM(C9:C15)</f>
        <v>67400583</v>
      </c>
      <c r="D16" s="40">
        <f t="shared" si="0"/>
        <v>67583078</v>
      </c>
      <c r="E16" s="573">
        <f t="shared" si="0"/>
        <v>56601463</v>
      </c>
      <c r="F16" s="40">
        <f t="shared" si="0"/>
        <v>56666688</v>
      </c>
      <c r="G16" s="40">
        <f t="shared" si="0"/>
        <v>56714688</v>
      </c>
      <c r="H16" s="40">
        <f t="shared" si="0"/>
        <v>66550314</v>
      </c>
      <c r="I16" s="40">
        <f t="shared" si="0"/>
        <v>66550314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3">
    <pageSetUpPr fitToPage="1"/>
  </sheetPr>
  <dimension ref="A1:J60"/>
  <sheetViews>
    <sheetView view="pageBreakPreview" zoomScale="90" zoomScaleNormal="9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174</v>
      </c>
      <c r="C6" s="963" t="s">
        <v>188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6">
        <f>+'10-MDO'!B9+'10LS-MDO-Legal Svcs'!B9</f>
        <v>20519487</v>
      </c>
      <c r="C9" s="279">
        <f>+'10-MDO'!C9+'10LS-MDO-Legal Svcs'!C9</f>
        <v>23170579</v>
      </c>
      <c r="D9" s="265">
        <f>+'10-MDO'!D9+'10LS-MDO-Legal Svcs'!D9</f>
        <v>50147542</v>
      </c>
      <c r="E9" s="566">
        <f>+'10-MDO'!E9+'10LS-MDO-Legal Svcs'!E9</f>
        <v>36119907</v>
      </c>
      <c r="F9" s="556">
        <f>+'10-MDO'!F9+'10LS-MDO-Legal Svcs'!F9</f>
        <v>36216142</v>
      </c>
      <c r="G9" s="265">
        <f>+'10-MDO'!G9+'10LS-MDO-Legal Svcs'!G9</f>
        <v>36444735</v>
      </c>
      <c r="H9" s="265">
        <f>+'10-MDO'!H9+'10LS-MDO-Legal Svcs'!H9</f>
        <v>41732760</v>
      </c>
      <c r="I9" s="282">
        <f>+'10-MDO'!I9+'10LS-MDO-Legal Svcs'!I9</f>
        <v>41770105</v>
      </c>
    </row>
    <row r="10" spans="1:10" x14ac:dyDescent="0.2">
      <c r="A10" s="10" t="s">
        <v>5</v>
      </c>
      <c r="B10" s="268">
        <f>+'10-MDO'!B10+'10LS-MDO-Legal Svcs'!B10</f>
        <v>75263828</v>
      </c>
      <c r="C10" s="280">
        <f>+'10-MDO'!C10+'10LS-MDO-Legal Svcs'!C10</f>
        <v>81911703</v>
      </c>
      <c r="D10" s="267">
        <f>+'10-MDO'!D10+'10LS-MDO-Legal Svcs'!D10</f>
        <v>110058204</v>
      </c>
      <c r="E10" s="565">
        <f>+'10-MDO'!E10+'10LS-MDO-Legal Svcs'!E10</f>
        <v>81692731</v>
      </c>
      <c r="F10" s="280">
        <f>+'10-MDO'!F10+'10LS-MDO-Legal Svcs'!F10</f>
        <v>82836119</v>
      </c>
      <c r="G10" s="267">
        <f>+'10-MDO'!G10+'10LS-MDO-Legal Svcs'!G10</f>
        <v>82858621</v>
      </c>
      <c r="H10" s="267">
        <f>+'10-MDO'!H10+'10LS-MDO-Legal Svcs'!H10</f>
        <v>93717295</v>
      </c>
      <c r="I10" s="274">
        <f>+'10-MDO'!I10+'10LS-MDO-Legal Svcs'!I10</f>
        <v>93717295</v>
      </c>
    </row>
    <row r="11" spans="1:10" x14ac:dyDescent="0.2">
      <c r="A11" s="9" t="s">
        <v>6</v>
      </c>
      <c r="B11" s="270">
        <f>+'10-MDO'!B11+'10LS-MDO-Legal Svcs'!B11</f>
        <v>837796</v>
      </c>
      <c r="C11" s="279">
        <f>+'10-MDO'!C11+'10LS-MDO-Legal Svcs'!C11</f>
        <v>1136979</v>
      </c>
      <c r="D11" s="269">
        <f>+'10-MDO'!D11+'10LS-MDO-Legal Svcs'!D11</f>
        <v>41339979</v>
      </c>
      <c r="E11" s="566">
        <f>+'10-MDO'!E11+'10LS-MDO-Legal Svcs'!E11</f>
        <v>1556787</v>
      </c>
      <c r="F11" s="279">
        <f>+'10-MDO'!F11+'10LS-MDO-Legal Svcs'!F11</f>
        <v>1190059</v>
      </c>
      <c r="G11" s="269">
        <f>+'10-MDO'!G11+'10LS-MDO-Legal Svcs'!G11</f>
        <v>1190059</v>
      </c>
      <c r="H11" s="269">
        <f>+'10-MDO'!H11+'10LS-MDO-Legal Svcs'!H11</f>
        <v>1598979</v>
      </c>
      <c r="I11" s="275">
        <f>+'10-MDO'!I11+'10LS-MDO-Legal Svcs'!I11</f>
        <v>1598979</v>
      </c>
    </row>
    <row r="12" spans="1:10" x14ac:dyDescent="0.2">
      <c r="A12" s="10" t="s">
        <v>7</v>
      </c>
      <c r="B12" s="268">
        <f>+'10-MDO'!B12+'10LS-MDO-Legal Svcs'!B12</f>
        <v>258205</v>
      </c>
      <c r="C12" s="280">
        <f>+'10-MDO'!C12+'10LS-MDO-Legal Svcs'!C12</f>
        <v>0</v>
      </c>
      <c r="D12" s="267">
        <f>+'10-MDO'!D12+'10LS-MDO-Legal Svcs'!D12</f>
        <v>10000000</v>
      </c>
      <c r="E12" s="565">
        <f>+'10-MDO'!E12+'10LS-MDO-Legal Svcs'!E12</f>
        <v>1350000</v>
      </c>
      <c r="F12" s="280">
        <f>+'10-MDO'!F12+'10LS-MDO-Legal Svcs'!F12</f>
        <v>1350000</v>
      </c>
      <c r="G12" s="267">
        <f>+'10-MDO'!G12+'10LS-MDO-Legal Svcs'!G12</f>
        <v>1350000</v>
      </c>
      <c r="H12" s="267">
        <f>+'10-MDO'!H12+'10LS-MDO-Legal Svcs'!H12</f>
        <v>1350000</v>
      </c>
      <c r="I12" s="274">
        <f>+'10-MDO'!I12+'10LS-MDO-Legal Svcs'!I12</f>
        <v>1350000</v>
      </c>
    </row>
    <row r="13" spans="1:10" x14ac:dyDescent="0.2">
      <c r="A13" s="9" t="s">
        <v>8</v>
      </c>
      <c r="B13" s="270">
        <f>+'10-MDO'!B13+'10LS-MDO-Legal Svcs'!B13</f>
        <v>0</v>
      </c>
      <c r="C13" s="279">
        <f>+'10-MDO'!C13+'10LS-MDO-Legal Svcs'!C13</f>
        <v>0</v>
      </c>
      <c r="D13" s="269">
        <f>+'10-MDO'!D13+'10LS-MDO-Legal Svcs'!D13</f>
        <v>0</v>
      </c>
      <c r="E13" s="566">
        <f>+'10-MDO'!E13+'10LS-MDO-Legal Svcs'!E13</f>
        <v>0</v>
      </c>
      <c r="F13" s="279">
        <f>+'10-MDO'!F13+'10LS-MDO-Legal Svcs'!F13</f>
        <v>0</v>
      </c>
      <c r="G13" s="269">
        <f>+'10-MDO'!G13+'10LS-MDO-Legal Svcs'!G13</f>
        <v>0</v>
      </c>
      <c r="H13" s="269">
        <f>+'10-MDO'!H13+'10LS-MDO-Legal Svcs'!H13</f>
        <v>0</v>
      </c>
      <c r="I13" s="275">
        <f>+'10-MDO'!I13+'10LS-MDO-Legal Svcs'!I13</f>
        <v>0</v>
      </c>
    </row>
    <row r="14" spans="1:10" x14ac:dyDescent="0.2">
      <c r="A14" s="10" t="s">
        <v>9</v>
      </c>
      <c r="B14" s="268">
        <f>+'10-MDO'!B14+'10LS-MDO-Legal Svcs'!B14</f>
        <v>0</v>
      </c>
      <c r="C14" s="280">
        <f>+'10-MDO'!C14+'10LS-MDO-Legal Svcs'!C14</f>
        <v>0</v>
      </c>
      <c r="D14" s="267">
        <f>+'10-MDO'!D14+'10LS-MDO-Legal Svcs'!D14</f>
        <v>0</v>
      </c>
      <c r="E14" s="565">
        <f>+'10-MDO'!E14+'10LS-MDO-Legal Svcs'!E14</f>
        <v>0</v>
      </c>
      <c r="F14" s="280">
        <f>+'10-MDO'!F14+'10LS-MDO-Legal Svcs'!F14</f>
        <v>0</v>
      </c>
      <c r="G14" s="267">
        <f>+'10-MDO'!G14+'10LS-MDO-Legal Svcs'!G14</f>
        <v>0</v>
      </c>
      <c r="H14" s="267">
        <f>+'10-MDO'!H14+'10LS-MDO-Legal Svcs'!H14</f>
        <v>0</v>
      </c>
      <c r="I14" s="274">
        <f>+'10-MDO'!I14+'10LS-MDO-Legal Svcs'!I14</f>
        <v>0</v>
      </c>
    </row>
    <row r="15" spans="1:10" ht="16" thickBot="1" x14ac:dyDescent="0.25">
      <c r="A15" s="11" t="s">
        <v>10</v>
      </c>
      <c r="B15" s="272">
        <f>+'10-MDO'!B15+'10LS-MDO-Legal Svcs'!B15</f>
        <v>0</v>
      </c>
      <c r="C15" s="281">
        <f>+'10-MDO'!C15+'10LS-MDO-Legal Svcs'!C15</f>
        <v>0</v>
      </c>
      <c r="D15" s="271">
        <f>+'10-MDO'!D15+'10LS-MDO-Legal Svcs'!D15</f>
        <v>0</v>
      </c>
      <c r="E15" s="567">
        <f>+'10-MDO'!E15+'10LS-MDO-Legal Svcs'!E15</f>
        <v>0</v>
      </c>
      <c r="F15" s="281">
        <f>+'10-MDO'!F15+'10LS-MDO-Legal Svcs'!F15</f>
        <v>0</v>
      </c>
      <c r="G15" s="271">
        <f>+'10-MDO'!G15+'10LS-MDO-Legal Svcs'!G15</f>
        <v>0</v>
      </c>
      <c r="H15" s="271">
        <f>+'10-MDO'!H15+'10LS-MDO-Legal Svcs'!H15</f>
        <v>0</v>
      </c>
      <c r="I15" s="276">
        <f>+'10-MDO'!I15+'10LS-MDO-Legal Svcs'!I15</f>
        <v>0</v>
      </c>
    </row>
    <row r="16" spans="1:10" ht="16" thickBot="1" x14ac:dyDescent="0.25">
      <c r="A16" s="4" t="s">
        <v>11</v>
      </c>
      <c r="B16" s="40">
        <f>SUM(B9:B15)</f>
        <v>96879316</v>
      </c>
      <c r="C16" s="40">
        <f t="shared" ref="C16:I16" si="0">SUM(C9:C15)</f>
        <v>106219261</v>
      </c>
      <c r="D16" s="40">
        <f t="shared" si="0"/>
        <v>211545725</v>
      </c>
      <c r="E16" s="573">
        <f t="shared" si="0"/>
        <v>120719425</v>
      </c>
      <c r="F16" s="40">
        <f t="shared" si="0"/>
        <v>121592320</v>
      </c>
      <c r="G16" s="40">
        <f t="shared" si="0"/>
        <v>121843415</v>
      </c>
      <c r="H16" s="40">
        <f t="shared" si="0"/>
        <v>138399034</v>
      </c>
      <c r="I16" s="40">
        <f t="shared" si="0"/>
        <v>138436379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699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pageSetUpPr fitToPage="1"/>
  </sheetPr>
  <dimension ref="A1:K49"/>
  <sheetViews>
    <sheetView zoomScaleNormal="100" zoomScaleSheetLayoutView="90" workbookViewId="0">
      <selection activeCell="B19" sqref="B19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4" t="s">
        <v>326</v>
      </c>
      <c r="D5" s="964"/>
      <c r="E5" s="964"/>
      <c r="F5" s="964"/>
      <c r="G5" s="964"/>
      <c r="H5" s="964"/>
      <c r="I5" s="964"/>
    </row>
    <row r="6" spans="1:11" ht="16" x14ac:dyDescent="0.2">
      <c r="A6" s="5" t="s">
        <v>14</v>
      </c>
      <c r="B6" s="32">
        <v>73</v>
      </c>
      <c r="C6" s="963" t="s">
        <v>163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5830533</v>
      </c>
      <c r="C9" s="34">
        <v>6633233</v>
      </c>
      <c r="D9" s="227">
        <f>+C9+D33+D34+D35+D36+D37</f>
        <v>6690419</v>
      </c>
      <c r="E9" s="115">
        <f>+D9+E27+E30+E39+E33+E34+E35+E36+E37</f>
        <v>6714174</v>
      </c>
      <c r="F9" s="411">
        <f>+E9+F30+F39</f>
        <v>6714174</v>
      </c>
      <c r="G9" s="34">
        <f>+F9+G39+G43</f>
        <v>6714174</v>
      </c>
      <c r="H9" s="227">
        <f>+G9+H39+H43</f>
        <v>10153132</v>
      </c>
      <c r="I9" s="51">
        <f>+H9+I43</f>
        <v>9653132</v>
      </c>
      <c r="K9" s="7">
        <v>100</v>
      </c>
    </row>
    <row r="10" spans="1:11" x14ac:dyDescent="0.2">
      <c r="A10" s="10" t="s">
        <v>5</v>
      </c>
      <c r="B10" s="49">
        <v>5028766</v>
      </c>
      <c r="C10" s="36">
        <v>5011061</v>
      </c>
      <c r="D10" s="230">
        <f>+C10</f>
        <v>5011061</v>
      </c>
      <c r="E10" s="550">
        <f>+D10+E25+E31+E40</f>
        <v>5011061</v>
      </c>
      <c r="F10" s="548">
        <f>+E10+F22+F31+F40</f>
        <v>4861061</v>
      </c>
      <c r="G10" s="36">
        <f>+F10+G40+G44</f>
        <v>4861061</v>
      </c>
      <c r="H10" s="230">
        <f>+G10+H22+H28+H40+H44</f>
        <v>6713929</v>
      </c>
      <c r="I10" s="37">
        <f>+H10+I44</f>
        <v>4445061</v>
      </c>
      <c r="K10" s="7">
        <v>200</v>
      </c>
    </row>
    <row r="11" spans="1:11" x14ac:dyDescent="0.2">
      <c r="A11" s="9" t="s">
        <v>6</v>
      </c>
      <c r="B11" s="34">
        <f>1260870+4009251-1</f>
        <v>5270120</v>
      </c>
      <c r="C11" s="34">
        <v>572617</v>
      </c>
      <c r="D11" s="227">
        <f>+C11</f>
        <v>572617</v>
      </c>
      <c r="E11" s="115">
        <f>+D11+E32+E41</f>
        <v>572617</v>
      </c>
      <c r="F11" s="411">
        <f>+E11+F23+F32+F41</f>
        <v>541617</v>
      </c>
      <c r="G11" s="34">
        <f>+F11+G41+G45</f>
        <v>541617</v>
      </c>
      <c r="H11" s="227">
        <f>+G11+H23+H41+H45</f>
        <v>5634635</v>
      </c>
      <c r="I11" s="35">
        <f>+H11+I45</f>
        <v>572617</v>
      </c>
      <c r="K11" s="7" t="s">
        <v>167</v>
      </c>
    </row>
    <row r="12" spans="1:11" x14ac:dyDescent="0.2">
      <c r="A12" s="10" t="s">
        <v>7</v>
      </c>
      <c r="B12" s="36">
        <v>357500</v>
      </c>
      <c r="C12" s="36">
        <v>0</v>
      </c>
      <c r="D12" s="230">
        <f t="shared" ref="D12:D15" si="0">+C12</f>
        <v>0</v>
      </c>
      <c r="E12" s="550">
        <f>+D12</f>
        <v>0</v>
      </c>
      <c r="F12" s="548">
        <f t="shared" ref="F12:I15" si="1">+E12</f>
        <v>0</v>
      </c>
      <c r="G12" s="36">
        <f t="shared" si="1"/>
        <v>0</v>
      </c>
      <c r="H12" s="230">
        <f t="shared" si="1"/>
        <v>0</v>
      </c>
      <c r="I12" s="37">
        <f t="shared" si="1"/>
        <v>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 t="shared" si="0"/>
        <v>0</v>
      </c>
      <c r="E13" s="115">
        <f>+D13</f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0</v>
      </c>
      <c r="D14" s="230">
        <f t="shared" si="0"/>
        <v>0</v>
      </c>
      <c r="E14" s="550">
        <f>+D14</f>
        <v>0</v>
      </c>
      <c r="F14" s="548">
        <f t="shared" si="1"/>
        <v>0</v>
      </c>
      <c r="G14" s="36">
        <f t="shared" si="1"/>
        <v>0</v>
      </c>
      <c r="H14" s="230">
        <f t="shared" si="1"/>
        <v>0</v>
      </c>
      <c r="I14" s="37">
        <f t="shared" si="1"/>
        <v>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0</v>
      </c>
      <c r="D15" s="231">
        <f t="shared" si="0"/>
        <v>0</v>
      </c>
      <c r="E15" s="551">
        <f>+D15</f>
        <v>0</v>
      </c>
      <c r="F15" s="549">
        <f t="shared" si="1"/>
        <v>0</v>
      </c>
      <c r="G15" s="38">
        <f t="shared" si="1"/>
        <v>0</v>
      </c>
      <c r="H15" s="231">
        <f t="shared" si="1"/>
        <v>0</v>
      </c>
      <c r="I15" s="39">
        <f t="shared" si="1"/>
        <v>0</v>
      </c>
      <c r="K15" s="7">
        <v>900</v>
      </c>
    </row>
    <row r="16" spans="1:11" ht="16" thickBot="1" x14ac:dyDescent="0.25">
      <c r="A16" s="4" t="s">
        <v>11</v>
      </c>
      <c r="B16" s="40">
        <f>SUM(B9:B15)</f>
        <v>16486919</v>
      </c>
      <c r="C16" s="40">
        <f t="shared" ref="C16:I16" si="2">SUM(C9:C15)</f>
        <v>12216911</v>
      </c>
      <c r="D16" s="40">
        <f t="shared" si="2"/>
        <v>12274097</v>
      </c>
      <c r="E16" s="573">
        <f t="shared" si="2"/>
        <v>12297852</v>
      </c>
      <c r="F16" s="40">
        <f t="shared" si="2"/>
        <v>12116852</v>
      </c>
      <c r="G16" s="40">
        <f t="shared" si="2"/>
        <v>12116852</v>
      </c>
      <c r="H16" s="40">
        <f t="shared" si="2"/>
        <v>22501696</v>
      </c>
      <c r="I16" s="40">
        <f t="shared" si="2"/>
        <v>14670810</v>
      </c>
    </row>
    <row r="17" spans="1:10" x14ac:dyDescent="0.2">
      <c r="B17" s="17"/>
    </row>
    <row r="18" spans="1:10" x14ac:dyDescent="0.2">
      <c r="B18" s="534"/>
      <c r="C18" s="59"/>
      <c r="E18" s="416">
        <f>+E16-D16</f>
        <v>23755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236" t="s">
        <v>444</v>
      </c>
      <c r="B20" s="79"/>
      <c r="C20" s="76"/>
      <c r="D20" s="73"/>
      <c r="E20" s="73"/>
      <c r="F20" s="73"/>
      <c r="G20" s="73"/>
      <c r="H20" s="73"/>
      <c r="I20" s="74"/>
    </row>
    <row r="21" spans="1:10" ht="13" customHeight="1" x14ac:dyDescent="0.2">
      <c r="A21" s="331" t="s">
        <v>309</v>
      </c>
      <c r="B21" s="85"/>
      <c r="C21" s="75"/>
      <c r="D21" s="70"/>
      <c r="E21" s="70"/>
      <c r="F21" s="70"/>
      <c r="G21" s="70"/>
      <c r="H21" s="70"/>
      <c r="I21" s="70"/>
      <c r="J21" s="17"/>
    </row>
    <row r="22" spans="1:10" ht="13" customHeight="1" x14ac:dyDescent="0.2">
      <c r="A22" s="78" t="s">
        <v>237</v>
      </c>
      <c r="B22" s="79"/>
      <c r="C22" s="76">
        <v>200</v>
      </c>
      <c r="E22" s="74"/>
      <c r="F22" s="74">
        <v>-150000</v>
      </c>
      <c r="G22" s="74"/>
      <c r="H22" s="74">
        <v>150000</v>
      </c>
      <c r="I22" s="74"/>
      <c r="J22" s="451" t="s">
        <v>310</v>
      </c>
    </row>
    <row r="23" spans="1:10" ht="12.75" customHeight="1" x14ac:dyDescent="0.2">
      <c r="A23" s="177"/>
      <c r="B23" s="154"/>
      <c r="C23" s="220" t="s">
        <v>167</v>
      </c>
      <c r="D23" s="203"/>
      <c r="E23" s="145"/>
      <c r="F23" s="145">
        <v>-31000</v>
      </c>
      <c r="G23" s="145"/>
      <c r="H23" s="145">
        <v>31000</v>
      </c>
      <c r="I23" s="145"/>
      <c r="J23" s="512" t="s">
        <v>324</v>
      </c>
    </row>
    <row r="24" spans="1:10" ht="13" customHeight="1" x14ac:dyDescent="0.2">
      <c r="A24" s="167" t="s">
        <v>282</v>
      </c>
      <c r="B24" s="79"/>
      <c r="C24" s="76"/>
      <c r="D24" s="73"/>
      <c r="E24" s="73"/>
      <c r="F24" s="73"/>
      <c r="G24" s="73"/>
      <c r="H24" s="74"/>
      <c r="I24" s="74"/>
      <c r="J24" s="17"/>
    </row>
    <row r="25" spans="1:10" ht="13" customHeight="1" x14ac:dyDescent="0.2">
      <c r="A25" s="756" t="s">
        <v>469</v>
      </c>
      <c r="B25" s="154"/>
      <c r="C25" s="186">
        <v>200</v>
      </c>
      <c r="D25" s="144"/>
      <c r="E25" s="144">
        <v>-521000</v>
      </c>
      <c r="F25" s="144"/>
      <c r="G25" s="144"/>
      <c r="H25" s="145"/>
      <c r="I25" s="145"/>
      <c r="J25" s="17"/>
    </row>
    <row r="26" spans="1:10" ht="13" customHeight="1" x14ac:dyDescent="0.2">
      <c r="A26" s="169" t="s">
        <v>358</v>
      </c>
      <c r="G26" s="73"/>
      <c r="H26" s="74"/>
      <c r="I26" s="74"/>
      <c r="J26" s="17"/>
    </row>
    <row r="27" spans="1:10" ht="13" customHeight="1" x14ac:dyDescent="0.2">
      <c r="A27" s="898" t="s">
        <v>885</v>
      </c>
      <c r="B27" s="85"/>
      <c r="C27" s="75">
        <v>100</v>
      </c>
      <c r="D27" s="69"/>
      <c r="E27" s="69">
        <v>-500000</v>
      </c>
      <c r="F27" s="145"/>
      <c r="G27" s="145"/>
      <c r="H27" s="145"/>
      <c r="I27" s="145"/>
      <c r="J27" s="17"/>
    </row>
    <row r="28" spans="1:10" ht="13" customHeight="1" x14ac:dyDescent="0.2">
      <c r="A28" s="757" t="s">
        <v>393</v>
      </c>
      <c r="B28" s="122"/>
      <c r="C28" s="122">
        <v>200</v>
      </c>
      <c r="D28" s="122"/>
      <c r="E28" s="92"/>
      <c r="F28" s="92"/>
      <c r="G28" s="92"/>
      <c r="H28" s="92">
        <v>-45000</v>
      </c>
      <c r="I28" s="92"/>
      <c r="J28" s="17"/>
    </row>
    <row r="29" spans="1:10" ht="13" customHeight="1" x14ac:dyDescent="0.2">
      <c r="A29" s="402" t="s">
        <v>625</v>
      </c>
      <c r="B29" s="85"/>
      <c r="C29" s="75"/>
      <c r="D29" s="69"/>
      <c r="E29" s="69"/>
      <c r="F29" s="69"/>
      <c r="G29" s="69"/>
      <c r="H29" s="70"/>
      <c r="I29" s="70"/>
      <c r="J29" s="451"/>
    </row>
    <row r="30" spans="1:10" ht="13" customHeight="1" x14ac:dyDescent="0.2">
      <c r="A30" s="890" t="s">
        <v>664</v>
      </c>
      <c r="B30" s="79"/>
      <c r="C30" s="76">
        <v>100</v>
      </c>
      <c r="E30" s="74">
        <f>3438958+500000</f>
        <v>3938958</v>
      </c>
      <c r="F30" s="74">
        <f>3438958-E30</f>
        <v>-500000</v>
      </c>
      <c r="G30" s="74"/>
      <c r="H30" s="74"/>
      <c r="I30" s="74"/>
      <c r="J30" s="512"/>
    </row>
    <row r="31" spans="1:10" ht="13" customHeight="1" x14ac:dyDescent="0.2">
      <c r="A31" s="177"/>
      <c r="B31" s="154"/>
      <c r="C31" s="220">
        <v>200</v>
      </c>
      <c r="D31" s="203"/>
      <c r="E31" s="145">
        <f>2268868</f>
        <v>2268868</v>
      </c>
      <c r="F31" s="145">
        <v>-2268868</v>
      </c>
      <c r="G31" s="145"/>
      <c r="H31" s="145"/>
      <c r="I31" s="145"/>
      <c r="J31" s="17"/>
    </row>
    <row r="32" spans="1:10" ht="13" customHeight="1" x14ac:dyDescent="0.2">
      <c r="A32" s="78"/>
      <c r="B32" s="79"/>
      <c r="C32" s="899" t="s">
        <v>167</v>
      </c>
      <c r="E32" s="74">
        <v>5062018</v>
      </c>
      <c r="F32" s="74">
        <v>-5062018</v>
      </c>
      <c r="G32" s="74"/>
      <c r="H32" s="74"/>
      <c r="I32" s="74"/>
      <c r="J32" s="17"/>
    </row>
    <row r="33" spans="1:10" ht="13" customHeight="1" x14ac:dyDescent="0.2">
      <c r="A33" s="926" t="s">
        <v>830</v>
      </c>
      <c r="B33" s="154"/>
      <c r="C33" s="220">
        <v>100</v>
      </c>
      <c r="D33" s="925">
        <v>447</v>
      </c>
      <c r="E33" s="925">
        <v>2679</v>
      </c>
      <c r="F33" s="145"/>
      <c r="G33" s="145"/>
      <c r="H33" s="145"/>
      <c r="I33" s="145"/>
      <c r="J33" s="17"/>
    </row>
    <row r="34" spans="1:10" ht="13" customHeight="1" x14ac:dyDescent="0.2">
      <c r="A34" s="926" t="s">
        <v>900</v>
      </c>
      <c r="B34" s="79"/>
      <c r="C34" s="899">
        <v>100</v>
      </c>
      <c r="D34" s="925">
        <v>1150</v>
      </c>
      <c r="E34" s="925">
        <v>-1150</v>
      </c>
      <c r="F34" s="74"/>
      <c r="G34" s="74"/>
      <c r="H34" s="74"/>
      <c r="I34" s="74"/>
      <c r="J34" s="17"/>
    </row>
    <row r="35" spans="1:10" ht="13" customHeight="1" x14ac:dyDescent="0.2">
      <c r="A35" s="177" t="s">
        <v>837</v>
      </c>
      <c r="B35" s="154"/>
      <c r="C35" s="220">
        <v>100</v>
      </c>
      <c r="D35" s="925">
        <v>1379</v>
      </c>
      <c r="E35" s="145">
        <v>8275</v>
      </c>
      <c r="F35" s="145"/>
      <c r="G35" s="145"/>
      <c r="H35" s="145"/>
      <c r="I35" s="145"/>
      <c r="J35" s="17"/>
    </row>
    <row r="36" spans="1:10" ht="13" customHeight="1" x14ac:dyDescent="0.2">
      <c r="A36" s="926" t="s">
        <v>945</v>
      </c>
      <c r="B36" s="79"/>
      <c r="C36" s="899">
        <v>100</v>
      </c>
      <c r="D36" s="925">
        <v>11360</v>
      </c>
      <c r="E36" s="925">
        <v>56801</v>
      </c>
      <c r="F36" s="74"/>
      <c r="G36" s="74"/>
      <c r="H36" s="74"/>
      <c r="I36" s="74"/>
      <c r="J36" s="17"/>
    </row>
    <row r="37" spans="1:10" ht="13" customHeight="1" x14ac:dyDescent="0.2">
      <c r="A37" s="894" t="s">
        <v>946</v>
      </c>
      <c r="B37" s="154"/>
      <c r="C37" s="220">
        <v>100</v>
      </c>
      <c r="D37" s="925">
        <v>42850</v>
      </c>
      <c r="E37" s="145">
        <v>-42850</v>
      </c>
      <c r="F37" s="145"/>
      <c r="G37" s="145"/>
      <c r="H37" s="145"/>
      <c r="I37" s="145"/>
      <c r="J37" s="17"/>
    </row>
    <row r="38" spans="1:10" ht="12.75" customHeight="1" x14ac:dyDescent="0.2">
      <c r="A38" s="160" t="s">
        <v>748</v>
      </c>
      <c r="B38" s="79"/>
      <c r="C38" s="899"/>
      <c r="E38" s="74"/>
      <c r="F38" s="74"/>
      <c r="G38" s="74"/>
      <c r="H38" s="74"/>
      <c r="I38" s="74"/>
      <c r="J38" s="17"/>
    </row>
    <row r="39" spans="1:10" ht="12.75" customHeight="1" x14ac:dyDescent="0.2">
      <c r="A39" s="177" t="s">
        <v>807</v>
      </c>
      <c r="B39" s="154"/>
      <c r="C39" s="220">
        <v>100</v>
      </c>
      <c r="D39" s="203"/>
      <c r="E39" s="145">
        <f>-3938958+500000</f>
        <v>-3438958</v>
      </c>
      <c r="F39" s="145">
        <v>500000</v>
      </c>
      <c r="G39" s="145">
        <f>3938958-500000</f>
        <v>3438958</v>
      </c>
      <c r="H39" s="145">
        <v>-500000</v>
      </c>
      <c r="I39" s="145"/>
    </row>
    <row r="40" spans="1:10" ht="12.75" customHeight="1" x14ac:dyDescent="0.2">
      <c r="A40" s="78"/>
      <c r="B40" s="79"/>
      <c r="C40" s="899">
        <v>200</v>
      </c>
      <c r="E40" s="74">
        <f>-2268868+521000</f>
        <v>-1747868</v>
      </c>
      <c r="F40" s="74">
        <v>2268868</v>
      </c>
      <c r="G40" s="74">
        <f>2268868-521000</f>
        <v>1747868</v>
      </c>
      <c r="H40" s="74">
        <v>-2268868</v>
      </c>
      <c r="I40" s="74"/>
    </row>
    <row r="41" spans="1:10" ht="12.75" customHeight="1" x14ac:dyDescent="0.2">
      <c r="A41" s="177"/>
      <c r="B41" s="154"/>
      <c r="C41" s="220" t="s">
        <v>167</v>
      </c>
      <c r="D41" s="203"/>
      <c r="E41" s="145">
        <v>-5062018</v>
      </c>
      <c r="F41" s="145">
        <f>5062018</f>
        <v>5062018</v>
      </c>
      <c r="G41" s="145">
        <v>5062018</v>
      </c>
      <c r="H41" s="145">
        <v>-5062018</v>
      </c>
      <c r="I41" s="145"/>
    </row>
    <row r="42" spans="1:10" ht="12.75" customHeight="1" x14ac:dyDescent="0.2">
      <c r="A42" s="831" t="s">
        <v>913</v>
      </c>
      <c r="B42" s="82"/>
      <c r="C42" s="82"/>
      <c r="D42" s="82"/>
      <c r="E42" s="74"/>
      <c r="F42" s="74"/>
      <c r="G42" s="74"/>
      <c r="H42" s="74"/>
      <c r="I42" s="74"/>
    </row>
    <row r="43" spans="1:10" ht="12.75" customHeight="1" x14ac:dyDescent="0.2">
      <c r="A43" s="894" t="s">
        <v>995</v>
      </c>
      <c r="B43" s="154"/>
      <c r="C43" s="220">
        <v>100</v>
      </c>
      <c r="D43" s="203"/>
      <c r="E43" s="145"/>
      <c r="F43" s="145"/>
      <c r="G43" s="145">
        <v>-3438958</v>
      </c>
      <c r="H43" s="145">
        <f>3438958+500000</f>
        <v>3938958</v>
      </c>
      <c r="I43" s="145">
        <v>-500000</v>
      </c>
    </row>
    <row r="44" spans="1:10" ht="12.75" customHeight="1" x14ac:dyDescent="0.2">
      <c r="A44" s="78"/>
      <c r="B44" s="79"/>
      <c r="C44" s="899">
        <v>200</v>
      </c>
      <c r="E44" s="74"/>
      <c r="F44" s="74"/>
      <c r="G44" s="74">
        <v>-1747868</v>
      </c>
      <c r="H44" s="74">
        <f>1747868+2268868</f>
        <v>4016736</v>
      </c>
      <c r="I44" s="74">
        <v>-2268868</v>
      </c>
    </row>
    <row r="45" spans="1:10" ht="12.75" customHeight="1" x14ac:dyDescent="0.2">
      <c r="A45" s="177"/>
      <c r="B45" s="154"/>
      <c r="C45" s="946" t="s">
        <v>167</v>
      </c>
      <c r="D45" s="203"/>
      <c r="E45" s="145"/>
      <c r="F45" s="145"/>
      <c r="G45" s="145">
        <v>-5062018</v>
      </c>
      <c r="H45" s="145">
        <f>5062018+5062018</f>
        <v>10124036</v>
      </c>
      <c r="I45" s="145">
        <v>-5062018</v>
      </c>
    </row>
    <row r="46" spans="1:10" ht="12.75" customHeight="1" x14ac:dyDescent="0.2">
      <c r="A46" s="78"/>
      <c r="B46" s="79"/>
      <c r="C46" s="899"/>
      <c r="E46" s="74"/>
      <c r="F46" s="74"/>
      <c r="G46" s="74"/>
      <c r="H46" s="74"/>
      <c r="I46" s="74"/>
    </row>
    <row r="47" spans="1:10" ht="12.75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</row>
    <row r="48" spans="1:10" ht="12.75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</row>
    <row r="49" ht="12.75" customHeight="1" x14ac:dyDescent="0.2"/>
  </sheetData>
  <mergeCells count="6">
    <mergeCell ref="A1:I1"/>
    <mergeCell ref="A2:I2"/>
    <mergeCell ref="A3:I3"/>
    <mergeCell ref="A4:I4"/>
    <mergeCell ref="C6:I6"/>
    <mergeCell ref="C5:I5"/>
  </mergeCells>
  <conditionalFormatting sqref="A33:A34">
    <cfRule type="expression" dxfId="194" priority="8">
      <formula>MOD(ROW(),2)=1</formula>
    </cfRule>
  </conditionalFormatting>
  <conditionalFormatting sqref="D33:F34">
    <cfRule type="expression" dxfId="193" priority="7">
      <formula>MOD(ROW(),2)=1</formula>
    </cfRule>
  </conditionalFormatting>
  <conditionalFormatting sqref="D35">
    <cfRule type="expression" dxfId="192" priority="4">
      <formula>MOD(ROW(),2)=1</formula>
    </cfRule>
  </conditionalFormatting>
  <conditionalFormatting sqref="A36">
    <cfRule type="expression" dxfId="191" priority="3">
      <formula>MOD(ROW(),2)=1</formula>
    </cfRule>
  </conditionalFormatting>
  <conditionalFormatting sqref="D36:F36">
    <cfRule type="expression" dxfId="190" priority="2">
      <formula>MOD(ROW(),2)=1</formula>
    </cfRule>
  </conditionalFormatting>
  <conditionalFormatting sqref="D37">
    <cfRule type="expression" dxfId="189" priority="1">
      <formula>MOD(ROW(),2)=1</formula>
    </cfRule>
  </conditionalFormatting>
  <pageMargins left="0.5" right="0.5" top="0.5" bottom="0.5" header="0.3" footer="0.3"/>
  <pageSetup scale="69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>
    <pageSetUpPr fitToPage="1"/>
  </sheetPr>
  <dimension ref="A1:J60"/>
  <sheetViews>
    <sheetView topLeftCell="A4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33" t="s">
        <v>59</v>
      </c>
      <c r="C6" s="963" t="s">
        <v>190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5">
        <f>+'05-Mayor'!B9+'05S-Mayor-Schol'!B9</f>
        <v>4779593</v>
      </c>
      <c r="C9" s="265">
        <f>+'05-Mayor'!C9+'05S-Mayor-Schol'!C9</f>
        <v>5393827</v>
      </c>
      <c r="D9" s="265">
        <f>+'05-Mayor'!D9+'05S-Mayor-Schol'!D9</f>
        <v>5578480</v>
      </c>
      <c r="E9" s="566">
        <f>+'05-Mayor'!E9+'05S-Mayor-Schol'!E9</f>
        <v>5775991</v>
      </c>
      <c r="F9" s="556">
        <f>+'05-Mayor'!F9+'05S-Mayor-Schol'!F9</f>
        <v>5892600</v>
      </c>
      <c r="G9" s="265">
        <f>+'05-Mayor'!G9+'05S-Mayor-Schol'!G9</f>
        <v>5892600</v>
      </c>
      <c r="H9" s="265">
        <f>+'05-Mayor'!H9+'05S-Mayor-Schol'!H9</f>
        <v>6472930</v>
      </c>
      <c r="I9" s="282">
        <f>+'05-Mayor'!I9+'05S-Mayor-Schol'!I9</f>
        <v>6472930</v>
      </c>
    </row>
    <row r="10" spans="1:10" x14ac:dyDescent="0.2">
      <c r="A10" s="10" t="s">
        <v>5</v>
      </c>
      <c r="B10" s="267">
        <f>+'05-Mayor'!B10+'05S-Mayor-Schol'!B10</f>
        <v>641167</v>
      </c>
      <c r="C10" s="267">
        <f>+'05-Mayor'!C10+'05S-Mayor-Schol'!C10</f>
        <v>684965</v>
      </c>
      <c r="D10" s="267">
        <f>+'05-Mayor'!D10+'05S-Mayor-Schol'!D10</f>
        <v>684965</v>
      </c>
      <c r="E10" s="565">
        <f>+'05-Mayor'!E10+'05S-Mayor-Schol'!E10</f>
        <v>646260</v>
      </c>
      <c r="F10" s="280">
        <f>+'05-Mayor'!F10+'05S-Mayor-Schol'!F10</f>
        <v>646260</v>
      </c>
      <c r="G10" s="267">
        <f>+'05-Mayor'!G10+'05S-Mayor-Schol'!G10</f>
        <v>596260</v>
      </c>
      <c r="H10" s="267">
        <f>+'05-Mayor'!H10+'05S-Mayor-Schol'!H10</f>
        <v>684965</v>
      </c>
      <c r="I10" s="274">
        <f>+'05-Mayor'!I10+'05S-Mayor-Schol'!I10</f>
        <v>684965</v>
      </c>
    </row>
    <row r="11" spans="1:10" x14ac:dyDescent="0.2">
      <c r="A11" s="9" t="s">
        <v>6</v>
      </c>
      <c r="B11" s="269">
        <f>+'05-Mayor'!B11+'05S-Mayor-Schol'!B11</f>
        <v>14978</v>
      </c>
      <c r="C11" s="269">
        <f>+'05-Mayor'!C11+'05S-Mayor-Schol'!C11</f>
        <v>34841</v>
      </c>
      <c r="D11" s="269">
        <f>+'05-Mayor'!D11+'05S-Mayor-Schol'!D11</f>
        <v>34841</v>
      </c>
      <c r="E11" s="566">
        <f>+'05-Mayor'!E11+'05S-Mayor-Schol'!E11</f>
        <v>41341</v>
      </c>
      <c r="F11" s="279">
        <f>+'05-Mayor'!F11+'05S-Mayor-Schol'!F11</f>
        <v>41341</v>
      </c>
      <c r="G11" s="269">
        <f>+'05-Mayor'!G11+'05S-Mayor-Schol'!G11</f>
        <v>41341</v>
      </c>
      <c r="H11" s="269">
        <f>+'05-Mayor'!H11+'05S-Mayor-Schol'!H11</f>
        <v>51841</v>
      </c>
      <c r="I11" s="275">
        <f>+'05-Mayor'!I11+'05S-Mayor-Schol'!I11</f>
        <v>51841</v>
      </c>
    </row>
    <row r="12" spans="1:10" x14ac:dyDescent="0.2">
      <c r="A12" s="10" t="s">
        <v>7</v>
      </c>
      <c r="B12" s="267">
        <f>+'05-Mayor'!B12+'05S-Mayor-Schol'!B12</f>
        <v>181000</v>
      </c>
      <c r="C12" s="267">
        <f>+'05-Mayor'!C12+'05S-Mayor-Schol'!C12</f>
        <v>200000</v>
      </c>
      <c r="D12" s="267">
        <f>+'05-Mayor'!D12+'05S-Mayor-Schol'!D12</f>
        <v>200000</v>
      </c>
      <c r="E12" s="565">
        <f>+'05-Mayor'!E12+'05S-Mayor-Schol'!E12</f>
        <v>100000</v>
      </c>
      <c r="F12" s="280">
        <f>+'05-Mayor'!F12+'05S-Mayor-Schol'!F12</f>
        <v>100000</v>
      </c>
      <c r="G12" s="267">
        <f>+'05-Mayor'!G12+'05S-Mayor-Schol'!G12</f>
        <v>100000</v>
      </c>
      <c r="H12" s="267">
        <f>+'05-Mayor'!H12+'05S-Mayor-Schol'!H12</f>
        <v>200000</v>
      </c>
      <c r="I12" s="274">
        <f>+'05-Mayor'!I12+'05S-Mayor-Schol'!I12</f>
        <v>200000</v>
      </c>
    </row>
    <row r="13" spans="1:10" x14ac:dyDescent="0.2">
      <c r="A13" s="9" t="s">
        <v>8</v>
      </c>
      <c r="B13" s="269">
        <f>+'05-Mayor'!B13+'05S-Mayor-Schol'!B13</f>
        <v>0</v>
      </c>
      <c r="C13" s="269">
        <f>+'05-Mayor'!C13+'05S-Mayor-Schol'!C13</f>
        <v>0</v>
      </c>
      <c r="D13" s="269">
        <f>+'05-Mayor'!D13+'05S-Mayor-Schol'!D13</f>
        <v>0</v>
      </c>
      <c r="E13" s="566">
        <f>+'05-Mayor'!E13+'05S-Mayor-Schol'!E13</f>
        <v>0</v>
      </c>
      <c r="F13" s="279">
        <f>+'05-Mayor'!F13+'05S-Mayor-Schol'!F13</f>
        <v>0</v>
      </c>
      <c r="G13" s="269">
        <f>+'05-Mayor'!G13+'05S-Mayor-Schol'!G13</f>
        <v>0</v>
      </c>
      <c r="H13" s="269">
        <f>+'05-Mayor'!H13+'05S-Mayor-Schol'!H13</f>
        <v>0</v>
      </c>
      <c r="I13" s="275">
        <f>+'05-Mayor'!I13+'05S-Mayor-Schol'!I13</f>
        <v>0</v>
      </c>
    </row>
    <row r="14" spans="1:10" x14ac:dyDescent="0.2">
      <c r="A14" s="10" t="s">
        <v>9</v>
      </c>
      <c r="B14" s="267">
        <f>+'05-Mayor'!B14+'05S-Mayor-Schol'!B14</f>
        <v>0</v>
      </c>
      <c r="C14" s="267">
        <f>+'05-Mayor'!C14+'05S-Mayor-Schol'!C14</f>
        <v>0</v>
      </c>
      <c r="D14" s="267">
        <f>+'05-Mayor'!D14+'05S-Mayor-Schol'!D14</f>
        <v>0</v>
      </c>
      <c r="E14" s="565">
        <f>+'05-Mayor'!E14+'05S-Mayor-Schol'!E14</f>
        <v>0</v>
      </c>
      <c r="F14" s="280">
        <f>+'05-Mayor'!F14+'05S-Mayor-Schol'!F14</f>
        <v>0</v>
      </c>
      <c r="G14" s="267">
        <f>+'05-Mayor'!G14+'05S-Mayor-Schol'!G14</f>
        <v>0</v>
      </c>
      <c r="H14" s="267">
        <f>+'05-Mayor'!H14+'05S-Mayor-Schol'!H14</f>
        <v>0</v>
      </c>
      <c r="I14" s="274">
        <f>+'05-Mayor'!I14+'05S-Mayor-Schol'!I14</f>
        <v>0</v>
      </c>
    </row>
    <row r="15" spans="1:10" ht="16" thickBot="1" x14ac:dyDescent="0.25">
      <c r="A15" s="11" t="s">
        <v>10</v>
      </c>
      <c r="B15" s="271">
        <f>+'05-Mayor'!B15+'05S-Mayor-Schol'!B15</f>
        <v>0</v>
      </c>
      <c r="C15" s="271">
        <f>+'05-Mayor'!C15+'05S-Mayor-Schol'!C15</f>
        <v>0</v>
      </c>
      <c r="D15" s="271">
        <f>+'05-Mayor'!D15+'05S-Mayor-Schol'!D15</f>
        <v>0</v>
      </c>
      <c r="E15" s="567">
        <f>+'05-Mayor'!E15+'05S-Mayor-Schol'!E15</f>
        <v>0</v>
      </c>
      <c r="F15" s="281">
        <f>+'05-Mayor'!F15+'05S-Mayor-Schol'!F15</f>
        <v>0</v>
      </c>
      <c r="G15" s="271">
        <f>+'05-Mayor'!G15+'05S-Mayor-Schol'!G15</f>
        <v>0</v>
      </c>
      <c r="H15" s="271">
        <f>+'05-Mayor'!H15+'05S-Mayor-Schol'!H15</f>
        <v>0</v>
      </c>
      <c r="I15" s="276">
        <f>+'05-Mayor'!I15+'05S-Mayor-Schol'!I15</f>
        <v>0</v>
      </c>
    </row>
    <row r="16" spans="1:10" ht="16" thickBot="1" x14ac:dyDescent="0.25">
      <c r="A16" s="4" t="s">
        <v>11</v>
      </c>
      <c r="B16" s="40">
        <f>SUM(B9:B15)</f>
        <v>5616738</v>
      </c>
      <c r="C16" s="40">
        <f t="shared" ref="C16:I16" si="0">SUM(C9:C15)</f>
        <v>6313633</v>
      </c>
      <c r="D16" s="40">
        <f t="shared" si="0"/>
        <v>6498286</v>
      </c>
      <c r="E16" s="573">
        <f t="shared" si="0"/>
        <v>6563592</v>
      </c>
      <c r="F16" s="40">
        <f t="shared" si="0"/>
        <v>6680201</v>
      </c>
      <c r="G16" s="40">
        <f t="shared" si="0"/>
        <v>6630201</v>
      </c>
      <c r="H16" s="40">
        <f t="shared" si="0"/>
        <v>7409736</v>
      </c>
      <c r="I16" s="40">
        <f t="shared" si="0"/>
        <v>7409736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4">
    <pageSetUpPr fitToPage="1"/>
  </sheetPr>
  <dimension ref="A1:J60"/>
  <sheetViews>
    <sheetView view="pageBreakPreview" zoomScale="90" zoomScaleNormal="9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183</v>
      </c>
      <c r="C6" s="963" t="s">
        <v>189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6">
        <f>+'04-OIT'!B9+'04-OIT-911'!B9</f>
        <v>20875286</v>
      </c>
      <c r="C9" s="279">
        <f>+'04-OIT'!C9+'04-OIT-911'!C9</f>
        <v>23878695</v>
      </c>
      <c r="D9" s="265">
        <f>+'04-OIT'!D9+'04-OIT-911'!D9</f>
        <v>24302982</v>
      </c>
      <c r="E9" s="566">
        <f>+'04-OIT'!E9+'04-OIT-911'!E9</f>
        <v>24163694</v>
      </c>
      <c r="F9" s="556">
        <f>+'04-OIT'!F9+'04-OIT-911'!F9</f>
        <v>30931505</v>
      </c>
      <c r="G9" s="265">
        <f>+'04-OIT'!G9+'04-OIT-911'!G9</f>
        <v>30604985</v>
      </c>
      <c r="H9" s="265">
        <f>+'04-OIT'!H9+'04-OIT-911'!H9</f>
        <v>31906616</v>
      </c>
      <c r="I9" s="282">
        <f>+'04-OIT'!I9+'04-OIT-911'!I9</f>
        <v>31945597</v>
      </c>
    </row>
    <row r="10" spans="1:10" x14ac:dyDescent="0.2">
      <c r="A10" s="10" t="s">
        <v>5</v>
      </c>
      <c r="B10" s="268">
        <f>+'04-OIT'!B10+'04-OIT-911'!B10</f>
        <v>50360674</v>
      </c>
      <c r="C10" s="280">
        <f>+'04-OIT'!C10+'04-OIT-911'!C10</f>
        <v>69085906</v>
      </c>
      <c r="D10" s="267">
        <f>+'04-OIT'!D10+'04-OIT-911'!D10</f>
        <v>73497906</v>
      </c>
      <c r="E10" s="565">
        <f>+'04-OIT'!E10+'04-OIT-911'!E10</f>
        <v>75735607</v>
      </c>
      <c r="F10" s="280">
        <f>+'04-OIT'!F10+'04-OIT-911'!F10</f>
        <v>60410390</v>
      </c>
      <c r="G10" s="267">
        <f>+'04-OIT'!G10+'04-OIT-911'!G10</f>
        <v>63529621</v>
      </c>
      <c r="H10" s="267">
        <f>+'04-OIT'!H10+'04-OIT-911'!H10</f>
        <v>67313022</v>
      </c>
      <c r="I10" s="274">
        <f>+'04-OIT'!I10+'04-OIT-911'!I10</f>
        <v>67313022</v>
      </c>
    </row>
    <row r="11" spans="1:10" x14ac:dyDescent="0.2">
      <c r="A11" s="9" t="s">
        <v>6</v>
      </c>
      <c r="B11" s="270">
        <f>+'04-OIT'!B11+'04-OIT-911'!B11</f>
        <v>7343914</v>
      </c>
      <c r="C11" s="279">
        <f>+'04-OIT'!C11+'04-OIT-911'!C11</f>
        <v>19469024</v>
      </c>
      <c r="D11" s="269">
        <f>+'04-OIT'!D11+'04-OIT-911'!D11</f>
        <v>19469024</v>
      </c>
      <c r="E11" s="566">
        <f>+'04-OIT'!E11+'04-OIT-911'!E11</f>
        <v>29460827</v>
      </c>
      <c r="F11" s="279">
        <f>+'04-OIT'!F11+'04-OIT-911'!F11</f>
        <v>11048009</v>
      </c>
      <c r="G11" s="269">
        <f>+'04-OIT'!G11+'04-OIT-911'!G11</f>
        <v>11048009</v>
      </c>
      <c r="H11" s="269">
        <f>+'04-OIT'!H11+'04-OIT-911'!H11</f>
        <v>14420304</v>
      </c>
      <c r="I11" s="275">
        <f>+'04-OIT'!I11+'04-OIT-911'!I11</f>
        <v>14420304</v>
      </c>
    </row>
    <row r="12" spans="1:10" x14ac:dyDescent="0.2">
      <c r="A12" s="10" t="s">
        <v>7</v>
      </c>
      <c r="B12" s="268">
        <f>+'04-OIT'!B12+'04-OIT-911'!B12</f>
        <v>25000</v>
      </c>
      <c r="C12" s="280">
        <f>+'04-OIT'!C12+'04-OIT-911'!C12</f>
        <v>0</v>
      </c>
      <c r="D12" s="267">
        <f>+'04-OIT'!D12+'04-OIT-911'!D12</f>
        <v>0</v>
      </c>
      <c r="E12" s="565">
        <f>+'04-OIT'!E12+'04-OIT-911'!E12</f>
        <v>0</v>
      </c>
      <c r="F12" s="280">
        <f>+'04-OIT'!F12+'04-OIT-911'!F12</f>
        <v>0</v>
      </c>
      <c r="G12" s="267">
        <f>+'04-OIT'!G12+'04-OIT-911'!G12</f>
        <v>0</v>
      </c>
      <c r="H12" s="267">
        <f>+'04-OIT'!H12+'04-OIT-911'!H12</f>
        <v>0</v>
      </c>
      <c r="I12" s="274">
        <f>+'04-OIT'!I12+'04-OIT-911'!I12</f>
        <v>0</v>
      </c>
    </row>
    <row r="13" spans="1:10" x14ac:dyDescent="0.2">
      <c r="A13" s="9" t="s">
        <v>8</v>
      </c>
      <c r="B13" s="270">
        <f>+'04-OIT'!B13+'04-OIT-911'!B13</f>
        <v>0</v>
      </c>
      <c r="C13" s="279">
        <f>+'04-OIT'!C13+'04-OIT-911'!C13</f>
        <v>0</v>
      </c>
      <c r="D13" s="269">
        <f>+'04-OIT'!D13+'04-OIT-911'!D13</f>
        <v>0</v>
      </c>
      <c r="E13" s="566">
        <f>+'04-OIT'!E13+'04-OIT-911'!E13</f>
        <v>0</v>
      </c>
      <c r="F13" s="279">
        <f>+'04-OIT'!F13+'04-OIT-911'!F13</f>
        <v>0</v>
      </c>
      <c r="G13" s="269">
        <f>+'04-OIT'!G13+'04-OIT-911'!G13</f>
        <v>0</v>
      </c>
      <c r="H13" s="269">
        <f>+'04-OIT'!H13+'04-OIT-911'!H13</f>
        <v>0</v>
      </c>
      <c r="I13" s="275">
        <f>+'04-OIT'!I13+'04-OIT-911'!I13</f>
        <v>0</v>
      </c>
    </row>
    <row r="14" spans="1:10" x14ac:dyDescent="0.2">
      <c r="A14" s="10" t="s">
        <v>9</v>
      </c>
      <c r="B14" s="268">
        <f>+'04-OIT'!B14+'04-OIT-911'!B14</f>
        <v>0</v>
      </c>
      <c r="C14" s="280">
        <f>+'04-OIT'!C14+'04-OIT-911'!C14</f>
        <v>0</v>
      </c>
      <c r="D14" s="267">
        <f>+'04-OIT'!D14+'04-OIT-911'!D14</f>
        <v>0</v>
      </c>
      <c r="E14" s="565">
        <f>+'04-OIT'!E14+'04-OIT-911'!E14</f>
        <v>0</v>
      </c>
      <c r="F14" s="280">
        <f>+'04-OIT'!F14+'04-OIT-911'!F14</f>
        <v>0</v>
      </c>
      <c r="G14" s="267">
        <f>+'04-OIT'!G14+'04-OIT-911'!G14</f>
        <v>0</v>
      </c>
      <c r="H14" s="267">
        <f>+'04-OIT'!H14+'04-OIT-911'!H14</f>
        <v>0</v>
      </c>
      <c r="I14" s="274">
        <f>+'04-OIT'!I14+'04-OIT-911'!I14</f>
        <v>0</v>
      </c>
    </row>
    <row r="15" spans="1:10" ht="16" thickBot="1" x14ac:dyDescent="0.25">
      <c r="A15" s="11" t="s">
        <v>10</v>
      </c>
      <c r="B15" s="272">
        <f>+'04-OIT'!B15+'04-OIT-911'!B15</f>
        <v>0</v>
      </c>
      <c r="C15" s="281">
        <f>+'04-OIT'!C15+'04-OIT-911'!C15</f>
        <v>0</v>
      </c>
      <c r="D15" s="271">
        <f>+'04-OIT'!D15+'04-OIT-911'!D15</f>
        <v>0</v>
      </c>
      <c r="E15" s="567">
        <f>+'04-OIT'!E15+'04-OIT-911'!E15</f>
        <v>0</v>
      </c>
      <c r="F15" s="281">
        <f>+'04-OIT'!F15+'04-OIT-911'!F15</f>
        <v>0</v>
      </c>
      <c r="G15" s="271">
        <f>+'04-OIT'!G15+'04-OIT-911'!G15</f>
        <v>0</v>
      </c>
      <c r="H15" s="271">
        <f>+'04-OIT'!H15+'04-OIT-911'!H15</f>
        <v>0</v>
      </c>
      <c r="I15" s="276">
        <f>+'04-OIT'!I15+'04-OIT-911'!I15</f>
        <v>0</v>
      </c>
    </row>
    <row r="16" spans="1:10" ht="16" thickBot="1" x14ac:dyDescent="0.25">
      <c r="A16" s="4" t="s">
        <v>11</v>
      </c>
      <c r="B16" s="40">
        <f>SUM(B9:B15)</f>
        <v>78604874</v>
      </c>
      <c r="C16" s="40">
        <f t="shared" ref="C16:I16" si="0">SUM(C9:C15)</f>
        <v>112433625</v>
      </c>
      <c r="D16" s="40">
        <f t="shared" si="0"/>
        <v>117269912</v>
      </c>
      <c r="E16" s="573">
        <f t="shared" si="0"/>
        <v>129360128</v>
      </c>
      <c r="F16" s="40">
        <f t="shared" si="0"/>
        <v>102389904</v>
      </c>
      <c r="G16" s="40">
        <f t="shared" si="0"/>
        <v>105182615</v>
      </c>
      <c r="H16" s="40">
        <f t="shared" si="0"/>
        <v>113639942</v>
      </c>
      <c r="I16" s="40">
        <f t="shared" si="0"/>
        <v>113678923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5">
    <pageSetUpPr fitToPage="1"/>
  </sheetPr>
  <dimension ref="A1:J60"/>
  <sheetViews>
    <sheetView view="pageBreakPreview" zoomScale="90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107" t="s">
        <v>14</v>
      </c>
      <c r="B6" s="108" t="s">
        <v>181</v>
      </c>
      <c r="C6" s="963" t="s">
        <v>182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5">
        <f>+'20-Public Property'!B9+'20S-Public Prop-SEPTA'!B9+'20SR-Public Prop-Space Rentals'!B9+'20U-Public Prop-Utilities'!B9</f>
        <v>8875590</v>
      </c>
      <c r="C9" s="265">
        <f>+'20-Public Property'!C9+'20S-Public Prop-SEPTA'!C9+'20SR-Public Prop-Space Rentals'!C9+'20U-Public Prop-Utilities'!C9</f>
        <v>9395654</v>
      </c>
      <c r="D9" s="265">
        <f>+'20-Public Property'!D9+'20S-Public Prop-SEPTA'!D9+'20SR-Public Prop-Space Rentals'!D9+'20U-Public Prop-Utilities'!D9</f>
        <v>9487678</v>
      </c>
      <c r="E9" s="566">
        <f>+'20-Public Property'!E9+'20S-Public Prop-SEPTA'!E9+'20SR-Public Prop-Space Rentals'!E9+'20U-Public Prop-Utilities'!E9</f>
        <v>10101149</v>
      </c>
      <c r="F9" s="556">
        <f>+'20-Public Property'!F9+'20S-Public Prop-SEPTA'!F9+'20SR-Public Prop-Space Rentals'!F9+'20U-Public Prop-Utilities'!F9</f>
        <v>10125246</v>
      </c>
      <c r="G9" s="265">
        <f>+'20-Public Property'!G9+'20S-Public Prop-SEPTA'!G9+'20SR-Public Prop-Space Rentals'!G9+'20U-Public Prop-Utilities'!G9</f>
        <v>10125246</v>
      </c>
      <c r="H9" s="265">
        <f>+'20-Public Property'!H9+'20S-Public Prop-SEPTA'!H9+'20SR-Public Prop-Space Rentals'!H9+'20U-Public Prop-Utilities'!H9</f>
        <v>12363020</v>
      </c>
      <c r="I9" s="282">
        <f>+'20-Public Property'!I9+'20S-Public Prop-SEPTA'!I9+'20SR-Public Prop-Space Rentals'!I9+'20U-Public Prop-Utilities'!I9</f>
        <v>12363020</v>
      </c>
    </row>
    <row r="10" spans="1:10" x14ac:dyDescent="0.2">
      <c r="A10" s="10" t="s">
        <v>5</v>
      </c>
      <c r="B10" s="267">
        <f>+'20-Public Property'!B10+'20S-Public Prop-SEPTA'!B10+'20SR-Public Prop-Space Rentals'!B10+'20U-Public Prop-Utilities'!B10</f>
        <v>163942825</v>
      </c>
      <c r="C10" s="267">
        <f>+'20-Public Property'!C10+'20S-Public Prop-SEPTA'!C10+'20SR-Public Prop-Space Rentals'!C10+'20U-Public Prop-Utilities'!C10</f>
        <v>172542424</v>
      </c>
      <c r="D10" s="267">
        <f>+'20-Public Property'!D10+'20S-Public Prop-SEPTA'!D10+'20SR-Public Prop-Space Rentals'!D10+'20U-Public Prop-Utilities'!D10</f>
        <v>176942424</v>
      </c>
      <c r="E10" s="565">
        <f>+'20-Public Property'!E10+'20S-Public Prop-SEPTA'!E10+'20SR-Public Prop-Space Rentals'!E10+'20U-Public Prop-Utilities'!E10</f>
        <v>166172995</v>
      </c>
      <c r="F10" s="280">
        <f>+'20-Public Property'!F10+'20S-Public Prop-SEPTA'!F10+'20SR-Public Prop-Space Rentals'!F10+'20U-Public Prop-Utilities'!F10</f>
        <v>174495530</v>
      </c>
      <c r="G10" s="267">
        <f>+'20-Public Property'!G10+'20S-Public Prop-SEPTA'!G10+'20SR-Public Prop-Space Rentals'!G10+'20U-Public Prop-Utilities'!G10</f>
        <v>179273235</v>
      </c>
      <c r="H10" s="267">
        <f>+'20-Public Property'!H10+'20S-Public Prop-SEPTA'!H10+'20SR-Public Prop-Space Rentals'!H10+'20U-Public Prop-Utilities'!H10</f>
        <v>191574163</v>
      </c>
      <c r="I10" s="274">
        <f>+'20-Public Property'!I10+'20S-Public Prop-SEPTA'!I10+'20SR-Public Prop-Space Rentals'!I10+'20U-Public Prop-Utilities'!I10</f>
        <v>196851707</v>
      </c>
    </row>
    <row r="11" spans="1:10" x14ac:dyDescent="0.2">
      <c r="A11" s="9" t="s">
        <v>6</v>
      </c>
      <c r="B11" s="269">
        <f>+'20-Public Property'!B11+'20S-Public Prop-SEPTA'!B11+'20SR-Public Prop-Space Rentals'!B11+'20U-Public Prop-Utilities'!B11</f>
        <v>1025176</v>
      </c>
      <c r="C11" s="269">
        <f>+'20-Public Property'!C11+'20S-Public Prop-SEPTA'!C11+'20SR-Public Prop-Space Rentals'!C11+'20U-Public Prop-Utilities'!C11</f>
        <v>1338535</v>
      </c>
      <c r="D11" s="269">
        <f>+'20-Public Property'!D11+'20S-Public Prop-SEPTA'!D11+'20SR-Public Prop-Space Rentals'!D11+'20U-Public Prop-Utilities'!D11</f>
        <v>1338535</v>
      </c>
      <c r="E11" s="566">
        <f>+'20-Public Property'!E11+'20S-Public Prop-SEPTA'!E11+'20SR-Public Prop-Space Rentals'!E11+'20U-Public Prop-Utilities'!E11</f>
        <v>1338535</v>
      </c>
      <c r="F11" s="279">
        <f>+'20-Public Property'!F11+'20S-Public Prop-SEPTA'!F11+'20SR-Public Prop-Space Rentals'!F11+'20U-Public Prop-Utilities'!F11</f>
        <v>1338535</v>
      </c>
      <c r="G11" s="269">
        <f>+'20-Public Property'!G11+'20S-Public Prop-SEPTA'!G11+'20SR-Public Prop-Space Rentals'!G11+'20U-Public Prop-Utilities'!G11</f>
        <v>1338535</v>
      </c>
      <c r="H11" s="269">
        <f>+'20-Public Property'!H11+'20S-Public Prop-SEPTA'!H11+'20SR-Public Prop-Space Rentals'!H11+'20U-Public Prop-Utilities'!H11</f>
        <v>1338535</v>
      </c>
      <c r="I11" s="275">
        <f>+'20-Public Property'!I11+'20S-Public Prop-SEPTA'!I11+'20SR-Public Prop-Space Rentals'!I11+'20U-Public Prop-Utilities'!I11</f>
        <v>1338535</v>
      </c>
    </row>
    <row r="12" spans="1:10" x14ac:dyDescent="0.2">
      <c r="A12" s="10" t="s">
        <v>7</v>
      </c>
      <c r="B12" s="267">
        <f>+'20-Public Property'!B12+'20S-Public Prop-SEPTA'!B12+'20SR-Public Prop-Space Rentals'!B12+'20U-Public Prop-Utilities'!B12</f>
        <v>659401</v>
      </c>
      <c r="C12" s="267">
        <f>+'20-Public Property'!C12+'20S-Public Prop-SEPTA'!C12+'20SR-Public Prop-Space Rentals'!C12+'20U-Public Prop-Utilities'!C12</f>
        <v>0</v>
      </c>
      <c r="D12" s="267">
        <f>+'20-Public Property'!D12+'20S-Public Prop-SEPTA'!D12+'20SR-Public Prop-Space Rentals'!D12+'20U-Public Prop-Utilities'!D12</f>
        <v>0</v>
      </c>
      <c r="E12" s="565">
        <f>+'20-Public Property'!E12+'20S-Public Prop-SEPTA'!E12+'20SR-Public Prop-Space Rentals'!E12+'20U-Public Prop-Utilities'!E12</f>
        <v>0</v>
      </c>
      <c r="F12" s="280">
        <f>+'20-Public Property'!F12+'20S-Public Prop-SEPTA'!F12+'20SR-Public Prop-Space Rentals'!F12+'20U-Public Prop-Utilities'!F12</f>
        <v>0</v>
      </c>
      <c r="G12" s="267">
        <f>+'20-Public Property'!G12+'20S-Public Prop-SEPTA'!G12+'20SR-Public Prop-Space Rentals'!G12+'20U-Public Prop-Utilities'!G12</f>
        <v>0</v>
      </c>
      <c r="H12" s="267">
        <f>+'20-Public Property'!H12+'20S-Public Prop-SEPTA'!H12+'20SR-Public Prop-Space Rentals'!H12+'20U-Public Prop-Utilities'!H12</f>
        <v>0</v>
      </c>
      <c r="I12" s="274">
        <f>+'20-Public Property'!I12+'20S-Public Prop-SEPTA'!I12+'20SR-Public Prop-Space Rentals'!I12+'20U-Public Prop-Utilities'!I12</f>
        <v>0</v>
      </c>
    </row>
    <row r="13" spans="1:10" x14ac:dyDescent="0.2">
      <c r="A13" s="9" t="s">
        <v>8</v>
      </c>
      <c r="B13" s="269">
        <f>+'20-Public Property'!B13+'20S-Public Prop-SEPTA'!B13+'20SR-Public Prop-Space Rentals'!B13+'20U-Public Prop-Utilities'!B13</f>
        <v>0</v>
      </c>
      <c r="C13" s="269">
        <f>+'20-Public Property'!C13+'20S-Public Prop-SEPTA'!C13+'20SR-Public Prop-Space Rentals'!C13+'20U-Public Prop-Utilities'!C13</f>
        <v>0</v>
      </c>
      <c r="D13" s="269">
        <f>+'20-Public Property'!D13+'20S-Public Prop-SEPTA'!D13+'20SR-Public Prop-Space Rentals'!D13+'20U-Public Prop-Utilities'!D13</f>
        <v>0</v>
      </c>
      <c r="E13" s="566">
        <f>+'20-Public Property'!E13+'20S-Public Prop-SEPTA'!E13+'20SR-Public Prop-Space Rentals'!E13+'20U-Public Prop-Utilities'!E13</f>
        <v>0</v>
      </c>
      <c r="F13" s="279">
        <f>+'20-Public Property'!F13+'20S-Public Prop-SEPTA'!F13+'20SR-Public Prop-Space Rentals'!F13+'20U-Public Prop-Utilities'!F13</f>
        <v>0</v>
      </c>
      <c r="G13" s="269">
        <f>+'20-Public Property'!G13+'20S-Public Prop-SEPTA'!G13+'20SR-Public Prop-Space Rentals'!G13+'20U-Public Prop-Utilities'!G13</f>
        <v>0</v>
      </c>
      <c r="H13" s="269">
        <f>+'20-Public Property'!H13+'20S-Public Prop-SEPTA'!H13+'20SR-Public Prop-Space Rentals'!H13+'20U-Public Prop-Utilities'!H13</f>
        <v>0</v>
      </c>
      <c r="I13" s="275">
        <f>+'20-Public Property'!I13+'20S-Public Prop-SEPTA'!I13+'20SR-Public Prop-Space Rentals'!I13+'20U-Public Prop-Utilities'!I13</f>
        <v>0</v>
      </c>
    </row>
    <row r="14" spans="1:10" x14ac:dyDescent="0.2">
      <c r="A14" s="10" t="s">
        <v>9</v>
      </c>
      <c r="B14" s="267">
        <f>+'20-Public Property'!B14+'20S-Public Prop-SEPTA'!B14+'20SR-Public Prop-Space Rentals'!B14+'20U-Public Prop-Utilities'!B14</f>
        <v>27678626</v>
      </c>
      <c r="C14" s="267">
        <f>+'20-Public Property'!C14+'20S-Public Prop-SEPTA'!C14+'20SR-Public Prop-Space Rentals'!C14+'20U-Public Prop-Utilities'!C14</f>
        <v>26643000</v>
      </c>
      <c r="D14" s="267">
        <f>+'20-Public Property'!D14+'20S-Public Prop-SEPTA'!D14+'20SR-Public Prop-Space Rentals'!D14+'20U-Public Prop-Utilities'!D14</f>
        <v>26643000</v>
      </c>
      <c r="E14" s="565">
        <f>+'20-Public Property'!E14+'20S-Public Prop-SEPTA'!E14+'20SR-Public Prop-Space Rentals'!E14+'20U-Public Prop-Utilities'!E14</f>
        <v>28235000</v>
      </c>
      <c r="F14" s="280">
        <f>+'20-Public Property'!F14+'20S-Public Prop-SEPTA'!F14+'20SR-Public Prop-Space Rentals'!F14+'20U-Public Prop-Utilities'!F14</f>
        <v>29992000</v>
      </c>
      <c r="G14" s="267">
        <f>+'20-Public Property'!G14+'20S-Public Prop-SEPTA'!G14+'20SR-Public Prop-Space Rentals'!G14+'20U-Public Prop-Utilities'!G14</f>
        <v>31746000</v>
      </c>
      <c r="H14" s="267">
        <f>+'20-Public Property'!H14+'20S-Public Prop-SEPTA'!H14+'20SR-Public Prop-Space Rentals'!H14+'20U-Public Prop-Utilities'!H14</f>
        <v>33682000</v>
      </c>
      <c r="I14" s="274">
        <f>+'20-Public Property'!I14+'20S-Public Prop-SEPTA'!I14+'20SR-Public Prop-Space Rentals'!I14+'20U-Public Prop-Utilities'!I14</f>
        <v>33682000</v>
      </c>
    </row>
    <row r="15" spans="1:10" ht="16" thickBot="1" x14ac:dyDescent="0.25">
      <c r="A15" s="11" t="s">
        <v>10</v>
      </c>
      <c r="B15" s="271">
        <f>+'20-Public Property'!B15+'20S-Public Prop-SEPTA'!B15+'20SR-Public Prop-Space Rentals'!B15+'20U-Public Prop-Utilities'!B15</f>
        <v>0</v>
      </c>
      <c r="C15" s="271">
        <f>+'20-Public Property'!C15+'20S-Public Prop-SEPTA'!C15+'20SR-Public Prop-Space Rentals'!C15+'20U-Public Prop-Utilities'!C15</f>
        <v>0</v>
      </c>
      <c r="D15" s="271">
        <f>+'20-Public Property'!D15+'20S-Public Prop-SEPTA'!D15+'20SR-Public Prop-Space Rentals'!D15+'20U-Public Prop-Utilities'!D15</f>
        <v>0</v>
      </c>
      <c r="E15" s="567">
        <f>+'20-Public Property'!E15+'20S-Public Prop-SEPTA'!E15+'20SR-Public Prop-Space Rentals'!E15+'20U-Public Prop-Utilities'!E15</f>
        <v>0</v>
      </c>
      <c r="F15" s="281">
        <f>+'20-Public Property'!F15+'20S-Public Prop-SEPTA'!F15+'20SR-Public Prop-Space Rentals'!F15+'20U-Public Prop-Utilities'!F15</f>
        <v>0</v>
      </c>
      <c r="G15" s="271">
        <f>+'20-Public Property'!G15+'20S-Public Prop-SEPTA'!G15+'20SR-Public Prop-Space Rentals'!G15+'20U-Public Prop-Utilities'!G15</f>
        <v>0</v>
      </c>
      <c r="H15" s="271">
        <f>+'20-Public Property'!H15+'20S-Public Prop-SEPTA'!H15+'20SR-Public Prop-Space Rentals'!H15+'20U-Public Prop-Utilities'!H15</f>
        <v>0</v>
      </c>
      <c r="I15" s="276">
        <f>+'20-Public Property'!I15+'20S-Public Prop-SEPTA'!I15+'20SR-Public Prop-Space Rentals'!I15+'20U-Public Prop-Utilities'!I15</f>
        <v>0</v>
      </c>
    </row>
    <row r="16" spans="1:10" ht="16" thickBot="1" x14ac:dyDescent="0.25">
      <c r="A16" s="4" t="s">
        <v>11</v>
      </c>
      <c r="B16" s="40">
        <f>SUM(B9:B15)</f>
        <v>202181618</v>
      </c>
      <c r="C16" s="40">
        <f t="shared" ref="C16:I16" si="0">SUM(C9:C15)</f>
        <v>209919613</v>
      </c>
      <c r="D16" s="40">
        <f t="shared" si="0"/>
        <v>214411637</v>
      </c>
      <c r="E16" s="573">
        <f t="shared" si="0"/>
        <v>205847679</v>
      </c>
      <c r="F16" s="40">
        <f t="shared" si="0"/>
        <v>215951311</v>
      </c>
      <c r="G16" s="40">
        <f t="shared" si="0"/>
        <v>222483016</v>
      </c>
      <c r="H16" s="40">
        <f t="shared" si="0"/>
        <v>238957718</v>
      </c>
      <c r="I16" s="40">
        <f t="shared" si="0"/>
        <v>244235262</v>
      </c>
    </row>
    <row r="18" spans="1:10" x14ac:dyDescent="0.2">
      <c r="E18" s="587">
        <f>+E16-D16</f>
        <v>-8563958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78"/>
      <c r="B23" s="79"/>
      <c r="C23" s="72"/>
      <c r="D23" s="73"/>
      <c r="E23" s="73"/>
      <c r="F23" s="73"/>
      <c r="G23" s="73"/>
      <c r="H23" s="73"/>
      <c r="I23" s="74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78"/>
      <c r="B25" s="79"/>
      <c r="C25" s="72"/>
      <c r="D25" s="73"/>
      <c r="E25" s="73"/>
      <c r="F25" s="73"/>
      <c r="G25" s="73"/>
      <c r="H25" s="73"/>
      <c r="I25" s="74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  <pageSetUpPr fitToPage="1"/>
  </sheetPr>
  <dimension ref="A1:J60"/>
  <sheetViews>
    <sheetView zoomScale="90" zoomScaleNormal="9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C5" s="963"/>
      <c r="D5" s="963"/>
      <c r="E5" s="963"/>
      <c r="F5" s="963"/>
      <c r="G5" s="963"/>
      <c r="H5" s="963"/>
      <c r="I5" s="963"/>
    </row>
    <row r="6" spans="1:10" ht="16" x14ac:dyDescent="0.2">
      <c r="A6" s="394" t="s">
        <v>14</v>
      </c>
      <c r="B6" s="395" t="s">
        <v>276</v>
      </c>
      <c r="C6" s="963" t="s">
        <v>278</v>
      </c>
      <c r="D6" s="963"/>
      <c r="E6" s="963"/>
      <c r="F6" s="963"/>
      <c r="G6" s="963"/>
      <c r="H6" s="963"/>
      <c r="I6" s="963"/>
    </row>
    <row r="7" spans="1:10" ht="16" thickBot="1" x14ac:dyDescent="0.25"/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265">
        <f>+'12-Streets'!B9+'12D-Streets-Disposal'!B9</f>
        <v>83603511</v>
      </c>
      <c r="C9" s="265">
        <f>+'12-Streets'!C9+'12D-Streets-Disposal'!C9</f>
        <v>90464913</v>
      </c>
      <c r="D9" s="265">
        <f>+'12-Streets'!D9+'12D-Streets-Disposal'!D9</f>
        <v>92207341</v>
      </c>
      <c r="E9" s="566">
        <f>+'12-Streets'!E9+'12D-Streets-Disposal'!E9</f>
        <v>87283619</v>
      </c>
      <c r="F9" s="556">
        <f>+'12-Streets'!F9+'12D-Streets-Disposal'!F9</f>
        <v>89875194</v>
      </c>
      <c r="G9" s="265">
        <f>+'12-Streets'!G9+'12D-Streets-Disposal'!G9</f>
        <v>92972429</v>
      </c>
      <c r="H9" s="265">
        <f>+'12-Streets'!H9+'12D-Streets-Disposal'!H9</f>
        <v>104512349</v>
      </c>
      <c r="I9" s="282">
        <f>+'12-Streets'!I9+'12D-Streets-Disposal'!I9</f>
        <v>104668989</v>
      </c>
    </row>
    <row r="10" spans="1:10" x14ac:dyDescent="0.2">
      <c r="A10" s="10" t="s">
        <v>5</v>
      </c>
      <c r="B10" s="267">
        <f>+'12-Streets'!B10+'12D-Streets-Disposal'!B10</f>
        <v>53525027</v>
      </c>
      <c r="C10" s="267">
        <f>+'12-Streets'!C10+'12D-Streets-Disposal'!C10</f>
        <v>58810652</v>
      </c>
      <c r="D10" s="267">
        <f>+'12-Streets'!D10+'12D-Streets-Disposal'!D10</f>
        <v>54782863</v>
      </c>
      <c r="E10" s="565">
        <f>+'12-Streets'!E10+'12D-Streets-Disposal'!E10</f>
        <v>59512680</v>
      </c>
      <c r="F10" s="280">
        <f>+'12-Streets'!F10+'12D-Streets-Disposal'!F10</f>
        <v>60687723</v>
      </c>
      <c r="G10" s="267">
        <f>+'12-Streets'!G10+'12D-Streets-Disposal'!G10</f>
        <v>61920981</v>
      </c>
      <c r="H10" s="267">
        <f>+'12-Streets'!H10+'12D-Streets-Disposal'!H10</f>
        <v>64145514</v>
      </c>
      <c r="I10" s="274">
        <f>+'12-Streets'!I10+'12D-Streets-Disposal'!I10</f>
        <v>65904912</v>
      </c>
    </row>
    <row r="11" spans="1:10" x14ac:dyDescent="0.2">
      <c r="A11" s="9" t="s">
        <v>6</v>
      </c>
      <c r="B11" s="269">
        <f>+'12-Streets'!B11+'12D-Streets-Disposal'!B11</f>
        <v>7400620</v>
      </c>
      <c r="C11" s="269">
        <f>+'12-Streets'!C11+'12D-Streets-Disposal'!C11</f>
        <v>7704196</v>
      </c>
      <c r="D11" s="269">
        <f>+'12-Streets'!D11+'12D-Streets-Disposal'!D11</f>
        <v>8078596</v>
      </c>
      <c r="E11" s="566">
        <f>+'12-Streets'!E11+'12D-Streets-Disposal'!E11</f>
        <v>6172885</v>
      </c>
      <c r="F11" s="279">
        <f>+'12-Streets'!F11+'12D-Streets-Disposal'!F11</f>
        <v>6179207</v>
      </c>
      <c r="G11" s="269">
        <f>+'12-Streets'!G11+'12D-Streets-Disposal'!G11</f>
        <v>5598280</v>
      </c>
      <c r="H11" s="269">
        <f>+'12-Streets'!H11+'12D-Streets-Disposal'!H11</f>
        <v>14925386</v>
      </c>
      <c r="I11" s="275">
        <f>+'12-Streets'!I11+'12D-Streets-Disposal'!I11</f>
        <v>6889386</v>
      </c>
    </row>
    <row r="12" spans="1:10" x14ac:dyDescent="0.2">
      <c r="A12" s="10" t="s">
        <v>7</v>
      </c>
      <c r="B12" s="267">
        <f>+'12-Streets'!B12+'12D-Streets-Disposal'!B12</f>
        <v>14942017</v>
      </c>
      <c r="C12" s="267">
        <f>+'12-Streets'!C12+'12D-Streets-Disposal'!C12</f>
        <v>53171</v>
      </c>
      <c r="D12" s="267">
        <f>+'12-Streets'!D12+'12D-Streets-Disposal'!D12</f>
        <v>53171</v>
      </c>
      <c r="E12" s="565">
        <f>+'12-Streets'!E12+'12D-Streets-Disposal'!E12</f>
        <v>53171</v>
      </c>
      <c r="F12" s="280">
        <f>+'12-Streets'!F12+'12D-Streets-Disposal'!F12</f>
        <v>53171</v>
      </c>
      <c r="G12" s="267">
        <f>+'12-Streets'!G12+'12D-Streets-Disposal'!G12</f>
        <v>53171</v>
      </c>
      <c r="H12" s="267">
        <f>+'12-Streets'!H12+'12D-Streets-Disposal'!H12</f>
        <v>53171</v>
      </c>
      <c r="I12" s="274">
        <f>+'12-Streets'!I12+'12D-Streets-Disposal'!I12</f>
        <v>53171</v>
      </c>
    </row>
    <row r="13" spans="1:10" x14ac:dyDescent="0.2">
      <c r="A13" s="9" t="s">
        <v>8</v>
      </c>
      <c r="B13" s="269">
        <f>+'12-Streets'!B13+'12D-Streets-Disposal'!B13</f>
        <v>0</v>
      </c>
      <c r="C13" s="269">
        <f>+'12-Streets'!C13+'12D-Streets-Disposal'!C13</f>
        <v>0</v>
      </c>
      <c r="D13" s="269">
        <f>+'12-Streets'!D13+'12D-Streets-Disposal'!D13</f>
        <v>0</v>
      </c>
      <c r="E13" s="566">
        <f>+'12-Streets'!E13+'12D-Streets-Disposal'!E13</f>
        <v>0</v>
      </c>
      <c r="F13" s="279">
        <f>+'12-Streets'!F13+'12D-Streets-Disposal'!F13</f>
        <v>0</v>
      </c>
      <c r="G13" s="269">
        <f>+'12-Streets'!G13+'12D-Streets-Disposal'!G13</f>
        <v>0</v>
      </c>
      <c r="H13" s="269">
        <f>+'12-Streets'!H13+'12D-Streets-Disposal'!H13</f>
        <v>0</v>
      </c>
      <c r="I13" s="275">
        <f>+'12-Streets'!I13+'12D-Streets-Disposal'!I13</f>
        <v>0</v>
      </c>
    </row>
    <row r="14" spans="1:10" x14ac:dyDescent="0.2">
      <c r="A14" s="10" t="s">
        <v>9</v>
      </c>
      <c r="B14" s="267">
        <f>+'12-Streets'!B14+'12D-Streets-Disposal'!B14</f>
        <v>0</v>
      </c>
      <c r="C14" s="267">
        <f>+'12-Streets'!C14+'12D-Streets-Disposal'!C14</f>
        <v>0</v>
      </c>
      <c r="D14" s="267">
        <f>+'12-Streets'!D14+'12D-Streets-Disposal'!D14</f>
        <v>0</v>
      </c>
      <c r="E14" s="565">
        <f>+'12-Streets'!E14+'12D-Streets-Disposal'!E14</f>
        <v>0</v>
      </c>
      <c r="F14" s="280">
        <f>+'12-Streets'!F14+'12D-Streets-Disposal'!F14</f>
        <v>0</v>
      </c>
      <c r="G14" s="267">
        <f>+'12-Streets'!G14+'12D-Streets-Disposal'!G14</f>
        <v>0</v>
      </c>
      <c r="H14" s="267">
        <f>+'12-Streets'!H14+'12D-Streets-Disposal'!H14</f>
        <v>0</v>
      </c>
      <c r="I14" s="274">
        <f>+'12-Streets'!I14+'12D-Streets-Disposal'!I14</f>
        <v>0</v>
      </c>
    </row>
    <row r="15" spans="1:10" ht="16" thickBot="1" x14ac:dyDescent="0.25">
      <c r="A15" s="11" t="s">
        <v>10</v>
      </c>
      <c r="B15" s="271">
        <f>+'12-Streets'!B15+'12D-Streets-Disposal'!B15</f>
        <v>0</v>
      </c>
      <c r="C15" s="271">
        <f>+'12-Streets'!C15+'12D-Streets-Disposal'!C15</f>
        <v>0</v>
      </c>
      <c r="D15" s="271">
        <f>+'12-Streets'!D15+'12D-Streets-Disposal'!D15</f>
        <v>0</v>
      </c>
      <c r="E15" s="567">
        <f>+'12-Streets'!E15+'12D-Streets-Disposal'!E15</f>
        <v>0</v>
      </c>
      <c r="F15" s="281">
        <f>+'12-Streets'!F15+'12D-Streets-Disposal'!F15</f>
        <v>0</v>
      </c>
      <c r="G15" s="271">
        <f>+'12-Streets'!G15+'12D-Streets-Disposal'!G15</f>
        <v>0</v>
      </c>
      <c r="H15" s="271">
        <f>+'12-Streets'!H15+'12D-Streets-Disposal'!H15</f>
        <v>0</v>
      </c>
      <c r="I15" s="276">
        <f>+'12-Streets'!I15+'12D-Streets-Disposal'!I15</f>
        <v>0</v>
      </c>
    </row>
    <row r="16" spans="1:10" ht="16" thickBot="1" x14ac:dyDescent="0.25">
      <c r="A16" s="4" t="s">
        <v>11</v>
      </c>
      <c r="B16" s="40">
        <f>SUM(B9:B15)</f>
        <v>159471175</v>
      </c>
      <c r="C16" s="40">
        <f t="shared" ref="C16:I16" si="0">SUM(C9:C15)</f>
        <v>157032932</v>
      </c>
      <c r="D16" s="40">
        <f t="shared" si="0"/>
        <v>155121971</v>
      </c>
      <c r="E16" s="573">
        <f t="shared" si="0"/>
        <v>153022355</v>
      </c>
      <c r="F16" s="40">
        <f t="shared" si="0"/>
        <v>156795295</v>
      </c>
      <c r="G16" s="40">
        <f t="shared" si="0"/>
        <v>160544861</v>
      </c>
      <c r="H16" s="40">
        <f t="shared" si="0"/>
        <v>183636420</v>
      </c>
      <c r="I16" s="40">
        <f t="shared" si="0"/>
        <v>177516458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78"/>
      <c r="B21" s="71"/>
      <c r="C21" s="72"/>
      <c r="D21" s="73"/>
      <c r="E21" s="73"/>
      <c r="F21" s="73"/>
      <c r="G21" s="74"/>
      <c r="H21" s="74"/>
      <c r="I21" s="74"/>
      <c r="J21" s="17"/>
    </row>
    <row r="22" spans="1:10" s="59" customFormat="1" ht="13" customHeight="1" x14ac:dyDescent="0.2">
      <c r="A22" s="78"/>
      <c r="B22" s="71">
        <f>+'12D-Streets-Disposal'!B16+'12-Streets'!B16</f>
        <v>159471175</v>
      </c>
      <c r="C22" s="71">
        <f>+'12D-Streets-Disposal'!C16+'12-Streets'!C16</f>
        <v>157032932</v>
      </c>
      <c r="D22" s="71">
        <f>+'12D-Streets-Disposal'!D16+'12-Streets'!D16</f>
        <v>155121971</v>
      </c>
      <c r="E22" s="71">
        <f>+'12D-Streets-Disposal'!E16+'12-Streets'!E16</f>
        <v>153022355</v>
      </c>
      <c r="F22" s="71">
        <f>+'12D-Streets-Disposal'!F16+'12-Streets'!F16</f>
        <v>156795295</v>
      </c>
      <c r="G22" s="71">
        <f>+'12D-Streets-Disposal'!G16+'12-Streets'!G16</f>
        <v>160544861</v>
      </c>
      <c r="H22" s="71">
        <f>+'12D-Streets-Disposal'!H16+'12-Streets'!H16</f>
        <v>183636420</v>
      </c>
      <c r="I22" s="71">
        <f>+'12D-Streets-Disposal'!I16+'12-Streets'!I16</f>
        <v>177516458</v>
      </c>
      <c r="J22" s="82"/>
    </row>
    <row r="23" spans="1:10" ht="13" customHeight="1" x14ac:dyDescent="0.2">
      <c r="A23" s="78"/>
      <c r="B23" s="71">
        <f>+B22-B16</f>
        <v>0</v>
      </c>
      <c r="C23" s="71">
        <f>+C22-C16</f>
        <v>0</v>
      </c>
      <c r="D23" s="71">
        <f>+D22-D16</f>
        <v>0</v>
      </c>
      <c r="E23" s="71">
        <f t="shared" ref="E23:I23" si="1">+E22-E16</f>
        <v>0</v>
      </c>
      <c r="F23" s="71">
        <f t="shared" si="1"/>
        <v>0</v>
      </c>
      <c r="G23" s="71">
        <f t="shared" si="1"/>
        <v>0</v>
      </c>
      <c r="H23" s="71">
        <f t="shared" si="1"/>
        <v>0</v>
      </c>
      <c r="I23" s="71">
        <f t="shared" si="1"/>
        <v>0</v>
      </c>
      <c r="J23" s="17"/>
    </row>
    <row r="24" spans="1:10" s="59" customFormat="1" ht="13" customHeight="1" x14ac:dyDescent="0.2">
      <c r="A24" s="78"/>
      <c r="B24" s="71"/>
      <c r="C24" s="71"/>
      <c r="D24" s="71"/>
      <c r="E24" s="71"/>
      <c r="F24" s="71"/>
      <c r="G24" s="71"/>
      <c r="H24" s="71"/>
      <c r="I24" s="71">
        <f>SUM(E23:I23)</f>
        <v>0</v>
      </c>
      <c r="J24" s="82"/>
    </row>
    <row r="25" spans="1:10" ht="13" customHeight="1" x14ac:dyDescent="0.2">
      <c r="A25" s="235"/>
      <c r="B25" s="71"/>
      <c r="C25" s="71"/>
      <c r="D25" s="71"/>
      <c r="E25" s="71"/>
      <c r="F25" s="71"/>
      <c r="G25" s="71"/>
      <c r="H25" s="71"/>
      <c r="I25" s="71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78"/>
      <c r="B27" s="79"/>
      <c r="C27" s="72"/>
      <c r="D27" s="73"/>
      <c r="E27" s="73"/>
      <c r="F27" s="73"/>
      <c r="G27" s="73"/>
      <c r="H27" s="73"/>
      <c r="I27" s="74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78"/>
      <c r="B29" s="79"/>
      <c r="C29" s="72"/>
      <c r="D29" s="73"/>
      <c r="E29" s="73"/>
      <c r="F29" s="73"/>
      <c r="G29" s="73"/>
      <c r="H29" s="73"/>
      <c r="I29" s="74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78"/>
      <c r="B31" s="79"/>
      <c r="C31" s="72"/>
      <c r="D31" s="73"/>
      <c r="E31" s="73"/>
      <c r="F31" s="73"/>
      <c r="G31" s="73"/>
      <c r="H31" s="73"/>
      <c r="I31" s="74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78"/>
      <c r="B33" s="79"/>
      <c r="C33" s="72"/>
      <c r="D33" s="73"/>
      <c r="E33" s="73"/>
      <c r="F33" s="73"/>
      <c r="G33" s="73"/>
      <c r="H33" s="73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>
    <pageSetUpPr fitToPage="1"/>
  </sheetPr>
  <dimension ref="A1:J60"/>
  <sheetViews>
    <sheetView view="pageBreakPreview" topLeftCell="A36" zoomScale="90" zoomScaleNormal="100" zoomScaleSheetLayoutView="90" workbookViewId="0">
      <selection activeCell="C5" sqref="C5:I5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0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0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0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0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0" ht="16" x14ac:dyDescent="0.2">
      <c r="A5" s="110" t="s">
        <v>191</v>
      </c>
      <c r="C5" s="963"/>
      <c r="D5" s="963"/>
      <c r="E5" s="963"/>
      <c r="F5" s="963"/>
      <c r="G5" s="963"/>
      <c r="H5" s="963"/>
      <c r="I5" s="963"/>
    </row>
    <row r="6" spans="1:10" ht="16" x14ac:dyDescent="0.2">
      <c r="A6" s="5" t="s">
        <v>14</v>
      </c>
      <c r="B6" s="33" t="s">
        <v>173</v>
      </c>
      <c r="C6" s="963" t="s">
        <v>172</v>
      </c>
      <c r="D6" s="963"/>
      <c r="E6" s="963"/>
      <c r="F6" s="963"/>
      <c r="G6" s="963"/>
      <c r="H6" s="963"/>
      <c r="I6" s="963"/>
    </row>
    <row r="7" spans="1:10" ht="16" thickBot="1" x14ac:dyDescent="0.25">
      <c r="E7" s="7" t="s">
        <v>242</v>
      </c>
    </row>
    <row r="8" spans="1:10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0" x14ac:dyDescent="0.2">
      <c r="A9" s="9" t="s">
        <v>4</v>
      </c>
      <c r="B9" s="34">
        <v>0</v>
      </c>
      <c r="C9" s="34">
        <v>0</v>
      </c>
      <c r="D9" s="227">
        <v>0</v>
      </c>
      <c r="E9" s="115">
        <f t="shared" ref="E9:I15" si="0">+D9</f>
        <v>0</v>
      </c>
      <c r="F9" s="411">
        <f t="shared" si="0"/>
        <v>0</v>
      </c>
      <c r="G9" s="34">
        <f t="shared" si="0"/>
        <v>0</v>
      </c>
      <c r="H9" s="227">
        <f t="shared" si="0"/>
        <v>0</v>
      </c>
      <c r="I9" s="51">
        <f t="shared" si="0"/>
        <v>0</v>
      </c>
    </row>
    <row r="10" spans="1:10" x14ac:dyDescent="0.2">
      <c r="A10" s="10" t="s">
        <v>5</v>
      </c>
      <c r="B10" s="36">
        <v>0</v>
      </c>
      <c r="C10" s="36">
        <v>0</v>
      </c>
      <c r="D10" s="230">
        <v>0</v>
      </c>
      <c r="E10" s="550">
        <f t="shared" si="0"/>
        <v>0</v>
      </c>
      <c r="F10" s="548">
        <f t="shared" si="0"/>
        <v>0</v>
      </c>
      <c r="G10" s="36">
        <f t="shared" si="0"/>
        <v>0</v>
      </c>
      <c r="H10" s="230">
        <f t="shared" si="0"/>
        <v>0</v>
      </c>
      <c r="I10" s="37">
        <f t="shared" si="0"/>
        <v>0</v>
      </c>
    </row>
    <row r="11" spans="1:10" x14ac:dyDescent="0.2">
      <c r="A11" s="9" t="s">
        <v>6</v>
      </c>
      <c r="B11" s="34">
        <v>0</v>
      </c>
      <c r="C11" s="34">
        <v>0</v>
      </c>
      <c r="D11" s="227">
        <v>0</v>
      </c>
      <c r="E11" s="115">
        <f t="shared" si="0"/>
        <v>0</v>
      </c>
      <c r="F11" s="411">
        <f t="shared" si="0"/>
        <v>0</v>
      </c>
      <c r="G11" s="34">
        <f t="shared" si="0"/>
        <v>0</v>
      </c>
      <c r="H11" s="227">
        <f t="shared" si="0"/>
        <v>0</v>
      </c>
      <c r="I11" s="35">
        <f t="shared" si="0"/>
        <v>0</v>
      </c>
    </row>
    <row r="12" spans="1:10" x14ac:dyDescent="0.2">
      <c r="A12" s="10" t="s">
        <v>7</v>
      </c>
      <c r="B12" s="36">
        <v>0</v>
      </c>
      <c r="C12" s="36">
        <v>0</v>
      </c>
      <c r="D12" s="230">
        <v>0</v>
      </c>
      <c r="E12" s="550">
        <f t="shared" si="0"/>
        <v>0</v>
      </c>
      <c r="F12" s="548">
        <f t="shared" si="0"/>
        <v>0</v>
      </c>
      <c r="G12" s="36">
        <f t="shared" si="0"/>
        <v>0</v>
      </c>
      <c r="H12" s="230">
        <f t="shared" si="0"/>
        <v>0</v>
      </c>
      <c r="I12" s="37">
        <f t="shared" si="0"/>
        <v>0</v>
      </c>
    </row>
    <row r="13" spans="1:10" x14ac:dyDescent="0.2">
      <c r="A13" s="9" t="s">
        <v>8</v>
      </c>
      <c r="B13" s="34">
        <v>0</v>
      </c>
      <c r="C13" s="34">
        <v>0</v>
      </c>
      <c r="D13" s="227">
        <v>0</v>
      </c>
      <c r="E13" s="115">
        <f t="shared" si="0"/>
        <v>0</v>
      </c>
      <c r="F13" s="411">
        <f t="shared" si="0"/>
        <v>0</v>
      </c>
      <c r="G13" s="34">
        <f t="shared" si="0"/>
        <v>0</v>
      </c>
      <c r="H13" s="227">
        <f t="shared" si="0"/>
        <v>0</v>
      </c>
      <c r="I13" s="35">
        <f t="shared" si="0"/>
        <v>0</v>
      </c>
    </row>
    <row r="14" spans="1:10" x14ac:dyDescent="0.2">
      <c r="A14" s="10" t="s">
        <v>9</v>
      </c>
      <c r="B14" s="36">
        <v>0</v>
      </c>
      <c r="C14" s="36">
        <v>0</v>
      </c>
      <c r="D14" s="230">
        <v>0</v>
      </c>
      <c r="E14" s="550">
        <f t="shared" si="0"/>
        <v>0</v>
      </c>
      <c r="F14" s="548">
        <f t="shared" si="0"/>
        <v>0</v>
      </c>
      <c r="G14" s="36">
        <f t="shared" si="0"/>
        <v>0</v>
      </c>
      <c r="H14" s="230">
        <f t="shared" si="0"/>
        <v>0</v>
      </c>
      <c r="I14" s="37">
        <f t="shared" si="0"/>
        <v>0</v>
      </c>
    </row>
    <row r="15" spans="1:10" ht="16" thickBot="1" x14ac:dyDescent="0.25">
      <c r="A15" s="11" t="s">
        <v>10</v>
      </c>
      <c r="B15" s="38">
        <v>0</v>
      </c>
      <c r="C15" s="38">
        <v>0</v>
      </c>
      <c r="D15" s="231">
        <v>0</v>
      </c>
      <c r="E15" s="551">
        <f t="shared" si="0"/>
        <v>0</v>
      </c>
      <c r="F15" s="549">
        <f t="shared" si="0"/>
        <v>0</v>
      </c>
      <c r="G15" s="38">
        <f t="shared" si="0"/>
        <v>0</v>
      </c>
      <c r="H15" s="231">
        <f t="shared" si="0"/>
        <v>0</v>
      </c>
      <c r="I15" s="39">
        <f t="shared" si="0"/>
        <v>0</v>
      </c>
    </row>
    <row r="16" spans="1:10" ht="16" thickBot="1" x14ac:dyDescent="0.25">
      <c r="A16" s="4" t="s">
        <v>11</v>
      </c>
      <c r="B16" s="40">
        <f>SUM(B9:B15)</f>
        <v>0</v>
      </c>
      <c r="C16" s="40">
        <f t="shared" ref="C16:I16" si="1">SUM(C9:C15)</f>
        <v>0</v>
      </c>
      <c r="D16" s="40">
        <f t="shared" si="1"/>
        <v>0</v>
      </c>
      <c r="E16" s="573">
        <f t="shared" si="1"/>
        <v>0</v>
      </c>
      <c r="F16" s="40">
        <f t="shared" si="1"/>
        <v>0</v>
      </c>
      <c r="G16" s="40">
        <f t="shared" si="1"/>
        <v>0</v>
      </c>
      <c r="H16" s="40">
        <f t="shared" si="1"/>
        <v>0</v>
      </c>
      <c r="I16" s="40">
        <f t="shared" si="1"/>
        <v>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5" customHeight="1" thickTop="1" x14ac:dyDescent="0.2">
      <c r="A20" s="80"/>
      <c r="B20" s="71"/>
      <c r="C20" s="72"/>
      <c r="D20" s="73"/>
      <c r="E20" s="73"/>
      <c r="F20" s="73"/>
      <c r="G20" s="74"/>
      <c r="H20" s="74"/>
      <c r="I20" s="74"/>
    </row>
    <row r="21" spans="1:10" ht="13" customHeight="1" x14ac:dyDescent="0.2">
      <c r="A21" s="84"/>
      <c r="B21" s="67"/>
      <c r="C21" s="68"/>
      <c r="D21" s="69"/>
      <c r="E21" s="69"/>
      <c r="F21" s="69"/>
      <c r="G21" s="70"/>
      <c r="H21" s="70"/>
      <c r="I21" s="70"/>
      <c r="J21" s="17"/>
    </row>
    <row r="22" spans="1:10" s="59" customFormat="1" ht="13" customHeight="1" x14ac:dyDescent="0.2">
      <c r="A22" s="78"/>
      <c r="B22" s="71"/>
      <c r="C22" s="72"/>
      <c r="D22" s="73"/>
      <c r="E22" s="73"/>
      <c r="F22" s="73"/>
      <c r="G22" s="74"/>
      <c r="H22" s="74"/>
      <c r="I22" s="74"/>
      <c r="J22" s="82"/>
    </row>
    <row r="23" spans="1:10" ht="13" customHeight="1" x14ac:dyDescent="0.2">
      <c r="A23" s="84"/>
      <c r="B23" s="85"/>
      <c r="C23" s="68"/>
      <c r="D23" s="69"/>
      <c r="E23" s="69"/>
      <c r="F23" s="69"/>
      <c r="G23" s="69"/>
      <c r="H23" s="69"/>
      <c r="I23" s="70"/>
      <c r="J23" s="17"/>
    </row>
    <row r="24" spans="1:10" s="59" customFormat="1" ht="13" customHeight="1" x14ac:dyDescent="0.2">
      <c r="A24" s="78"/>
      <c r="B24" s="79"/>
      <c r="C24" s="72"/>
      <c r="D24" s="73"/>
      <c r="E24" s="73"/>
      <c r="F24" s="73"/>
      <c r="G24" s="73"/>
      <c r="H24" s="73"/>
      <c r="I24" s="74"/>
      <c r="J24" s="82"/>
    </row>
    <row r="25" spans="1:10" ht="13" customHeight="1" x14ac:dyDescent="0.2">
      <c r="A25" s="84"/>
      <c r="B25" s="85"/>
      <c r="C25" s="68"/>
      <c r="D25" s="69"/>
      <c r="E25" s="69"/>
      <c r="F25" s="69"/>
      <c r="G25" s="69"/>
      <c r="H25" s="69"/>
      <c r="I25" s="70"/>
      <c r="J25" s="17"/>
    </row>
    <row r="26" spans="1:10" ht="13" customHeight="1" x14ac:dyDescent="0.2">
      <c r="A26" s="78"/>
      <c r="B26" s="79"/>
      <c r="C26" s="72"/>
      <c r="D26" s="73"/>
      <c r="E26" s="73"/>
      <c r="F26" s="73"/>
      <c r="G26" s="73"/>
      <c r="H26" s="73"/>
      <c r="I26" s="74"/>
      <c r="J26" s="17"/>
    </row>
    <row r="27" spans="1:10" ht="13" customHeight="1" x14ac:dyDescent="0.2">
      <c r="A27" s="84"/>
      <c r="B27" s="85"/>
      <c r="C27" s="68"/>
      <c r="D27" s="69"/>
      <c r="E27" s="69"/>
      <c r="F27" s="69"/>
      <c r="G27" s="69"/>
      <c r="H27" s="69"/>
      <c r="I27" s="70"/>
      <c r="J27" s="17"/>
    </row>
    <row r="28" spans="1:10" ht="13" customHeight="1" x14ac:dyDescent="0.2">
      <c r="A28" s="78"/>
      <c r="B28" s="79"/>
      <c r="C28" s="72"/>
      <c r="D28" s="73"/>
      <c r="E28" s="73"/>
      <c r="F28" s="73"/>
      <c r="G28" s="73"/>
      <c r="H28" s="73"/>
      <c r="I28" s="74"/>
      <c r="J28" s="17"/>
    </row>
    <row r="29" spans="1:10" ht="13" customHeight="1" x14ac:dyDescent="0.2">
      <c r="A29" s="84"/>
      <c r="B29" s="85"/>
      <c r="C29" s="68"/>
      <c r="D29" s="69"/>
      <c r="E29" s="69"/>
      <c r="F29" s="69"/>
      <c r="G29" s="69"/>
      <c r="H29" s="69"/>
      <c r="I29" s="70"/>
      <c r="J29" s="17"/>
    </row>
    <row r="30" spans="1:10" ht="13" customHeight="1" x14ac:dyDescent="0.2">
      <c r="A30" s="78"/>
      <c r="B30" s="79"/>
      <c r="C30" s="72"/>
      <c r="D30" s="73"/>
      <c r="E30" s="73"/>
      <c r="F30" s="73"/>
      <c r="G30" s="73"/>
      <c r="H30" s="73"/>
      <c r="I30" s="74"/>
      <c r="J30" s="17"/>
    </row>
    <row r="31" spans="1:10" ht="13" customHeight="1" x14ac:dyDescent="0.2">
      <c r="A31" s="84"/>
      <c r="B31" s="85"/>
      <c r="C31" s="68"/>
      <c r="D31" s="69"/>
      <c r="E31" s="69"/>
      <c r="F31" s="69"/>
      <c r="G31" s="69"/>
      <c r="H31" s="69"/>
      <c r="I31" s="70"/>
      <c r="J31" s="17"/>
    </row>
    <row r="32" spans="1:10" ht="13" customHeight="1" x14ac:dyDescent="0.2">
      <c r="A32" s="78"/>
      <c r="B32" s="79"/>
      <c r="C32" s="72"/>
      <c r="D32" s="73"/>
      <c r="E32" s="73"/>
      <c r="F32" s="73"/>
      <c r="G32" s="73"/>
      <c r="H32" s="73"/>
      <c r="I32" s="74"/>
      <c r="J32" s="17"/>
    </row>
    <row r="33" spans="1:10" ht="13" customHeight="1" x14ac:dyDescent="0.2">
      <c r="A33" s="84"/>
      <c r="B33" s="85"/>
      <c r="C33" s="68"/>
      <c r="D33" s="69"/>
      <c r="E33" s="69"/>
      <c r="F33" s="69"/>
      <c r="G33" s="69"/>
      <c r="H33" s="69"/>
      <c r="I33" s="70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84"/>
      <c r="B35" s="85"/>
      <c r="C35" s="75"/>
      <c r="D35" s="70"/>
      <c r="E35" s="70"/>
      <c r="F35" s="70"/>
      <c r="G35" s="70"/>
      <c r="H35" s="70"/>
      <c r="I35" s="70"/>
      <c r="J35" s="17"/>
    </row>
    <row r="36" spans="1:10" ht="13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4"/>
      <c r="E40" s="74"/>
      <c r="F40" s="74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78"/>
      <c r="B42" s="79"/>
      <c r="C42" s="76"/>
      <c r="D42" s="74"/>
      <c r="E42" s="74"/>
      <c r="F42" s="74"/>
      <c r="G42" s="74"/>
      <c r="H42" s="74"/>
      <c r="I42" s="74"/>
      <c r="J42" s="17"/>
    </row>
    <row r="43" spans="1:10" ht="13" customHeight="1" x14ac:dyDescent="0.2">
      <c r="A43" s="80"/>
      <c r="B43" s="71"/>
      <c r="C43" s="72"/>
      <c r="D43" s="73"/>
      <c r="E43" s="73"/>
      <c r="F43" s="73"/>
      <c r="G43" s="74"/>
      <c r="H43" s="74"/>
      <c r="I43" s="74"/>
      <c r="J43" s="17"/>
    </row>
    <row r="44" spans="1:10" ht="13" customHeight="1" x14ac:dyDescent="0.2">
      <c r="A44" s="78"/>
      <c r="B44" s="71"/>
      <c r="C44" s="72"/>
      <c r="D44" s="73"/>
      <c r="E44" s="73"/>
      <c r="F44" s="73"/>
      <c r="G44" s="74"/>
      <c r="H44" s="74"/>
      <c r="I44" s="74"/>
      <c r="J44" s="17"/>
    </row>
    <row r="45" spans="1:10" ht="13" customHeight="1" x14ac:dyDescent="0.2">
      <c r="A45" s="78"/>
      <c r="B45" s="71"/>
      <c r="C45" s="72"/>
      <c r="D45" s="73"/>
      <c r="E45" s="73"/>
      <c r="F45" s="73"/>
      <c r="G45" s="74"/>
      <c r="H45" s="74"/>
      <c r="I45" s="74"/>
      <c r="J45" s="17"/>
    </row>
    <row r="46" spans="1:10" ht="13" customHeight="1" x14ac:dyDescent="0.2">
      <c r="A46" s="78"/>
      <c r="B46" s="79"/>
      <c r="C46" s="72"/>
      <c r="D46" s="73"/>
      <c r="E46" s="73"/>
      <c r="F46" s="73"/>
      <c r="G46" s="73"/>
      <c r="H46" s="73"/>
      <c r="I46" s="74"/>
      <c r="J46" s="17"/>
    </row>
    <row r="47" spans="1:10" ht="13" customHeight="1" x14ac:dyDescent="0.2">
      <c r="A47" s="78"/>
      <c r="B47" s="79"/>
      <c r="C47" s="72"/>
      <c r="D47" s="73"/>
      <c r="E47" s="73"/>
      <c r="F47" s="73"/>
      <c r="G47" s="73"/>
      <c r="H47" s="73"/>
      <c r="I47" s="74"/>
      <c r="J47" s="17"/>
    </row>
    <row r="48" spans="1:10" ht="13" customHeight="1" x14ac:dyDescent="0.2">
      <c r="A48" s="78"/>
      <c r="B48" s="79"/>
      <c r="C48" s="72"/>
      <c r="D48" s="73"/>
      <c r="E48" s="73"/>
      <c r="F48" s="73"/>
      <c r="G48" s="73"/>
      <c r="H48" s="73"/>
      <c r="I48" s="74"/>
      <c r="J48" s="17"/>
    </row>
    <row r="49" spans="1:10" ht="13" customHeight="1" x14ac:dyDescent="0.2">
      <c r="A49" s="78"/>
      <c r="B49" s="79"/>
      <c r="C49" s="72"/>
      <c r="D49" s="73"/>
      <c r="E49" s="73"/>
      <c r="F49" s="73"/>
      <c r="G49" s="73"/>
      <c r="H49" s="73"/>
      <c r="I49" s="74"/>
      <c r="J49" s="17"/>
    </row>
    <row r="50" spans="1:10" ht="13" customHeight="1" x14ac:dyDescent="0.2">
      <c r="A50" s="78"/>
      <c r="B50" s="79"/>
      <c r="C50" s="72"/>
      <c r="D50" s="73"/>
      <c r="E50" s="73"/>
      <c r="F50" s="73"/>
      <c r="G50" s="73"/>
      <c r="H50" s="73"/>
      <c r="I50" s="74"/>
      <c r="J50" s="17"/>
    </row>
    <row r="51" spans="1:10" ht="13" customHeight="1" x14ac:dyDescent="0.2">
      <c r="A51" s="78"/>
      <c r="B51" s="79"/>
      <c r="C51" s="72"/>
      <c r="D51" s="73"/>
      <c r="E51" s="73"/>
      <c r="F51" s="73"/>
      <c r="G51" s="73"/>
      <c r="H51" s="73"/>
      <c r="I51" s="74"/>
      <c r="J51" s="17"/>
    </row>
    <row r="52" spans="1:10" ht="13" customHeight="1" x14ac:dyDescent="0.2">
      <c r="A52" s="78"/>
      <c r="B52" s="79"/>
      <c r="C52" s="72"/>
      <c r="D52" s="73"/>
      <c r="E52" s="73"/>
      <c r="F52" s="73"/>
      <c r="G52" s="73"/>
      <c r="H52" s="73"/>
      <c r="I52" s="74"/>
      <c r="J52" s="17"/>
    </row>
    <row r="53" spans="1:10" ht="13" customHeight="1" x14ac:dyDescent="0.2">
      <c r="A53" s="78"/>
      <c r="B53" s="79"/>
      <c r="C53" s="72"/>
      <c r="D53" s="73"/>
      <c r="E53" s="73"/>
      <c r="F53" s="73"/>
      <c r="G53" s="73"/>
      <c r="H53" s="73"/>
      <c r="I53" s="74"/>
      <c r="J53" s="17"/>
    </row>
    <row r="54" spans="1:10" ht="13" customHeight="1" x14ac:dyDescent="0.2">
      <c r="A54" s="78"/>
      <c r="B54" s="79"/>
      <c r="C54" s="72"/>
      <c r="D54" s="73"/>
      <c r="E54" s="73"/>
      <c r="F54" s="73"/>
      <c r="G54" s="73"/>
      <c r="H54" s="73"/>
      <c r="I54" s="74"/>
      <c r="J54" s="17"/>
    </row>
    <row r="55" spans="1:10" ht="13" customHeight="1" x14ac:dyDescent="0.2">
      <c r="A55" s="78"/>
      <c r="B55" s="79"/>
      <c r="C55" s="72"/>
      <c r="D55" s="73"/>
      <c r="E55" s="73"/>
      <c r="F55" s="73"/>
      <c r="G55" s="73"/>
      <c r="H55" s="73"/>
      <c r="I55" s="74"/>
      <c r="J55" s="17"/>
    </row>
    <row r="56" spans="1:10" ht="13" customHeight="1" x14ac:dyDescent="0.2">
      <c r="A56" s="78"/>
      <c r="B56" s="79"/>
      <c r="C56" s="72"/>
      <c r="D56" s="73"/>
      <c r="E56" s="73"/>
      <c r="F56" s="73"/>
      <c r="G56" s="73"/>
      <c r="H56" s="73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ht="13" customHeight="1" x14ac:dyDescent="0.2">
      <c r="A58" s="78"/>
      <c r="B58" s="79"/>
      <c r="C58" s="76"/>
      <c r="D58" s="74"/>
      <c r="E58" s="74"/>
      <c r="F58" s="74"/>
      <c r="G58" s="74"/>
      <c r="H58" s="74"/>
      <c r="I58" s="74"/>
      <c r="J58" s="17"/>
    </row>
    <row r="59" spans="1:10" ht="13" customHeight="1" x14ac:dyDescent="0.2">
      <c r="A59" s="78"/>
      <c r="B59" s="79"/>
      <c r="C59" s="76"/>
      <c r="D59" s="74"/>
      <c r="E59" s="74"/>
      <c r="F59" s="74"/>
      <c r="G59" s="74"/>
      <c r="H59" s="74"/>
      <c r="I59" s="74"/>
      <c r="J59" s="17"/>
    </row>
    <row r="60" spans="1:10" ht="13" customHeight="1" x14ac:dyDescent="0.2">
      <c r="A60" s="78"/>
      <c r="B60" s="79"/>
      <c r="C60" s="76"/>
      <c r="D60" s="74"/>
      <c r="E60" s="74"/>
      <c r="F60" s="74"/>
      <c r="G60" s="74"/>
      <c r="H60" s="74"/>
      <c r="I60" s="74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8" orientation="landscape" r:id="rId1"/>
  <headerFooter>
    <oddHeader>&amp;L&amp;10FY 2021-25 Proposed Budget&amp;R&amp;D
&amp;T</oddHeader>
    <oddFooter>&amp;L
&amp;C&amp;10Page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K59"/>
  <sheetViews>
    <sheetView topLeftCell="A9" zoomScaleNormal="100" zoomScaleSheetLayoutView="90" workbookViewId="0">
      <selection activeCell="E12" sqref="E12:F12"/>
    </sheetView>
  </sheetViews>
  <sheetFormatPr baseColWidth="10" defaultColWidth="9.1640625" defaultRowHeight="15" x14ac:dyDescent="0.2"/>
  <cols>
    <col min="1" max="1" width="35.83203125" style="7" bestFit="1" customWidth="1"/>
    <col min="2" max="9" width="14.5" style="7" customWidth="1"/>
    <col min="10" max="16384" width="9.1640625" style="7"/>
  </cols>
  <sheetData>
    <row r="1" spans="1:11" ht="16" x14ac:dyDescent="0.2">
      <c r="A1" s="958" t="s">
        <v>0</v>
      </c>
      <c r="B1" s="958"/>
      <c r="C1" s="958"/>
      <c r="D1" s="958"/>
      <c r="E1" s="958"/>
      <c r="F1" s="958"/>
      <c r="G1" s="958"/>
      <c r="H1" s="958"/>
      <c r="I1" s="958"/>
    </row>
    <row r="2" spans="1:11" ht="16" x14ac:dyDescent="0.2">
      <c r="A2" s="958" t="s">
        <v>1</v>
      </c>
      <c r="B2" s="958"/>
      <c r="C2" s="958"/>
      <c r="D2" s="958"/>
      <c r="E2" s="958"/>
      <c r="F2" s="958"/>
      <c r="G2" s="958"/>
      <c r="H2" s="958"/>
      <c r="I2" s="958"/>
    </row>
    <row r="3" spans="1:11" ht="16" x14ac:dyDescent="0.2">
      <c r="A3" s="958" t="s">
        <v>443</v>
      </c>
      <c r="B3" s="958"/>
      <c r="C3" s="958"/>
      <c r="D3" s="958"/>
      <c r="E3" s="958"/>
      <c r="F3" s="958"/>
      <c r="G3" s="958"/>
      <c r="H3" s="958"/>
      <c r="I3" s="958"/>
    </row>
    <row r="4" spans="1:11" ht="16" x14ac:dyDescent="0.2">
      <c r="A4" s="958" t="s">
        <v>2</v>
      </c>
      <c r="B4" s="958"/>
      <c r="C4" s="958"/>
      <c r="D4" s="958"/>
      <c r="E4" s="958"/>
      <c r="F4" s="958"/>
      <c r="G4" s="958"/>
      <c r="H4" s="958"/>
      <c r="I4" s="958"/>
    </row>
    <row r="5" spans="1:11" ht="16" x14ac:dyDescent="0.2">
      <c r="C5" s="963"/>
      <c r="D5" s="963"/>
      <c r="E5" s="963"/>
      <c r="F5" s="963"/>
      <c r="G5" s="963"/>
      <c r="H5" s="963"/>
      <c r="I5" s="963"/>
    </row>
    <row r="6" spans="1:11" ht="16" x14ac:dyDescent="0.2">
      <c r="A6" s="5" t="s">
        <v>14</v>
      </c>
      <c r="B6" s="33" t="s">
        <v>24</v>
      </c>
      <c r="C6" s="963" t="s">
        <v>162</v>
      </c>
      <c r="D6" s="963"/>
      <c r="E6" s="963"/>
      <c r="F6" s="963"/>
      <c r="G6" s="963"/>
      <c r="H6" s="963"/>
      <c r="I6" s="963"/>
    </row>
    <row r="7" spans="1:11" ht="16" thickBot="1" x14ac:dyDescent="0.25">
      <c r="E7" s="445"/>
      <c r="F7" s="445"/>
      <c r="G7" s="445"/>
      <c r="H7" s="445"/>
      <c r="I7" s="445"/>
    </row>
    <row r="8" spans="1:11" s="8" customFormat="1" ht="30" customHeight="1" x14ac:dyDescent="0.2">
      <c r="A8" s="1" t="s">
        <v>3</v>
      </c>
      <c r="B8" s="2" t="s">
        <v>451</v>
      </c>
      <c r="C8" s="2" t="s">
        <v>435</v>
      </c>
      <c r="D8" s="338" t="s">
        <v>439</v>
      </c>
      <c r="E8" s="414" t="s">
        <v>205</v>
      </c>
      <c r="F8" s="410" t="s">
        <v>224</v>
      </c>
      <c r="G8" s="2" t="s">
        <v>248</v>
      </c>
      <c r="H8" s="2" t="s">
        <v>306</v>
      </c>
      <c r="I8" s="3" t="s">
        <v>437</v>
      </c>
      <c r="J8" s="8" t="s">
        <v>307</v>
      </c>
    </row>
    <row r="9" spans="1:11" x14ac:dyDescent="0.2">
      <c r="A9" s="9" t="s">
        <v>4</v>
      </c>
      <c r="B9" s="34">
        <v>14104805</v>
      </c>
      <c r="C9" s="34">
        <v>15427138</v>
      </c>
      <c r="D9" s="227">
        <f>+C9+SUMIF($C$20:$C$31,K9,$D$20:$D$31)</f>
        <v>15627138</v>
      </c>
      <c r="E9" s="115">
        <f>+D9+E26</f>
        <v>14877138</v>
      </c>
      <c r="F9" s="411">
        <f t="shared" ref="F9:H10" si="0">+E9</f>
        <v>14877138</v>
      </c>
      <c r="G9" s="34">
        <f>+F9+G26</f>
        <v>15627138</v>
      </c>
      <c r="H9" s="227">
        <f t="shared" si="0"/>
        <v>15627138</v>
      </c>
      <c r="I9" s="51">
        <f t="shared" ref="F9:I15" si="1">+H9</f>
        <v>15627138</v>
      </c>
      <c r="K9" s="7">
        <v>100</v>
      </c>
    </row>
    <row r="10" spans="1:11" x14ac:dyDescent="0.2">
      <c r="A10" s="10" t="s">
        <v>5</v>
      </c>
      <c r="B10" s="36">
        <v>1931455</v>
      </c>
      <c r="C10" s="36">
        <v>1971885</v>
      </c>
      <c r="D10" s="230">
        <f>+C10+SUMIF($C$20:$C$31,K10,$D$20:$D$31)</f>
        <v>2446885</v>
      </c>
      <c r="E10" s="550">
        <f>+D10+E27+E23+E30</f>
        <v>1976885</v>
      </c>
      <c r="F10" s="548">
        <f t="shared" si="0"/>
        <v>1976885</v>
      </c>
      <c r="G10" s="36">
        <f>+F10+G27</f>
        <v>2126885</v>
      </c>
      <c r="H10" s="230">
        <f t="shared" si="0"/>
        <v>2126885</v>
      </c>
      <c r="I10" s="37">
        <f>+H10</f>
        <v>2126885</v>
      </c>
      <c r="K10" s="7">
        <v>200</v>
      </c>
    </row>
    <row r="11" spans="1:11" x14ac:dyDescent="0.2">
      <c r="A11" s="9" t="s">
        <v>6</v>
      </c>
      <c r="B11" s="34">
        <f>305038+194293</f>
        <v>499331</v>
      </c>
      <c r="C11" s="34">
        <v>528650</v>
      </c>
      <c r="D11" s="227">
        <f>+C11+D24</f>
        <v>603650</v>
      </c>
      <c r="E11" s="115">
        <f>+D11+E28+E24</f>
        <v>428650</v>
      </c>
      <c r="F11" s="411">
        <f>+E11</f>
        <v>428650</v>
      </c>
      <c r="G11" s="34">
        <f>+F11+G28</f>
        <v>528650</v>
      </c>
      <c r="H11" s="227">
        <f t="shared" si="1"/>
        <v>528650</v>
      </c>
      <c r="I11" s="35">
        <f t="shared" si="1"/>
        <v>528650</v>
      </c>
      <c r="K11" s="7" t="s">
        <v>167</v>
      </c>
    </row>
    <row r="12" spans="1:11" x14ac:dyDescent="0.2">
      <c r="A12" s="10" t="s">
        <v>7</v>
      </c>
      <c r="B12" s="36">
        <v>1740</v>
      </c>
      <c r="C12" s="36">
        <v>100</v>
      </c>
      <c r="D12" s="230">
        <f t="shared" ref="D12" si="2">+C12</f>
        <v>100</v>
      </c>
      <c r="E12" s="550">
        <f>+D12+E31</f>
        <v>25000100</v>
      </c>
      <c r="F12" s="548">
        <f>+E12+F31</f>
        <v>100</v>
      </c>
      <c r="G12" s="36">
        <f t="shared" si="1"/>
        <v>100</v>
      </c>
      <c r="H12" s="230">
        <f t="shared" si="1"/>
        <v>100</v>
      </c>
      <c r="I12" s="37">
        <f t="shared" si="1"/>
        <v>100</v>
      </c>
      <c r="K12" s="7">
        <v>500</v>
      </c>
    </row>
    <row r="13" spans="1:11" x14ac:dyDescent="0.2">
      <c r="A13" s="9" t="s">
        <v>8</v>
      </c>
      <c r="B13" s="34">
        <v>0</v>
      </c>
      <c r="C13" s="34">
        <v>0</v>
      </c>
      <c r="D13" s="227">
        <f>+C13</f>
        <v>0</v>
      </c>
      <c r="E13" s="115">
        <f t="shared" ref="E13:E15" si="3">+D13</f>
        <v>0</v>
      </c>
      <c r="F13" s="411">
        <f t="shared" si="1"/>
        <v>0</v>
      </c>
      <c r="G13" s="34">
        <f t="shared" si="1"/>
        <v>0</v>
      </c>
      <c r="H13" s="227">
        <f t="shared" si="1"/>
        <v>0</v>
      </c>
      <c r="I13" s="35">
        <f t="shared" si="1"/>
        <v>0</v>
      </c>
      <c r="K13" s="7">
        <v>700</v>
      </c>
    </row>
    <row r="14" spans="1:11" x14ac:dyDescent="0.2">
      <c r="A14" s="10" t="s">
        <v>9</v>
      </c>
      <c r="B14" s="36">
        <v>0</v>
      </c>
      <c r="C14" s="36">
        <v>100</v>
      </c>
      <c r="D14" s="230">
        <f>+C14</f>
        <v>100</v>
      </c>
      <c r="E14" s="550">
        <f t="shared" si="3"/>
        <v>100</v>
      </c>
      <c r="F14" s="548">
        <f t="shared" si="1"/>
        <v>100</v>
      </c>
      <c r="G14" s="36">
        <f t="shared" si="1"/>
        <v>100</v>
      </c>
      <c r="H14" s="230">
        <f t="shared" si="1"/>
        <v>100</v>
      </c>
      <c r="I14" s="37">
        <f t="shared" si="1"/>
        <v>100</v>
      </c>
      <c r="K14" s="7">
        <v>800</v>
      </c>
    </row>
    <row r="15" spans="1:11" ht="16" thickBot="1" x14ac:dyDescent="0.25">
      <c r="A15" s="11" t="s">
        <v>10</v>
      </c>
      <c r="B15" s="38">
        <v>0</v>
      </c>
      <c r="C15" s="38">
        <v>100</v>
      </c>
      <c r="D15" s="231">
        <f>+C15</f>
        <v>100</v>
      </c>
      <c r="E15" s="551">
        <f t="shared" si="3"/>
        <v>100</v>
      </c>
      <c r="F15" s="549">
        <f t="shared" si="1"/>
        <v>100</v>
      </c>
      <c r="G15" s="38">
        <f t="shared" si="1"/>
        <v>100</v>
      </c>
      <c r="H15" s="231">
        <f t="shared" si="1"/>
        <v>100</v>
      </c>
      <c r="I15" s="39">
        <f t="shared" si="1"/>
        <v>100</v>
      </c>
      <c r="K15" s="7">
        <v>900</v>
      </c>
    </row>
    <row r="16" spans="1:11" ht="16" thickBot="1" x14ac:dyDescent="0.25">
      <c r="A16" s="4" t="s">
        <v>11</v>
      </c>
      <c r="B16" s="40">
        <f>SUM(B9:B15)</f>
        <v>16537331</v>
      </c>
      <c r="C16" s="40">
        <f t="shared" ref="C16:I16" si="4">SUM(C9:C15)</f>
        <v>17927973</v>
      </c>
      <c r="D16" s="40">
        <f t="shared" si="4"/>
        <v>18677973</v>
      </c>
      <c r="E16" s="573">
        <f t="shared" si="4"/>
        <v>42282973</v>
      </c>
      <c r="F16" s="40">
        <f t="shared" si="4"/>
        <v>17282973</v>
      </c>
      <c r="G16" s="40">
        <f t="shared" si="4"/>
        <v>18282973</v>
      </c>
      <c r="H16" s="40">
        <f t="shared" si="4"/>
        <v>18282973</v>
      </c>
      <c r="I16" s="40">
        <f t="shared" si="4"/>
        <v>18282973</v>
      </c>
    </row>
    <row r="18" spans="1:10" x14ac:dyDescent="0.2">
      <c r="E18" s="416">
        <f>+E16-D16</f>
        <v>23605000</v>
      </c>
    </row>
    <row r="19" spans="1:10" ht="16" thickBot="1" x14ac:dyDescent="0.25">
      <c r="A19" s="25" t="s">
        <v>12</v>
      </c>
      <c r="B19" s="25"/>
      <c r="C19" s="25" t="s">
        <v>13</v>
      </c>
      <c r="D19" s="25" t="s">
        <v>89</v>
      </c>
      <c r="E19" s="25" t="s">
        <v>206</v>
      </c>
      <c r="F19" s="25" t="s">
        <v>225</v>
      </c>
      <c r="G19" s="25" t="s">
        <v>249</v>
      </c>
      <c r="H19" s="25" t="s">
        <v>308</v>
      </c>
      <c r="I19" s="25" t="s">
        <v>438</v>
      </c>
    </row>
    <row r="20" spans="1:10" ht="12.75" customHeight="1" thickTop="1" x14ac:dyDescent="0.2">
      <c r="A20" s="236" t="s">
        <v>511</v>
      </c>
      <c r="B20" s="305"/>
      <c r="C20" s="86"/>
      <c r="D20" s="252"/>
      <c r="E20" s="252"/>
      <c r="F20" s="73"/>
      <c r="G20" s="73"/>
      <c r="H20" s="73"/>
      <c r="I20" s="74"/>
    </row>
    <row r="21" spans="1:10" ht="12.75" customHeight="1" x14ac:dyDescent="0.2">
      <c r="A21" s="503" t="s">
        <v>369</v>
      </c>
      <c r="B21" s="85"/>
      <c r="C21" s="75">
        <v>100</v>
      </c>
      <c r="D21" s="69">
        <v>200000</v>
      </c>
      <c r="E21" s="69"/>
      <c r="F21" s="144"/>
      <c r="G21" s="144"/>
      <c r="H21" s="145"/>
      <c r="I21" s="145"/>
    </row>
    <row r="22" spans="1:10" ht="12.75" customHeight="1" x14ac:dyDescent="0.2">
      <c r="A22" s="184"/>
      <c r="B22" s="79"/>
      <c r="C22" s="675">
        <v>200</v>
      </c>
      <c r="D22" s="73">
        <v>150000</v>
      </c>
      <c r="E22" s="73"/>
      <c r="F22" s="73"/>
      <c r="G22" s="73"/>
      <c r="H22" s="73"/>
      <c r="I22" s="73"/>
      <c r="J22" s="17"/>
    </row>
    <row r="23" spans="1:10" s="59" customFormat="1" ht="12.75" customHeight="1" x14ac:dyDescent="0.2">
      <c r="A23" s="898" t="s">
        <v>811</v>
      </c>
      <c r="B23" s="85"/>
      <c r="C23" s="75">
        <v>200</v>
      </c>
      <c r="D23" s="69">
        <v>325000</v>
      </c>
      <c r="E23" s="69">
        <v>-325000</v>
      </c>
      <c r="F23" s="69"/>
      <c r="G23" s="69"/>
      <c r="H23" s="69"/>
      <c r="I23" s="69"/>
      <c r="J23" s="82"/>
    </row>
    <row r="24" spans="1:10" ht="12.75" customHeight="1" x14ac:dyDescent="0.2">
      <c r="A24" s="184"/>
      <c r="B24" s="79"/>
      <c r="C24" s="899" t="s">
        <v>167</v>
      </c>
      <c r="D24" s="73">
        <v>75000</v>
      </c>
      <c r="E24" s="73">
        <v>-75000</v>
      </c>
      <c r="F24" s="73"/>
      <c r="G24" s="73"/>
      <c r="H24" s="73"/>
      <c r="I24" s="73"/>
      <c r="J24" s="17"/>
    </row>
    <row r="25" spans="1:10" ht="12.75" customHeight="1" x14ac:dyDescent="0.2">
      <c r="A25" s="402" t="s">
        <v>747</v>
      </c>
      <c r="B25" s="85"/>
      <c r="C25" s="75"/>
      <c r="D25" s="69"/>
      <c r="E25" s="69"/>
      <c r="F25" s="69"/>
      <c r="G25" s="69"/>
      <c r="H25" s="69"/>
      <c r="I25" s="69"/>
      <c r="J25" s="17"/>
    </row>
    <row r="26" spans="1:10" ht="12.75" customHeight="1" x14ac:dyDescent="0.2">
      <c r="A26" s="184" t="s">
        <v>1010</v>
      </c>
      <c r="B26" s="79"/>
      <c r="C26" s="675">
        <v>100</v>
      </c>
      <c r="D26" s="73"/>
      <c r="E26" s="73">
        <v>-750000</v>
      </c>
      <c r="F26" s="73"/>
      <c r="G26" s="73">
        <v>750000</v>
      </c>
      <c r="H26" s="73"/>
      <c r="I26" s="73"/>
      <c r="J26" s="17"/>
    </row>
    <row r="27" spans="1:10" ht="12.75" customHeight="1" x14ac:dyDescent="0.2">
      <c r="A27" s="694"/>
      <c r="B27" s="85"/>
      <c r="C27" s="75">
        <v>200</v>
      </c>
      <c r="D27" s="69"/>
      <c r="E27" s="69">
        <v>-150000</v>
      </c>
      <c r="F27" s="69"/>
      <c r="G27" s="69">
        <v>150000</v>
      </c>
      <c r="H27" s="69"/>
      <c r="I27" s="69"/>
      <c r="J27" s="17"/>
    </row>
    <row r="28" spans="1:10" ht="12.75" customHeight="1" x14ac:dyDescent="0.2">
      <c r="A28" s="184"/>
      <c r="B28" s="79"/>
      <c r="C28" s="675" t="s">
        <v>167</v>
      </c>
      <c r="D28" s="73"/>
      <c r="E28" s="73">
        <v>-100000</v>
      </c>
      <c r="F28" s="73"/>
      <c r="G28" s="73">
        <v>100000</v>
      </c>
      <c r="H28" s="73"/>
      <c r="I28" s="73"/>
      <c r="J28" s="17"/>
    </row>
    <row r="29" spans="1:10" ht="12.75" customHeight="1" x14ac:dyDescent="0.2">
      <c r="A29" s="402" t="s">
        <v>911</v>
      </c>
      <c r="B29" s="85"/>
      <c r="C29" s="75"/>
      <c r="D29" s="69"/>
      <c r="E29" s="69"/>
      <c r="F29" s="69"/>
      <c r="G29" s="69"/>
      <c r="H29" s="69"/>
      <c r="I29" s="69"/>
      <c r="J29" s="17"/>
    </row>
    <row r="30" spans="1:10" ht="12.75" customHeight="1" x14ac:dyDescent="0.2">
      <c r="A30" s="184" t="s">
        <v>986</v>
      </c>
      <c r="B30" s="79"/>
      <c r="C30" s="675">
        <v>200</v>
      </c>
      <c r="D30" s="73"/>
      <c r="E30" s="73">
        <v>5000</v>
      </c>
      <c r="F30" s="73"/>
      <c r="G30" s="73"/>
      <c r="H30" s="73"/>
      <c r="I30" s="73"/>
      <c r="J30" s="17"/>
    </row>
    <row r="31" spans="1:10" ht="12.75" customHeight="1" x14ac:dyDescent="0.2">
      <c r="A31" s="898" t="s">
        <v>990</v>
      </c>
      <c r="B31" s="85"/>
      <c r="C31" s="75">
        <v>500</v>
      </c>
      <c r="D31" s="69"/>
      <c r="E31" s="69">
        <v>25000000</v>
      </c>
      <c r="F31" s="69">
        <v>-25000000</v>
      </c>
      <c r="G31" s="69"/>
      <c r="H31" s="69"/>
      <c r="I31" s="69"/>
      <c r="J31" s="17"/>
    </row>
    <row r="32" spans="1:10" ht="12.75" customHeight="1" x14ac:dyDescent="0.2">
      <c r="A32" s="169"/>
      <c r="B32" s="79"/>
      <c r="C32" s="76"/>
      <c r="D32" s="73"/>
      <c r="E32" s="73"/>
      <c r="F32" s="73"/>
      <c r="G32" s="73"/>
      <c r="H32" s="74"/>
      <c r="I32" s="74"/>
      <c r="J32" s="17"/>
    </row>
    <row r="33" spans="1:10" ht="12.75" customHeight="1" x14ac:dyDescent="0.2">
      <c r="A33" s="78"/>
      <c r="B33" s="79"/>
      <c r="C33" s="76"/>
      <c r="D33" s="74"/>
      <c r="E33" s="74"/>
      <c r="F33" s="74"/>
      <c r="G33" s="74"/>
      <c r="H33" s="74"/>
      <c r="I33" s="74"/>
      <c r="J33" s="17"/>
    </row>
    <row r="34" spans="1:10" ht="13" customHeight="1" x14ac:dyDescent="0.2">
      <c r="A34" s="78"/>
      <c r="B34" s="79"/>
      <c r="C34" s="76"/>
      <c r="D34" s="74"/>
      <c r="E34" s="74"/>
      <c r="F34" s="74"/>
      <c r="G34" s="74"/>
      <c r="H34" s="74"/>
      <c r="I34" s="74"/>
      <c r="J34" s="17"/>
    </row>
    <row r="35" spans="1:10" ht="13" customHeight="1" x14ac:dyDescent="0.2">
      <c r="A35" s="78"/>
      <c r="B35" s="79"/>
      <c r="C35" s="76"/>
      <c r="D35" s="74"/>
      <c r="E35" s="74"/>
      <c r="F35" s="74"/>
      <c r="G35" s="74"/>
      <c r="H35" s="74"/>
      <c r="I35" s="74"/>
      <c r="J35" s="17"/>
    </row>
    <row r="36" spans="1:10" ht="12.75" customHeight="1" x14ac:dyDescent="0.2">
      <c r="A36" s="78"/>
      <c r="B36" s="79"/>
      <c r="C36" s="76"/>
      <c r="D36" s="74"/>
      <c r="E36" s="74"/>
      <c r="F36" s="74"/>
      <c r="G36" s="74"/>
      <c r="H36" s="74"/>
      <c r="I36" s="74"/>
      <c r="J36" s="17"/>
    </row>
    <row r="37" spans="1:10" ht="13" customHeight="1" x14ac:dyDescent="0.2">
      <c r="A37" s="78"/>
      <c r="B37" s="79"/>
      <c r="C37" s="76"/>
      <c r="D37" s="74"/>
      <c r="E37" s="74"/>
      <c r="F37" s="74"/>
      <c r="G37" s="74"/>
      <c r="H37" s="74"/>
      <c r="I37" s="74"/>
      <c r="J37" s="17"/>
    </row>
    <row r="38" spans="1:10" ht="13" customHeight="1" x14ac:dyDescent="0.2">
      <c r="A38" s="78"/>
      <c r="B38" s="79"/>
      <c r="C38" s="76"/>
      <c r="D38" s="74"/>
      <c r="E38" s="74"/>
      <c r="F38" s="74"/>
      <c r="G38" s="74"/>
      <c r="H38" s="74"/>
      <c r="I38" s="74"/>
      <c r="J38" s="17"/>
    </row>
    <row r="39" spans="1:10" ht="13" customHeight="1" x14ac:dyDescent="0.2">
      <c r="A39" s="78"/>
      <c r="B39" s="79"/>
      <c r="C39" s="76"/>
      <c r="D39" s="74"/>
      <c r="E39" s="74"/>
      <c r="F39" s="74"/>
      <c r="G39" s="74"/>
      <c r="H39" s="74"/>
      <c r="I39" s="74"/>
      <c r="J39" s="17"/>
    </row>
    <row r="40" spans="1:10" ht="13" customHeight="1" x14ac:dyDescent="0.2">
      <c r="A40" s="78"/>
      <c r="B40" s="79"/>
      <c r="C40" s="76"/>
      <c r="D40" s="73"/>
      <c r="E40" s="73"/>
      <c r="F40" s="73"/>
      <c r="G40" s="74"/>
      <c r="H40" s="74"/>
      <c r="I40" s="74"/>
      <c r="J40" s="17"/>
    </row>
    <row r="41" spans="1:10" ht="13" customHeight="1" x14ac:dyDescent="0.2">
      <c r="A41" s="78"/>
      <c r="B41" s="79"/>
      <c r="C41" s="76"/>
      <c r="D41" s="74"/>
      <c r="E41" s="74"/>
      <c r="F41" s="74"/>
      <c r="G41" s="74"/>
      <c r="H41" s="74"/>
      <c r="I41" s="74"/>
      <c r="J41" s="17"/>
    </row>
    <row r="42" spans="1:10" ht="13" customHeight="1" x14ac:dyDescent="0.2">
      <c r="A42" s="80"/>
      <c r="B42" s="79"/>
      <c r="C42" s="76"/>
      <c r="D42" s="73"/>
      <c r="E42" s="73"/>
      <c r="F42" s="73"/>
      <c r="G42" s="73"/>
      <c r="H42" s="74"/>
      <c r="I42" s="74"/>
      <c r="J42" s="17"/>
    </row>
    <row r="43" spans="1:10" ht="13" customHeight="1" x14ac:dyDescent="0.2">
      <c r="A43" s="81"/>
      <c r="B43" s="79"/>
      <c r="C43" s="76"/>
      <c r="D43" s="73"/>
      <c r="E43" s="73"/>
      <c r="F43" s="73"/>
      <c r="G43" s="73"/>
      <c r="H43" s="74"/>
      <c r="I43" s="74"/>
      <c r="J43" s="17"/>
    </row>
    <row r="44" spans="1:10" ht="13" customHeight="1" x14ac:dyDescent="0.2">
      <c r="A44" s="78"/>
      <c r="B44" s="79"/>
      <c r="C44" s="76"/>
      <c r="D44" s="73"/>
      <c r="E44" s="73"/>
      <c r="F44" s="73"/>
      <c r="G44" s="73"/>
      <c r="H44" s="74"/>
      <c r="I44" s="74"/>
      <c r="J44" s="17"/>
    </row>
    <row r="45" spans="1:10" ht="13" customHeight="1" x14ac:dyDescent="0.2">
      <c r="A45" s="78"/>
      <c r="B45" s="79"/>
      <c r="C45" s="76"/>
      <c r="D45" s="73"/>
      <c r="E45" s="73"/>
      <c r="F45" s="73"/>
      <c r="G45" s="73"/>
      <c r="H45" s="74"/>
      <c r="I45" s="74"/>
      <c r="J45" s="17"/>
    </row>
    <row r="46" spans="1:10" ht="13" customHeight="1" x14ac:dyDescent="0.2">
      <c r="A46" s="78"/>
      <c r="B46" s="79"/>
      <c r="C46" s="76"/>
      <c r="D46" s="73"/>
      <c r="E46" s="73"/>
      <c r="F46" s="73"/>
      <c r="G46" s="73"/>
      <c r="H46" s="74"/>
      <c r="I46" s="74"/>
      <c r="J46" s="17"/>
    </row>
    <row r="47" spans="1:10" ht="13" customHeight="1" x14ac:dyDescent="0.2">
      <c r="A47" s="78"/>
      <c r="B47" s="79"/>
      <c r="C47" s="76"/>
      <c r="D47" s="73"/>
      <c r="E47" s="73"/>
      <c r="F47" s="73"/>
      <c r="G47" s="73"/>
      <c r="H47" s="74"/>
      <c r="I47" s="74"/>
      <c r="J47" s="17"/>
    </row>
    <row r="48" spans="1:10" ht="13" customHeight="1" x14ac:dyDescent="0.2">
      <c r="A48" s="78"/>
      <c r="B48" s="79"/>
      <c r="C48" s="76"/>
      <c r="D48" s="73"/>
      <c r="E48" s="73"/>
      <c r="F48" s="73"/>
      <c r="G48" s="73"/>
      <c r="H48" s="74"/>
      <c r="I48" s="74"/>
      <c r="J48" s="17"/>
    </row>
    <row r="49" spans="1:10" ht="13" customHeight="1" x14ac:dyDescent="0.2">
      <c r="A49" s="78"/>
      <c r="B49" s="79"/>
      <c r="C49" s="76"/>
      <c r="D49" s="73"/>
      <c r="E49" s="73"/>
      <c r="F49" s="73"/>
      <c r="G49" s="73"/>
      <c r="H49" s="74"/>
      <c r="I49" s="74"/>
      <c r="J49" s="17"/>
    </row>
    <row r="50" spans="1:10" ht="13" customHeight="1" x14ac:dyDescent="0.2">
      <c r="A50" s="78"/>
      <c r="B50" s="79"/>
      <c r="C50" s="76"/>
      <c r="D50" s="73"/>
      <c r="E50" s="73"/>
      <c r="F50" s="73"/>
      <c r="G50" s="73"/>
      <c r="H50" s="74"/>
      <c r="I50" s="74"/>
      <c r="J50" s="17"/>
    </row>
    <row r="51" spans="1:10" ht="13" customHeight="1" x14ac:dyDescent="0.2">
      <c r="A51" s="78"/>
      <c r="B51" s="79"/>
      <c r="C51" s="76"/>
      <c r="D51" s="73"/>
      <c r="E51" s="73"/>
      <c r="F51" s="73"/>
      <c r="G51" s="73"/>
      <c r="H51" s="74"/>
      <c r="I51" s="74"/>
      <c r="J51" s="17"/>
    </row>
    <row r="52" spans="1:10" ht="13" customHeight="1" x14ac:dyDescent="0.2">
      <c r="A52" s="78"/>
      <c r="B52" s="79"/>
      <c r="C52" s="76"/>
      <c r="D52" s="73"/>
      <c r="E52" s="73"/>
      <c r="F52" s="73"/>
      <c r="G52" s="73"/>
      <c r="H52" s="74"/>
      <c r="I52" s="74"/>
      <c r="J52" s="17"/>
    </row>
    <row r="53" spans="1:10" ht="13" customHeight="1" x14ac:dyDescent="0.2">
      <c r="A53" s="78"/>
      <c r="B53" s="79"/>
      <c r="C53" s="76"/>
      <c r="D53" s="73"/>
      <c r="E53" s="73"/>
      <c r="F53" s="73"/>
      <c r="G53" s="73"/>
      <c r="H53" s="74"/>
      <c r="I53" s="74"/>
      <c r="J53" s="17"/>
    </row>
    <row r="54" spans="1:10" ht="13" customHeight="1" x14ac:dyDescent="0.2">
      <c r="A54" s="78"/>
      <c r="B54" s="79"/>
      <c r="C54" s="76"/>
      <c r="D54" s="73"/>
      <c r="E54" s="73"/>
      <c r="F54" s="73"/>
      <c r="G54" s="73"/>
      <c r="H54" s="74"/>
      <c r="I54" s="74"/>
      <c r="J54" s="17"/>
    </row>
    <row r="55" spans="1:10" ht="13" customHeight="1" x14ac:dyDescent="0.2">
      <c r="A55" s="78"/>
      <c r="B55" s="79"/>
      <c r="C55" s="76"/>
      <c r="D55" s="73"/>
      <c r="E55" s="73"/>
      <c r="F55" s="73"/>
      <c r="G55" s="73"/>
      <c r="H55" s="74"/>
      <c r="I55" s="74"/>
      <c r="J55" s="17"/>
    </row>
    <row r="56" spans="1:10" ht="13" customHeight="1" x14ac:dyDescent="0.2">
      <c r="A56" s="78"/>
      <c r="B56" s="79"/>
      <c r="C56" s="76"/>
      <c r="D56" s="74"/>
      <c r="E56" s="74"/>
      <c r="F56" s="74"/>
      <c r="G56" s="74"/>
      <c r="H56" s="74"/>
      <c r="I56" s="74"/>
      <c r="J56" s="17"/>
    </row>
    <row r="57" spans="1:10" ht="13" customHeight="1" x14ac:dyDescent="0.2">
      <c r="A57" s="78"/>
      <c r="B57" s="79"/>
      <c r="C57" s="76"/>
      <c r="D57" s="74"/>
      <c r="E57" s="74"/>
      <c r="F57" s="74"/>
      <c r="G57" s="74"/>
      <c r="H57" s="74"/>
      <c r="I57" s="74"/>
      <c r="J57" s="17"/>
    </row>
    <row r="58" spans="1:10" x14ac:dyDescent="0.2">
      <c r="A58" s="57"/>
      <c r="B58" s="61"/>
      <c r="C58" s="65"/>
      <c r="D58" s="62"/>
      <c r="E58" s="62"/>
      <c r="F58" s="62"/>
      <c r="G58" s="62"/>
      <c r="H58" s="62"/>
      <c r="I58" s="62"/>
    </row>
    <row r="59" spans="1:10" x14ac:dyDescent="0.2">
      <c r="A59" s="58"/>
      <c r="B59" s="63"/>
      <c r="C59" s="66"/>
      <c r="D59" s="64"/>
      <c r="E59" s="64"/>
      <c r="F59" s="64"/>
      <c r="G59" s="64"/>
      <c r="H59" s="64"/>
      <c r="I59" s="64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7" orientation="landscape" r:id="rId1"/>
  <headerFooter>
    <oddHeader>&amp;L&amp;10FY 2021-25 Proposed Budget&amp;R&amp;D
&amp;T</oddHeader>
    <oddFooter>&amp;L
&amp;C&amp;10Page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84</vt:i4>
      </vt:variant>
      <vt:variant>
        <vt:lpstr>Named Ranges</vt:lpstr>
      </vt:variant>
      <vt:variant>
        <vt:i4>91</vt:i4>
      </vt:variant>
    </vt:vector>
  </HeadingPairs>
  <TitlesOfParts>
    <vt:vector size="175" baseType="lpstr">
      <vt:lpstr>Summary</vt:lpstr>
      <vt:lpstr>DeptSummary</vt:lpstr>
      <vt:lpstr>34-Art Museum Subsidy</vt:lpstr>
      <vt:lpstr>18-Atwater Kent Museum</vt:lpstr>
      <vt:lpstr>61-Auditing</vt:lpstr>
      <vt:lpstr>45-Board of Ethics</vt:lpstr>
      <vt:lpstr>63-Board of Revision of Taxes</vt:lpstr>
      <vt:lpstr>73-City Commissioners</vt:lpstr>
      <vt:lpstr>01-City Council</vt:lpstr>
      <vt:lpstr>41-City Representative</vt:lpstr>
      <vt:lpstr>40-City Treasurer</vt:lpstr>
      <vt:lpstr>55-Civil Service Comm</vt:lpstr>
      <vt:lpstr>55L-CivServComm-Labor Reserve</vt:lpstr>
      <vt:lpstr>42-Commerce</vt:lpstr>
      <vt:lpstr>42CC-Commerce Convention Ctr</vt:lpstr>
      <vt:lpstr>42ES-Commerce Econ Stimulus</vt:lpstr>
      <vt:lpstr>69-District Attorney</vt:lpstr>
      <vt:lpstr>35-Finance</vt:lpstr>
      <vt:lpstr>35R-Finance - Recession Reserve</vt:lpstr>
      <vt:lpstr>35D-Finance Reg32</vt:lpstr>
      <vt:lpstr>35CC-Finance - CCP</vt:lpstr>
      <vt:lpstr>35BS-Finance-BudgetStabilizat'n</vt:lpstr>
      <vt:lpstr>35EB-Finance - Benefits</vt:lpstr>
      <vt:lpstr>35H-Finance - Hero</vt:lpstr>
      <vt:lpstr>35I-Finance - Indemnities</vt:lpstr>
      <vt:lpstr>35R-Finance - Refunds</vt:lpstr>
      <vt:lpstr>35SD-Finance-School District</vt:lpstr>
      <vt:lpstr>35W-Finance - Witness Fees</vt:lpstr>
      <vt:lpstr>13-Fire</vt:lpstr>
      <vt:lpstr>84-FJD</vt:lpstr>
      <vt:lpstr>25-Fleet</vt:lpstr>
      <vt:lpstr>25V-Fleet - Vehicle</vt:lpstr>
      <vt:lpstr>52-Free Library</vt:lpstr>
      <vt:lpstr>54-Human Relations Comm</vt:lpstr>
      <vt:lpstr>22-Human Services</vt:lpstr>
      <vt:lpstr>03-Labor</vt:lpstr>
      <vt:lpstr>44-Law</vt:lpstr>
      <vt:lpstr>26-L+I</vt:lpstr>
      <vt:lpstr>29-L+I -Bd Bldg Standards</vt:lpstr>
      <vt:lpstr>27-L+I -Bd LI Rev</vt:lpstr>
      <vt:lpstr>10-MDO</vt:lpstr>
      <vt:lpstr>10LS-MDO-Legal Svcs</vt:lpstr>
      <vt:lpstr>05-Mayor</vt:lpstr>
      <vt:lpstr>05S-Mayor-Schol</vt:lpstr>
      <vt:lpstr>50-Mural Arts</vt:lpstr>
      <vt:lpstr>58-Arts&amp;Culture</vt:lpstr>
      <vt:lpstr>15-OBH</vt:lpstr>
      <vt:lpstr>65-CAO</vt:lpstr>
      <vt:lpstr>08-CEO( MOCS_08)</vt:lpstr>
      <vt:lpstr>66-OCF</vt:lpstr>
      <vt:lpstr>24-OHS</vt:lpstr>
      <vt:lpstr>56-OHR</vt:lpstr>
      <vt:lpstr>04-OIT</vt:lpstr>
      <vt:lpstr>04-OIT-911</vt:lpstr>
      <vt:lpstr>48-OIG</vt:lpstr>
      <vt:lpstr>59-OPA</vt:lpstr>
      <vt:lpstr>49-Off of Sustainability</vt:lpstr>
      <vt:lpstr>16-Parks&amp;Rec</vt:lpstr>
      <vt:lpstr>72-Planning &amp; Dev (Incl OHCD)</vt:lpstr>
      <vt:lpstr>11-Police</vt:lpstr>
      <vt:lpstr>23-Prisons</vt:lpstr>
      <vt:lpstr>38-Procurement</vt:lpstr>
      <vt:lpstr>14-Public Health</vt:lpstr>
      <vt:lpstr>20-Public Property</vt:lpstr>
      <vt:lpstr>20S-Public Prop-SEPTA</vt:lpstr>
      <vt:lpstr>20SR-Public Prop-Space Rentals</vt:lpstr>
      <vt:lpstr>20U-Public Prop-Utilities</vt:lpstr>
      <vt:lpstr>31-Records</vt:lpstr>
      <vt:lpstr>68-Register of Wills</vt:lpstr>
      <vt:lpstr>36-Revenue</vt:lpstr>
      <vt:lpstr>70-Sheriff</vt:lpstr>
      <vt:lpstr>37-Sinking Fund</vt:lpstr>
      <vt:lpstr>12D-Streets-Disposal</vt:lpstr>
      <vt:lpstr>12-Streets</vt:lpstr>
      <vt:lpstr>CSC- ALL</vt:lpstr>
      <vt:lpstr>COMMERCE -ALL</vt:lpstr>
      <vt:lpstr>FINANCE TOTAL</vt:lpstr>
      <vt:lpstr>FLEET TOTAL</vt:lpstr>
      <vt:lpstr>MDO TOTAL</vt:lpstr>
      <vt:lpstr>MAYOR TOTAL</vt:lpstr>
      <vt:lpstr>OIT ALL</vt:lpstr>
      <vt:lpstr>PUB PROP TOTAL</vt:lpstr>
      <vt:lpstr>STREETS TOTAL</vt:lpstr>
      <vt:lpstr>Template</vt:lpstr>
      <vt:lpstr>'01-City Council'!Print_Area</vt:lpstr>
      <vt:lpstr>'03-Labor'!Print_Area</vt:lpstr>
      <vt:lpstr>'04-OIT'!Print_Area</vt:lpstr>
      <vt:lpstr>'04-OIT-911'!Print_Area</vt:lpstr>
      <vt:lpstr>'05-Mayor'!Print_Area</vt:lpstr>
      <vt:lpstr>'05S-Mayor-Schol'!Print_Area</vt:lpstr>
      <vt:lpstr>'08-CEO( MOCS_08)'!Print_Area</vt:lpstr>
      <vt:lpstr>'10-MDO'!Print_Area</vt:lpstr>
      <vt:lpstr>'10LS-MDO-Legal Svcs'!Print_Area</vt:lpstr>
      <vt:lpstr>'11-Police'!Print_Area</vt:lpstr>
      <vt:lpstr>'12-Streets'!Print_Area</vt:lpstr>
      <vt:lpstr>'12D-Streets-Disposal'!Print_Area</vt:lpstr>
      <vt:lpstr>'13-Fire'!Print_Area</vt:lpstr>
      <vt:lpstr>'14-Public Health'!Print_Area</vt:lpstr>
      <vt:lpstr>'15-OBH'!Print_Area</vt:lpstr>
      <vt:lpstr>'16-Parks&amp;Rec'!Print_Area</vt:lpstr>
      <vt:lpstr>'18-Atwater Kent Museum'!Print_Area</vt:lpstr>
      <vt:lpstr>'20-Public Property'!Print_Area</vt:lpstr>
      <vt:lpstr>'20S-Public Prop-SEPTA'!Print_Area</vt:lpstr>
      <vt:lpstr>'20SR-Public Prop-Space Rentals'!Print_Area</vt:lpstr>
      <vt:lpstr>'20U-Public Prop-Utilities'!Print_Area</vt:lpstr>
      <vt:lpstr>'22-Human Services'!Print_Area</vt:lpstr>
      <vt:lpstr>'23-Prisons'!Print_Area</vt:lpstr>
      <vt:lpstr>'24-OHS'!Print_Area</vt:lpstr>
      <vt:lpstr>'25-Fleet'!Print_Area</vt:lpstr>
      <vt:lpstr>'25V-Fleet - Vehicle'!Print_Area</vt:lpstr>
      <vt:lpstr>'26-L+I'!Print_Area</vt:lpstr>
      <vt:lpstr>'27-L+I -Bd LI Rev'!Print_Area</vt:lpstr>
      <vt:lpstr>'29-L+I -Bd Bldg Standards'!Print_Area</vt:lpstr>
      <vt:lpstr>'31-Records'!Print_Area</vt:lpstr>
      <vt:lpstr>'34-Art Museum Subsidy'!Print_Area</vt:lpstr>
      <vt:lpstr>'35-Finance'!Print_Area</vt:lpstr>
      <vt:lpstr>'35BS-Finance-BudgetStabilizat''n'!Print_Area</vt:lpstr>
      <vt:lpstr>'35CC-Finance - CCP'!Print_Area</vt:lpstr>
      <vt:lpstr>'35D-Finance Reg32'!Print_Area</vt:lpstr>
      <vt:lpstr>'35EB-Finance - Benefits'!Print_Area</vt:lpstr>
      <vt:lpstr>'35H-Finance - Hero'!Print_Area</vt:lpstr>
      <vt:lpstr>'35I-Finance - Indemnities'!Print_Area</vt:lpstr>
      <vt:lpstr>'35R-Finance - Recession Reserve'!Print_Area</vt:lpstr>
      <vt:lpstr>'35R-Finance - Refunds'!Print_Area</vt:lpstr>
      <vt:lpstr>'35SD-Finance-School District'!Print_Area</vt:lpstr>
      <vt:lpstr>'35W-Finance - Witness Fees'!Print_Area</vt:lpstr>
      <vt:lpstr>'36-Revenue'!Print_Area</vt:lpstr>
      <vt:lpstr>'37-Sinking Fund'!Print_Area</vt:lpstr>
      <vt:lpstr>'38-Procurement'!Print_Area</vt:lpstr>
      <vt:lpstr>'40-City Treasurer'!Print_Area</vt:lpstr>
      <vt:lpstr>'41-City Representative'!Print_Area</vt:lpstr>
      <vt:lpstr>'42-Commerce'!Print_Area</vt:lpstr>
      <vt:lpstr>'42CC-Commerce Convention Ctr'!Print_Area</vt:lpstr>
      <vt:lpstr>'42ES-Commerce Econ Stimulus'!Print_Area</vt:lpstr>
      <vt:lpstr>'44-Law'!Print_Area</vt:lpstr>
      <vt:lpstr>'45-Board of Ethics'!Print_Area</vt:lpstr>
      <vt:lpstr>'48-OIG'!Print_Area</vt:lpstr>
      <vt:lpstr>'49-Off of Sustainability'!Print_Area</vt:lpstr>
      <vt:lpstr>'50-Mural Arts'!Print_Area</vt:lpstr>
      <vt:lpstr>'52-Free Library'!Print_Area</vt:lpstr>
      <vt:lpstr>'54-Human Relations Comm'!Print_Area</vt:lpstr>
      <vt:lpstr>'55-Civil Service Comm'!Print_Area</vt:lpstr>
      <vt:lpstr>'55L-CivServComm-Labor Reserve'!Print_Area</vt:lpstr>
      <vt:lpstr>'56-OHR'!Print_Area</vt:lpstr>
      <vt:lpstr>'58-Arts&amp;Culture'!Print_Area</vt:lpstr>
      <vt:lpstr>'59-OPA'!Print_Area</vt:lpstr>
      <vt:lpstr>'61-Auditing'!Print_Area</vt:lpstr>
      <vt:lpstr>'63-Board of Revision of Taxes'!Print_Area</vt:lpstr>
      <vt:lpstr>'65-CAO'!Print_Area</vt:lpstr>
      <vt:lpstr>'66-OCF'!Print_Area</vt:lpstr>
      <vt:lpstr>'68-Register of Wills'!Print_Area</vt:lpstr>
      <vt:lpstr>'69-District Attorney'!Print_Area</vt:lpstr>
      <vt:lpstr>'70-Sheriff'!Print_Area</vt:lpstr>
      <vt:lpstr>'72-Planning &amp; Dev (Incl OHCD)'!Print_Area</vt:lpstr>
      <vt:lpstr>'73-City Commissioners'!Print_Area</vt:lpstr>
      <vt:lpstr>'84-FJD'!Print_Area</vt:lpstr>
      <vt:lpstr>'COMMERCE -ALL'!Print_Area</vt:lpstr>
      <vt:lpstr>'CSC- ALL'!Print_Area</vt:lpstr>
      <vt:lpstr>DeptSummary!Print_Area</vt:lpstr>
      <vt:lpstr>'FINANCE TOTAL'!Print_Area</vt:lpstr>
      <vt:lpstr>'FLEET TOTAL'!Print_Area</vt:lpstr>
      <vt:lpstr>'MAYOR TOTAL'!Print_Area</vt:lpstr>
      <vt:lpstr>'MDO TOTAL'!Print_Area</vt:lpstr>
      <vt:lpstr>'OIT ALL'!Print_Area</vt:lpstr>
      <vt:lpstr>'PUB PROP TOTAL'!Print_Area</vt:lpstr>
      <vt:lpstr>'STREETS TOTAL'!Print_Area</vt:lpstr>
      <vt:lpstr>Summary!Print_Area</vt:lpstr>
      <vt:lpstr>Template!Print_Area</vt:lpstr>
      <vt:lpstr>'04-OIT'!Print_Titles</vt:lpstr>
      <vt:lpstr>'10-MDO'!Print_Titles</vt:lpstr>
      <vt:lpstr>'11-Police'!Print_Titles</vt:lpstr>
      <vt:lpstr>'13-Fire'!Print_Titles</vt:lpstr>
      <vt:lpstr>'14-Public Health'!Print_Titles</vt:lpstr>
      <vt:lpstr>'35-Finance'!Print_Titles</vt:lpstr>
      <vt:lpstr>DeptSummary!Print_Titles</vt:lpstr>
    </vt:vector>
  </TitlesOfParts>
  <Company>City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Nick Hand</cp:lastModifiedBy>
  <cp:lastPrinted>2020-06-29T19:39:02Z</cp:lastPrinted>
  <dcterms:created xsi:type="dcterms:W3CDTF">2014-11-07T14:43:31Z</dcterms:created>
  <dcterms:modified xsi:type="dcterms:W3CDTF">2020-10-30T13:42:27Z</dcterms:modified>
</cp:coreProperties>
</file>