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BUDGET\5YR2226\Proposed\"/>
    </mc:Choice>
  </mc:AlternateContent>
  <xr:revisionPtr revIDLastSave="0" documentId="13_ncr:1_{F4812610-1A2A-4547-B75D-45D6C22BDF44}" xr6:coauthVersionLast="45" xr6:coauthVersionMax="45" xr10:uidLastSave="{00000000-0000-0000-0000-000000000000}"/>
  <bookViews>
    <workbookView xWindow="-110" yWindow="-110" windowWidth="19420" windowHeight="10420" tabRatio="827" firstSheet="32" activeTab="34" xr2:uid="{00000000-000D-0000-FFFF-FFFF00000000}"/>
  </bookViews>
  <sheets>
    <sheet name="Summary" sheetId="4" r:id="rId1"/>
    <sheet name="DeptSummary" sheetId="5" r:id="rId2"/>
    <sheet name="34-Art Museum Subsidy" sheetId="1" r:id="rId3"/>
    <sheet name="18-Atwater Kent Museum" sheetId="7" r:id="rId4"/>
    <sheet name="61-Auditing" sheetId="8" r:id="rId5"/>
    <sheet name="45-Board of Ethics" sheetId="9" r:id="rId6"/>
    <sheet name="63-Board of Revision of Taxes" sheetId="10" r:id="rId7"/>
    <sheet name="73-City Commissioners" sheetId="12" r:id="rId8"/>
    <sheet name="01-City Council" sheetId="13" r:id="rId9"/>
    <sheet name="41-City Representative" sheetId="15" r:id="rId10"/>
    <sheet name="40-City Treasurer" sheetId="17" r:id="rId11"/>
    <sheet name="55-Civil Service Comm" sheetId="18" r:id="rId12"/>
    <sheet name="55L-CivServComm-Labor Reserve" sheetId="19" r:id="rId13"/>
    <sheet name="42-Commerce" sheetId="20" r:id="rId14"/>
    <sheet name="42CC-Commerce Convention Ctr" sheetId="21" r:id="rId15"/>
    <sheet name="42ES-Commerce Econ Stimulus" sheetId="22" r:id="rId16"/>
    <sheet name="69-District Attorney" sheetId="23" r:id="rId17"/>
    <sheet name="35-Finance" sheetId="24" r:id="rId18"/>
    <sheet name="35R-Finance - Pandemic Reserve" sheetId="102" r:id="rId19"/>
    <sheet name="35D-Finance Reg32" sheetId="98" r:id="rId20"/>
    <sheet name="35CC-Finance - CCP" sheetId="26" r:id="rId21"/>
    <sheet name="35BS-Finance-BudgetStabilizat'n" sheetId="93" r:id="rId22"/>
    <sheet name="35EB-Finance - Benefits" sheetId="83" r:id="rId23"/>
    <sheet name="35H-Finance - Hero" sheetId="27" r:id="rId24"/>
    <sheet name="35I-Finance - Indemnities" sheetId="28" r:id="rId25"/>
    <sheet name="35R-Finance - Refunds" sheetId="29" r:id="rId26"/>
    <sheet name="35SD-Finance-School District" sheetId="30" r:id="rId27"/>
    <sheet name="35W-Finance - Witness Fees" sheetId="31" r:id="rId28"/>
    <sheet name="13-Fire" sheetId="32" r:id="rId29"/>
    <sheet name="84-FJD" sheetId="33" r:id="rId30"/>
    <sheet name="25-Fleet" sheetId="34" r:id="rId31"/>
    <sheet name="25V-Fleet - Vehicle" sheetId="35" r:id="rId32"/>
    <sheet name="52-Free Library" sheetId="36" r:id="rId33"/>
    <sheet name="54-Human Relations Comm" sheetId="38" r:id="rId34"/>
    <sheet name="22-Human Services" sheetId="39" r:id="rId35"/>
    <sheet name="03-Labor" sheetId="40" r:id="rId36"/>
    <sheet name="44-Law" sheetId="42" r:id="rId37"/>
    <sheet name="26-L+I" sheetId="43" r:id="rId38"/>
    <sheet name="29-L+I -Bd Bldg Standards" sheetId="45" r:id="rId39"/>
    <sheet name="27-L+I -Bd LI Rev" sheetId="46" r:id="rId40"/>
    <sheet name="10-MDO" sheetId="49" r:id="rId41"/>
    <sheet name="10LS-MDO-Legal Svcs" sheetId="50" r:id="rId42"/>
    <sheet name="05-Mayor" sheetId="51" r:id="rId43"/>
    <sheet name="05S-Mayor-Schol" sheetId="52" r:id="rId44"/>
    <sheet name="50-Mural Arts" sheetId="56" r:id="rId45"/>
    <sheet name="58-Arts&amp;Culture" sheetId="57" r:id="rId46"/>
    <sheet name="15-OBH" sheetId="58" r:id="rId47"/>
    <sheet name="65-CAO" sheetId="96" r:id="rId48"/>
    <sheet name="08-CEO( MOCS_08)" sheetId="54" r:id="rId49"/>
    <sheet name="66-OCF" sheetId="97" r:id="rId50"/>
    <sheet name="24-OHS" sheetId="65" r:id="rId51"/>
    <sheet name="56-OHR" sheetId="60" r:id="rId52"/>
    <sheet name="04-OIT" sheetId="61" r:id="rId53"/>
    <sheet name="04-OIT-911" sheetId="62" r:id="rId54"/>
    <sheet name="48-OIG" sheetId="63" r:id="rId55"/>
    <sheet name="59-OPA" sheetId="64" r:id="rId56"/>
    <sheet name="49-Off of Sustainability" sheetId="92" r:id="rId57"/>
    <sheet name="16-Parks&amp;Rec" sheetId="66" r:id="rId58"/>
    <sheet name="72-Planning &amp; Dev (Incl OHCD)" sheetId="59" r:id="rId59"/>
    <sheet name="11-Police" sheetId="67" r:id="rId60"/>
    <sheet name="23-Prisons" sheetId="68" r:id="rId61"/>
    <sheet name="38-Procurement" sheetId="69" r:id="rId62"/>
    <sheet name="14-Public Health" sheetId="70" r:id="rId63"/>
    <sheet name="20-Public Property" sheetId="71" r:id="rId64"/>
    <sheet name="20S-Public Prop-SEPTA" sheetId="72" r:id="rId65"/>
    <sheet name="20SR-Public Prop-Space Rentals" sheetId="73" r:id="rId66"/>
    <sheet name="20U-Public Prop-Utilities" sheetId="74" r:id="rId67"/>
    <sheet name="31-Records" sheetId="75" r:id="rId68"/>
    <sheet name="68-Register of Wills" sheetId="76" r:id="rId69"/>
    <sheet name="36-Revenue" sheetId="77" r:id="rId70"/>
    <sheet name="70-Sheriff" sheetId="78" r:id="rId71"/>
    <sheet name="37-Sinking Fund" sheetId="79" r:id="rId72"/>
    <sheet name="12D-Streets-Disposal" sheetId="100" r:id="rId73"/>
    <sheet name="12-Streets" sheetId="80" r:id="rId74"/>
    <sheet name="CSC- ALL" sheetId="90" r:id="rId75"/>
    <sheet name="COMMERCE -ALL" sheetId="89" r:id="rId76"/>
    <sheet name="FINANCE TOTAL" sheetId="86" r:id="rId77"/>
    <sheet name="FLEET TOTAL" sheetId="94" r:id="rId78"/>
    <sheet name="MDO TOTAL" sheetId="85" r:id="rId79"/>
    <sheet name="MAYOR TOTAL" sheetId="91" r:id="rId80"/>
    <sheet name="OIT ALL" sheetId="88" r:id="rId81"/>
    <sheet name="PUB PROP TOTAL" sheetId="87" r:id="rId82"/>
    <sheet name="STREETS TOTAL" sheetId="101" r:id="rId83"/>
    <sheet name="Template" sheetId="41" r:id="rId84"/>
  </sheets>
  <externalReferences>
    <externalReference r:id="rId85"/>
    <externalReference r:id="rId86"/>
  </externalReferences>
  <definedNames>
    <definedName name="_xlnm._FilterDatabase" localSheetId="71" hidden="1">'37-Sinking Fund'!$A$6:$I$16</definedName>
    <definedName name="_xlnm.Print_Area" localSheetId="8">'01-City Council'!$A$1:$I$50</definedName>
    <definedName name="_xlnm.Print_Area" localSheetId="35">'03-Labor'!$A$1:$I$54</definedName>
    <definedName name="_xlnm.Print_Area" localSheetId="52">'04-OIT'!$A$1:$I$74</definedName>
    <definedName name="_xlnm.Print_Area" localSheetId="53">'04-OIT-911'!$A$1:$I$50</definedName>
    <definedName name="_xlnm.Print_Area" localSheetId="42">'05-Mayor'!$A$1:$I$50</definedName>
    <definedName name="_xlnm.Print_Area" localSheetId="43">'05S-Mayor-Schol'!$A$1:$I$50</definedName>
    <definedName name="_xlnm.Print_Area" localSheetId="48">'08-CEO( MOCS_08)'!$A$1:$I$50</definedName>
    <definedName name="_xlnm.Print_Area" localSheetId="41">'10LS-MDO-Legal Svcs'!$A$1:$I$31</definedName>
    <definedName name="_xlnm.Print_Area" localSheetId="40">'10-MDO'!$A$1:$I$109</definedName>
    <definedName name="_xlnm.Print_Area" localSheetId="59">'11-Police'!$A$1:$I$51</definedName>
    <definedName name="_xlnm.Print_Area" localSheetId="72">'12D-Streets-Disposal'!$A$1:$I$51</definedName>
    <definedName name="_xlnm.Print_Area" localSheetId="73">'12-Streets'!$A$1:$I$65</definedName>
    <definedName name="_xlnm.Print_Area" localSheetId="28">'13-Fire'!$A$1:$I$67</definedName>
    <definedName name="_xlnm.Print_Area" localSheetId="62">'14-Public Health'!$A$1:$I$77</definedName>
    <definedName name="_xlnm.Print_Area" localSheetId="46">'15-OBH'!$A$1:$I$50</definedName>
    <definedName name="_xlnm.Print_Area" localSheetId="57">'16-Parks&amp;Rec'!$A$1:$I$60</definedName>
    <definedName name="_xlnm.Print_Area" localSheetId="3">'18-Atwater Kent Museum'!$A$1:$I$50</definedName>
    <definedName name="_xlnm.Print_Area" localSheetId="63">'20-Public Property'!$A$1:$I$49</definedName>
    <definedName name="_xlnm.Print_Area" localSheetId="64">'20S-Public Prop-SEPTA'!$A$1:$I$31</definedName>
    <definedName name="_xlnm.Print_Area" localSheetId="65">'20SR-Public Prop-Space Rentals'!$A$1:$I$50</definedName>
    <definedName name="_xlnm.Print_Area" localSheetId="66">'20U-Public Prop-Utilities'!$A$1:$I$50</definedName>
    <definedName name="_xlnm.Print_Area" localSheetId="34">'22-Human Services'!$A$1:$I$50</definedName>
    <definedName name="_xlnm.Print_Area" localSheetId="60">'23-Prisons'!$A$1:$I$50</definedName>
    <definedName name="_xlnm.Print_Area" localSheetId="50">'24-OHS'!$A$1:$I$49</definedName>
    <definedName name="_xlnm.Print_Area" localSheetId="30">'25-Fleet'!$A$1:$I$50</definedName>
    <definedName name="_xlnm.Print_Area" localSheetId="31">'25V-Fleet - Vehicle'!$A$1:$I$50</definedName>
    <definedName name="_xlnm.Print_Area" localSheetId="37">'26-L+I'!$A$1:$I$50</definedName>
    <definedName name="_xlnm.Print_Area" localSheetId="39">'27-L+I -Bd LI Rev'!$A$1:$I$50</definedName>
    <definedName name="_xlnm.Print_Area" localSheetId="38">'29-L+I -Bd Bldg Standards'!$A$1:$I$50</definedName>
    <definedName name="_xlnm.Print_Area" localSheetId="67">'31-Records'!$A$1:$I$50</definedName>
    <definedName name="_xlnm.Print_Area" localSheetId="2">'34-Art Museum Subsidy'!$A$1:$I$51</definedName>
    <definedName name="_xlnm.Print_Area" localSheetId="21">'35BS-Finance-BudgetStabilizat''n'!$A$1:$I$18</definedName>
    <definedName name="_xlnm.Print_Area" localSheetId="20">'35CC-Finance - CCP'!$A$1:$I$18</definedName>
    <definedName name="_xlnm.Print_Area" localSheetId="19">'35D-Finance Reg32'!$A$1:$I$18</definedName>
    <definedName name="_xlnm.Print_Area" localSheetId="22">'35EB-Finance - Benefits'!$M$1:$U$50</definedName>
    <definedName name="_xlnm.Print_Area" localSheetId="17">'35-Finance'!$A$1:$I$69</definedName>
    <definedName name="_xlnm.Print_Area" localSheetId="23">'35H-Finance - Hero'!$A$1:$I$50</definedName>
    <definedName name="_xlnm.Print_Area" localSheetId="24">'35I-Finance - Indemnities'!$A$1:$I$49</definedName>
    <definedName name="_xlnm.Print_Area" localSheetId="18">'35R-Finance - Pandemic Reserve'!$A$1:$I$18</definedName>
    <definedName name="_xlnm.Print_Area" localSheetId="25">'35R-Finance - Refunds'!$A$1:$I$50</definedName>
    <definedName name="_xlnm.Print_Area" localSheetId="26">'35SD-Finance-School District'!$A$1:$I$50</definedName>
    <definedName name="_xlnm.Print_Area" localSheetId="27">'35W-Finance - Witness Fees'!$A$1:$I$50</definedName>
    <definedName name="_xlnm.Print_Area" localSheetId="69">'36-Revenue'!$A$1:$I$50</definedName>
    <definedName name="_xlnm.Print_Area" localSheetId="71">'37-Sinking Fund'!$A$1:$I$50</definedName>
    <definedName name="_xlnm.Print_Area" localSheetId="61">'38-Procurement'!$A$1:$I$50</definedName>
    <definedName name="_xlnm.Print_Area" localSheetId="10">'40-City Treasurer'!$A$1:$I$50</definedName>
    <definedName name="_xlnm.Print_Area" localSheetId="9">'41-City Representative'!$A$1:$I$50</definedName>
    <definedName name="_xlnm.Print_Area" localSheetId="14">'42CC-Commerce Convention Ctr'!$A$1:$I$50</definedName>
    <definedName name="_xlnm.Print_Area" localSheetId="13">'42-Commerce'!$A$1:$I$50</definedName>
    <definedName name="_xlnm.Print_Area" localSheetId="15">'42ES-Commerce Econ Stimulus'!$A$1:$I$50</definedName>
    <definedName name="_xlnm.Print_Area" localSheetId="36">'44-Law'!$A$1:$I$51</definedName>
    <definedName name="_xlnm.Print_Area" localSheetId="5">'45-Board of Ethics'!$A$1:$I$50</definedName>
    <definedName name="_xlnm.Print_Area" localSheetId="54">'48-OIG'!$A$1:$I$50</definedName>
    <definedName name="_xlnm.Print_Area" localSheetId="56">'49-Off of Sustainability'!$A$1:$I$51</definedName>
    <definedName name="_xlnm.Print_Area" localSheetId="44">'50-Mural Arts'!$A$1:$I$51</definedName>
    <definedName name="_xlnm.Print_Area" localSheetId="32">'52-Free Library'!$A$1:$I$50</definedName>
    <definedName name="_xlnm.Print_Area" localSheetId="33">'54-Human Relations Comm'!$A$1:$I$50</definedName>
    <definedName name="_xlnm.Print_Area" localSheetId="11">'55-Civil Service Comm'!$A$1:$I$50</definedName>
    <definedName name="_xlnm.Print_Area" localSheetId="12">'55L-CivServComm-Labor Reserve'!$A$1:$J$18</definedName>
    <definedName name="_xlnm.Print_Area" localSheetId="51">'56-OHR'!$A$1:$I$50</definedName>
    <definedName name="_xlnm.Print_Area" localSheetId="45">'58-Arts&amp;Culture'!$A$1:$I$50</definedName>
    <definedName name="_xlnm.Print_Area" localSheetId="55">'59-OPA'!$A$1:$I$50</definedName>
    <definedName name="_xlnm.Print_Area" localSheetId="4">'61-Auditing'!$A$1:$I$55</definedName>
    <definedName name="_xlnm.Print_Area" localSheetId="6">'63-Board of Revision of Taxes'!$A$1:$I$52</definedName>
    <definedName name="_xlnm.Print_Area" localSheetId="47">'65-CAO'!$A$1:$I$50</definedName>
    <definedName name="_xlnm.Print_Area" localSheetId="49">'66-OCF'!$A$1:$I$50</definedName>
    <definedName name="_xlnm.Print_Area" localSheetId="68">'68-Register of Wills'!$A$1:$I$50</definedName>
    <definedName name="_xlnm.Print_Area" localSheetId="16">'69-District Attorney'!$A$1:$I$50</definedName>
    <definedName name="_xlnm.Print_Area" localSheetId="70">'70-Sheriff'!$A$1:$I$51</definedName>
    <definedName name="_xlnm.Print_Area" localSheetId="58">'72-Planning &amp; Dev (Incl OHCD)'!$A$1:$I$51</definedName>
    <definedName name="_xlnm.Print_Area" localSheetId="7">'73-City Commissioners'!$A$1:$I$50</definedName>
    <definedName name="_xlnm.Print_Area" localSheetId="29">'84-FJD'!$A$1:$I$50</definedName>
    <definedName name="_xlnm.Print_Area" localSheetId="75">'COMMERCE -ALL'!$A$1:$I$50</definedName>
    <definedName name="_xlnm.Print_Area" localSheetId="74">'CSC- ALL'!$A$1:$I$50</definedName>
    <definedName name="_xlnm.Print_Area" localSheetId="1">DeptSummary!$B$1:$J$80</definedName>
    <definedName name="_xlnm.Print_Area" localSheetId="76">'FINANCE TOTAL'!$A$1:$I$20</definedName>
    <definedName name="_xlnm.Print_Area" localSheetId="77">'FLEET TOTAL'!$A$1:$I$50</definedName>
    <definedName name="_xlnm.Print_Area" localSheetId="79">'MAYOR TOTAL'!$A$1:$I$50</definedName>
    <definedName name="_xlnm.Print_Area" localSheetId="78">'MDO TOTAL'!$A$1:$I$50</definedName>
    <definedName name="_xlnm.Print_Area" localSheetId="80">'OIT ALL'!$A$1:$I$50</definedName>
    <definedName name="_xlnm.Print_Area" localSheetId="81">'PUB PROP TOTAL'!$A$1:$I$50</definedName>
    <definedName name="_xlnm.Print_Area" localSheetId="82">'STREETS TOTAL'!$A$1:$I$21</definedName>
    <definedName name="_xlnm.Print_Area" localSheetId="0">Summary!$A$1:$J$19</definedName>
    <definedName name="_xlnm.Print_Area" localSheetId="83">Template!$A$1:$I$50</definedName>
    <definedName name="_xlnm.Print_Titles" localSheetId="35">'03-Labor'!$1:$19</definedName>
    <definedName name="_xlnm.Print_Titles" localSheetId="52">'04-OIT'!$1:$19</definedName>
    <definedName name="_xlnm.Print_Titles" localSheetId="40">'10-MDO'!$1:$19</definedName>
    <definedName name="_xlnm.Print_Titles" localSheetId="59">'11-Police'!$1:$19</definedName>
    <definedName name="_xlnm.Print_Titles" localSheetId="73">'12-Streets'!$1:$19</definedName>
    <definedName name="_xlnm.Print_Titles" localSheetId="28">'13-Fire'!$1:$19</definedName>
    <definedName name="_xlnm.Print_Titles" localSheetId="62">'14-Public Health'!$1:$19</definedName>
    <definedName name="_xlnm.Print_Titles" localSheetId="57">'16-Parks&amp;Rec'!$1:$19</definedName>
    <definedName name="_xlnm.Print_Titles" localSheetId="17">'35-Finance'!$1:$19</definedName>
    <definedName name="_xlnm.Print_Titles" localSheetId="1">DeptSummary!$1:$7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75" l="1"/>
  <c r="F12" i="76"/>
  <c r="F13" i="76"/>
  <c r="F14" i="77"/>
  <c r="F13" i="78"/>
  <c r="I32" i="4" l="1"/>
  <c r="H32" i="4"/>
  <c r="G32" i="4"/>
  <c r="F32" i="4"/>
  <c r="E32" i="4"/>
  <c r="D32" i="4"/>
  <c r="I82" i="24" l="1"/>
  <c r="H82" i="24"/>
  <c r="G82" i="24"/>
  <c r="F82" i="24"/>
  <c r="E82" i="24"/>
  <c r="I80" i="24"/>
  <c r="H80" i="24"/>
  <c r="G80" i="24"/>
  <c r="F80" i="24"/>
  <c r="E80" i="24"/>
  <c r="E43" i="42" l="1"/>
  <c r="Q14" i="83" l="1"/>
  <c r="F58" i="32" l="1"/>
  <c r="G58" i="32"/>
  <c r="G57" i="32"/>
  <c r="F57" i="32"/>
  <c r="E56" i="32"/>
  <c r="I15" i="19" l="1"/>
  <c r="H15" i="19"/>
  <c r="G15" i="19"/>
  <c r="F15" i="19"/>
  <c r="E15" i="19"/>
  <c r="H42" i="12"/>
  <c r="H41" i="12"/>
  <c r="E105" i="49" l="1"/>
  <c r="I68" i="24" l="1"/>
  <c r="H68" i="24"/>
  <c r="G68" i="24"/>
  <c r="F68" i="24"/>
  <c r="F15" i="102" l="1"/>
  <c r="E15" i="102"/>
  <c r="G46" i="65" l="1"/>
  <c r="D9" i="17" l="1"/>
  <c r="F28" i="58" l="1"/>
  <c r="F77" i="49"/>
  <c r="U19" i="83" l="1"/>
  <c r="T19" i="83"/>
  <c r="S19" i="83"/>
  <c r="R19" i="83"/>
  <c r="Q19" i="83"/>
  <c r="F54" i="80" l="1"/>
  <c r="G54" i="80" s="1"/>
  <c r="H54" i="80" s="1"/>
  <c r="F53" i="80" l="1"/>
  <c r="E10" i="100"/>
  <c r="F10" i="79"/>
  <c r="I10" i="73" l="1"/>
  <c r="H10" i="73"/>
  <c r="G10" i="73"/>
  <c r="F10" i="73"/>
  <c r="E10" i="73" l="1"/>
  <c r="D15" i="70" l="1"/>
  <c r="E15" i="70" s="1"/>
  <c r="F15" i="70" s="1"/>
  <c r="G15" i="70" s="1"/>
  <c r="H15" i="70" s="1"/>
  <c r="I15" i="70" s="1"/>
  <c r="D14" i="70"/>
  <c r="E14" i="70" s="1"/>
  <c r="F14" i="70" s="1"/>
  <c r="G14" i="70" s="1"/>
  <c r="H14" i="70" s="1"/>
  <c r="I14" i="70" s="1"/>
  <c r="D13" i="70"/>
  <c r="E13" i="70" s="1"/>
  <c r="F13" i="70" s="1"/>
  <c r="G13" i="70" s="1"/>
  <c r="H13" i="70" s="1"/>
  <c r="I13" i="70" s="1"/>
  <c r="D12" i="70"/>
  <c r="E12" i="70" s="1"/>
  <c r="F12" i="70" s="1"/>
  <c r="G12" i="70" s="1"/>
  <c r="H12" i="70" s="1"/>
  <c r="I12" i="70" s="1"/>
  <c r="D11" i="70"/>
  <c r="E11" i="70" s="1"/>
  <c r="F11" i="70" s="1"/>
  <c r="G11" i="70" s="1"/>
  <c r="H11" i="70" s="1"/>
  <c r="I11" i="70" s="1"/>
  <c r="D10" i="70"/>
  <c r="E10" i="70" s="1"/>
  <c r="F10" i="70" s="1"/>
  <c r="G10" i="70" s="1"/>
  <c r="H10" i="70" s="1"/>
  <c r="I10" i="70" s="1"/>
  <c r="D9" i="70"/>
  <c r="E9" i="70" s="1"/>
  <c r="F9" i="70" s="1"/>
  <c r="E69" i="70"/>
  <c r="E68" i="70"/>
  <c r="G9" i="70" l="1"/>
  <c r="H9" i="70" s="1"/>
  <c r="I9" i="70" s="1"/>
  <c r="I64" i="70" l="1"/>
  <c r="H64" i="70"/>
  <c r="G64" i="70"/>
  <c r="F64" i="70"/>
  <c r="F48" i="68" l="1"/>
  <c r="G48" i="68" s="1"/>
  <c r="H48" i="68" s="1"/>
  <c r="I43" i="71" l="1"/>
  <c r="H43" i="71"/>
  <c r="G43" i="71"/>
  <c r="F43" i="71"/>
  <c r="I53" i="66"/>
  <c r="H53" i="66"/>
  <c r="G53" i="66"/>
  <c r="F53" i="66"/>
  <c r="G48" i="66" l="1"/>
  <c r="H48" i="66" s="1"/>
  <c r="I48" i="66" s="1"/>
  <c r="F48" i="66"/>
  <c r="F35" i="69" l="1"/>
  <c r="G35" i="69" s="1"/>
  <c r="F25" i="58" l="1"/>
  <c r="F24" i="58"/>
  <c r="F101" i="49" l="1"/>
  <c r="G101" i="49" s="1"/>
  <c r="H101" i="49" s="1"/>
  <c r="I101" i="49" s="1"/>
  <c r="F90" i="49" l="1"/>
  <c r="F86" i="49" l="1"/>
  <c r="G86" i="49" s="1"/>
  <c r="G82" i="49" l="1"/>
  <c r="F82" i="49"/>
  <c r="F81" i="49"/>
  <c r="E79" i="49" l="1"/>
  <c r="G74" i="49"/>
  <c r="H74" i="49" s="1"/>
  <c r="F75" i="49"/>
  <c r="G75" i="49" s="1"/>
  <c r="H75" i="49" s="1"/>
  <c r="F46" i="40" l="1"/>
  <c r="G46" i="40" s="1"/>
  <c r="H46" i="40" s="1"/>
  <c r="I46" i="40" s="1"/>
  <c r="I62" i="24" l="1"/>
  <c r="F36" i="36" l="1"/>
  <c r="F35" i="36"/>
  <c r="G35" i="36" s="1"/>
  <c r="H35" i="36" s="1"/>
  <c r="I35" i="36" s="1"/>
  <c r="G36" i="36" l="1"/>
  <c r="G12" i="30" l="1"/>
  <c r="F12" i="30"/>
  <c r="E12" i="30"/>
  <c r="F56" i="24" l="1"/>
  <c r="G56" i="24" s="1"/>
  <c r="H56" i="24" s="1"/>
  <c r="I56" i="24" s="1"/>
  <c r="D15" i="13" l="1"/>
  <c r="D14" i="13"/>
  <c r="D13" i="13"/>
  <c r="D12" i="13"/>
  <c r="D11" i="13"/>
  <c r="D10" i="13"/>
  <c r="D9" i="13"/>
  <c r="F45" i="20" l="1"/>
  <c r="D10" i="23" l="1"/>
  <c r="E10" i="13"/>
  <c r="F10" i="13" s="1"/>
  <c r="G10" i="13" s="1"/>
  <c r="H10" i="13" s="1"/>
  <c r="I10" i="13" s="1"/>
  <c r="D14" i="59"/>
  <c r="D14" i="49"/>
  <c r="E14" i="49" s="1"/>
  <c r="D14" i="24"/>
  <c r="E14" i="13"/>
  <c r="F14" i="13" s="1"/>
  <c r="G14" i="13" s="1"/>
  <c r="E14" i="59"/>
  <c r="D9" i="59"/>
  <c r="D9" i="49"/>
  <c r="E9" i="49" s="1"/>
  <c r="F9" i="49" s="1"/>
  <c r="D11" i="59"/>
  <c r="D11" i="49"/>
  <c r="E11" i="49" s="1"/>
  <c r="F11" i="49" s="1"/>
  <c r="D11" i="24"/>
  <c r="D12" i="86" s="1"/>
  <c r="D15" i="59"/>
  <c r="D15" i="49"/>
  <c r="D15" i="24"/>
  <c r="E15" i="24" s="1"/>
  <c r="D13" i="59"/>
  <c r="D13" i="49"/>
  <c r="E13" i="49" s="1"/>
  <c r="D13" i="24"/>
  <c r="E13" i="24" s="1"/>
  <c r="D12" i="59"/>
  <c r="D12" i="49"/>
  <c r="E12" i="49" s="1"/>
  <c r="D12" i="24"/>
  <c r="E11" i="13"/>
  <c r="F11" i="13" s="1"/>
  <c r="E11" i="59"/>
  <c r="F11" i="59" s="1"/>
  <c r="G11" i="59" s="1"/>
  <c r="H11" i="59" s="1"/>
  <c r="I11" i="59" s="1"/>
  <c r="E15" i="13"/>
  <c r="F15" i="13" s="1"/>
  <c r="G15" i="13" s="1"/>
  <c r="H15" i="13" s="1"/>
  <c r="E15" i="59"/>
  <c r="E12" i="13"/>
  <c r="F12" i="13" s="1"/>
  <c r="E12" i="59"/>
  <c r="F12" i="59" s="1"/>
  <c r="G12" i="59" s="1"/>
  <c r="H12" i="59" s="1"/>
  <c r="I12" i="59" s="1"/>
  <c r="E13" i="59"/>
  <c r="F13" i="59" s="1"/>
  <c r="G13" i="59" s="1"/>
  <c r="H13" i="59" s="1"/>
  <c r="I13" i="59" s="1"/>
  <c r="F15" i="59"/>
  <c r="F14" i="59"/>
  <c r="G14" i="59" s="1"/>
  <c r="H14" i="59" s="1"/>
  <c r="I14" i="59" s="1"/>
  <c r="G15" i="59"/>
  <c r="H15" i="59" s="1"/>
  <c r="I15" i="59" s="1"/>
  <c r="D10" i="59"/>
  <c r="D10" i="49"/>
  <c r="E10" i="49" s="1"/>
  <c r="D10" i="24"/>
  <c r="E10" i="24" s="1"/>
  <c r="E9" i="13"/>
  <c r="F9" i="13" s="1"/>
  <c r="G9" i="13" s="1"/>
  <c r="H9" i="13" s="1"/>
  <c r="E10" i="59"/>
  <c r="F10" i="59" s="1"/>
  <c r="G10" i="59" s="1"/>
  <c r="H10" i="59" s="1"/>
  <c r="I10" i="59" s="1"/>
  <c r="Q72" i="24"/>
  <c r="P72" i="24"/>
  <c r="O72" i="24"/>
  <c r="N72" i="24"/>
  <c r="M72" i="24"/>
  <c r="L72" i="24"/>
  <c r="B23" i="4"/>
  <c r="N14" i="83"/>
  <c r="B14" i="49"/>
  <c r="B10" i="70"/>
  <c r="I41" i="71"/>
  <c r="H41" i="71"/>
  <c r="G41" i="71"/>
  <c r="F41" i="71"/>
  <c r="I27" i="62"/>
  <c r="H27" i="62"/>
  <c r="G27" i="62"/>
  <c r="F27" i="62"/>
  <c r="H69" i="71"/>
  <c r="G69" i="71"/>
  <c r="F69" i="71"/>
  <c r="E69" i="71"/>
  <c r="D69" i="71"/>
  <c r="I69" i="71"/>
  <c r="R9" i="83"/>
  <c r="Y9" i="83" s="1"/>
  <c r="S9" i="83"/>
  <c r="T9" i="83" s="1"/>
  <c r="E53" i="61"/>
  <c r="I10" i="74"/>
  <c r="H10" i="74"/>
  <c r="G10" i="74"/>
  <c r="F10" i="74"/>
  <c r="E10" i="74"/>
  <c r="E48" i="24"/>
  <c r="I59" i="71"/>
  <c r="H59" i="71"/>
  <c r="G59" i="71"/>
  <c r="F59" i="71"/>
  <c r="E59" i="71"/>
  <c r="D59" i="71"/>
  <c r="H72" i="32"/>
  <c r="G72" i="32"/>
  <c r="F72" i="32"/>
  <c r="E72" i="32"/>
  <c r="D72" i="32"/>
  <c r="I71" i="32"/>
  <c r="I72" i="32" s="1"/>
  <c r="B10" i="74"/>
  <c r="B12" i="24"/>
  <c r="B13" i="4" s="1"/>
  <c r="B12" i="80"/>
  <c r="B11" i="70"/>
  <c r="B10" i="43"/>
  <c r="B9" i="80"/>
  <c r="B9" i="51"/>
  <c r="B10" i="49"/>
  <c r="B11" i="34"/>
  <c r="B10" i="33"/>
  <c r="B10" i="24"/>
  <c r="B11" i="12"/>
  <c r="B13" i="79"/>
  <c r="B11" i="77"/>
  <c r="B9" i="69"/>
  <c r="B9" i="68"/>
  <c r="B16" i="68" s="1"/>
  <c r="C66" i="5" s="1"/>
  <c r="B11" i="59"/>
  <c r="B9" i="60"/>
  <c r="B11" i="65"/>
  <c r="B9" i="97"/>
  <c r="B11" i="96"/>
  <c r="B11" i="39"/>
  <c r="B11" i="38"/>
  <c r="B11" i="36"/>
  <c r="B9" i="32"/>
  <c r="B11" i="13"/>
  <c r="B11" i="15"/>
  <c r="B11" i="10"/>
  <c r="B10" i="34"/>
  <c r="B11" i="49"/>
  <c r="B11" i="85" s="1"/>
  <c r="B10" i="12"/>
  <c r="B10" i="56"/>
  <c r="B10" i="42"/>
  <c r="B10" i="69"/>
  <c r="B10" i="79"/>
  <c r="B10" i="77"/>
  <c r="N13" i="83"/>
  <c r="N10" i="83"/>
  <c r="N9" i="83"/>
  <c r="B10" i="65"/>
  <c r="B10" i="68"/>
  <c r="B10" i="71"/>
  <c r="B16" i="71" s="1"/>
  <c r="B10" i="66"/>
  <c r="B11" i="32"/>
  <c r="B10" i="100"/>
  <c r="B10" i="80" s="1"/>
  <c r="B10" i="67"/>
  <c r="B10" i="51"/>
  <c r="B11" i="61"/>
  <c r="B11" i="88" s="1"/>
  <c r="B16" i="88" s="1"/>
  <c r="B11" i="62"/>
  <c r="B10" i="61"/>
  <c r="D46" i="24"/>
  <c r="D9" i="24" s="1"/>
  <c r="D9" i="86" s="1"/>
  <c r="B11" i="23"/>
  <c r="B11" i="80"/>
  <c r="B11" i="101" s="1"/>
  <c r="B11" i="78"/>
  <c r="B11" i="76"/>
  <c r="B11" i="75"/>
  <c r="B10" i="73"/>
  <c r="B11" i="71"/>
  <c r="B11" i="69"/>
  <c r="B11" i="68"/>
  <c r="B11" i="67"/>
  <c r="B11" i="66"/>
  <c r="B11" i="64"/>
  <c r="B11" i="63"/>
  <c r="B10" i="62"/>
  <c r="B9" i="61"/>
  <c r="B11" i="60"/>
  <c r="B11" i="57"/>
  <c r="B11" i="51"/>
  <c r="B10" i="50"/>
  <c r="B11" i="43"/>
  <c r="B11" i="42"/>
  <c r="B11" i="35"/>
  <c r="B11" i="33"/>
  <c r="B14" i="24"/>
  <c r="B15" i="4" s="1"/>
  <c r="B9" i="98"/>
  <c r="B11" i="24"/>
  <c r="B10" i="22"/>
  <c r="B10" i="20"/>
  <c r="B11" i="20"/>
  <c r="B11" i="17"/>
  <c r="B11" i="8"/>
  <c r="D11" i="23"/>
  <c r="E11" i="23" s="1"/>
  <c r="F11" i="23" s="1"/>
  <c r="G11" i="23" s="1"/>
  <c r="H11" i="23" s="1"/>
  <c r="I11" i="23" s="1"/>
  <c r="D9" i="23"/>
  <c r="E9" i="23" s="1"/>
  <c r="F9" i="23" s="1"/>
  <c r="G9" i="23" s="1"/>
  <c r="H9" i="23" s="1"/>
  <c r="I9" i="23" s="1"/>
  <c r="D15" i="20"/>
  <c r="D14" i="20"/>
  <c r="D13" i="20"/>
  <c r="D13" i="89" s="1"/>
  <c r="D12" i="20"/>
  <c r="D11" i="20"/>
  <c r="D10" i="20"/>
  <c r="D9" i="20"/>
  <c r="D9" i="89" s="1"/>
  <c r="D10" i="100"/>
  <c r="E54" i="61"/>
  <c r="F54" i="61"/>
  <c r="G54" i="61" s="1"/>
  <c r="H54" i="61" s="1"/>
  <c r="E52" i="61"/>
  <c r="D15" i="80"/>
  <c r="E15" i="80" s="1"/>
  <c r="F15" i="80" s="1"/>
  <c r="G15" i="80" s="1"/>
  <c r="H15" i="80" s="1"/>
  <c r="I15" i="80" s="1"/>
  <c r="D14" i="80"/>
  <c r="E14" i="80" s="1"/>
  <c r="F14" i="80" s="1"/>
  <c r="G14" i="80" s="1"/>
  <c r="H14" i="80" s="1"/>
  <c r="I14" i="80" s="1"/>
  <c r="D13" i="80"/>
  <c r="E13" i="80" s="1"/>
  <c r="D12" i="80"/>
  <c r="E12" i="80" s="1"/>
  <c r="D11" i="80"/>
  <c r="E11" i="80" s="1"/>
  <c r="D10" i="80"/>
  <c r="E10" i="80" s="1"/>
  <c r="F10" i="80" s="1"/>
  <c r="D9" i="80"/>
  <c r="E9" i="80" s="1"/>
  <c r="D10" i="79"/>
  <c r="D15" i="78"/>
  <c r="E15" i="78" s="1"/>
  <c r="F15" i="78" s="1"/>
  <c r="G15" i="78" s="1"/>
  <c r="H15" i="78" s="1"/>
  <c r="I15" i="78" s="1"/>
  <c r="D14" i="78"/>
  <c r="E14" i="78" s="1"/>
  <c r="F14" i="78" s="1"/>
  <c r="G14" i="78" s="1"/>
  <c r="H14" i="78" s="1"/>
  <c r="I14" i="78" s="1"/>
  <c r="D13" i="78"/>
  <c r="E13" i="78" s="1"/>
  <c r="G13" i="78" s="1"/>
  <c r="H13" i="78" s="1"/>
  <c r="I13" i="78" s="1"/>
  <c r="D12" i="78"/>
  <c r="E12" i="78" s="1"/>
  <c r="F12" i="78" s="1"/>
  <c r="G12" i="78" s="1"/>
  <c r="H12" i="78" s="1"/>
  <c r="I12" i="78" s="1"/>
  <c r="D11" i="78"/>
  <c r="E11" i="78" s="1"/>
  <c r="F11" i="78" s="1"/>
  <c r="G11" i="78" s="1"/>
  <c r="H11" i="78" s="1"/>
  <c r="I11" i="78" s="1"/>
  <c r="D10" i="78"/>
  <c r="E10" i="78" s="1"/>
  <c r="F10" i="78" s="1"/>
  <c r="G10" i="78" s="1"/>
  <c r="H10" i="78" s="1"/>
  <c r="I10" i="78" s="1"/>
  <c r="D9" i="78"/>
  <c r="E9" i="78" s="1"/>
  <c r="D15" i="77"/>
  <c r="E15" i="77" s="1"/>
  <c r="F15" i="77" s="1"/>
  <c r="G15" i="77" s="1"/>
  <c r="H15" i="77" s="1"/>
  <c r="I15" i="77" s="1"/>
  <c r="D14" i="77"/>
  <c r="E14" i="77" s="1"/>
  <c r="G14" i="77" s="1"/>
  <c r="H14" i="77" s="1"/>
  <c r="I14" i="77" s="1"/>
  <c r="D13" i="77"/>
  <c r="E13" i="77" s="1"/>
  <c r="F13" i="77" s="1"/>
  <c r="G13" i="77" s="1"/>
  <c r="H13" i="77" s="1"/>
  <c r="I13" i="77" s="1"/>
  <c r="D12" i="77"/>
  <c r="E12" i="77" s="1"/>
  <c r="F12" i="77" s="1"/>
  <c r="G12" i="77" s="1"/>
  <c r="H12" i="77" s="1"/>
  <c r="I12" i="77" s="1"/>
  <c r="D11" i="77"/>
  <c r="E11" i="77" s="1"/>
  <c r="F11" i="77" s="1"/>
  <c r="G11" i="77" s="1"/>
  <c r="H11" i="77" s="1"/>
  <c r="I11" i="77" s="1"/>
  <c r="D10" i="77"/>
  <c r="E10" i="77" s="1"/>
  <c r="F10" i="77" s="1"/>
  <c r="G10" i="77" s="1"/>
  <c r="H10" i="77" s="1"/>
  <c r="I10" i="77" s="1"/>
  <c r="D9" i="77"/>
  <c r="E9" i="77" s="1"/>
  <c r="D15" i="76"/>
  <c r="E15" i="76" s="1"/>
  <c r="F15" i="76" s="1"/>
  <c r="G15" i="76" s="1"/>
  <c r="H15" i="76" s="1"/>
  <c r="I15" i="76" s="1"/>
  <c r="D14" i="76"/>
  <c r="E14" i="76" s="1"/>
  <c r="F14" i="76" s="1"/>
  <c r="G14" i="76" s="1"/>
  <c r="H14" i="76" s="1"/>
  <c r="I14" i="76" s="1"/>
  <c r="D13" i="76"/>
  <c r="E13" i="76" s="1"/>
  <c r="G13" i="76" s="1"/>
  <c r="H13" i="76" s="1"/>
  <c r="I13" i="76" s="1"/>
  <c r="D12" i="76"/>
  <c r="E12" i="76" s="1"/>
  <c r="G12" i="76" s="1"/>
  <c r="H12" i="76" s="1"/>
  <c r="I12" i="76" s="1"/>
  <c r="D11" i="76"/>
  <c r="E11" i="76" s="1"/>
  <c r="F11" i="76" s="1"/>
  <c r="G11" i="76" s="1"/>
  <c r="H11" i="76" s="1"/>
  <c r="I11" i="76" s="1"/>
  <c r="D10" i="76"/>
  <c r="E10" i="76" s="1"/>
  <c r="F10" i="76" s="1"/>
  <c r="G10" i="76" s="1"/>
  <c r="H10" i="76" s="1"/>
  <c r="I10" i="76" s="1"/>
  <c r="D9" i="76"/>
  <c r="E9" i="76" s="1"/>
  <c r="F9" i="76" s="1"/>
  <c r="D15" i="75"/>
  <c r="E15" i="75" s="1"/>
  <c r="F15" i="75" s="1"/>
  <c r="G15" i="75" s="1"/>
  <c r="H15" i="75" s="1"/>
  <c r="I15" i="75" s="1"/>
  <c r="D14" i="75"/>
  <c r="E14" i="75" s="1"/>
  <c r="F14" i="75" s="1"/>
  <c r="G14" i="75" s="1"/>
  <c r="H14" i="75" s="1"/>
  <c r="I14" i="75" s="1"/>
  <c r="D13" i="75"/>
  <c r="F13" i="75" s="1"/>
  <c r="G13" i="75" s="1"/>
  <c r="H13" i="75" s="1"/>
  <c r="I13" i="75" s="1"/>
  <c r="D12" i="75"/>
  <c r="E12" i="75" s="1"/>
  <c r="F12" i="75" s="1"/>
  <c r="G12" i="75" s="1"/>
  <c r="H12" i="75" s="1"/>
  <c r="I12" i="75" s="1"/>
  <c r="D11" i="75"/>
  <c r="E11" i="75" s="1"/>
  <c r="F11" i="75" s="1"/>
  <c r="G11" i="75" s="1"/>
  <c r="H11" i="75" s="1"/>
  <c r="I11" i="75" s="1"/>
  <c r="D10" i="75"/>
  <c r="E10" i="75" s="1"/>
  <c r="F10" i="75" s="1"/>
  <c r="G10" i="75" s="1"/>
  <c r="H10" i="75" s="1"/>
  <c r="I10" i="75" s="1"/>
  <c r="D9" i="75"/>
  <c r="E9" i="75" s="1"/>
  <c r="D15" i="71"/>
  <c r="E15" i="71" s="1"/>
  <c r="D13" i="71"/>
  <c r="E13" i="71" s="1"/>
  <c r="D12" i="71"/>
  <c r="E12" i="71" s="1"/>
  <c r="D11" i="71"/>
  <c r="E11" i="71" s="1"/>
  <c r="D10" i="71"/>
  <c r="E10" i="71" s="1"/>
  <c r="D9" i="71"/>
  <c r="E9" i="71" s="1"/>
  <c r="D15" i="69"/>
  <c r="E15" i="69" s="1"/>
  <c r="F15" i="69" s="1"/>
  <c r="G15" i="69" s="1"/>
  <c r="H15" i="69" s="1"/>
  <c r="I15" i="69" s="1"/>
  <c r="D14" i="69"/>
  <c r="E14" i="69" s="1"/>
  <c r="F14" i="69" s="1"/>
  <c r="G14" i="69" s="1"/>
  <c r="H14" i="69" s="1"/>
  <c r="I14" i="69" s="1"/>
  <c r="D13" i="69"/>
  <c r="E13" i="69" s="1"/>
  <c r="F13" i="69" s="1"/>
  <c r="G13" i="69" s="1"/>
  <c r="H13" i="69" s="1"/>
  <c r="I13" i="69" s="1"/>
  <c r="D12" i="69"/>
  <c r="E12" i="69"/>
  <c r="F12" i="69" s="1"/>
  <c r="G12" i="69" s="1"/>
  <c r="H12" i="69" s="1"/>
  <c r="I12" i="69" s="1"/>
  <c r="D11" i="69"/>
  <c r="E11" i="69" s="1"/>
  <c r="F11" i="69" s="1"/>
  <c r="G11" i="69" s="1"/>
  <c r="H11" i="69" s="1"/>
  <c r="I11" i="69" s="1"/>
  <c r="D10" i="69"/>
  <c r="E10" i="69" s="1"/>
  <c r="F10" i="69" s="1"/>
  <c r="G10" i="69" s="1"/>
  <c r="H10" i="69" s="1"/>
  <c r="I10" i="69" s="1"/>
  <c r="D9" i="69"/>
  <c r="E9" i="69" s="1"/>
  <c r="D15" i="68"/>
  <c r="E15" i="68" s="1"/>
  <c r="F15" i="68" s="1"/>
  <c r="G15" i="68" s="1"/>
  <c r="H15" i="68" s="1"/>
  <c r="I15" i="68" s="1"/>
  <c r="D14" i="68"/>
  <c r="E14" i="68" s="1"/>
  <c r="F14" i="68" s="1"/>
  <c r="G14" i="68" s="1"/>
  <c r="H14" i="68" s="1"/>
  <c r="I14" i="68" s="1"/>
  <c r="D13" i="68"/>
  <c r="E13" i="68" s="1"/>
  <c r="F13" i="68" s="1"/>
  <c r="G13" i="68" s="1"/>
  <c r="H13" i="68" s="1"/>
  <c r="I13" i="68" s="1"/>
  <c r="D12" i="68"/>
  <c r="E12" i="68" s="1"/>
  <c r="F12" i="68" s="1"/>
  <c r="G12" i="68" s="1"/>
  <c r="H12" i="68" s="1"/>
  <c r="I12" i="68" s="1"/>
  <c r="D11" i="68"/>
  <c r="E11" i="68" s="1"/>
  <c r="F11" i="68" s="1"/>
  <c r="G11" i="68" s="1"/>
  <c r="H11" i="68" s="1"/>
  <c r="I11" i="68" s="1"/>
  <c r="D10" i="68"/>
  <c r="E10" i="68" s="1"/>
  <c r="F10" i="68" s="1"/>
  <c r="G10" i="68" s="1"/>
  <c r="H10" i="68" s="1"/>
  <c r="I10" i="68" s="1"/>
  <c r="D9" i="68"/>
  <c r="E9" i="68" s="1"/>
  <c r="D15" i="67"/>
  <c r="E15" i="67"/>
  <c r="F15" i="67"/>
  <c r="G15" i="67"/>
  <c r="H15" i="67"/>
  <c r="I15" i="67"/>
  <c r="D14" i="67"/>
  <c r="E14" i="67"/>
  <c r="F14" i="67"/>
  <c r="G14" i="67"/>
  <c r="H14" i="67"/>
  <c r="I14" i="67"/>
  <c r="D13" i="67"/>
  <c r="E13" i="67" s="1"/>
  <c r="D12" i="67"/>
  <c r="E12" i="67"/>
  <c r="F12" i="67"/>
  <c r="G12" i="67"/>
  <c r="H12" i="67"/>
  <c r="I12" i="67"/>
  <c r="D11" i="67"/>
  <c r="E11" i="67"/>
  <c r="F11" i="67"/>
  <c r="G11" i="67"/>
  <c r="H11" i="67"/>
  <c r="I11" i="67"/>
  <c r="D10" i="67"/>
  <c r="E10" i="67"/>
  <c r="F10" i="67"/>
  <c r="G10" i="67"/>
  <c r="H10" i="67"/>
  <c r="D9" i="67"/>
  <c r="E9" i="67"/>
  <c r="F9" i="67"/>
  <c r="G9" i="67"/>
  <c r="H9" i="67"/>
  <c r="I9" i="67"/>
  <c r="D15" i="66"/>
  <c r="E15" i="66" s="1"/>
  <c r="F15" i="66" s="1"/>
  <c r="G15" i="66" s="1"/>
  <c r="H15" i="66" s="1"/>
  <c r="I15" i="66" s="1"/>
  <c r="D14" i="66"/>
  <c r="E14" i="66" s="1"/>
  <c r="F14" i="66" s="1"/>
  <c r="G14" i="66" s="1"/>
  <c r="H14" i="66" s="1"/>
  <c r="I14" i="66" s="1"/>
  <c r="D13" i="66"/>
  <c r="E13" i="66" s="1"/>
  <c r="F13" i="66" s="1"/>
  <c r="G13" i="66" s="1"/>
  <c r="H13" i="66" s="1"/>
  <c r="I13" i="66" s="1"/>
  <c r="D12" i="66"/>
  <c r="E12" i="66" s="1"/>
  <c r="F12" i="66" s="1"/>
  <c r="G12" i="66" s="1"/>
  <c r="H12" i="66" s="1"/>
  <c r="I12" i="66" s="1"/>
  <c r="D11" i="66"/>
  <c r="E11" i="66" s="1"/>
  <c r="F11" i="66" s="1"/>
  <c r="G11" i="66" s="1"/>
  <c r="H11" i="66" s="1"/>
  <c r="I11" i="66" s="1"/>
  <c r="D10" i="66"/>
  <c r="E10" i="66" s="1"/>
  <c r="F10" i="66" s="1"/>
  <c r="G10" i="66" s="1"/>
  <c r="H10" i="66" s="1"/>
  <c r="I10" i="66" s="1"/>
  <c r="D9" i="66"/>
  <c r="E9" i="66" s="1"/>
  <c r="D15" i="92"/>
  <c r="E15" i="92" s="1"/>
  <c r="F15" i="92" s="1"/>
  <c r="G15" i="92" s="1"/>
  <c r="H15" i="92" s="1"/>
  <c r="I15" i="92" s="1"/>
  <c r="D14" i="92"/>
  <c r="E14" i="92" s="1"/>
  <c r="F14" i="92" s="1"/>
  <c r="G14" i="92" s="1"/>
  <c r="H14" i="92" s="1"/>
  <c r="I14" i="92" s="1"/>
  <c r="D13" i="92"/>
  <c r="E13" i="92" s="1"/>
  <c r="F13" i="92" s="1"/>
  <c r="G13" i="92" s="1"/>
  <c r="H13" i="92" s="1"/>
  <c r="I13" i="92" s="1"/>
  <c r="D12" i="92"/>
  <c r="E12" i="92" s="1"/>
  <c r="F12" i="92" s="1"/>
  <c r="G12" i="92" s="1"/>
  <c r="H12" i="92" s="1"/>
  <c r="I12" i="92" s="1"/>
  <c r="D11" i="92"/>
  <c r="E11" i="92" s="1"/>
  <c r="F11" i="92" s="1"/>
  <c r="G11" i="92" s="1"/>
  <c r="H11" i="92" s="1"/>
  <c r="I11" i="92" s="1"/>
  <c r="D10" i="92"/>
  <c r="E10" i="92" s="1"/>
  <c r="F10" i="92" s="1"/>
  <c r="G10" i="92" s="1"/>
  <c r="H10" i="92" s="1"/>
  <c r="I10" i="92" s="1"/>
  <c r="D9" i="92"/>
  <c r="E9" i="92" s="1"/>
  <c r="D15" i="64"/>
  <c r="E15" i="64" s="1"/>
  <c r="F15" i="64" s="1"/>
  <c r="G15" i="64" s="1"/>
  <c r="H15" i="64" s="1"/>
  <c r="I15" i="64" s="1"/>
  <c r="D14" i="64"/>
  <c r="E14" i="64" s="1"/>
  <c r="F14" i="64" s="1"/>
  <c r="G14" i="64" s="1"/>
  <c r="H14" i="64" s="1"/>
  <c r="I14" i="64" s="1"/>
  <c r="D13" i="64"/>
  <c r="E13" i="64" s="1"/>
  <c r="F13" i="64" s="1"/>
  <c r="G13" i="64" s="1"/>
  <c r="H13" i="64" s="1"/>
  <c r="I13" i="64" s="1"/>
  <c r="D12" i="64"/>
  <c r="E12" i="64" s="1"/>
  <c r="F12" i="64" s="1"/>
  <c r="G12" i="64" s="1"/>
  <c r="H12" i="64" s="1"/>
  <c r="I12" i="64" s="1"/>
  <c r="D11" i="64"/>
  <c r="E11" i="64" s="1"/>
  <c r="F11" i="64" s="1"/>
  <c r="G11" i="64" s="1"/>
  <c r="H11" i="64" s="1"/>
  <c r="I11" i="64" s="1"/>
  <c r="D10" i="64"/>
  <c r="E10" i="64" s="1"/>
  <c r="F10" i="64" s="1"/>
  <c r="G10" i="64" s="1"/>
  <c r="H10" i="64" s="1"/>
  <c r="I10" i="64" s="1"/>
  <c r="D9" i="64"/>
  <c r="E9" i="64" s="1"/>
  <c r="D15" i="63"/>
  <c r="E15" i="63"/>
  <c r="F15" i="63" s="1"/>
  <c r="G15" i="63" s="1"/>
  <c r="H15" i="63" s="1"/>
  <c r="I15" i="63" s="1"/>
  <c r="D14" i="63"/>
  <c r="E14" i="63" s="1"/>
  <c r="F14" i="63" s="1"/>
  <c r="G14" i="63" s="1"/>
  <c r="H14" i="63" s="1"/>
  <c r="I14" i="63" s="1"/>
  <c r="D13" i="63"/>
  <c r="E13" i="63" s="1"/>
  <c r="F13" i="63" s="1"/>
  <c r="G13" i="63" s="1"/>
  <c r="H13" i="63" s="1"/>
  <c r="I13" i="63" s="1"/>
  <c r="D12" i="63"/>
  <c r="E12" i="63" s="1"/>
  <c r="F12" i="63" s="1"/>
  <c r="G12" i="63" s="1"/>
  <c r="H12" i="63" s="1"/>
  <c r="I12" i="63" s="1"/>
  <c r="D11" i="63"/>
  <c r="E11" i="63"/>
  <c r="F11" i="63" s="1"/>
  <c r="G11" i="63" s="1"/>
  <c r="H11" i="63" s="1"/>
  <c r="I11" i="63" s="1"/>
  <c r="D10" i="63"/>
  <c r="E10" i="63" s="1"/>
  <c r="F10" i="63" s="1"/>
  <c r="G10" i="63" s="1"/>
  <c r="H10" i="63" s="1"/>
  <c r="I10" i="63" s="1"/>
  <c r="D9" i="63"/>
  <c r="E9" i="63"/>
  <c r="F9" i="63" s="1"/>
  <c r="D15" i="62"/>
  <c r="E15" i="62"/>
  <c r="F15" i="62"/>
  <c r="G15" i="62"/>
  <c r="H15" i="62"/>
  <c r="I15" i="62"/>
  <c r="D14" i="62"/>
  <c r="E14" i="62"/>
  <c r="F14" i="62"/>
  <c r="G14" i="62"/>
  <c r="H14" i="62"/>
  <c r="I14" i="62"/>
  <c r="D13" i="62"/>
  <c r="E13" i="62"/>
  <c r="F13" i="62"/>
  <c r="G13" i="62"/>
  <c r="H13" i="62"/>
  <c r="I13" i="62"/>
  <c r="D12" i="62"/>
  <c r="E12" i="62"/>
  <c r="F12" i="62" s="1"/>
  <c r="D11" i="62"/>
  <c r="E11" i="62"/>
  <c r="F11" i="62"/>
  <c r="G11" i="62"/>
  <c r="H11" i="62"/>
  <c r="I11" i="62"/>
  <c r="D10" i="62"/>
  <c r="E10" i="62"/>
  <c r="F10" i="62"/>
  <c r="G10" i="62"/>
  <c r="H10" i="62"/>
  <c r="I10" i="62"/>
  <c r="D9" i="62"/>
  <c r="E9" i="62"/>
  <c r="F9" i="62"/>
  <c r="G9" i="62"/>
  <c r="H9" i="62"/>
  <c r="I9" i="62"/>
  <c r="D14" i="61"/>
  <c r="E14" i="61" s="1"/>
  <c r="D15" i="61"/>
  <c r="E15" i="61" s="1"/>
  <c r="E15" i="88" s="1"/>
  <c r="D13" i="61"/>
  <c r="E13" i="61" s="1"/>
  <c r="D12" i="61"/>
  <c r="E12" i="61" s="1"/>
  <c r="D11" i="61"/>
  <c r="E11" i="61" s="1"/>
  <c r="D10" i="61"/>
  <c r="D10" i="88" s="1"/>
  <c r="D9" i="61"/>
  <c r="E9" i="61" s="1"/>
  <c r="D15" i="60"/>
  <c r="E15" i="60" s="1"/>
  <c r="F15" i="60" s="1"/>
  <c r="G15" i="60" s="1"/>
  <c r="H15" i="60" s="1"/>
  <c r="I15" i="60" s="1"/>
  <c r="D14" i="60"/>
  <c r="E14" i="60" s="1"/>
  <c r="F14" i="60" s="1"/>
  <c r="G14" i="60" s="1"/>
  <c r="H14" i="60" s="1"/>
  <c r="I14" i="60" s="1"/>
  <c r="D13" i="60"/>
  <c r="E13" i="60" s="1"/>
  <c r="F13" i="60" s="1"/>
  <c r="G13" i="60" s="1"/>
  <c r="H13" i="60" s="1"/>
  <c r="I13" i="60" s="1"/>
  <c r="D12" i="60"/>
  <c r="E12" i="60" s="1"/>
  <c r="F12" i="60" s="1"/>
  <c r="G12" i="60" s="1"/>
  <c r="H12" i="60" s="1"/>
  <c r="I12" i="60" s="1"/>
  <c r="D11" i="60"/>
  <c r="E11" i="60" s="1"/>
  <c r="F11" i="60" s="1"/>
  <c r="G11" i="60" s="1"/>
  <c r="H11" i="60" s="1"/>
  <c r="I11" i="60" s="1"/>
  <c r="D10" i="60"/>
  <c r="E10" i="60" s="1"/>
  <c r="F10" i="60" s="1"/>
  <c r="G10" i="60" s="1"/>
  <c r="H10" i="60" s="1"/>
  <c r="I10" i="60" s="1"/>
  <c r="D9" i="60"/>
  <c r="E9" i="60" s="1"/>
  <c r="D15" i="65"/>
  <c r="E15" i="65" s="1"/>
  <c r="F15" i="65" s="1"/>
  <c r="G15" i="65" s="1"/>
  <c r="H15" i="65" s="1"/>
  <c r="I15" i="65" s="1"/>
  <c r="D14" i="65"/>
  <c r="E14" i="65" s="1"/>
  <c r="F14" i="65" s="1"/>
  <c r="G14" i="65" s="1"/>
  <c r="H14" i="65" s="1"/>
  <c r="I14" i="65" s="1"/>
  <c r="D13" i="65"/>
  <c r="E13" i="65" s="1"/>
  <c r="F13" i="65" s="1"/>
  <c r="G13" i="65" s="1"/>
  <c r="H13" i="65" s="1"/>
  <c r="I13" i="65" s="1"/>
  <c r="D12" i="65"/>
  <c r="E12" i="65" s="1"/>
  <c r="F12" i="65" s="1"/>
  <c r="G12" i="65" s="1"/>
  <c r="H12" i="65" s="1"/>
  <c r="I12" i="65" s="1"/>
  <c r="D11" i="65"/>
  <c r="E11" i="65" s="1"/>
  <c r="F11" i="65" s="1"/>
  <c r="G11" i="65" s="1"/>
  <c r="H11" i="65" s="1"/>
  <c r="I11" i="65" s="1"/>
  <c r="D10" i="65"/>
  <c r="E10" i="65" s="1"/>
  <c r="F10" i="65" s="1"/>
  <c r="G10" i="65" s="1"/>
  <c r="H10" i="65" s="1"/>
  <c r="I10" i="65" s="1"/>
  <c r="D9" i="65"/>
  <c r="E9" i="65" s="1"/>
  <c r="D15" i="97"/>
  <c r="E15" i="97"/>
  <c r="F15" i="97"/>
  <c r="G15" i="97"/>
  <c r="H15" i="97"/>
  <c r="I15" i="97"/>
  <c r="D14" i="97"/>
  <c r="E14" i="97" s="1"/>
  <c r="F14" i="97" s="1"/>
  <c r="G14" i="97" s="1"/>
  <c r="H14" i="97" s="1"/>
  <c r="I14" i="97" s="1"/>
  <c r="D13" i="97"/>
  <c r="E13" i="97" s="1"/>
  <c r="D12" i="97"/>
  <c r="E12" i="97"/>
  <c r="F12" i="97"/>
  <c r="G12" i="97"/>
  <c r="H12" i="97"/>
  <c r="I12" i="97"/>
  <c r="D11" i="97"/>
  <c r="E11" i="97"/>
  <c r="F11" i="97"/>
  <c r="G11" i="97"/>
  <c r="H11" i="97"/>
  <c r="I11" i="97"/>
  <c r="D10" i="97"/>
  <c r="E10" i="97"/>
  <c r="F10" i="97"/>
  <c r="G10" i="97"/>
  <c r="H10" i="97"/>
  <c r="I10" i="97"/>
  <c r="D9" i="97"/>
  <c r="E9" i="97"/>
  <c r="F9" i="97"/>
  <c r="G9" i="97"/>
  <c r="H9" i="97"/>
  <c r="I9" i="97"/>
  <c r="D15" i="54"/>
  <c r="E15" i="54" s="1"/>
  <c r="F15" i="54" s="1"/>
  <c r="G15" i="54" s="1"/>
  <c r="H15" i="54" s="1"/>
  <c r="I15" i="54" s="1"/>
  <c r="D14" i="54"/>
  <c r="E14" i="54" s="1"/>
  <c r="F14" i="54" s="1"/>
  <c r="G14" i="54" s="1"/>
  <c r="H14" i="54" s="1"/>
  <c r="I14" i="54" s="1"/>
  <c r="D13" i="54"/>
  <c r="E13" i="54" s="1"/>
  <c r="F13" i="54" s="1"/>
  <c r="G13" i="54" s="1"/>
  <c r="H13" i="54" s="1"/>
  <c r="I13" i="54" s="1"/>
  <c r="D12" i="54"/>
  <c r="E12" i="54" s="1"/>
  <c r="F12" i="54" s="1"/>
  <c r="G12" i="54" s="1"/>
  <c r="H12" i="54" s="1"/>
  <c r="I12" i="54" s="1"/>
  <c r="D11" i="54"/>
  <c r="E11" i="54" s="1"/>
  <c r="F11" i="54" s="1"/>
  <c r="G11" i="54" s="1"/>
  <c r="H11" i="54" s="1"/>
  <c r="I11" i="54" s="1"/>
  <c r="D10" i="54"/>
  <c r="E10" i="54" s="1"/>
  <c r="F10" i="54" s="1"/>
  <c r="D9" i="54"/>
  <c r="E9" i="54" s="1"/>
  <c r="D15" i="96"/>
  <c r="E15" i="96" s="1"/>
  <c r="F15" i="96" s="1"/>
  <c r="G15" i="96" s="1"/>
  <c r="H15" i="96" s="1"/>
  <c r="I15" i="96" s="1"/>
  <c r="D14" i="96"/>
  <c r="E14" i="96" s="1"/>
  <c r="F14" i="96" s="1"/>
  <c r="G14" i="96" s="1"/>
  <c r="H14" i="96" s="1"/>
  <c r="I14" i="96" s="1"/>
  <c r="D13" i="96"/>
  <c r="E13" i="96" s="1"/>
  <c r="F13" i="96" s="1"/>
  <c r="G13" i="96" s="1"/>
  <c r="H13" i="96" s="1"/>
  <c r="I13" i="96" s="1"/>
  <c r="D12" i="96"/>
  <c r="E12" i="96" s="1"/>
  <c r="F12" i="96" s="1"/>
  <c r="G12" i="96" s="1"/>
  <c r="H12" i="96" s="1"/>
  <c r="I12" i="96" s="1"/>
  <c r="D11" i="96"/>
  <c r="E11" i="96" s="1"/>
  <c r="F11" i="96" s="1"/>
  <c r="G11" i="96" s="1"/>
  <c r="H11" i="96" s="1"/>
  <c r="I11" i="96" s="1"/>
  <c r="D10" i="96"/>
  <c r="E10" i="96" s="1"/>
  <c r="D9" i="96"/>
  <c r="E9" i="96" s="1"/>
  <c r="F9" i="96" s="1"/>
  <c r="G9" i="96" s="1"/>
  <c r="D15" i="58"/>
  <c r="E15" i="58" s="1"/>
  <c r="F15" i="58" s="1"/>
  <c r="G15" i="58" s="1"/>
  <c r="H15" i="58" s="1"/>
  <c r="I15" i="58" s="1"/>
  <c r="D14" i="58"/>
  <c r="E14" i="58" s="1"/>
  <c r="F14" i="58" s="1"/>
  <c r="G14" i="58" s="1"/>
  <c r="H14" i="58" s="1"/>
  <c r="I14" i="58" s="1"/>
  <c r="D13" i="58"/>
  <c r="E13" i="58" s="1"/>
  <c r="F13" i="58" s="1"/>
  <c r="G13" i="58" s="1"/>
  <c r="H13" i="58" s="1"/>
  <c r="I13" i="58" s="1"/>
  <c r="D12" i="58"/>
  <c r="E12" i="58" s="1"/>
  <c r="F12" i="58" s="1"/>
  <c r="G12" i="58" s="1"/>
  <c r="H12" i="58" s="1"/>
  <c r="I12" i="58" s="1"/>
  <c r="D11" i="58"/>
  <c r="E11" i="58" s="1"/>
  <c r="F11" i="58" s="1"/>
  <c r="G11" i="58" s="1"/>
  <c r="H11" i="58" s="1"/>
  <c r="I11" i="58" s="1"/>
  <c r="D10" i="58"/>
  <c r="E10" i="58" s="1"/>
  <c r="F10" i="58" s="1"/>
  <c r="G10" i="58" s="1"/>
  <c r="H10" i="58" s="1"/>
  <c r="I10" i="58" s="1"/>
  <c r="D9" i="58"/>
  <c r="E9" i="58" s="1"/>
  <c r="F9" i="58" s="1"/>
  <c r="D15" i="57"/>
  <c r="E15" i="57"/>
  <c r="F15" i="57"/>
  <c r="G15" i="57"/>
  <c r="H15" i="57"/>
  <c r="I15" i="57"/>
  <c r="D14" i="57"/>
  <c r="E14" i="57"/>
  <c r="F14" i="57"/>
  <c r="G14" i="57"/>
  <c r="H14" i="57"/>
  <c r="I14" i="57"/>
  <c r="D13" i="57"/>
  <c r="E13" i="57" s="1"/>
  <c r="D12" i="57"/>
  <c r="E12" i="57"/>
  <c r="F12" i="57"/>
  <c r="G12" i="57"/>
  <c r="H12" i="57"/>
  <c r="I12" i="57"/>
  <c r="D11" i="57"/>
  <c r="E11" i="57"/>
  <c r="F11" i="57"/>
  <c r="G11" i="57"/>
  <c r="H11" i="57"/>
  <c r="I11" i="57"/>
  <c r="D10" i="57"/>
  <c r="E10" i="57"/>
  <c r="F10" i="57"/>
  <c r="G10" i="57"/>
  <c r="H10" i="57"/>
  <c r="I10" i="57"/>
  <c r="D9" i="57"/>
  <c r="E9" i="57"/>
  <c r="F9" i="57"/>
  <c r="G9" i="57"/>
  <c r="H9" i="57"/>
  <c r="I9" i="57"/>
  <c r="D15" i="56"/>
  <c r="E15" i="56" s="1"/>
  <c r="F15" i="56" s="1"/>
  <c r="G15" i="56" s="1"/>
  <c r="H15" i="56" s="1"/>
  <c r="I15" i="56" s="1"/>
  <c r="D14" i="56"/>
  <c r="E14" i="56" s="1"/>
  <c r="F14" i="56" s="1"/>
  <c r="G14" i="56" s="1"/>
  <c r="H14" i="56" s="1"/>
  <c r="I14" i="56" s="1"/>
  <c r="D13" i="56"/>
  <c r="E13" i="56" s="1"/>
  <c r="F13" i="56" s="1"/>
  <c r="G13" i="56" s="1"/>
  <c r="H13" i="56" s="1"/>
  <c r="I13" i="56" s="1"/>
  <c r="D12" i="56"/>
  <c r="E12" i="56" s="1"/>
  <c r="F12" i="56" s="1"/>
  <c r="G12" i="56" s="1"/>
  <c r="H12" i="56" s="1"/>
  <c r="I12" i="56" s="1"/>
  <c r="D11" i="56"/>
  <c r="E11" i="56" s="1"/>
  <c r="F11" i="56" s="1"/>
  <c r="G11" i="56" s="1"/>
  <c r="H11" i="56" s="1"/>
  <c r="I11" i="56" s="1"/>
  <c r="D10" i="56"/>
  <c r="E10" i="56" s="1"/>
  <c r="D9" i="56"/>
  <c r="E9" i="56" s="1"/>
  <c r="F9" i="56" s="1"/>
  <c r="D15" i="52"/>
  <c r="E15" i="52" s="1"/>
  <c r="F15" i="52" s="1"/>
  <c r="G15" i="52" s="1"/>
  <c r="H15" i="52" s="1"/>
  <c r="I15" i="52" s="1"/>
  <c r="D14" i="52"/>
  <c r="E14" i="52" s="1"/>
  <c r="F14" i="52" s="1"/>
  <c r="G14" i="52" s="1"/>
  <c r="H14" i="52" s="1"/>
  <c r="I14" i="52" s="1"/>
  <c r="D13" i="52"/>
  <c r="E13" i="52" s="1"/>
  <c r="F13" i="52" s="1"/>
  <c r="G13" i="52" s="1"/>
  <c r="H13" i="52" s="1"/>
  <c r="I13" i="52" s="1"/>
  <c r="D12" i="52"/>
  <c r="E12" i="52" s="1"/>
  <c r="F12" i="52" s="1"/>
  <c r="G12" i="52" s="1"/>
  <c r="H12" i="52" s="1"/>
  <c r="I12" i="52" s="1"/>
  <c r="D11" i="52"/>
  <c r="E11" i="52" s="1"/>
  <c r="F11" i="52" s="1"/>
  <c r="G11" i="52" s="1"/>
  <c r="H11" i="52" s="1"/>
  <c r="I11" i="52" s="1"/>
  <c r="D10" i="52"/>
  <c r="E10" i="52" s="1"/>
  <c r="F10" i="52" s="1"/>
  <c r="G10" i="52" s="1"/>
  <c r="H10" i="52" s="1"/>
  <c r="I10" i="52" s="1"/>
  <c r="D9" i="52"/>
  <c r="E9" i="52" s="1"/>
  <c r="D15" i="51"/>
  <c r="E15" i="51" s="1"/>
  <c r="D14" i="51"/>
  <c r="E14" i="51" s="1"/>
  <c r="D13" i="51"/>
  <c r="E13" i="51" s="1"/>
  <c r="D12" i="51"/>
  <c r="E12" i="51" s="1"/>
  <c r="D11" i="51"/>
  <c r="E11" i="51" s="1"/>
  <c r="D10" i="51"/>
  <c r="E10" i="51" s="1"/>
  <c r="D9" i="51"/>
  <c r="E9" i="51" s="1"/>
  <c r="D15" i="46"/>
  <c r="E15" i="46"/>
  <c r="F15" i="46"/>
  <c r="G15" i="46"/>
  <c r="H15" i="46"/>
  <c r="I15" i="46"/>
  <c r="D14" i="46"/>
  <c r="E14" i="46" s="1"/>
  <c r="D13" i="46"/>
  <c r="E13" i="46"/>
  <c r="F13" i="46"/>
  <c r="G13" i="46"/>
  <c r="H13" i="46"/>
  <c r="I13" i="46"/>
  <c r="D12" i="46"/>
  <c r="E12" i="46"/>
  <c r="F12" i="46"/>
  <c r="G12" i="46"/>
  <c r="H12" i="46"/>
  <c r="I12" i="46"/>
  <c r="D11" i="46"/>
  <c r="E11" i="46"/>
  <c r="F11" i="46"/>
  <c r="G11" i="46"/>
  <c r="H11" i="46"/>
  <c r="I11" i="46"/>
  <c r="D10" i="46"/>
  <c r="E10" i="46"/>
  <c r="F10" i="46"/>
  <c r="G10" i="46"/>
  <c r="H10" i="46"/>
  <c r="I10" i="46"/>
  <c r="D9" i="46"/>
  <c r="E9" i="46"/>
  <c r="F9" i="46"/>
  <c r="G9" i="46"/>
  <c r="H9" i="46"/>
  <c r="I9" i="46"/>
  <c r="D15" i="45"/>
  <c r="E15" i="45"/>
  <c r="F15" i="45"/>
  <c r="G15" i="45"/>
  <c r="H15" i="45"/>
  <c r="I15" i="45"/>
  <c r="D14" i="45"/>
  <c r="E14" i="45" s="1"/>
  <c r="D13" i="45"/>
  <c r="E13" i="45"/>
  <c r="F13" i="45"/>
  <c r="G13" i="45"/>
  <c r="H13" i="45"/>
  <c r="I13" i="45"/>
  <c r="D12" i="45"/>
  <c r="E12" i="45"/>
  <c r="F12" i="45"/>
  <c r="G12" i="45"/>
  <c r="H12" i="45"/>
  <c r="I12" i="45"/>
  <c r="D11" i="45"/>
  <c r="E11" i="45"/>
  <c r="F11" i="45"/>
  <c r="G11" i="45"/>
  <c r="H11" i="45"/>
  <c r="I11" i="45"/>
  <c r="D10" i="45"/>
  <c r="E10" i="45"/>
  <c r="F10" i="45"/>
  <c r="G10" i="45"/>
  <c r="H10" i="45"/>
  <c r="I10" i="45"/>
  <c r="D9" i="45"/>
  <c r="E9" i="45"/>
  <c r="F9" i="45"/>
  <c r="G9" i="45"/>
  <c r="H9" i="45"/>
  <c r="I9" i="45"/>
  <c r="D15" i="43"/>
  <c r="E15" i="43" s="1"/>
  <c r="F15" i="43" s="1"/>
  <c r="G15" i="43" s="1"/>
  <c r="H15" i="43" s="1"/>
  <c r="I15" i="43" s="1"/>
  <c r="D14" i="43"/>
  <c r="E14" i="43" s="1"/>
  <c r="F14" i="43" s="1"/>
  <c r="G14" i="43" s="1"/>
  <c r="H14" i="43" s="1"/>
  <c r="I14" i="43" s="1"/>
  <c r="D13" i="43"/>
  <c r="E13" i="43" s="1"/>
  <c r="F13" i="43" s="1"/>
  <c r="G13" i="43" s="1"/>
  <c r="H13" i="43" s="1"/>
  <c r="I13" i="43" s="1"/>
  <c r="D12" i="43"/>
  <c r="E12" i="43" s="1"/>
  <c r="F12" i="43" s="1"/>
  <c r="G12" i="43" s="1"/>
  <c r="H12" i="43" s="1"/>
  <c r="I12" i="43" s="1"/>
  <c r="D11" i="43"/>
  <c r="E11" i="43" s="1"/>
  <c r="F11" i="43" s="1"/>
  <c r="G11" i="43" s="1"/>
  <c r="H11" i="43" s="1"/>
  <c r="I11" i="43" s="1"/>
  <c r="D10" i="43"/>
  <c r="E10" i="43" s="1"/>
  <c r="F10" i="43" s="1"/>
  <c r="G10" i="43" s="1"/>
  <c r="H10" i="43" s="1"/>
  <c r="I10" i="43" s="1"/>
  <c r="D9" i="43"/>
  <c r="E9" i="43" s="1"/>
  <c r="D15" i="42"/>
  <c r="E15" i="42" s="1"/>
  <c r="F15" i="42" s="1"/>
  <c r="G15" i="42" s="1"/>
  <c r="H15" i="42" s="1"/>
  <c r="I15" i="42" s="1"/>
  <c r="D14" i="42"/>
  <c r="E14" i="42" s="1"/>
  <c r="F14" i="42" s="1"/>
  <c r="G14" i="42" s="1"/>
  <c r="H14" i="42" s="1"/>
  <c r="I14" i="42" s="1"/>
  <c r="D13" i="42"/>
  <c r="E13" i="42" s="1"/>
  <c r="F13" i="42" s="1"/>
  <c r="G13" i="42" s="1"/>
  <c r="H13" i="42" s="1"/>
  <c r="I13" i="42" s="1"/>
  <c r="D12" i="42"/>
  <c r="E12" i="42" s="1"/>
  <c r="F12" i="42" s="1"/>
  <c r="G12" i="42" s="1"/>
  <c r="H12" i="42" s="1"/>
  <c r="I12" i="42" s="1"/>
  <c r="D11" i="42"/>
  <c r="E11" i="42" s="1"/>
  <c r="F11" i="42" s="1"/>
  <c r="G11" i="42" s="1"/>
  <c r="H11" i="42" s="1"/>
  <c r="I11" i="42" s="1"/>
  <c r="D10" i="42"/>
  <c r="E10" i="42" s="1"/>
  <c r="F10" i="42" s="1"/>
  <c r="G10" i="42" s="1"/>
  <c r="H10" i="42" s="1"/>
  <c r="I10" i="42" s="1"/>
  <c r="D9" i="42"/>
  <c r="E9" i="42" s="1"/>
  <c r="F9" i="42" s="1"/>
  <c r="G9" i="42" s="1"/>
  <c r="D15" i="40"/>
  <c r="E15" i="40" s="1"/>
  <c r="F15" i="40" s="1"/>
  <c r="G15" i="40" s="1"/>
  <c r="H15" i="40" s="1"/>
  <c r="I15" i="40" s="1"/>
  <c r="D14" i="40"/>
  <c r="E14" i="40" s="1"/>
  <c r="F14" i="40" s="1"/>
  <c r="G14" i="40" s="1"/>
  <c r="H14" i="40" s="1"/>
  <c r="I14" i="40" s="1"/>
  <c r="D13" i="40"/>
  <c r="E13" i="40" s="1"/>
  <c r="F13" i="40" s="1"/>
  <c r="G13" i="40" s="1"/>
  <c r="H13" i="40" s="1"/>
  <c r="I13" i="40" s="1"/>
  <c r="D12" i="40"/>
  <c r="E12" i="40" s="1"/>
  <c r="F12" i="40" s="1"/>
  <c r="G12" i="40" s="1"/>
  <c r="H12" i="40" s="1"/>
  <c r="I12" i="40" s="1"/>
  <c r="D11" i="40"/>
  <c r="E11" i="40" s="1"/>
  <c r="F11" i="40" s="1"/>
  <c r="G11" i="40" s="1"/>
  <c r="H11" i="40" s="1"/>
  <c r="I11" i="40" s="1"/>
  <c r="D10" i="40"/>
  <c r="E10" i="40" s="1"/>
  <c r="F10" i="40" s="1"/>
  <c r="G10" i="40" s="1"/>
  <c r="H10" i="40" s="1"/>
  <c r="I10" i="40" s="1"/>
  <c r="D9" i="40"/>
  <c r="E9" i="40" s="1"/>
  <c r="F9" i="40" s="1"/>
  <c r="D15" i="39"/>
  <c r="E15" i="39" s="1"/>
  <c r="F15" i="39" s="1"/>
  <c r="G15" i="39" s="1"/>
  <c r="H15" i="39" s="1"/>
  <c r="I15" i="39" s="1"/>
  <c r="D14" i="39"/>
  <c r="E14" i="39" s="1"/>
  <c r="F14" i="39" s="1"/>
  <c r="G14" i="39" s="1"/>
  <c r="H14" i="39" s="1"/>
  <c r="I14" i="39" s="1"/>
  <c r="D13" i="39"/>
  <c r="E13" i="39" s="1"/>
  <c r="F13" i="39" s="1"/>
  <c r="G13" i="39" s="1"/>
  <c r="H13" i="39" s="1"/>
  <c r="I13" i="39" s="1"/>
  <c r="D12" i="39"/>
  <c r="E12" i="39" s="1"/>
  <c r="F12" i="39" s="1"/>
  <c r="G12" i="39" s="1"/>
  <c r="H12" i="39" s="1"/>
  <c r="I12" i="39" s="1"/>
  <c r="D11" i="39"/>
  <c r="E11" i="39" s="1"/>
  <c r="F11" i="39" s="1"/>
  <c r="G11" i="39" s="1"/>
  <c r="H11" i="39" s="1"/>
  <c r="I11" i="39" s="1"/>
  <c r="D10" i="39"/>
  <c r="E10" i="39" s="1"/>
  <c r="F10" i="39" s="1"/>
  <c r="G10" i="39" s="1"/>
  <c r="H10" i="39" s="1"/>
  <c r="I10" i="39" s="1"/>
  <c r="D9" i="39"/>
  <c r="E9" i="39" s="1"/>
  <c r="D15" i="38"/>
  <c r="E15" i="38" s="1"/>
  <c r="F15" i="38" s="1"/>
  <c r="G15" i="38" s="1"/>
  <c r="H15" i="38" s="1"/>
  <c r="I15" i="38" s="1"/>
  <c r="D14" i="38"/>
  <c r="E14" i="38" s="1"/>
  <c r="F14" i="38" s="1"/>
  <c r="G14" i="38" s="1"/>
  <c r="H14" i="38" s="1"/>
  <c r="I14" i="38" s="1"/>
  <c r="D13" i="38"/>
  <c r="E13" i="38" s="1"/>
  <c r="F13" i="38" s="1"/>
  <c r="G13" i="38" s="1"/>
  <c r="H13" i="38" s="1"/>
  <c r="I13" i="38" s="1"/>
  <c r="D12" i="38"/>
  <c r="E12" i="38" s="1"/>
  <c r="F12" i="38" s="1"/>
  <c r="G12" i="38" s="1"/>
  <c r="H12" i="38" s="1"/>
  <c r="I12" i="38" s="1"/>
  <c r="D11" i="38"/>
  <c r="E11" i="38" s="1"/>
  <c r="F11" i="38" s="1"/>
  <c r="G11" i="38" s="1"/>
  <c r="H11" i="38" s="1"/>
  <c r="I11" i="38" s="1"/>
  <c r="D10" i="38"/>
  <c r="E10" i="38" s="1"/>
  <c r="F10" i="38" s="1"/>
  <c r="D9" i="38"/>
  <c r="E9" i="38" s="1"/>
  <c r="F9" i="38" s="1"/>
  <c r="G9" i="38" s="1"/>
  <c r="D15" i="36"/>
  <c r="E15" i="36" s="1"/>
  <c r="F15" i="36" s="1"/>
  <c r="G15" i="36" s="1"/>
  <c r="H15" i="36" s="1"/>
  <c r="I15" i="36" s="1"/>
  <c r="D14" i="36"/>
  <c r="E14" i="36" s="1"/>
  <c r="F14" i="36" s="1"/>
  <c r="G14" i="36" s="1"/>
  <c r="H14" i="36" s="1"/>
  <c r="I14" i="36" s="1"/>
  <c r="D13" i="36"/>
  <c r="E13" i="36" s="1"/>
  <c r="F13" i="36" s="1"/>
  <c r="G13" i="36" s="1"/>
  <c r="H13" i="36" s="1"/>
  <c r="I13" i="36" s="1"/>
  <c r="D12" i="36"/>
  <c r="E12" i="36" s="1"/>
  <c r="F12" i="36" s="1"/>
  <c r="G12" i="36" s="1"/>
  <c r="H12" i="36" s="1"/>
  <c r="I12" i="36" s="1"/>
  <c r="D11" i="36"/>
  <c r="E11" i="36" s="1"/>
  <c r="F11" i="36" s="1"/>
  <c r="G11" i="36" s="1"/>
  <c r="H11" i="36" s="1"/>
  <c r="I11" i="36" s="1"/>
  <c r="D10" i="36"/>
  <c r="E10" i="36" s="1"/>
  <c r="F10" i="36" s="1"/>
  <c r="G10" i="36" s="1"/>
  <c r="H10" i="36" s="1"/>
  <c r="I10" i="36" s="1"/>
  <c r="D9" i="36"/>
  <c r="E9" i="36" s="1"/>
  <c r="D15" i="35"/>
  <c r="E15" i="35"/>
  <c r="F15" i="35" s="1"/>
  <c r="D14" i="35"/>
  <c r="E14" i="35" s="1"/>
  <c r="D13" i="35"/>
  <c r="E13" i="35" s="1"/>
  <c r="F13" i="35" s="1"/>
  <c r="D12" i="35"/>
  <c r="E12" i="35" s="1"/>
  <c r="D11" i="35"/>
  <c r="E11" i="35" s="1"/>
  <c r="F11" i="35" s="1"/>
  <c r="D10" i="35"/>
  <c r="E10" i="35" s="1"/>
  <c r="D9" i="35"/>
  <c r="E9" i="35" s="1"/>
  <c r="F9" i="35" s="1"/>
  <c r="D15" i="34"/>
  <c r="E15" i="34" s="1"/>
  <c r="F15" i="34" s="1"/>
  <c r="G15" i="34" s="1"/>
  <c r="H15" i="34" s="1"/>
  <c r="I15" i="34" s="1"/>
  <c r="D14" i="34"/>
  <c r="E14" i="34" s="1"/>
  <c r="F14" i="34" s="1"/>
  <c r="G14" i="34" s="1"/>
  <c r="H14" i="34" s="1"/>
  <c r="I14" i="34" s="1"/>
  <c r="D13" i="34"/>
  <c r="E13" i="34" s="1"/>
  <c r="F13" i="34" s="1"/>
  <c r="G13" i="34" s="1"/>
  <c r="H13" i="34" s="1"/>
  <c r="I13" i="34" s="1"/>
  <c r="D12" i="34"/>
  <c r="E12" i="34" s="1"/>
  <c r="F12" i="34" s="1"/>
  <c r="G12" i="34" s="1"/>
  <c r="H12" i="34" s="1"/>
  <c r="I12" i="34" s="1"/>
  <c r="D11" i="34"/>
  <c r="E11" i="34" s="1"/>
  <c r="F11" i="34" s="1"/>
  <c r="G11" i="34" s="1"/>
  <c r="H11" i="34" s="1"/>
  <c r="I11" i="34" s="1"/>
  <c r="D10" i="34"/>
  <c r="E10" i="34" s="1"/>
  <c r="F10" i="34" s="1"/>
  <c r="G10" i="34" s="1"/>
  <c r="H10" i="34" s="1"/>
  <c r="I10" i="34" s="1"/>
  <c r="D9" i="34"/>
  <c r="E9" i="34" s="1"/>
  <c r="D14" i="33"/>
  <c r="E14" i="33" s="1"/>
  <c r="F14" i="33" s="1"/>
  <c r="G14" i="33" s="1"/>
  <c r="H14" i="33" s="1"/>
  <c r="I14" i="33" s="1"/>
  <c r="D15" i="33"/>
  <c r="E15" i="33" s="1"/>
  <c r="F15" i="33" s="1"/>
  <c r="G15" i="33" s="1"/>
  <c r="H15" i="33" s="1"/>
  <c r="I15" i="33" s="1"/>
  <c r="D13" i="33"/>
  <c r="E13" i="33" s="1"/>
  <c r="F13" i="33" s="1"/>
  <c r="G13" i="33" s="1"/>
  <c r="H13" i="33" s="1"/>
  <c r="I13" i="33" s="1"/>
  <c r="D12" i="33"/>
  <c r="E12" i="33" s="1"/>
  <c r="F12" i="33" s="1"/>
  <c r="G12" i="33" s="1"/>
  <c r="H12" i="33" s="1"/>
  <c r="I12" i="33" s="1"/>
  <c r="D11" i="33"/>
  <c r="E11" i="33" s="1"/>
  <c r="F11" i="33" s="1"/>
  <c r="G11" i="33" s="1"/>
  <c r="H11" i="33" s="1"/>
  <c r="I11" i="33" s="1"/>
  <c r="D10" i="33"/>
  <c r="E10" i="33" s="1"/>
  <c r="F10" i="33" s="1"/>
  <c r="G10" i="33" s="1"/>
  <c r="H10" i="33" s="1"/>
  <c r="I10" i="33" s="1"/>
  <c r="D9" i="33"/>
  <c r="E9" i="33" s="1"/>
  <c r="F9" i="33" s="1"/>
  <c r="D15" i="32"/>
  <c r="E15" i="32" s="1"/>
  <c r="F15" i="32" s="1"/>
  <c r="G15" i="32" s="1"/>
  <c r="H15" i="32" s="1"/>
  <c r="I15" i="32" s="1"/>
  <c r="D14" i="32"/>
  <c r="D13" i="32"/>
  <c r="E13" i="32" s="1"/>
  <c r="F13" i="32" s="1"/>
  <c r="G13" i="32" s="1"/>
  <c r="H13" i="32" s="1"/>
  <c r="I13" i="32" s="1"/>
  <c r="D12" i="32"/>
  <c r="E12" i="32" s="1"/>
  <c r="F12" i="32" s="1"/>
  <c r="G12" i="32" s="1"/>
  <c r="H12" i="32" s="1"/>
  <c r="I12" i="32" s="1"/>
  <c r="D11" i="32"/>
  <c r="E11" i="32" s="1"/>
  <c r="F11" i="32" s="1"/>
  <c r="G11" i="32" s="1"/>
  <c r="H11" i="32" s="1"/>
  <c r="I11" i="32" s="1"/>
  <c r="D10" i="32"/>
  <c r="E10" i="32" s="1"/>
  <c r="F10" i="32" s="1"/>
  <c r="G10" i="32" s="1"/>
  <c r="H10" i="32" s="1"/>
  <c r="I10" i="32" s="1"/>
  <c r="D9" i="32"/>
  <c r="E9" i="32" s="1"/>
  <c r="H12" i="30"/>
  <c r="P20" i="83"/>
  <c r="P18" i="83"/>
  <c r="X18" i="83" s="1"/>
  <c r="P17" i="83"/>
  <c r="X17" i="83" s="1"/>
  <c r="P16" i="83"/>
  <c r="X16" i="83" s="1"/>
  <c r="P15" i="83"/>
  <c r="P14" i="83"/>
  <c r="X14" i="83" s="1"/>
  <c r="P13" i="83"/>
  <c r="P10" i="83"/>
  <c r="P9" i="83"/>
  <c r="D15" i="15"/>
  <c r="D14" i="15"/>
  <c r="D13" i="15"/>
  <c r="D12" i="15"/>
  <c r="D11" i="15"/>
  <c r="D15" i="17"/>
  <c r="E15" i="17" s="1"/>
  <c r="F15" i="17" s="1"/>
  <c r="G15" i="17" s="1"/>
  <c r="H15" i="17" s="1"/>
  <c r="I15" i="17" s="1"/>
  <c r="D14" i="17"/>
  <c r="E14" i="17" s="1"/>
  <c r="F14" i="17" s="1"/>
  <c r="G14" i="17" s="1"/>
  <c r="H14" i="17" s="1"/>
  <c r="I14" i="17" s="1"/>
  <c r="D13" i="17"/>
  <c r="D12" i="17"/>
  <c r="D11" i="17"/>
  <c r="E11" i="17" s="1"/>
  <c r="F11" i="17" s="1"/>
  <c r="G11" i="17" s="1"/>
  <c r="H11" i="17" s="1"/>
  <c r="I11" i="17" s="1"/>
  <c r="D15" i="22"/>
  <c r="D14" i="22"/>
  <c r="D13" i="22"/>
  <c r="E13" i="22" s="1"/>
  <c r="D12" i="22"/>
  <c r="D11" i="22"/>
  <c r="D15" i="23"/>
  <c r="D14" i="23"/>
  <c r="D13" i="23"/>
  <c r="D12" i="23"/>
  <c r="E15" i="23"/>
  <c r="F15" i="23" s="1"/>
  <c r="G15" i="23" s="1"/>
  <c r="H15" i="23" s="1"/>
  <c r="I15" i="23" s="1"/>
  <c r="E14" i="23"/>
  <c r="F14" i="23" s="1"/>
  <c r="G14" i="23" s="1"/>
  <c r="H14" i="23" s="1"/>
  <c r="I14" i="23" s="1"/>
  <c r="E13" i="23"/>
  <c r="F13" i="23" s="1"/>
  <c r="G13" i="23" s="1"/>
  <c r="H13" i="23" s="1"/>
  <c r="I13" i="23" s="1"/>
  <c r="E12" i="23"/>
  <c r="F12" i="23" s="1"/>
  <c r="G12" i="23" s="1"/>
  <c r="H12" i="23" s="1"/>
  <c r="I12" i="23" s="1"/>
  <c r="E15" i="22"/>
  <c r="F15" i="22"/>
  <c r="G15" i="22"/>
  <c r="H15" i="22"/>
  <c r="I15" i="22"/>
  <c r="E14" i="22"/>
  <c r="F14" i="22"/>
  <c r="G14" i="22"/>
  <c r="H14" i="22"/>
  <c r="I14" i="22"/>
  <c r="E12" i="22"/>
  <c r="F12" i="22"/>
  <c r="G12" i="22"/>
  <c r="H12" i="22"/>
  <c r="I12" i="22"/>
  <c r="E11" i="22"/>
  <c r="F11" i="22"/>
  <c r="G11" i="22"/>
  <c r="H11" i="22"/>
  <c r="I11" i="22"/>
  <c r="D10" i="22"/>
  <c r="E10" i="22"/>
  <c r="F10" i="22"/>
  <c r="G10" i="22"/>
  <c r="H10" i="22"/>
  <c r="I10" i="22"/>
  <c r="D9" i="22"/>
  <c r="E9" i="22"/>
  <c r="F9" i="22"/>
  <c r="G9" i="22"/>
  <c r="H9" i="22"/>
  <c r="I9" i="22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G10" i="20" s="1"/>
  <c r="E9" i="20"/>
  <c r="F9" i="20" s="1"/>
  <c r="H25" i="19"/>
  <c r="G25" i="19"/>
  <c r="F25" i="19"/>
  <c r="E25" i="19"/>
  <c r="D15" i="18"/>
  <c r="E15" i="18"/>
  <c r="F15" i="18"/>
  <c r="G15" i="18"/>
  <c r="H15" i="18"/>
  <c r="I15" i="18"/>
  <c r="D14" i="18"/>
  <c r="E14" i="18" s="1"/>
  <c r="D13" i="18"/>
  <c r="E13" i="18"/>
  <c r="F13" i="18"/>
  <c r="G13" i="18"/>
  <c r="H13" i="18"/>
  <c r="I13" i="18"/>
  <c r="D12" i="18"/>
  <c r="E12" i="18"/>
  <c r="F12" i="18"/>
  <c r="G12" i="18"/>
  <c r="H12" i="18"/>
  <c r="I12" i="18"/>
  <c r="D11" i="18"/>
  <c r="E11" i="18"/>
  <c r="F11" i="18"/>
  <c r="G11" i="18"/>
  <c r="H11" i="18"/>
  <c r="I11" i="18"/>
  <c r="D10" i="18"/>
  <c r="E10" i="18"/>
  <c r="F10" i="18"/>
  <c r="G10" i="18"/>
  <c r="H10" i="18"/>
  <c r="I10" i="18"/>
  <c r="D9" i="18"/>
  <c r="E9" i="18"/>
  <c r="F9" i="18"/>
  <c r="G9" i="18"/>
  <c r="H9" i="18"/>
  <c r="I9" i="18"/>
  <c r="E13" i="17"/>
  <c r="F13" i="17" s="1"/>
  <c r="G13" i="17" s="1"/>
  <c r="H13" i="17" s="1"/>
  <c r="I13" i="17" s="1"/>
  <c r="E12" i="17"/>
  <c r="F12" i="17" s="1"/>
  <c r="G12" i="17" s="1"/>
  <c r="H12" i="17" s="1"/>
  <c r="I12" i="17" s="1"/>
  <c r="D10" i="17"/>
  <c r="E10" i="17" s="1"/>
  <c r="F10" i="17" s="1"/>
  <c r="G10" i="17" s="1"/>
  <c r="H10" i="17" s="1"/>
  <c r="I10" i="17" s="1"/>
  <c r="E9" i="17"/>
  <c r="F9" i="17" s="1"/>
  <c r="G9" i="17" s="1"/>
  <c r="E15" i="15"/>
  <c r="F15" i="15"/>
  <c r="G15" i="15"/>
  <c r="H15" i="15"/>
  <c r="I15" i="15"/>
  <c r="E14" i="15"/>
  <c r="F14" i="15"/>
  <c r="G14" i="15"/>
  <c r="H14" i="15"/>
  <c r="I14" i="15"/>
  <c r="E13" i="15"/>
  <c r="F13" i="15"/>
  <c r="G13" i="15"/>
  <c r="H13" i="15"/>
  <c r="I13" i="15"/>
  <c r="E12" i="15"/>
  <c r="F12" i="15"/>
  <c r="G12" i="15"/>
  <c r="H12" i="15"/>
  <c r="I12" i="15"/>
  <c r="E11" i="15"/>
  <c r="F11" i="15"/>
  <c r="G11" i="15"/>
  <c r="H11" i="15"/>
  <c r="I11" i="15"/>
  <c r="D10" i="15"/>
  <c r="E10" i="15"/>
  <c r="F10" i="15"/>
  <c r="G10" i="15"/>
  <c r="H10" i="15"/>
  <c r="I10" i="15"/>
  <c r="D9" i="15"/>
  <c r="E9" i="15"/>
  <c r="F9" i="15"/>
  <c r="G9" i="15"/>
  <c r="H9" i="15"/>
  <c r="I9" i="15"/>
  <c r="D15" i="12"/>
  <c r="E15" i="12" s="1"/>
  <c r="F15" i="12" s="1"/>
  <c r="G15" i="12" s="1"/>
  <c r="H15" i="12" s="1"/>
  <c r="I15" i="12" s="1"/>
  <c r="D14" i="12"/>
  <c r="E14" i="12" s="1"/>
  <c r="F14" i="12" s="1"/>
  <c r="G14" i="12" s="1"/>
  <c r="H14" i="12" s="1"/>
  <c r="I14" i="12" s="1"/>
  <c r="D13" i="12"/>
  <c r="E13" i="12" s="1"/>
  <c r="F13" i="12" s="1"/>
  <c r="G13" i="12" s="1"/>
  <c r="H13" i="12" s="1"/>
  <c r="I13" i="12" s="1"/>
  <c r="D12" i="12"/>
  <c r="E12" i="12" s="1"/>
  <c r="F12" i="12" s="1"/>
  <c r="G12" i="12" s="1"/>
  <c r="H12" i="12" s="1"/>
  <c r="I12" i="12" s="1"/>
  <c r="D11" i="12"/>
  <c r="E11" i="12" s="1"/>
  <c r="F11" i="12" s="1"/>
  <c r="G11" i="12" s="1"/>
  <c r="H11" i="12" s="1"/>
  <c r="I11" i="12" s="1"/>
  <c r="D10" i="12"/>
  <c r="E10" i="12" s="1"/>
  <c r="D9" i="12"/>
  <c r="E9" i="12" s="1"/>
  <c r="F9" i="12" s="1"/>
  <c r="D15" i="10"/>
  <c r="E15" i="10" s="1"/>
  <c r="F15" i="10" s="1"/>
  <c r="G15" i="10" s="1"/>
  <c r="H15" i="10" s="1"/>
  <c r="I15" i="10" s="1"/>
  <c r="D14" i="10"/>
  <c r="E14" i="10" s="1"/>
  <c r="F14" i="10" s="1"/>
  <c r="G14" i="10" s="1"/>
  <c r="H14" i="10" s="1"/>
  <c r="I14" i="10" s="1"/>
  <c r="D13" i="10"/>
  <c r="E13" i="10" s="1"/>
  <c r="F13" i="10" s="1"/>
  <c r="G13" i="10" s="1"/>
  <c r="H13" i="10" s="1"/>
  <c r="I13" i="10" s="1"/>
  <c r="D12" i="10"/>
  <c r="E12" i="10" s="1"/>
  <c r="F12" i="10" s="1"/>
  <c r="G12" i="10" s="1"/>
  <c r="H12" i="10" s="1"/>
  <c r="I12" i="10" s="1"/>
  <c r="D11" i="10"/>
  <c r="E11" i="10" s="1"/>
  <c r="F11" i="10" s="1"/>
  <c r="G11" i="10" s="1"/>
  <c r="H11" i="10" s="1"/>
  <c r="I11" i="10" s="1"/>
  <c r="D10" i="10"/>
  <c r="D9" i="10"/>
  <c r="E9" i="10" s="1"/>
  <c r="F9" i="10" s="1"/>
  <c r="D15" i="9"/>
  <c r="E15" i="9" s="1"/>
  <c r="F15" i="9" s="1"/>
  <c r="G15" i="9" s="1"/>
  <c r="H15" i="9" s="1"/>
  <c r="I15" i="9" s="1"/>
  <c r="D14" i="9"/>
  <c r="E14" i="9" s="1"/>
  <c r="F14" i="9" s="1"/>
  <c r="G14" i="9" s="1"/>
  <c r="H14" i="9" s="1"/>
  <c r="I14" i="9" s="1"/>
  <c r="D13" i="9"/>
  <c r="E13" i="9"/>
  <c r="F13" i="9" s="1"/>
  <c r="G13" i="9" s="1"/>
  <c r="H13" i="9" s="1"/>
  <c r="I13" i="9" s="1"/>
  <c r="D12" i="9"/>
  <c r="E12" i="9" s="1"/>
  <c r="F12" i="9" s="1"/>
  <c r="G12" i="9" s="1"/>
  <c r="H12" i="9" s="1"/>
  <c r="I12" i="9" s="1"/>
  <c r="D11" i="9"/>
  <c r="E11" i="9" s="1"/>
  <c r="D10" i="9"/>
  <c r="E10" i="9" s="1"/>
  <c r="F10" i="9" s="1"/>
  <c r="G10" i="9" s="1"/>
  <c r="H10" i="9" s="1"/>
  <c r="I10" i="9" s="1"/>
  <c r="D9" i="9"/>
  <c r="E9" i="9" s="1"/>
  <c r="F9" i="9" s="1"/>
  <c r="G9" i="9" s="1"/>
  <c r="D15" i="8"/>
  <c r="E15" i="8" s="1"/>
  <c r="F15" i="8" s="1"/>
  <c r="G15" i="8" s="1"/>
  <c r="H15" i="8" s="1"/>
  <c r="I15" i="8" s="1"/>
  <c r="D14" i="8"/>
  <c r="E14" i="8" s="1"/>
  <c r="F14" i="8" s="1"/>
  <c r="G14" i="8" s="1"/>
  <c r="H14" i="8" s="1"/>
  <c r="I14" i="8" s="1"/>
  <c r="D13" i="8"/>
  <c r="E13" i="8" s="1"/>
  <c r="F13" i="8" s="1"/>
  <c r="G13" i="8" s="1"/>
  <c r="H13" i="8" s="1"/>
  <c r="I13" i="8" s="1"/>
  <c r="D12" i="8"/>
  <c r="E12" i="8" s="1"/>
  <c r="F12" i="8" s="1"/>
  <c r="G12" i="8" s="1"/>
  <c r="H12" i="8" s="1"/>
  <c r="I12" i="8" s="1"/>
  <c r="D11" i="8"/>
  <c r="E11" i="8" s="1"/>
  <c r="F11" i="8" s="1"/>
  <c r="G11" i="8" s="1"/>
  <c r="H11" i="8" s="1"/>
  <c r="I11" i="8" s="1"/>
  <c r="D10" i="8"/>
  <c r="E10" i="8" s="1"/>
  <c r="F10" i="8" s="1"/>
  <c r="G10" i="8" s="1"/>
  <c r="H10" i="8" s="1"/>
  <c r="I10" i="8" s="1"/>
  <c r="D9" i="8"/>
  <c r="E9" i="8" s="1"/>
  <c r="D9" i="1"/>
  <c r="E9" i="1" s="1"/>
  <c r="D15" i="1"/>
  <c r="E15" i="1" s="1"/>
  <c r="F15" i="1" s="1"/>
  <c r="G15" i="1" s="1"/>
  <c r="H15" i="1" s="1"/>
  <c r="I15" i="1" s="1"/>
  <c r="D14" i="1"/>
  <c r="E14" i="1" s="1"/>
  <c r="F14" i="1" s="1"/>
  <c r="G14" i="1" s="1"/>
  <c r="H14" i="1" s="1"/>
  <c r="I14" i="1" s="1"/>
  <c r="D13" i="1"/>
  <c r="E13" i="1" s="1"/>
  <c r="F13" i="1" s="1"/>
  <c r="G13" i="1" s="1"/>
  <c r="H13" i="1" s="1"/>
  <c r="I13" i="1" s="1"/>
  <c r="D12" i="1"/>
  <c r="E12" i="1" s="1"/>
  <c r="F12" i="1" s="1"/>
  <c r="G12" i="1" s="1"/>
  <c r="H12" i="1" s="1"/>
  <c r="I12" i="1" s="1"/>
  <c r="D11" i="1"/>
  <c r="E11" i="1" s="1"/>
  <c r="F11" i="1" s="1"/>
  <c r="G11" i="1" s="1"/>
  <c r="H11" i="1" s="1"/>
  <c r="I11" i="1" s="1"/>
  <c r="D10" i="1"/>
  <c r="E10" i="1" s="1"/>
  <c r="F10" i="1" s="1"/>
  <c r="G10" i="1" s="1"/>
  <c r="H10" i="1" s="1"/>
  <c r="I10" i="1" s="1"/>
  <c r="I22" i="93"/>
  <c r="I25" i="19"/>
  <c r="AH20" i="83"/>
  <c r="AH19" i="83"/>
  <c r="AH18" i="83"/>
  <c r="AH17" i="83"/>
  <c r="AH16" i="83"/>
  <c r="AH12" i="83"/>
  <c r="D9" i="7"/>
  <c r="E9" i="7"/>
  <c r="F9" i="7"/>
  <c r="G9" i="7"/>
  <c r="H9" i="7"/>
  <c r="I9" i="7"/>
  <c r="D10" i="7"/>
  <c r="E10" i="7"/>
  <c r="F10" i="7"/>
  <c r="G10" i="7"/>
  <c r="H10" i="7"/>
  <c r="I10" i="7"/>
  <c r="D11" i="7"/>
  <c r="E11" i="7"/>
  <c r="F11" i="7"/>
  <c r="G11" i="7"/>
  <c r="H11" i="7"/>
  <c r="I11" i="7"/>
  <c r="G12" i="28"/>
  <c r="D16" i="63"/>
  <c r="E60" i="5" s="1"/>
  <c r="D16" i="102"/>
  <c r="G16" i="102"/>
  <c r="H26" i="5"/>
  <c r="E16" i="102"/>
  <c r="C11" i="4"/>
  <c r="C12" i="4"/>
  <c r="C13" i="4"/>
  <c r="C14" i="4"/>
  <c r="C15" i="4"/>
  <c r="C16" i="4"/>
  <c r="B14" i="4"/>
  <c r="B16" i="4"/>
  <c r="Q22" i="83"/>
  <c r="E9" i="83" s="1"/>
  <c r="R22" i="83"/>
  <c r="F9" i="83" s="1"/>
  <c r="I12" i="30"/>
  <c r="K13" i="30"/>
  <c r="I12" i="28"/>
  <c r="H12" i="28"/>
  <c r="F12" i="28"/>
  <c r="E12" i="28"/>
  <c r="B15" i="86"/>
  <c r="I21" i="93"/>
  <c r="R24" i="83"/>
  <c r="S24" i="83"/>
  <c r="B10" i="89"/>
  <c r="I10" i="67"/>
  <c r="B9" i="54"/>
  <c r="B16" i="69"/>
  <c r="C67" i="5" s="1"/>
  <c r="N29" i="83"/>
  <c r="AH14" i="83"/>
  <c r="AH15" i="83"/>
  <c r="AH10" i="83"/>
  <c r="AH9" i="83"/>
  <c r="I27" i="79"/>
  <c r="H31" i="100"/>
  <c r="H10" i="100"/>
  <c r="G31" i="100"/>
  <c r="G10" i="100"/>
  <c r="F31" i="100"/>
  <c r="F10" i="100"/>
  <c r="I27" i="28"/>
  <c r="H27" i="28"/>
  <c r="G27" i="28"/>
  <c r="F27" i="28"/>
  <c r="E27" i="28"/>
  <c r="I23" i="79"/>
  <c r="I29" i="79"/>
  <c r="I30" i="79"/>
  <c r="E29" i="79"/>
  <c r="F29" i="79"/>
  <c r="G29" i="79"/>
  <c r="H29" i="79"/>
  <c r="E30" i="79"/>
  <c r="E31" i="79" s="1"/>
  <c r="F30" i="79"/>
  <c r="G30" i="79"/>
  <c r="H30" i="79"/>
  <c r="J25" i="79"/>
  <c r="J26" i="79"/>
  <c r="H27" i="79"/>
  <c r="G27" i="79"/>
  <c r="F27" i="79"/>
  <c r="E27" i="79"/>
  <c r="J21" i="79"/>
  <c r="J22" i="79"/>
  <c r="H23" i="79"/>
  <c r="G23" i="79"/>
  <c r="F23" i="79"/>
  <c r="E23" i="79"/>
  <c r="I33" i="73"/>
  <c r="H33" i="73"/>
  <c r="G33" i="73"/>
  <c r="F33" i="73"/>
  <c r="E33" i="73"/>
  <c r="B9" i="87"/>
  <c r="B12" i="87"/>
  <c r="B13" i="87"/>
  <c r="B14" i="87"/>
  <c r="B15" i="87"/>
  <c r="B16" i="33"/>
  <c r="C35" i="5"/>
  <c r="B16" i="60"/>
  <c r="C57" i="5"/>
  <c r="B16" i="38"/>
  <c r="C39" i="5"/>
  <c r="B16" i="17"/>
  <c r="C16" i="5"/>
  <c r="B16" i="34"/>
  <c r="C36" i="5"/>
  <c r="B16" i="39"/>
  <c r="C40" i="5"/>
  <c r="B16" i="73"/>
  <c r="B9" i="88"/>
  <c r="N22" i="83"/>
  <c r="B9" i="24"/>
  <c r="B9" i="86" s="1"/>
  <c r="AH11" i="83"/>
  <c r="AH13" i="83"/>
  <c r="D12" i="26"/>
  <c r="D10" i="72"/>
  <c r="B16" i="8"/>
  <c r="C10" i="5"/>
  <c r="B16" i="64"/>
  <c r="C61" i="5"/>
  <c r="B16" i="65"/>
  <c r="C56" i="5" s="1"/>
  <c r="B11" i="87"/>
  <c r="B16" i="32"/>
  <c r="C34" i="5" s="1"/>
  <c r="D12" i="30"/>
  <c r="I74" i="24"/>
  <c r="D16" i="62"/>
  <c r="E59" i="5"/>
  <c r="D31" i="100"/>
  <c r="I33" i="74"/>
  <c r="H33" i="74"/>
  <c r="G33" i="74"/>
  <c r="F33" i="74"/>
  <c r="E33" i="74"/>
  <c r="D33" i="73"/>
  <c r="H58" i="71"/>
  <c r="H65" i="71"/>
  <c r="G58" i="71"/>
  <c r="G65" i="71"/>
  <c r="F58" i="71"/>
  <c r="F65" i="71"/>
  <c r="E58" i="71"/>
  <c r="E65" i="71"/>
  <c r="D58" i="71"/>
  <c r="D14" i="71"/>
  <c r="D14" i="87"/>
  <c r="D38" i="50"/>
  <c r="C38" i="50"/>
  <c r="D13" i="79"/>
  <c r="H67" i="79"/>
  <c r="G67" i="79"/>
  <c r="F67" i="79"/>
  <c r="E67" i="79"/>
  <c r="H66" i="79"/>
  <c r="H68" i="79"/>
  <c r="G66" i="79"/>
  <c r="G68" i="79"/>
  <c r="F66" i="79"/>
  <c r="F68" i="79"/>
  <c r="E66" i="79"/>
  <c r="H64" i="79"/>
  <c r="G64" i="79"/>
  <c r="F64" i="79"/>
  <c r="E64" i="79"/>
  <c r="I63" i="79"/>
  <c r="J63" i="79"/>
  <c r="I62" i="79"/>
  <c r="I66" i="79"/>
  <c r="I60" i="79"/>
  <c r="H60" i="79"/>
  <c r="G60" i="79"/>
  <c r="F60" i="79"/>
  <c r="E60" i="79"/>
  <c r="J59" i="79"/>
  <c r="J58" i="79"/>
  <c r="J60" i="79"/>
  <c r="D14" i="93"/>
  <c r="J62" i="79"/>
  <c r="J64" i="79"/>
  <c r="E68" i="79"/>
  <c r="U17" i="83"/>
  <c r="AB15" i="83"/>
  <c r="D12" i="28"/>
  <c r="D15" i="19"/>
  <c r="J15" i="19"/>
  <c r="C15" i="86"/>
  <c r="C9" i="86"/>
  <c r="C11" i="86"/>
  <c r="C12" i="86"/>
  <c r="C13" i="86"/>
  <c r="C14" i="86"/>
  <c r="C16" i="86"/>
  <c r="B11" i="86"/>
  <c r="B12" i="86"/>
  <c r="B14" i="86"/>
  <c r="B16" i="86"/>
  <c r="K12" i="30"/>
  <c r="D12" i="7"/>
  <c r="X20" i="83"/>
  <c r="U16" i="83"/>
  <c r="Z20" i="83"/>
  <c r="U24" i="83"/>
  <c r="Y20" i="83"/>
  <c r="AA20" i="83"/>
  <c r="J28" i="19"/>
  <c r="E31" i="100"/>
  <c r="I30" i="100"/>
  <c r="I31" i="100"/>
  <c r="I10" i="100" s="1"/>
  <c r="I58" i="71"/>
  <c r="I65" i="71"/>
  <c r="I25" i="72"/>
  <c r="H25" i="72"/>
  <c r="G25" i="72"/>
  <c r="F25" i="72"/>
  <c r="E25" i="72"/>
  <c r="J27" i="19"/>
  <c r="J26" i="19"/>
  <c r="J25" i="19"/>
  <c r="J24" i="19"/>
  <c r="J23" i="19"/>
  <c r="J22" i="19"/>
  <c r="J24" i="4"/>
  <c r="AG22" i="83"/>
  <c r="E9" i="100"/>
  <c r="D15" i="79"/>
  <c r="D14" i="79"/>
  <c r="D12" i="79"/>
  <c r="I12" i="79"/>
  <c r="D11" i="79"/>
  <c r="D9" i="79"/>
  <c r="E9" i="79"/>
  <c r="D10" i="74"/>
  <c r="D10" i="73"/>
  <c r="D9" i="72"/>
  <c r="E9" i="72"/>
  <c r="D9" i="30"/>
  <c r="E9" i="30"/>
  <c r="H20" i="102"/>
  <c r="I20" i="102"/>
  <c r="C16" i="102"/>
  <c r="D26" i="5" s="1"/>
  <c r="B16" i="102"/>
  <c r="C26" i="5"/>
  <c r="H68" i="30"/>
  <c r="H62" i="30"/>
  <c r="H70" i="30"/>
  <c r="H21" i="100"/>
  <c r="H22" i="100"/>
  <c r="G68" i="30"/>
  <c r="G62" i="30"/>
  <c r="G70" i="30"/>
  <c r="G21" i="100"/>
  <c r="G22" i="100"/>
  <c r="F69" i="30"/>
  <c r="G69" i="30"/>
  <c r="F68" i="30"/>
  <c r="K68" i="30"/>
  <c r="F62" i="30"/>
  <c r="F70" i="30"/>
  <c r="F21" i="100"/>
  <c r="F22" i="100"/>
  <c r="E68" i="30"/>
  <c r="E67" i="30"/>
  <c r="F67" i="30"/>
  <c r="G67" i="30"/>
  <c r="H67" i="30"/>
  <c r="E62" i="30"/>
  <c r="E38" i="50"/>
  <c r="E21" i="100"/>
  <c r="E22" i="100"/>
  <c r="I38" i="50"/>
  <c r="G38" i="50"/>
  <c r="H38" i="50"/>
  <c r="F38" i="50"/>
  <c r="F16" i="102"/>
  <c r="E70" i="30"/>
  <c r="I16" i="102"/>
  <c r="J26" i="5"/>
  <c r="H16" i="102"/>
  <c r="I26" i="5"/>
  <c r="F71" i="30"/>
  <c r="B9" i="101"/>
  <c r="C15" i="101"/>
  <c r="C14" i="101"/>
  <c r="C16" i="101" s="1"/>
  <c r="C13" i="101"/>
  <c r="C12" i="101"/>
  <c r="C11" i="101"/>
  <c r="C9" i="101"/>
  <c r="B15" i="101"/>
  <c r="B14" i="101"/>
  <c r="B13" i="101"/>
  <c r="B12" i="101"/>
  <c r="C16" i="100"/>
  <c r="D78" i="5" s="1"/>
  <c r="B16" i="100"/>
  <c r="B17" i="80"/>
  <c r="D15" i="100"/>
  <c r="E15" i="100" s="1"/>
  <c r="D14" i="100"/>
  <c r="E14" i="100" s="1"/>
  <c r="D13" i="100"/>
  <c r="E13" i="100"/>
  <c r="F13" i="100"/>
  <c r="G13" i="100" s="1"/>
  <c r="C10" i="101"/>
  <c r="D16" i="100"/>
  <c r="E78" i="5" s="1"/>
  <c r="J10" i="79"/>
  <c r="J13" i="79"/>
  <c r="J16" i="79" s="1"/>
  <c r="J21" i="72"/>
  <c r="D9" i="98"/>
  <c r="E9" i="98"/>
  <c r="D24" i="5"/>
  <c r="C24" i="5"/>
  <c r="O22" i="83"/>
  <c r="O25" i="83" s="1"/>
  <c r="C9" i="83"/>
  <c r="C9" i="4" s="1"/>
  <c r="C16" i="98"/>
  <c r="B16" i="98"/>
  <c r="T24" i="83"/>
  <c r="Q24" i="83"/>
  <c r="O24" i="83"/>
  <c r="P24" i="83"/>
  <c r="D14" i="7"/>
  <c r="E14" i="7"/>
  <c r="F14" i="7"/>
  <c r="G14" i="7"/>
  <c r="H14" i="7"/>
  <c r="I14" i="7"/>
  <c r="D15" i="7"/>
  <c r="E15" i="7"/>
  <c r="F15" i="7"/>
  <c r="G15" i="7"/>
  <c r="H15" i="7"/>
  <c r="I15" i="7"/>
  <c r="D13" i="7"/>
  <c r="D16" i="7" s="1"/>
  <c r="E9" i="5" s="1"/>
  <c r="E13" i="7"/>
  <c r="F13" i="7" s="1"/>
  <c r="D15" i="21"/>
  <c r="D15" i="26"/>
  <c r="E15" i="26"/>
  <c r="F15" i="26"/>
  <c r="G15" i="26"/>
  <c r="H15" i="26"/>
  <c r="I15" i="26"/>
  <c r="D15" i="83"/>
  <c r="E15" i="83" s="1"/>
  <c r="F15" i="83" s="1"/>
  <c r="G15" i="83" s="1"/>
  <c r="H15" i="83" s="1"/>
  <c r="I15" i="83" s="1"/>
  <c r="D15" i="27"/>
  <c r="D15" i="28"/>
  <c r="D15" i="29"/>
  <c r="E15" i="29" s="1"/>
  <c r="D15" i="30"/>
  <c r="D15" i="31"/>
  <c r="D15" i="72"/>
  <c r="D15" i="73"/>
  <c r="E15" i="73"/>
  <c r="F15" i="73"/>
  <c r="G15" i="73"/>
  <c r="H15" i="73"/>
  <c r="D15" i="74"/>
  <c r="D14" i="19"/>
  <c r="D14" i="90"/>
  <c r="D14" i="21"/>
  <c r="D16" i="21" s="1"/>
  <c r="E20" i="5" s="1"/>
  <c r="D14" i="26"/>
  <c r="D14" i="83"/>
  <c r="E14" i="83" s="1"/>
  <c r="F14" i="83" s="1"/>
  <c r="G14" i="83" s="1"/>
  <c r="H14" i="83" s="1"/>
  <c r="I14" i="83" s="1"/>
  <c r="D14" i="27"/>
  <c r="D14" i="28"/>
  <c r="D16" i="28" s="1"/>
  <c r="E30" i="5" s="1"/>
  <c r="D14" i="29"/>
  <c r="D14" i="30"/>
  <c r="D14" i="31"/>
  <c r="D14" i="72"/>
  <c r="D14" i="73"/>
  <c r="E14" i="73"/>
  <c r="F14" i="73"/>
  <c r="G14" i="73"/>
  <c r="H14" i="73"/>
  <c r="D14" i="74"/>
  <c r="D16" i="8"/>
  <c r="E10" i="5" s="1"/>
  <c r="D13" i="19"/>
  <c r="E13" i="19"/>
  <c r="D13" i="21"/>
  <c r="D13" i="26"/>
  <c r="D13" i="83"/>
  <c r="D13" i="93"/>
  <c r="E13" i="93" s="1"/>
  <c r="D13" i="27"/>
  <c r="D16" i="27" s="1"/>
  <c r="E29" i="5" s="1"/>
  <c r="D13" i="28"/>
  <c r="D13" i="29"/>
  <c r="D13" i="30"/>
  <c r="D13" i="31"/>
  <c r="D13" i="72"/>
  <c r="D16" i="72" s="1"/>
  <c r="E70" i="5" s="1"/>
  <c r="D13" i="73"/>
  <c r="E13" i="73" s="1"/>
  <c r="F13" i="73" s="1"/>
  <c r="D13" i="74"/>
  <c r="D12" i="19"/>
  <c r="D12" i="90"/>
  <c r="D12" i="21"/>
  <c r="D12" i="83"/>
  <c r="E12" i="83" s="1"/>
  <c r="F12" i="83" s="1"/>
  <c r="G12" i="83" s="1"/>
  <c r="H12" i="83" s="1"/>
  <c r="I12" i="83" s="1"/>
  <c r="D12" i="93"/>
  <c r="D12" i="27"/>
  <c r="D12" i="29"/>
  <c r="D12" i="31"/>
  <c r="D12" i="72"/>
  <c r="D12" i="73"/>
  <c r="E12" i="73"/>
  <c r="F12" i="73"/>
  <c r="G12" i="73"/>
  <c r="H12" i="73"/>
  <c r="D12" i="74"/>
  <c r="D11" i="19"/>
  <c r="D11" i="21"/>
  <c r="D11" i="26"/>
  <c r="D11" i="83"/>
  <c r="E11" i="83" s="1"/>
  <c r="F11" i="83" s="1"/>
  <c r="G11" i="83" s="1"/>
  <c r="H11" i="83" s="1"/>
  <c r="I11" i="83" s="1"/>
  <c r="D11" i="93"/>
  <c r="D11" i="27"/>
  <c r="D11" i="28"/>
  <c r="D11" i="29"/>
  <c r="D11" i="30"/>
  <c r="D11" i="31"/>
  <c r="D16" i="45"/>
  <c r="E44" i="5" s="1"/>
  <c r="D11" i="72"/>
  <c r="D11" i="73"/>
  <c r="E11" i="73"/>
  <c r="F11" i="73"/>
  <c r="G11" i="73"/>
  <c r="H11" i="73"/>
  <c r="D11" i="74"/>
  <c r="D10" i="19"/>
  <c r="D10" i="21"/>
  <c r="D10" i="26"/>
  <c r="E10" i="26"/>
  <c r="D10" i="83"/>
  <c r="E10" i="83" s="1"/>
  <c r="F10" i="83" s="1"/>
  <c r="G10" i="83" s="1"/>
  <c r="H10" i="83" s="1"/>
  <c r="I10" i="83" s="1"/>
  <c r="D10" i="93"/>
  <c r="E10" i="93"/>
  <c r="F10" i="93"/>
  <c r="G10" i="93"/>
  <c r="H10" i="93"/>
  <c r="I10" i="93"/>
  <c r="D10" i="27"/>
  <c r="D10" i="28"/>
  <c r="D10" i="29"/>
  <c r="D10" i="30"/>
  <c r="D10" i="31"/>
  <c r="D9" i="19"/>
  <c r="E9" i="19"/>
  <c r="F9" i="19"/>
  <c r="G9" i="19"/>
  <c r="H9" i="19"/>
  <c r="I9" i="19"/>
  <c r="D9" i="21"/>
  <c r="E9" i="21"/>
  <c r="D9" i="26"/>
  <c r="E9" i="26"/>
  <c r="D9" i="93"/>
  <c r="D16" i="93"/>
  <c r="E25" i="5" s="1"/>
  <c r="D9" i="27"/>
  <c r="E9" i="27"/>
  <c r="D9" i="28"/>
  <c r="E9" i="28"/>
  <c r="D9" i="29"/>
  <c r="E9" i="29"/>
  <c r="D9" i="31"/>
  <c r="E9" i="31"/>
  <c r="D9" i="73"/>
  <c r="E9" i="73"/>
  <c r="F9" i="73"/>
  <c r="G9" i="73"/>
  <c r="H9" i="73"/>
  <c r="D9" i="74"/>
  <c r="E9" i="74"/>
  <c r="F12" i="7"/>
  <c r="G12" i="7"/>
  <c r="H12" i="7"/>
  <c r="I12" i="7"/>
  <c r="AA19" i="83"/>
  <c r="Z19" i="83"/>
  <c r="Y19" i="83"/>
  <c r="X19" i="83"/>
  <c r="D16" i="41"/>
  <c r="C16" i="41"/>
  <c r="B16" i="41"/>
  <c r="E15" i="41"/>
  <c r="F15" i="41"/>
  <c r="G15" i="41"/>
  <c r="H15" i="41"/>
  <c r="I15" i="41"/>
  <c r="E14" i="41"/>
  <c r="F14" i="41"/>
  <c r="G14" i="41"/>
  <c r="H14" i="41"/>
  <c r="I14" i="41"/>
  <c r="E13" i="41"/>
  <c r="F13" i="41"/>
  <c r="G13" i="41"/>
  <c r="H13" i="41"/>
  <c r="I13" i="41"/>
  <c r="E12" i="41"/>
  <c r="F12" i="41"/>
  <c r="G12" i="41"/>
  <c r="H12" i="41"/>
  <c r="I12" i="41"/>
  <c r="E11" i="41"/>
  <c r="F11" i="41"/>
  <c r="G11" i="41"/>
  <c r="H11" i="41"/>
  <c r="I11" i="41"/>
  <c r="E10" i="41"/>
  <c r="F10" i="41"/>
  <c r="G10" i="41"/>
  <c r="H10" i="41"/>
  <c r="I10" i="41"/>
  <c r="E9" i="41"/>
  <c r="C15" i="87"/>
  <c r="C14" i="87"/>
  <c r="C13" i="87"/>
  <c r="C12" i="87"/>
  <c r="C11" i="87"/>
  <c r="C10" i="87"/>
  <c r="C9" i="87"/>
  <c r="C15" i="88"/>
  <c r="C14" i="88"/>
  <c r="C13" i="88"/>
  <c r="B13" i="88"/>
  <c r="C12" i="88"/>
  <c r="B12" i="88"/>
  <c r="C11" i="88"/>
  <c r="C10" i="88"/>
  <c r="C9" i="88"/>
  <c r="C15" i="85"/>
  <c r="B15" i="85"/>
  <c r="C14" i="85"/>
  <c r="B14" i="85"/>
  <c r="C13" i="85"/>
  <c r="B13" i="85"/>
  <c r="C12" i="85"/>
  <c r="B12" i="85"/>
  <c r="C11" i="85"/>
  <c r="C10" i="85"/>
  <c r="C9" i="85"/>
  <c r="B9" i="85"/>
  <c r="C15" i="91"/>
  <c r="B15" i="91"/>
  <c r="C14" i="91"/>
  <c r="B14" i="91"/>
  <c r="C13" i="91"/>
  <c r="B13" i="91"/>
  <c r="C12" i="91"/>
  <c r="B12" i="91"/>
  <c r="C11" i="91"/>
  <c r="B11" i="91"/>
  <c r="C10" i="91"/>
  <c r="B10" i="91"/>
  <c r="C9" i="91"/>
  <c r="C15" i="94"/>
  <c r="B15" i="94"/>
  <c r="C14" i="94"/>
  <c r="B14" i="94"/>
  <c r="C13" i="94"/>
  <c r="B13" i="94"/>
  <c r="C12" i="94"/>
  <c r="B12" i="94"/>
  <c r="C11" i="94"/>
  <c r="C10" i="94"/>
  <c r="C9" i="94"/>
  <c r="C15" i="89"/>
  <c r="B15" i="89"/>
  <c r="C14" i="89"/>
  <c r="B14" i="89"/>
  <c r="C13" i="89"/>
  <c r="C16" i="89" s="1"/>
  <c r="B13" i="89"/>
  <c r="C12" i="89"/>
  <c r="B12" i="89"/>
  <c r="C11" i="89"/>
  <c r="C10" i="89"/>
  <c r="C9" i="89"/>
  <c r="B9" i="89"/>
  <c r="C15" i="90"/>
  <c r="C16" i="90" s="1"/>
  <c r="B15" i="90"/>
  <c r="C14" i="90"/>
  <c r="B14" i="90"/>
  <c r="C13" i="90"/>
  <c r="B13" i="90"/>
  <c r="C12" i="90"/>
  <c r="B12" i="90"/>
  <c r="C11" i="90"/>
  <c r="B11" i="90"/>
  <c r="C10" i="90"/>
  <c r="B10" i="90"/>
  <c r="C9" i="90"/>
  <c r="C16" i="80"/>
  <c r="D79" i="5" s="1"/>
  <c r="C16" i="79"/>
  <c r="D77" i="5"/>
  <c r="B16" i="79"/>
  <c r="C77" i="5"/>
  <c r="E15" i="79"/>
  <c r="E14" i="79"/>
  <c r="C16" i="78"/>
  <c r="D76" i="5"/>
  <c r="B16" i="78"/>
  <c r="C76" i="5"/>
  <c r="C16" i="77"/>
  <c r="C16" i="76"/>
  <c r="D74" i="5"/>
  <c r="B16" i="76"/>
  <c r="C74" i="5"/>
  <c r="C16" i="75"/>
  <c r="D73" i="5"/>
  <c r="B16" i="75"/>
  <c r="C73" i="5"/>
  <c r="C16" i="74"/>
  <c r="D72" i="5"/>
  <c r="B16" i="74"/>
  <c r="C72" i="5"/>
  <c r="E15" i="74"/>
  <c r="F15" i="74"/>
  <c r="G15" i="74"/>
  <c r="H15" i="74"/>
  <c r="I15" i="74"/>
  <c r="E14" i="74"/>
  <c r="F14" i="74"/>
  <c r="G14" i="74"/>
  <c r="H14" i="74"/>
  <c r="I14" i="74"/>
  <c r="E13" i="74"/>
  <c r="F13" i="74"/>
  <c r="G13" i="74"/>
  <c r="H13" i="74"/>
  <c r="I13" i="74"/>
  <c r="E12" i="74"/>
  <c r="F12" i="74"/>
  <c r="G12" i="74"/>
  <c r="G16" i="74" s="1"/>
  <c r="H72" i="5" s="1"/>
  <c r="H12" i="74"/>
  <c r="I12" i="74" s="1"/>
  <c r="I16" i="74" s="1"/>
  <c r="J72" i="5" s="1"/>
  <c r="F9" i="74"/>
  <c r="C16" i="73"/>
  <c r="D71" i="5"/>
  <c r="C71" i="5"/>
  <c r="C16" i="72"/>
  <c r="D70" i="5" s="1"/>
  <c r="B16" i="72"/>
  <c r="E15" i="72"/>
  <c r="F15" i="72"/>
  <c r="G15" i="72"/>
  <c r="H15" i="72"/>
  <c r="I15" i="72"/>
  <c r="E14" i="72"/>
  <c r="E13" i="72"/>
  <c r="F13" i="72" s="1"/>
  <c r="E12" i="72"/>
  <c r="F12" i="72"/>
  <c r="G12" i="72"/>
  <c r="H12" i="72"/>
  <c r="I12" i="72"/>
  <c r="E11" i="72"/>
  <c r="F11" i="72"/>
  <c r="G11" i="72"/>
  <c r="H11" i="72"/>
  <c r="I11" i="72"/>
  <c r="C16" i="71"/>
  <c r="D69" i="5" s="1"/>
  <c r="C16" i="70"/>
  <c r="D68" i="5"/>
  <c r="C16" i="69"/>
  <c r="D67" i="5" s="1"/>
  <c r="C16" i="68"/>
  <c r="D66" i="5" s="1"/>
  <c r="C16" i="67"/>
  <c r="D65" i="5" s="1"/>
  <c r="B16" i="67"/>
  <c r="C65" i="5"/>
  <c r="C16" i="66"/>
  <c r="D63" i="5"/>
  <c r="B16" i="66"/>
  <c r="C63" i="5"/>
  <c r="C16" i="92"/>
  <c r="D62" i="5"/>
  <c r="B16" i="92"/>
  <c r="C16" i="65"/>
  <c r="D56" i="5" s="1"/>
  <c r="C16" i="64"/>
  <c r="D61" i="5" s="1"/>
  <c r="C16" i="63"/>
  <c r="D60" i="5" s="1"/>
  <c r="C16" i="62"/>
  <c r="D59" i="5" s="1"/>
  <c r="B16" i="62"/>
  <c r="B17" i="61"/>
  <c r="C16" i="61"/>
  <c r="D58" i="5" s="1"/>
  <c r="C16" i="60"/>
  <c r="D57" i="5" s="1"/>
  <c r="C16" i="59"/>
  <c r="D64" i="5"/>
  <c r="B16" i="59"/>
  <c r="C64" i="5"/>
  <c r="C16" i="58"/>
  <c r="D55" i="5"/>
  <c r="B16" i="58"/>
  <c r="C55" i="5"/>
  <c r="C16" i="57"/>
  <c r="D54" i="5" s="1"/>
  <c r="B16" i="57"/>
  <c r="C16" i="56"/>
  <c r="D53" i="5"/>
  <c r="B16" i="56"/>
  <c r="C53" i="5"/>
  <c r="C16" i="54"/>
  <c r="B16" i="54"/>
  <c r="C52" i="5"/>
  <c r="C16" i="97"/>
  <c r="D51" i="5" s="1"/>
  <c r="B16" i="97"/>
  <c r="C51" i="5"/>
  <c r="C16" i="96"/>
  <c r="D50" i="5"/>
  <c r="B16" i="96"/>
  <c r="C50" i="5"/>
  <c r="C16" i="52"/>
  <c r="B16" i="52"/>
  <c r="C49" i="5"/>
  <c r="C16" i="51"/>
  <c r="D48" i="5" s="1"/>
  <c r="C16" i="50"/>
  <c r="D47" i="5" s="1"/>
  <c r="B16" i="50"/>
  <c r="B17" i="49"/>
  <c r="C47" i="5"/>
  <c r="C16" i="49"/>
  <c r="D46" i="5" s="1"/>
  <c r="C16" i="46"/>
  <c r="D45" i="5"/>
  <c r="B16" i="46"/>
  <c r="C45" i="5"/>
  <c r="C16" i="45"/>
  <c r="B16" i="45"/>
  <c r="C44" i="5"/>
  <c r="C16" i="43"/>
  <c r="D43" i="5"/>
  <c r="C16" i="42"/>
  <c r="D42" i="5" s="1"/>
  <c r="B16" i="42"/>
  <c r="C42" i="5" s="1"/>
  <c r="C16" i="40"/>
  <c r="D41" i="5" s="1"/>
  <c r="B16" i="40"/>
  <c r="C41" i="5"/>
  <c r="C16" i="39"/>
  <c r="D40" i="5" s="1"/>
  <c r="C16" i="38"/>
  <c r="D39" i="5" s="1"/>
  <c r="C16" i="36"/>
  <c r="D38" i="5" s="1"/>
  <c r="B16" i="36"/>
  <c r="C38" i="5"/>
  <c r="C16" i="35"/>
  <c r="D37" i="5" s="1"/>
  <c r="B16" i="35"/>
  <c r="B17" i="34"/>
  <c r="C16" i="34"/>
  <c r="D36" i="5"/>
  <c r="B10" i="94"/>
  <c r="B9" i="94"/>
  <c r="C16" i="33"/>
  <c r="D35" i="5"/>
  <c r="C16" i="32"/>
  <c r="D34" i="5" s="1"/>
  <c r="C16" i="31"/>
  <c r="B16" i="31"/>
  <c r="E15" i="31"/>
  <c r="F15" i="31"/>
  <c r="G15" i="31"/>
  <c r="H15" i="31"/>
  <c r="I15" i="31"/>
  <c r="E14" i="31"/>
  <c r="F14" i="31"/>
  <c r="G14" i="31" s="1"/>
  <c r="E13" i="31"/>
  <c r="F13" i="31"/>
  <c r="G13" i="31"/>
  <c r="H13" i="31"/>
  <c r="I13" i="31"/>
  <c r="E12" i="31"/>
  <c r="F12" i="31"/>
  <c r="G12" i="31"/>
  <c r="H12" i="31"/>
  <c r="I12" i="31"/>
  <c r="E11" i="31"/>
  <c r="F11" i="31"/>
  <c r="G11" i="31"/>
  <c r="H11" i="31"/>
  <c r="I11" i="31"/>
  <c r="E10" i="31"/>
  <c r="F10" i="31"/>
  <c r="G10" i="31"/>
  <c r="H10" i="31"/>
  <c r="I10" i="31"/>
  <c r="C16" i="30"/>
  <c r="D32" i="5"/>
  <c r="B16" i="30"/>
  <c r="C32" i="5"/>
  <c r="E15" i="30"/>
  <c r="F15" i="30"/>
  <c r="G15" i="30"/>
  <c r="H15" i="30"/>
  <c r="I15" i="30"/>
  <c r="E14" i="30"/>
  <c r="F14" i="30" s="1"/>
  <c r="E13" i="30"/>
  <c r="F13" i="30"/>
  <c r="G13" i="30"/>
  <c r="H13" i="30"/>
  <c r="I13" i="30"/>
  <c r="E11" i="30"/>
  <c r="F11" i="30"/>
  <c r="G11" i="30"/>
  <c r="H11" i="30"/>
  <c r="I11" i="30"/>
  <c r="E10" i="30"/>
  <c r="F10" i="30"/>
  <c r="C16" i="29"/>
  <c r="D31" i="5" s="1"/>
  <c r="B16" i="29"/>
  <c r="C31" i="5"/>
  <c r="E14" i="29"/>
  <c r="F14" i="29"/>
  <c r="G14" i="29"/>
  <c r="H14" i="29"/>
  <c r="I14" i="29"/>
  <c r="E13" i="29"/>
  <c r="F13" i="29"/>
  <c r="G13" i="29"/>
  <c r="H13" i="29"/>
  <c r="I13" i="29"/>
  <c r="E12" i="29"/>
  <c r="F12" i="29"/>
  <c r="G12" i="29"/>
  <c r="H12" i="29"/>
  <c r="I12" i="29"/>
  <c r="E11" i="29"/>
  <c r="F11" i="29"/>
  <c r="E10" i="29"/>
  <c r="F10" i="29"/>
  <c r="G10" i="29"/>
  <c r="H10" i="29"/>
  <c r="I10" i="29"/>
  <c r="C16" i="28"/>
  <c r="D30" i="5" s="1"/>
  <c r="B16" i="28"/>
  <c r="C30" i="5"/>
  <c r="E15" i="28"/>
  <c r="F15" i="28"/>
  <c r="G15" i="28"/>
  <c r="H15" i="28"/>
  <c r="I15" i="28"/>
  <c r="E13" i="28"/>
  <c r="F13" i="28"/>
  <c r="G13" i="28"/>
  <c r="H13" i="28"/>
  <c r="I13" i="28"/>
  <c r="E11" i="28"/>
  <c r="F11" i="28"/>
  <c r="G11" i="28"/>
  <c r="H11" i="28"/>
  <c r="I11" i="28"/>
  <c r="E10" i="28"/>
  <c r="F10" i="28"/>
  <c r="G10" i="28"/>
  <c r="H10" i="28"/>
  <c r="I10" i="28"/>
  <c r="C16" i="27"/>
  <c r="D29" i="5" s="1"/>
  <c r="B16" i="27"/>
  <c r="C29" i="5"/>
  <c r="E15" i="27"/>
  <c r="F15" i="27"/>
  <c r="G15" i="27"/>
  <c r="H15" i="27"/>
  <c r="I15" i="27"/>
  <c r="E14" i="27"/>
  <c r="F14" i="27"/>
  <c r="G14" i="27"/>
  <c r="H14" i="27"/>
  <c r="I14" i="27"/>
  <c r="E13" i="27"/>
  <c r="F13" i="27" s="1"/>
  <c r="E12" i="27"/>
  <c r="E11" i="27"/>
  <c r="F11" i="27"/>
  <c r="G11" i="27"/>
  <c r="H11" i="27"/>
  <c r="I11" i="27"/>
  <c r="E10" i="27"/>
  <c r="F10" i="27"/>
  <c r="G10" i="27"/>
  <c r="H10" i="27"/>
  <c r="I10" i="27"/>
  <c r="C16" i="93"/>
  <c r="D25" i="5" s="1"/>
  <c r="B16" i="93"/>
  <c r="C25" i="5"/>
  <c r="I15" i="93"/>
  <c r="H15" i="93"/>
  <c r="F15" i="93"/>
  <c r="G15" i="93"/>
  <c r="H12" i="93"/>
  <c r="I12" i="93"/>
  <c r="E11" i="93"/>
  <c r="F11" i="93"/>
  <c r="G11" i="93"/>
  <c r="H11" i="93"/>
  <c r="I11" i="93"/>
  <c r="AA18" i="83"/>
  <c r="Z18" i="83"/>
  <c r="Y18" i="83"/>
  <c r="AB18" i="83"/>
  <c r="AA17" i="83"/>
  <c r="Z17" i="83"/>
  <c r="Y17" i="83"/>
  <c r="AB17" i="83"/>
  <c r="AA16" i="83"/>
  <c r="Z16" i="83"/>
  <c r="Y16" i="83"/>
  <c r="AB16" i="83"/>
  <c r="AA15" i="83"/>
  <c r="Z15" i="83"/>
  <c r="Y15" i="83"/>
  <c r="X15" i="83"/>
  <c r="AA14" i="83"/>
  <c r="Z14" i="83"/>
  <c r="Y14" i="83"/>
  <c r="AB14" i="83"/>
  <c r="AA13" i="83"/>
  <c r="Z13" i="83"/>
  <c r="Y13" i="83"/>
  <c r="AB13" i="83"/>
  <c r="AB12" i="83"/>
  <c r="AA12" i="83"/>
  <c r="Z12" i="83"/>
  <c r="Y12" i="83"/>
  <c r="X12" i="83"/>
  <c r="AB11" i="83"/>
  <c r="AA11" i="83"/>
  <c r="Z11" i="83"/>
  <c r="Y11" i="83"/>
  <c r="AA10" i="83"/>
  <c r="Z10" i="83"/>
  <c r="Y10" i="83"/>
  <c r="AB10" i="83"/>
  <c r="X9" i="83"/>
  <c r="C16" i="26"/>
  <c r="D27" i="5"/>
  <c r="B16" i="26"/>
  <c r="C27" i="5"/>
  <c r="E14" i="26"/>
  <c r="E13" i="26"/>
  <c r="E11" i="26"/>
  <c r="C16" i="24"/>
  <c r="D23" i="5" s="1"/>
  <c r="C16" i="23"/>
  <c r="D22" i="5" s="1"/>
  <c r="C16" i="22"/>
  <c r="D21" i="5" s="1"/>
  <c r="B16" i="22"/>
  <c r="C16" i="21"/>
  <c r="D20" i="5" s="1"/>
  <c r="B16" i="21"/>
  <c r="E15" i="21"/>
  <c r="F15" i="21"/>
  <c r="G15" i="21"/>
  <c r="H15" i="21"/>
  <c r="I15" i="21"/>
  <c r="E13" i="21"/>
  <c r="F13" i="21"/>
  <c r="G13" i="21"/>
  <c r="H13" i="21"/>
  <c r="I13" i="21"/>
  <c r="E12" i="21"/>
  <c r="F12" i="21"/>
  <c r="G12" i="21"/>
  <c r="H12" i="21"/>
  <c r="I12" i="21"/>
  <c r="E11" i="21"/>
  <c r="E10" i="21"/>
  <c r="F10" i="21"/>
  <c r="G10" i="21"/>
  <c r="H10" i="21"/>
  <c r="I10" i="21"/>
  <c r="C16" i="20"/>
  <c r="D19" i="5"/>
  <c r="D11" i="89"/>
  <c r="J20" i="19"/>
  <c r="C16" i="19"/>
  <c r="D18" i="5" s="1"/>
  <c r="B16" i="19"/>
  <c r="C18" i="5"/>
  <c r="E14" i="19"/>
  <c r="F14" i="19"/>
  <c r="G14" i="19"/>
  <c r="H14" i="19"/>
  <c r="I14" i="19"/>
  <c r="E12" i="19"/>
  <c r="F12" i="19"/>
  <c r="G12" i="19"/>
  <c r="H12" i="19"/>
  <c r="I12" i="19"/>
  <c r="E11" i="19"/>
  <c r="F11" i="19"/>
  <c r="G11" i="19"/>
  <c r="H11" i="19"/>
  <c r="I11" i="19"/>
  <c r="E10" i="19"/>
  <c r="F10" i="19"/>
  <c r="C16" i="18"/>
  <c r="D17" i="5"/>
  <c r="B9" i="90"/>
  <c r="B16" i="90"/>
  <c r="C16" i="17"/>
  <c r="D16" i="5" s="1"/>
  <c r="C16" i="15"/>
  <c r="D15" i="5"/>
  <c r="B16" i="15"/>
  <c r="C15" i="5"/>
  <c r="C16" i="13"/>
  <c r="D14" i="5" s="1"/>
  <c r="B16" i="13"/>
  <c r="C14" i="5"/>
  <c r="C16" i="12"/>
  <c r="D13" i="5" s="1"/>
  <c r="C16" i="10"/>
  <c r="D12" i="5" s="1"/>
  <c r="C16" i="9"/>
  <c r="D11" i="5"/>
  <c r="B16" i="9"/>
  <c r="C11" i="5"/>
  <c r="C16" i="8"/>
  <c r="D10" i="5"/>
  <c r="C16" i="7"/>
  <c r="D9" i="5" s="1"/>
  <c r="B16" i="7"/>
  <c r="C9" i="5"/>
  <c r="C16" i="1"/>
  <c r="D8" i="5" s="1"/>
  <c r="B16" i="1"/>
  <c r="C8" i="5" s="1"/>
  <c r="D75" i="5"/>
  <c r="C70" i="5"/>
  <c r="C62" i="5"/>
  <c r="C54" i="5"/>
  <c r="D52" i="5"/>
  <c r="D49" i="5"/>
  <c r="D44" i="5"/>
  <c r="D33" i="5"/>
  <c r="C33" i="5"/>
  <c r="C21" i="5"/>
  <c r="C20" i="5"/>
  <c r="E16" i="41"/>
  <c r="F12" i="27"/>
  <c r="F13" i="26"/>
  <c r="G13" i="26"/>
  <c r="H13" i="26"/>
  <c r="I13" i="26"/>
  <c r="F14" i="26"/>
  <c r="G14" i="26" s="1"/>
  <c r="F11" i="26"/>
  <c r="G11" i="26"/>
  <c r="H11" i="26"/>
  <c r="I11" i="26"/>
  <c r="F9" i="41"/>
  <c r="X11" i="83"/>
  <c r="B16" i="12"/>
  <c r="C13" i="5"/>
  <c r="B16" i="10"/>
  <c r="C12" i="5"/>
  <c r="D15" i="91"/>
  <c r="F9" i="21"/>
  <c r="D16" i="19"/>
  <c r="E18" i="5"/>
  <c r="F9" i="27"/>
  <c r="G9" i="27"/>
  <c r="E16" i="72"/>
  <c r="E54" i="72" s="1"/>
  <c r="F9" i="29"/>
  <c r="G9" i="29"/>
  <c r="D16" i="30"/>
  <c r="E32" i="5"/>
  <c r="D16" i="35"/>
  <c r="E37" i="5" s="1"/>
  <c r="F9" i="31"/>
  <c r="F9" i="28"/>
  <c r="G9" i="28"/>
  <c r="H9" i="28"/>
  <c r="I9" i="28"/>
  <c r="D10" i="90"/>
  <c r="D15" i="89"/>
  <c r="D16" i="31"/>
  <c r="E33" i="5"/>
  <c r="D16" i="54"/>
  <c r="E52" i="5" s="1"/>
  <c r="G9" i="74"/>
  <c r="E14" i="87"/>
  <c r="F14" i="72"/>
  <c r="F9" i="72"/>
  <c r="G9" i="72"/>
  <c r="E11" i="74"/>
  <c r="F11" i="74"/>
  <c r="G11" i="74"/>
  <c r="F14" i="79"/>
  <c r="F15" i="79"/>
  <c r="B16" i="63"/>
  <c r="C60" i="5"/>
  <c r="B9" i="91"/>
  <c r="B16" i="91" s="1"/>
  <c r="B11" i="89"/>
  <c r="D11" i="90"/>
  <c r="B16" i="18"/>
  <c r="C17" i="5"/>
  <c r="D12" i="88"/>
  <c r="B14" i="88"/>
  <c r="B15" i="88"/>
  <c r="X10" i="83"/>
  <c r="E13" i="83"/>
  <c r="D9" i="90"/>
  <c r="G12" i="27"/>
  <c r="G9" i="21"/>
  <c r="I11" i="73"/>
  <c r="I15" i="73"/>
  <c r="I14" i="73"/>
  <c r="F16" i="74"/>
  <c r="G72" i="5"/>
  <c r="F9" i="30"/>
  <c r="E16" i="74"/>
  <c r="F72" i="5"/>
  <c r="F9" i="26"/>
  <c r="E16" i="30"/>
  <c r="F32" i="5" s="1"/>
  <c r="F9" i="79"/>
  <c r="G14" i="79"/>
  <c r="H14" i="79"/>
  <c r="I14" i="79"/>
  <c r="G15" i="79"/>
  <c r="F13" i="83"/>
  <c r="G13" i="83" s="1"/>
  <c r="H13" i="83" s="1"/>
  <c r="I13" i="83" s="1"/>
  <c r="E10" i="90"/>
  <c r="H12" i="27"/>
  <c r="I12" i="27"/>
  <c r="I12" i="73"/>
  <c r="G9" i="30"/>
  <c r="H9" i="30"/>
  <c r="H15" i="79"/>
  <c r="G9" i="79"/>
  <c r="H9" i="79"/>
  <c r="I9" i="79"/>
  <c r="I15" i="79"/>
  <c r="I9" i="30"/>
  <c r="I9" i="73"/>
  <c r="AB19" i="83"/>
  <c r="B16" i="77"/>
  <c r="C75" i="5"/>
  <c r="B11" i="94"/>
  <c r="B16" i="70"/>
  <c r="C68" i="5"/>
  <c r="B16" i="23"/>
  <c r="C22" i="5"/>
  <c r="D16" i="67"/>
  <c r="E65" i="5"/>
  <c r="J23" i="79"/>
  <c r="I31" i="79"/>
  <c r="B16" i="51"/>
  <c r="C48" i="5" s="1"/>
  <c r="B18" i="34"/>
  <c r="B10" i="88"/>
  <c r="K70" i="30"/>
  <c r="J27" i="79"/>
  <c r="B9" i="83"/>
  <c r="B10" i="4" s="1"/>
  <c r="O23" i="83"/>
  <c r="C78" i="5"/>
  <c r="B17" i="71"/>
  <c r="C37" i="5"/>
  <c r="B16" i="94"/>
  <c r="G9" i="26"/>
  <c r="H9" i="26"/>
  <c r="G9" i="31"/>
  <c r="F16" i="31"/>
  <c r="G33" i="5" s="1"/>
  <c r="G9" i="41"/>
  <c r="F16" i="41"/>
  <c r="H9" i="72"/>
  <c r="G10" i="30"/>
  <c r="H10" i="30"/>
  <c r="I10" i="30"/>
  <c r="H9" i="21"/>
  <c r="F14" i="87"/>
  <c r="G14" i="72"/>
  <c r="H9" i="74"/>
  <c r="H11" i="74"/>
  <c r="I11" i="74"/>
  <c r="H9" i="29"/>
  <c r="H9" i="27"/>
  <c r="G11" i="29"/>
  <c r="H11" i="29"/>
  <c r="I11" i="29"/>
  <c r="F70" i="5"/>
  <c r="E16" i="31"/>
  <c r="F11" i="21"/>
  <c r="G11" i="21"/>
  <c r="H11" i="21"/>
  <c r="I11" i="21"/>
  <c r="F9" i="98"/>
  <c r="E16" i="98"/>
  <c r="F24" i="5"/>
  <c r="J66" i="79"/>
  <c r="B17" i="20"/>
  <c r="H69" i="30"/>
  <c r="H71" i="30"/>
  <c r="G71" i="30"/>
  <c r="B16" i="61"/>
  <c r="C58" i="5" s="1"/>
  <c r="E24" i="5"/>
  <c r="I67" i="79"/>
  <c r="J67" i="79"/>
  <c r="B17" i="51"/>
  <c r="B18" i="51"/>
  <c r="N24" i="83"/>
  <c r="N25" i="83" s="1"/>
  <c r="C59" i="5"/>
  <c r="D16" i="98"/>
  <c r="K67" i="30"/>
  <c r="E71" i="30"/>
  <c r="D16" i="73"/>
  <c r="E71" i="5" s="1"/>
  <c r="I64" i="79"/>
  <c r="D16" i="74"/>
  <c r="E72" i="5" s="1"/>
  <c r="D16" i="79"/>
  <c r="E77" i="5"/>
  <c r="B16" i="43"/>
  <c r="C43" i="5"/>
  <c r="E9" i="93"/>
  <c r="F9" i="93"/>
  <c r="G31" i="79"/>
  <c r="F16" i="79"/>
  <c r="G77" i="5" s="1"/>
  <c r="E16" i="79"/>
  <c r="J10" i="74"/>
  <c r="J10" i="72"/>
  <c r="D13" i="88"/>
  <c r="D16" i="46"/>
  <c r="E45" i="5" s="1"/>
  <c r="C16" i="94"/>
  <c r="AB20" i="83"/>
  <c r="G9" i="93"/>
  <c r="F10" i="26"/>
  <c r="I9" i="26"/>
  <c r="E16" i="26"/>
  <c r="F27" i="5" s="1"/>
  <c r="D16" i="26"/>
  <c r="E27" i="5" s="1"/>
  <c r="D10" i="89"/>
  <c r="D16" i="22"/>
  <c r="E21" i="5" s="1"/>
  <c r="B16" i="20"/>
  <c r="C19" i="5"/>
  <c r="B16" i="89"/>
  <c r="E10" i="89"/>
  <c r="E15" i="89"/>
  <c r="F10" i="90"/>
  <c r="G10" i="19"/>
  <c r="H10" i="19"/>
  <c r="I10" i="19"/>
  <c r="E13" i="90"/>
  <c r="F13" i="19"/>
  <c r="E16" i="19"/>
  <c r="E18" i="19" s="1"/>
  <c r="D13" i="90"/>
  <c r="D15" i="90"/>
  <c r="F12" i="90"/>
  <c r="E9" i="90"/>
  <c r="F11" i="90"/>
  <c r="F15" i="90"/>
  <c r="E15" i="90"/>
  <c r="E11" i="90"/>
  <c r="D16" i="18"/>
  <c r="E17" i="5" s="1"/>
  <c r="E12" i="90"/>
  <c r="D16" i="15"/>
  <c r="E15" i="5"/>
  <c r="B10" i="86"/>
  <c r="F33" i="5"/>
  <c r="E18" i="31"/>
  <c r="H9" i="31"/>
  <c r="K71" i="30"/>
  <c r="J68" i="79"/>
  <c r="I9" i="74"/>
  <c r="G16" i="41"/>
  <c r="H9" i="41"/>
  <c r="B18" i="61"/>
  <c r="I68" i="79"/>
  <c r="J70" i="79"/>
  <c r="J71" i="79"/>
  <c r="G9" i="98"/>
  <c r="F16" i="98"/>
  <c r="G24" i="5"/>
  <c r="I9" i="29"/>
  <c r="K69" i="30"/>
  <c r="I9" i="27"/>
  <c r="G14" i="87"/>
  <c r="H14" i="72"/>
  <c r="I9" i="21"/>
  <c r="I9" i="72"/>
  <c r="G16" i="79"/>
  <c r="H77" i="5"/>
  <c r="E18" i="79"/>
  <c r="F77" i="5"/>
  <c r="H9" i="93"/>
  <c r="G10" i="26"/>
  <c r="B18" i="20"/>
  <c r="G13" i="19"/>
  <c r="F13" i="90"/>
  <c r="F16" i="19"/>
  <c r="G18" i="5" s="1"/>
  <c r="F18" i="5"/>
  <c r="G10" i="90"/>
  <c r="G11" i="90"/>
  <c r="G15" i="90"/>
  <c r="F9" i="90"/>
  <c r="G12" i="90"/>
  <c r="F16" i="15"/>
  <c r="G15" i="5"/>
  <c r="E16" i="15"/>
  <c r="H24" i="5"/>
  <c r="G16" i="98"/>
  <c r="H9" i="98"/>
  <c r="I9" i="41"/>
  <c r="I16" i="41"/>
  <c r="H16" i="41"/>
  <c r="I14" i="72"/>
  <c r="I14" i="87"/>
  <c r="H14" i="87"/>
  <c r="I9" i="31"/>
  <c r="H16" i="79"/>
  <c r="I77" i="5" s="1"/>
  <c r="I11" i="79"/>
  <c r="I16" i="79"/>
  <c r="J77" i="5" s="1"/>
  <c r="I9" i="93"/>
  <c r="H10" i="26"/>
  <c r="H13" i="19"/>
  <c r="G13" i="90"/>
  <c r="G16" i="19"/>
  <c r="H18" i="5"/>
  <c r="I11" i="90"/>
  <c r="H11" i="90"/>
  <c r="G9" i="90"/>
  <c r="H10" i="90"/>
  <c r="I10" i="90"/>
  <c r="H12" i="90"/>
  <c r="I12" i="90"/>
  <c r="I15" i="90"/>
  <c r="H15" i="90"/>
  <c r="F15" i="5"/>
  <c r="E18" i="15"/>
  <c r="G16" i="15"/>
  <c r="H15" i="5"/>
  <c r="I24" i="5"/>
  <c r="H16" i="98"/>
  <c r="I9" i="98"/>
  <c r="I10" i="26"/>
  <c r="I13" i="19"/>
  <c r="H13" i="90"/>
  <c r="H16" i="19"/>
  <c r="I18" i="5"/>
  <c r="H9" i="90"/>
  <c r="I16" i="15"/>
  <c r="J15" i="5"/>
  <c r="H16" i="15"/>
  <c r="I15" i="5"/>
  <c r="J24" i="5"/>
  <c r="K24" i="5"/>
  <c r="I16" i="98"/>
  <c r="K15" i="5"/>
  <c r="I13" i="90"/>
  <c r="I16" i="19"/>
  <c r="J18" i="5" s="1"/>
  <c r="I9" i="90"/>
  <c r="E16" i="7" l="1"/>
  <c r="F9" i="5" s="1"/>
  <c r="F16" i="7"/>
  <c r="G9" i="5" s="1"/>
  <c r="G13" i="7"/>
  <c r="E18" i="7"/>
  <c r="E14" i="90"/>
  <c r="E16" i="90" s="1"/>
  <c r="E16" i="18"/>
  <c r="F14" i="18"/>
  <c r="D16" i="90"/>
  <c r="E14" i="21"/>
  <c r="D14" i="89"/>
  <c r="F13" i="22"/>
  <c r="E16" i="22"/>
  <c r="H14" i="26"/>
  <c r="G16" i="26"/>
  <c r="H27" i="5" s="1"/>
  <c r="E18" i="26"/>
  <c r="F16" i="26"/>
  <c r="G27" i="5" s="1"/>
  <c r="F13" i="93"/>
  <c r="E16" i="93"/>
  <c r="F25" i="5" s="1"/>
  <c r="F16" i="93"/>
  <c r="G25" i="5" s="1"/>
  <c r="G13" i="93"/>
  <c r="F16" i="27"/>
  <c r="G29" i="5" s="1"/>
  <c r="G13" i="27"/>
  <c r="E16" i="27"/>
  <c r="F29" i="5" s="1"/>
  <c r="E14" i="86"/>
  <c r="D15" i="86"/>
  <c r="E14" i="28"/>
  <c r="E16" i="29"/>
  <c r="F15" i="29"/>
  <c r="D16" i="29"/>
  <c r="E31" i="5" s="1"/>
  <c r="F16" i="30"/>
  <c r="G32" i="5" s="1"/>
  <c r="G14" i="30"/>
  <c r="G16" i="31"/>
  <c r="H33" i="5" s="1"/>
  <c r="H14" i="31"/>
  <c r="F14" i="45"/>
  <c r="G14" i="45" s="1"/>
  <c r="H14" i="45" s="1"/>
  <c r="E16" i="45"/>
  <c r="G16" i="45"/>
  <c r="H44" i="5" s="1"/>
  <c r="F16" i="45"/>
  <c r="G44" i="5" s="1"/>
  <c r="E16" i="46"/>
  <c r="F14" i="46"/>
  <c r="C40" i="50"/>
  <c r="D14" i="50"/>
  <c r="E14" i="50" s="1"/>
  <c r="F14" i="50" s="1"/>
  <c r="G14" i="50" s="1"/>
  <c r="H14" i="50" s="1"/>
  <c r="I14" i="50" s="1"/>
  <c r="D15" i="50"/>
  <c r="E15" i="50" s="1"/>
  <c r="F15" i="50" s="1"/>
  <c r="G15" i="50" s="1"/>
  <c r="H15" i="50" s="1"/>
  <c r="I15" i="50" s="1"/>
  <c r="C16" i="91"/>
  <c r="D16" i="57"/>
  <c r="E54" i="5" s="1"/>
  <c r="F13" i="57"/>
  <c r="E16" i="57"/>
  <c r="F13" i="97"/>
  <c r="E16" i="97"/>
  <c r="D16" i="97"/>
  <c r="E51" i="5" s="1"/>
  <c r="E16" i="62"/>
  <c r="F16" i="62"/>
  <c r="G59" i="5" s="1"/>
  <c r="G12" i="62"/>
  <c r="C16" i="88"/>
  <c r="E12" i="88"/>
  <c r="E16" i="67"/>
  <c r="F13" i="67"/>
  <c r="E18" i="72"/>
  <c r="F16" i="72"/>
  <c r="G13" i="72"/>
  <c r="D18" i="73"/>
  <c r="G13" i="73"/>
  <c r="F16" i="73"/>
  <c r="G71" i="5" s="1"/>
  <c r="E16" i="73"/>
  <c r="F71" i="5" s="1"/>
  <c r="E18" i="74"/>
  <c r="H16" i="74"/>
  <c r="I72" i="5" s="1"/>
  <c r="K72" i="5" s="1"/>
  <c r="K18" i="5"/>
  <c r="D16" i="1"/>
  <c r="E8" i="5" s="1"/>
  <c r="E16" i="1"/>
  <c r="F9" i="1"/>
  <c r="E18" i="102"/>
  <c r="E26" i="5"/>
  <c r="D16" i="77"/>
  <c r="E75" i="5" s="1"/>
  <c r="E16" i="78"/>
  <c r="F9" i="78"/>
  <c r="D16" i="78"/>
  <c r="E76" i="5" s="1"/>
  <c r="B16" i="49"/>
  <c r="B16" i="24"/>
  <c r="C23" i="5" s="1"/>
  <c r="E12" i="24"/>
  <c r="B12" i="4"/>
  <c r="D12" i="91"/>
  <c r="D16" i="51"/>
  <c r="E48" i="5" s="1"/>
  <c r="D16" i="76"/>
  <c r="E74" i="5" s="1"/>
  <c r="G9" i="76"/>
  <c r="F16" i="76"/>
  <c r="G74" i="5" s="1"/>
  <c r="E16" i="76"/>
  <c r="D16" i="59"/>
  <c r="E64" i="5" s="1"/>
  <c r="G9" i="63"/>
  <c r="F16" i="63"/>
  <c r="G60" i="5" s="1"/>
  <c r="E16" i="63"/>
  <c r="D15" i="88"/>
  <c r="D16" i="60"/>
  <c r="E57" i="5" s="1"/>
  <c r="E16" i="60"/>
  <c r="F57" i="5" s="1"/>
  <c r="F9" i="60"/>
  <c r="G9" i="60" s="1"/>
  <c r="H9" i="60" s="1"/>
  <c r="E16" i="54"/>
  <c r="F9" i="54"/>
  <c r="G9" i="54" s="1"/>
  <c r="F52" i="5"/>
  <c r="E18" i="54"/>
  <c r="G10" i="54"/>
  <c r="H10" i="54" s="1"/>
  <c r="I10" i="54" s="1"/>
  <c r="F16" i="54"/>
  <c r="G52" i="5" s="1"/>
  <c r="D16" i="52"/>
  <c r="E49" i="5" s="1"/>
  <c r="E16" i="52"/>
  <c r="F9" i="52"/>
  <c r="D10" i="91"/>
  <c r="D14" i="91"/>
  <c r="D16" i="39"/>
  <c r="E40" i="5" s="1"/>
  <c r="D10" i="94"/>
  <c r="D11" i="94"/>
  <c r="D9" i="94"/>
  <c r="D13" i="94"/>
  <c r="D16" i="33"/>
  <c r="E35" i="5" s="1"/>
  <c r="D16" i="17"/>
  <c r="E16" i="5" s="1"/>
  <c r="E16" i="17"/>
  <c r="F16" i="5" s="1"/>
  <c r="H9" i="17"/>
  <c r="G16" i="17"/>
  <c r="H16" i="5" s="1"/>
  <c r="F16" i="17"/>
  <c r="G16" i="5" s="1"/>
  <c r="E18" i="17"/>
  <c r="D16" i="10"/>
  <c r="E12" i="5" s="1"/>
  <c r="G9" i="10"/>
  <c r="E10" i="10"/>
  <c r="F10" i="10" s="1"/>
  <c r="G10" i="10" s="1"/>
  <c r="H10" i="10" s="1"/>
  <c r="I10" i="10" s="1"/>
  <c r="E16" i="10"/>
  <c r="D13" i="101"/>
  <c r="D16" i="9"/>
  <c r="E11" i="5" s="1"/>
  <c r="E16" i="9"/>
  <c r="F11" i="9"/>
  <c r="G11" i="9" s="1"/>
  <c r="H11" i="9" s="1"/>
  <c r="I11" i="9" s="1"/>
  <c r="H9" i="9"/>
  <c r="E16" i="8"/>
  <c r="F9" i="8"/>
  <c r="C16" i="85"/>
  <c r="B18" i="49"/>
  <c r="C46" i="5"/>
  <c r="B10" i="85"/>
  <c r="B16" i="85" s="1"/>
  <c r="D16" i="12"/>
  <c r="E13" i="5" s="1"/>
  <c r="G9" i="12"/>
  <c r="F10" i="12"/>
  <c r="G10" i="12" s="1"/>
  <c r="H10" i="12" s="1"/>
  <c r="I10" i="12" s="1"/>
  <c r="E16" i="12"/>
  <c r="P22" i="83"/>
  <c r="P23" i="83" s="1"/>
  <c r="B16" i="83"/>
  <c r="C28" i="5" s="1"/>
  <c r="T22" i="83"/>
  <c r="H9" i="83" s="1"/>
  <c r="H10" i="86" s="1"/>
  <c r="U9" i="83"/>
  <c r="AA9" i="83"/>
  <c r="D9" i="83"/>
  <c r="P25" i="83"/>
  <c r="C10" i="86"/>
  <c r="C17" i="86" s="1"/>
  <c r="C10" i="4"/>
  <c r="B9" i="4"/>
  <c r="X13" i="83"/>
  <c r="S22" i="83"/>
  <c r="Z9" i="83"/>
  <c r="C16" i="83"/>
  <c r="D28" i="5" s="1"/>
  <c r="D80" i="5" s="1"/>
  <c r="Y22" i="83"/>
  <c r="D16" i="83"/>
  <c r="E28" i="5" s="1"/>
  <c r="X22" i="83"/>
  <c r="H10" i="4"/>
  <c r="F16" i="83"/>
  <c r="G28" i="5" s="1"/>
  <c r="F10" i="86"/>
  <c r="F10" i="4"/>
  <c r="R25" i="83"/>
  <c r="D16" i="34"/>
  <c r="E36" i="5" s="1"/>
  <c r="D12" i="101"/>
  <c r="D11" i="101"/>
  <c r="E12" i="101"/>
  <c r="F12" i="80"/>
  <c r="F11" i="80"/>
  <c r="E11" i="101"/>
  <c r="E16" i="80"/>
  <c r="F9" i="80"/>
  <c r="E9" i="101"/>
  <c r="E13" i="101"/>
  <c r="F13" i="80"/>
  <c r="G13" i="80" s="1"/>
  <c r="H13" i="80" s="1"/>
  <c r="I13" i="80" s="1"/>
  <c r="G10" i="80"/>
  <c r="H10" i="80" s="1"/>
  <c r="F10" i="101"/>
  <c r="D16" i="80"/>
  <c r="E79" i="5" s="1"/>
  <c r="D10" i="101"/>
  <c r="D9" i="101"/>
  <c r="D15" i="101"/>
  <c r="E14" i="101"/>
  <c r="F14" i="100"/>
  <c r="B10" i="101"/>
  <c r="B16" i="101" s="1"/>
  <c r="B16" i="80"/>
  <c r="H13" i="100"/>
  <c r="F15" i="100"/>
  <c r="E15" i="101"/>
  <c r="E16" i="100"/>
  <c r="E10" i="101"/>
  <c r="B18" i="80"/>
  <c r="D14" i="101"/>
  <c r="C22" i="101"/>
  <c r="C23" i="101" s="1"/>
  <c r="K77" i="5"/>
  <c r="H31" i="79"/>
  <c r="F31" i="79"/>
  <c r="J30" i="79"/>
  <c r="J29" i="79"/>
  <c r="F9" i="77"/>
  <c r="E16" i="77"/>
  <c r="E16" i="75"/>
  <c r="F9" i="75"/>
  <c r="D16" i="75"/>
  <c r="E73" i="5" s="1"/>
  <c r="C16" i="87"/>
  <c r="B10" i="87"/>
  <c r="D12" i="87"/>
  <c r="B16" i="87"/>
  <c r="B18" i="71"/>
  <c r="C69" i="5"/>
  <c r="E16" i="70"/>
  <c r="D16" i="70"/>
  <c r="E68" i="5" s="1"/>
  <c r="D16" i="69"/>
  <c r="E67" i="5" s="1"/>
  <c r="D16" i="68"/>
  <c r="E66" i="5" s="1"/>
  <c r="E16" i="68"/>
  <c r="F9" i="68"/>
  <c r="E9" i="59"/>
  <c r="D13" i="87"/>
  <c r="E16" i="66"/>
  <c r="F9" i="66"/>
  <c r="D16" i="66"/>
  <c r="E63" i="5" s="1"/>
  <c r="F9" i="92"/>
  <c r="E16" i="92"/>
  <c r="D16" i="92"/>
  <c r="E62" i="5" s="1"/>
  <c r="E16" i="64"/>
  <c r="F9" i="64"/>
  <c r="D16" i="64"/>
  <c r="E61" i="5" s="1"/>
  <c r="E16" i="69"/>
  <c r="F9" i="69"/>
  <c r="E10" i="61"/>
  <c r="E10" i="88" s="1"/>
  <c r="F12" i="61"/>
  <c r="G12" i="61" s="1"/>
  <c r="F15" i="61"/>
  <c r="G15" i="61" s="1"/>
  <c r="H15" i="61" s="1"/>
  <c r="F9" i="61"/>
  <c r="E9" i="88"/>
  <c r="E11" i="88"/>
  <c r="F11" i="61"/>
  <c r="E14" i="88"/>
  <c r="F14" i="61"/>
  <c r="E13" i="88"/>
  <c r="F13" i="61"/>
  <c r="D9" i="88"/>
  <c r="D11" i="88"/>
  <c r="D16" i="61"/>
  <c r="E58" i="5" s="1"/>
  <c r="D14" i="88"/>
  <c r="G16" i="60"/>
  <c r="H57" i="5" s="1"/>
  <c r="D16" i="65"/>
  <c r="E56" i="5" s="1"/>
  <c r="F9" i="65"/>
  <c r="E16" i="65"/>
  <c r="H9" i="96"/>
  <c r="F10" i="96"/>
  <c r="E16" i="96"/>
  <c r="D16" i="96"/>
  <c r="E50" i="5" s="1"/>
  <c r="D16" i="58"/>
  <c r="E55" i="5" s="1"/>
  <c r="F16" i="58"/>
  <c r="G55" i="5" s="1"/>
  <c r="G9" i="58"/>
  <c r="E16" i="58"/>
  <c r="D16" i="56"/>
  <c r="E53" i="5" s="1"/>
  <c r="F10" i="56"/>
  <c r="G10" i="56" s="1"/>
  <c r="H10" i="56" s="1"/>
  <c r="I10" i="56" s="1"/>
  <c r="E16" i="56"/>
  <c r="G9" i="56"/>
  <c r="E12" i="91"/>
  <c r="F12" i="51"/>
  <c r="F11" i="51"/>
  <c r="E11" i="91"/>
  <c r="E9" i="91"/>
  <c r="F9" i="51"/>
  <c r="E16" i="51"/>
  <c r="E13" i="91"/>
  <c r="F13" i="51"/>
  <c r="E15" i="91"/>
  <c r="F15" i="51"/>
  <c r="F10" i="51"/>
  <c r="E10" i="91"/>
  <c r="E14" i="91"/>
  <c r="F14" i="51"/>
  <c r="D9" i="91"/>
  <c r="D13" i="91"/>
  <c r="D11" i="91"/>
  <c r="D16" i="49"/>
  <c r="E46" i="5" s="1"/>
  <c r="D14" i="85"/>
  <c r="F9" i="43"/>
  <c r="E16" i="43"/>
  <c r="D16" i="43"/>
  <c r="E43" i="5" s="1"/>
  <c r="H9" i="42"/>
  <c r="G16" i="42"/>
  <c r="H42" i="5" s="1"/>
  <c r="E16" i="42"/>
  <c r="D16" i="42"/>
  <c r="E42" i="5" s="1"/>
  <c r="F16" i="42"/>
  <c r="G42" i="5" s="1"/>
  <c r="E12" i="87"/>
  <c r="F12" i="71"/>
  <c r="E16" i="71"/>
  <c r="F9" i="71"/>
  <c r="E9" i="87"/>
  <c r="F13" i="71"/>
  <c r="E13" i="87"/>
  <c r="E10" i="87"/>
  <c r="F10" i="71"/>
  <c r="E15" i="87"/>
  <c r="F15" i="71"/>
  <c r="E11" i="87"/>
  <c r="F11" i="71"/>
  <c r="D10" i="87"/>
  <c r="D15" i="87"/>
  <c r="D16" i="71"/>
  <c r="E69" i="5" s="1"/>
  <c r="D11" i="87"/>
  <c r="D9" i="87"/>
  <c r="D16" i="40"/>
  <c r="E41" i="5" s="1"/>
  <c r="F16" i="40"/>
  <c r="G41" i="5" s="1"/>
  <c r="G9" i="40"/>
  <c r="E16" i="40"/>
  <c r="F9" i="39"/>
  <c r="E16" i="39"/>
  <c r="H9" i="38"/>
  <c r="E16" i="38"/>
  <c r="G10" i="38"/>
  <c r="H10" i="38" s="1"/>
  <c r="I10" i="38" s="1"/>
  <c r="F16" i="38"/>
  <c r="G39" i="5" s="1"/>
  <c r="D16" i="38"/>
  <c r="E39" i="5" s="1"/>
  <c r="D16" i="36"/>
  <c r="E38" i="5" s="1"/>
  <c r="E16" i="36"/>
  <c r="F9" i="36"/>
  <c r="E9" i="94"/>
  <c r="E16" i="34"/>
  <c r="F9" i="34"/>
  <c r="D12" i="94"/>
  <c r="D15" i="94"/>
  <c r="D14" i="94"/>
  <c r="E15" i="94"/>
  <c r="F12" i="35"/>
  <c r="E12" i="94"/>
  <c r="G15" i="35"/>
  <c r="F15" i="94"/>
  <c r="E10" i="94"/>
  <c r="F10" i="35"/>
  <c r="F13" i="94"/>
  <c r="G13" i="35"/>
  <c r="G11" i="35"/>
  <c r="F11" i="94"/>
  <c r="G9" i="35"/>
  <c r="E14" i="94"/>
  <c r="F14" i="35"/>
  <c r="E13" i="94"/>
  <c r="E16" i="35"/>
  <c r="E11" i="94"/>
  <c r="G9" i="33"/>
  <c r="F16" i="33"/>
  <c r="G35" i="5" s="1"/>
  <c r="E16" i="33"/>
  <c r="F9" i="32"/>
  <c r="E16" i="32"/>
  <c r="D16" i="32"/>
  <c r="E34" i="5" s="1"/>
  <c r="D15" i="4"/>
  <c r="G26" i="5"/>
  <c r="K26" i="5" s="1"/>
  <c r="F26" i="5"/>
  <c r="E18" i="30"/>
  <c r="D13" i="86"/>
  <c r="B13" i="86"/>
  <c r="B17" i="86" s="1"/>
  <c r="B11" i="4"/>
  <c r="E11" i="24"/>
  <c r="F11" i="24" s="1"/>
  <c r="G11" i="24" s="1"/>
  <c r="E9" i="24"/>
  <c r="F9" i="24" s="1"/>
  <c r="E14" i="24"/>
  <c r="F14" i="24" s="1"/>
  <c r="G14" i="24" s="1"/>
  <c r="D16" i="86"/>
  <c r="D11" i="86"/>
  <c r="F15" i="24"/>
  <c r="G15" i="24" s="1"/>
  <c r="H15" i="24" s="1"/>
  <c r="E16" i="86"/>
  <c r="D14" i="86"/>
  <c r="E13" i="86"/>
  <c r="F12" i="24"/>
  <c r="E11" i="86"/>
  <c r="F10" i="24"/>
  <c r="F13" i="24"/>
  <c r="D16" i="24"/>
  <c r="E23" i="5" s="1"/>
  <c r="E11" i="89"/>
  <c r="D16" i="20"/>
  <c r="E19" i="5" s="1"/>
  <c r="D12" i="89"/>
  <c r="D16" i="89" s="1"/>
  <c r="E12" i="89"/>
  <c r="G14" i="20"/>
  <c r="F10" i="89"/>
  <c r="H10" i="20"/>
  <c r="G10" i="89"/>
  <c r="F13" i="89"/>
  <c r="G13" i="20"/>
  <c r="F11" i="89"/>
  <c r="G11" i="20"/>
  <c r="G9" i="20"/>
  <c r="F9" i="89"/>
  <c r="F16" i="20"/>
  <c r="G19" i="5" s="1"/>
  <c r="F12" i="89"/>
  <c r="G12" i="20"/>
  <c r="F15" i="89"/>
  <c r="G15" i="20"/>
  <c r="E13" i="89"/>
  <c r="E9" i="89"/>
  <c r="D16" i="4"/>
  <c r="E16" i="20"/>
  <c r="E14" i="85"/>
  <c r="F14" i="49"/>
  <c r="G14" i="49" s="1"/>
  <c r="F12" i="49"/>
  <c r="E15" i="49"/>
  <c r="E16" i="4" s="1"/>
  <c r="F13" i="49"/>
  <c r="G9" i="49"/>
  <c r="F10" i="49"/>
  <c r="G11" i="49"/>
  <c r="D15" i="85"/>
  <c r="I9" i="13"/>
  <c r="I15" i="13"/>
  <c r="D16" i="13"/>
  <c r="E14" i="5" s="1"/>
  <c r="G12" i="13"/>
  <c r="H14" i="13"/>
  <c r="G11" i="13"/>
  <c r="E13" i="13"/>
  <c r="E16" i="83"/>
  <c r="F28" i="5" s="1"/>
  <c r="Z22" i="83"/>
  <c r="E10" i="86"/>
  <c r="Q25" i="83"/>
  <c r="Q23" i="83"/>
  <c r="E10" i="4"/>
  <c r="D16" i="23"/>
  <c r="E10" i="23"/>
  <c r="H13" i="7" l="1"/>
  <c r="G16" i="7"/>
  <c r="H9" i="5" s="1"/>
  <c r="E18" i="18"/>
  <c r="F17" i="5"/>
  <c r="G14" i="18"/>
  <c r="F16" i="18"/>
  <c r="G17" i="5" s="1"/>
  <c r="F14" i="90"/>
  <c r="F16" i="90" s="1"/>
  <c r="E16" i="21"/>
  <c r="F14" i="21"/>
  <c r="E14" i="89"/>
  <c r="F21" i="5"/>
  <c r="E18" i="22"/>
  <c r="G13" i="22"/>
  <c r="F16" i="22"/>
  <c r="G21" i="5" s="1"/>
  <c r="H16" i="26"/>
  <c r="I27" i="5" s="1"/>
  <c r="I14" i="26"/>
  <c r="I16" i="26" s="1"/>
  <c r="J27" i="5" s="1"/>
  <c r="G16" i="93"/>
  <c r="H25" i="5" s="1"/>
  <c r="H13" i="93"/>
  <c r="G16" i="27"/>
  <c r="H29" i="5" s="1"/>
  <c r="H13" i="27"/>
  <c r="F14" i="28"/>
  <c r="E16" i="28"/>
  <c r="F30" i="5" s="1"/>
  <c r="F16" i="29"/>
  <c r="G31" i="5" s="1"/>
  <c r="G15" i="29"/>
  <c r="E18" i="29"/>
  <c r="F31" i="5"/>
  <c r="G16" i="30"/>
  <c r="H14" i="30"/>
  <c r="F18" i="30"/>
  <c r="I14" i="31"/>
  <c r="I16" i="31" s="1"/>
  <c r="J33" i="5" s="1"/>
  <c r="H16" i="31"/>
  <c r="I33" i="5" s="1"/>
  <c r="K33" i="5" s="1"/>
  <c r="F44" i="5"/>
  <c r="E18" i="45"/>
  <c r="H16" i="45"/>
  <c r="I44" i="5" s="1"/>
  <c r="I14" i="45"/>
  <c r="I16" i="45" s="1"/>
  <c r="J44" i="5" s="1"/>
  <c r="F16" i="46"/>
  <c r="G45" i="5" s="1"/>
  <c r="G14" i="46"/>
  <c r="F45" i="5"/>
  <c r="E18" i="46"/>
  <c r="D12" i="50"/>
  <c r="D10" i="50"/>
  <c r="D11" i="50"/>
  <c r="D13" i="50"/>
  <c r="D9" i="50"/>
  <c r="F54" i="5"/>
  <c r="E18" i="57"/>
  <c r="F16" i="57"/>
  <c r="G54" i="5" s="1"/>
  <c r="G13" i="57"/>
  <c r="F51" i="5"/>
  <c r="E18" i="97"/>
  <c r="F16" i="97"/>
  <c r="G51" i="5" s="1"/>
  <c r="G13" i="97"/>
  <c r="E18" i="60"/>
  <c r="E18" i="62"/>
  <c r="F59" i="5"/>
  <c r="G16" i="62"/>
  <c r="H59" i="5" s="1"/>
  <c r="H12" i="62"/>
  <c r="G12" i="88"/>
  <c r="F16" i="67"/>
  <c r="G65" i="5" s="1"/>
  <c r="G13" i="67"/>
  <c r="E18" i="67"/>
  <c r="F65" i="5"/>
  <c r="H13" i="72"/>
  <c r="G16" i="72"/>
  <c r="G70" i="5"/>
  <c r="F54" i="72"/>
  <c r="E18" i="73"/>
  <c r="G16" i="73"/>
  <c r="H71" i="5" s="1"/>
  <c r="H13" i="73"/>
  <c r="E22" i="5"/>
  <c r="D22" i="101"/>
  <c r="G9" i="1"/>
  <c r="F16" i="1"/>
  <c r="G8" i="5" s="1"/>
  <c r="F8" i="5"/>
  <c r="E18" i="1"/>
  <c r="G9" i="78"/>
  <c r="F16" i="78"/>
  <c r="G76" i="5" s="1"/>
  <c r="F76" i="5"/>
  <c r="E18" i="78"/>
  <c r="H9" i="76"/>
  <c r="G16" i="76"/>
  <c r="H74" i="5" s="1"/>
  <c r="F74" i="5"/>
  <c r="E18" i="76"/>
  <c r="F60" i="5"/>
  <c r="E18" i="63"/>
  <c r="H9" i="63"/>
  <c r="G16" i="63"/>
  <c r="H60" i="5" s="1"/>
  <c r="F12" i="88"/>
  <c r="C17" i="4"/>
  <c r="F16" i="60"/>
  <c r="G57" i="5" s="1"/>
  <c r="G16" i="54"/>
  <c r="H52" i="5" s="1"/>
  <c r="H9" i="54"/>
  <c r="I9" i="54" s="1"/>
  <c r="I16" i="54" s="1"/>
  <c r="J52" i="5" s="1"/>
  <c r="H16" i="54"/>
  <c r="I52" i="5" s="1"/>
  <c r="F16" i="52"/>
  <c r="G49" i="5" s="1"/>
  <c r="G9" i="52"/>
  <c r="E18" i="52"/>
  <c r="F49" i="5"/>
  <c r="D16" i="94"/>
  <c r="H16" i="17"/>
  <c r="I16" i="5" s="1"/>
  <c r="I9" i="17"/>
  <c r="I16" i="17" s="1"/>
  <c r="J16" i="5" s="1"/>
  <c r="E18" i="10"/>
  <c r="F12" i="5"/>
  <c r="H9" i="10"/>
  <c r="G16" i="10"/>
  <c r="H12" i="5" s="1"/>
  <c r="F16" i="10"/>
  <c r="G12" i="5" s="1"/>
  <c r="G16" i="9"/>
  <c r="H11" i="5" s="1"/>
  <c r="F16" i="9"/>
  <c r="G11" i="5" s="1"/>
  <c r="F11" i="5"/>
  <c r="E18" i="9"/>
  <c r="I9" i="9"/>
  <c r="I16" i="9" s="1"/>
  <c r="J11" i="5" s="1"/>
  <c r="H16" i="9"/>
  <c r="I11" i="5" s="1"/>
  <c r="G9" i="8"/>
  <c r="F16" i="8"/>
  <c r="G10" i="5" s="1"/>
  <c r="E18" i="8"/>
  <c r="F10" i="5"/>
  <c r="AA22" i="83"/>
  <c r="T25" i="83"/>
  <c r="F15" i="88"/>
  <c r="H12" i="61"/>
  <c r="H12" i="88" s="1"/>
  <c r="F16" i="12"/>
  <c r="G13" i="5" s="1"/>
  <c r="F13" i="5"/>
  <c r="E18" i="12"/>
  <c r="H9" i="12"/>
  <c r="G16" i="12"/>
  <c r="H13" i="5" s="1"/>
  <c r="H16" i="83"/>
  <c r="I28" i="5" s="1"/>
  <c r="U22" i="83"/>
  <c r="AB9" i="83"/>
  <c r="G9" i="83"/>
  <c r="S25" i="83"/>
  <c r="D10" i="86"/>
  <c r="D17" i="86" s="1"/>
  <c r="D10" i="4"/>
  <c r="D16" i="101"/>
  <c r="D23" i="101" s="1"/>
  <c r="G10" i="101"/>
  <c r="G13" i="101"/>
  <c r="E16" i="101"/>
  <c r="F13" i="101"/>
  <c r="F11" i="101"/>
  <c r="G11" i="80"/>
  <c r="H10" i="101"/>
  <c r="I10" i="80"/>
  <c r="I10" i="101" s="1"/>
  <c r="F16" i="80"/>
  <c r="G79" i="5" s="1"/>
  <c r="F9" i="101"/>
  <c r="G9" i="80"/>
  <c r="G12" i="80"/>
  <c r="F12" i="101"/>
  <c r="F79" i="5"/>
  <c r="E18" i="80"/>
  <c r="F15" i="101"/>
  <c r="G15" i="100"/>
  <c r="C79" i="5"/>
  <c r="C80" i="5" s="1"/>
  <c r="B22" i="101"/>
  <c r="B23" i="101" s="1"/>
  <c r="G14" i="100"/>
  <c r="F14" i="101"/>
  <c r="B17" i="4"/>
  <c r="I13" i="100"/>
  <c r="H13" i="101"/>
  <c r="F16" i="100"/>
  <c r="E18" i="100"/>
  <c r="F78" i="5"/>
  <c r="E22" i="101"/>
  <c r="J31" i="79"/>
  <c r="E18" i="77"/>
  <c r="F75" i="5"/>
  <c r="F16" i="77"/>
  <c r="G75" i="5" s="1"/>
  <c r="G9" i="77"/>
  <c r="F16" i="75"/>
  <c r="G73" i="5" s="1"/>
  <c r="G9" i="75"/>
  <c r="E18" i="75"/>
  <c r="F73" i="5"/>
  <c r="F16" i="70"/>
  <c r="E18" i="70"/>
  <c r="F68" i="5"/>
  <c r="F16" i="68"/>
  <c r="G66" i="5" s="1"/>
  <c r="G9" i="68"/>
  <c r="E18" i="68"/>
  <c r="F66" i="5"/>
  <c r="F9" i="59"/>
  <c r="E16" i="59"/>
  <c r="G9" i="66"/>
  <c r="F16" i="66"/>
  <c r="G63" i="5" s="1"/>
  <c r="E18" i="66"/>
  <c r="F63" i="5"/>
  <c r="F62" i="5"/>
  <c r="E18" i="92"/>
  <c r="F16" i="92"/>
  <c r="G62" i="5" s="1"/>
  <c r="G9" i="92"/>
  <c r="E18" i="64"/>
  <c r="F61" i="5"/>
  <c r="G9" i="64"/>
  <c r="F16" i="64"/>
  <c r="G61" i="5" s="1"/>
  <c r="F16" i="69"/>
  <c r="G67" i="5" s="1"/>
  <c r="G9" i="69"/>
  <c r="F67" i="5"/>
  <c r="E18" i="69"/>
  <c r="G15" i="88"/>
  <c r="E16" i="61"/>
  <c r="F10" i="61"/>
  <c r="F16" i="61" s="1"/>
  <c r="G58" i="5" s="1"/>
  <c r="D16" i="88"/>
  <c r="G14" i="61"/>
  <c r="F14" i="88"/>
  <c r="E16" i="88"/>
  <c r="I15" i="61"/>
  <c r="I15" i="88" s="1"/>
  <c r="H15" i="88"/>
  <c r="E18" i="61"/>
  <c r="F58" i="5"/>
  <c r="F13" i="88"/>
  <c r="G13" i="61"/>
  <c r="F11" i="88"/>
  <c r="G11" i="61"/>
  <c r="G9" i="61"/>
  <c r="F9" i="88"/>
  <c r="H16" i="60"/>
  <c r="I57" i="5" s="1"/>
  <c r="I9" i="60"/>
  <c r="I16" i="60" s="1"/>
  <c r="J57" i="5" s="1"/>
  <c r="E18" i="65"/>
  <c r="F56" i="5"/>
  <c r="G9" i="65"/>
  <c r="F16" i="65"/>
  <c r="G56" i="5" s="1"/>
  <c r="F50" i="5"/>
  <c r="E18" i="96"/>
  <c r="F16" i="96"/>
  <c r="G50" i="5" s="1"/>
  <c r="G10" i="96"/>
  <c r="I9" i="96"/>
  <c r="F55" i="5"/>
  <c r="E18" i="58"/>
  <c r="G16" i="58"/>
  <c r="H55" i="5" s="1"/>
  <c r="H9" i="58"/>
  <c r="F16" i="56"/>
  <c r="G53" i="5" s="1"/>
  <c r="H9" i="56"/>
  <c r="G16" i="56"/>
  <c r="H53" i="5" s="1"/>
  <c r="F53" i="5"/>
  <c r="E18" i="56"/>
  <c r="F15" i="91"/>
  <c r="G15" i="51"/>
  <c r="F48" i="5"/>
  <c r="E18" i="51"/>
  <c r="G11" i="51"/>
  <c r="F11" i="91"/>
  <c r="G14" i="51"/>
  <c r="F14" i="91"/>
  <c r="F9" i="91"/>
  <c r="G9" i="51"/>
  <c r="F16" i="51"/>
  <c r="G48" i="5" s="1"/>
  <c r="G12" i="51"/>
  <c r="F12" i="91"/>
  <c r="D16" i="91"/>
  <c r="G10" i="51"/>
  <c r="F10" i="91"/>
  <c r="F13" i="91"/>
  <c r="G13" i="51"/>
  <c r="E16" i="91"/>
  <c r="F43" i="5"/>
  <c r="E18" i="43"/>
  <c r="G9" i="43"/>
  <c r="F16" i="43"/>
  <c r="G43" i="5" s="1"/>
  <c r="E18" i="42"/>
  <c r="F42" i="5"/>
  <c r="H16" i="42"/>
  <c r="I42" i="5" s="1"/>
  <c r="I9" i="42"/>
  <c r="I16" i="42" s="1"/>
  <c r="J42" i="5" s="1"/>
  <c r="F9" i="87"/>
  <c r="F16" i="71"/>
  <c r="G69" i="5" s="1"/>
  <c r="G9" i="71"/>
  <c r="G15" i="71"/>
  <c r="F15" i="87"/>
  <c r="F69" i="5"/>
  <c r="E18" i="71"/>
  <c r="D16" i="87"/>
  <c r="G13" i="71"/>
  <c r="F13" i="87"/>
  <c r="G12" i="71"/>
  <c r="F12" i="87"/>
  <c r="G11" i="71"/>
  <c r="F11" i="87"/>
  <c r="G10" i="71"/>
  <c r="F10" i="87"/>
  <c r="E16" i="87"/>
  <c r="G16" i="40"/>
  <c r="H41" i="5" s="1"/>
  <c r="H9" i="40"/>
  <c r="E18" i="40"/>
  <c r="F41" i="5"/>
  <c r="E9" i="86"/>
  <c r="F40" i="5"/>
  <c r="E18" i="39"/>
  <c r="G9" i="39"/>
  <c r="F16" i="39"/>
  <c r="G40" i="5" s="1"/>
  <c r="F39" i="5"/>
  <c r="E18" i="38"/>
  <c r="H16" i="38"/>
  <c r="I39" i="5" s="1"/>
  <c r="I9" i="38"/>
  <c r="I16" i="38" s="1"/>
  <c r="J39" i="5" s="1"/>
  <c r="G16" i="38"/>
  <c r="H39" i="5" s="1"/>
  <c r="F16" i="36"/>
  <c r="G38" i="5" s="1"/>
  <c r="G9" i="36"/>
  <c r="E18" i="36"/>
  <c r="F38" i="5"/>
  <c r="G9" i="34"/>
  <c r="G9" i="94" s="1"/>
  <c r="F16" i="34"/>
  <c r="G36" i="5" s="1"/>
  <c r="E16" i="94"/>
  <c r="E18" i="34"/>
  <c r="F36" i="5"/>
  <c r="F9" i="94"/>
  <c r="E18" i="35"/>
  <c r="F37" i="5"/>
  <c r="H9" i="35"/>
  <c r="F10" i="94"/>
  <c r="G10" i="35"/>
  <c r="G15" i="94"/>
  <c r="H15" i="35"/>
  <c r="G14" i="35"/>
  <c r="F14" i="94"/>
  <c r="F16" i="35"/>
  <c r="G37" i="5" s="1"/>
  <c r="G11" i="94"/>
  <c r="H11" i="35"/>
  <c r="G13" i="94"/>
  <c r="H13" i="35"/>
  <c r="F12" i="94"/>
  <c r="G12" i="35"/>
  <c r="F35" i="5"/>
  <c r="E18" i="33"/>
  <c r="G16" i="33"/>
  <c r="H35" i="5" s="1"/>
  <c r="H9" i="33"/>
  <c r="F34" i="5"/>
  <c r="E18" i="32"/>
  <c r="F16" i="32"/>
  <c r="G34" i="5" s="1"/>
  <c r="G9" i="32"/>
  <c r="E12" i="86"/>
  <c r="F12" i="86"/>
  <c r="E15" i="4"/>
  <c r="E16" i="24"/>
  <c r="F23" i="5" s="1"/>
  <c r="F15" i="86"/>
  <c r="E15" i="86"/>
  <c r="E17" i="86" s="1"/>
  <c r="F16" i="86"/>
  <c r="G16" i="86"/>
  <c r="H14" i="24"/>
  <c r="G10" i="24"/>
  <c r="F11" i="86"/>
  <c r="F14" i="86"/>
  <c r="G13" i="24"/>
  <c r="G12" i="24"/>
  <c r="F13" i="86"/>
  <c r="G9" i="24"/>
  <c r="F16" i="24"/>
  <c r="G23" i="5" s="1"/>
  <c r="F9" i="86"/>
  <c r="I15" i="24"/>
  <c r="H11" i="24"/>
  <c r="G12" i="86"/>
  <c r="H14" i="20"/>
  <c r="H15" i="20"/>
  <c r="G15" i="89"/>
  <c r="G13" i="89"/>
  <c r="H13" i="20"/>
  <c r="E16" i="89"/>
  <c r="E18" i="20"/>
  <c r="F19" i="5"/>
  <c r="G12" i="89"/>
  <c r="H12" i="20"/>
  <c r="G9" i="89"/>
  <c r="H9" i="20"/>
  <c r="G16" i="20"/>
  <c r="H19" i="5" s="1"/>
  <c r="H11" i="20"/>
  <c r="G11" i="89"/>
  <c r="I14" i="20"/>
  <c r="H10" i="89"/>
  <c r="I10" i="20"/>
  <c r="I10" i="89" s="1"/>
  <c r="E15" i="85"/>
  <c r="F15" i="49"/>
  <c r="F15" i="4"/>
  <c r="F14" i="85"/>
  <c r="E16" i="49"/>
  <c r="F46" i="5" s="1"/>
  <c r="G12" i="49"/>
  <c r="H9" i="49"/>
  <c r="H14" i="49"/>
  <c r="G14" i="85"/>
  <c r="G13" i="49"/>
  <c r="H11" i="49"/>
  <c r="G10" i="49"/>
  <c r="I14" i="13"/>
  <c r="F13" i="13"/>
  <c r="H11" i="13"/>
  <c r="E16" i="13"/>
  <c r="H12" i="13"/>
  <c r="F10" i="23"/>
  <c r="E16" i="23"/>
  <c r="I13" i="7" l="1"/>
  <c r="I16" i="7" s="1"/>
  <c r="J9" i="5" s="1"/>
  <c r="H16" i="7"/>
  <c r="I9" i="5" s="1"/>
  <c r="K9" i="5" s="1"/>
  <c r="G16" i="18"/>
  <c r="H17" i="5" s="1"/>
  <c r="H14" i="18"/>
  <c r="G14" i="90"/>
  <c r="G16" i="90" s="1"/>
  <c r="G14" i="21"/>
  <c r="F16" i="21"/>
  <c r="G20" i="5" s="1"/>
  <c r="F14" i="89"/>
  <c r="F16" i="89" s="1"/>
  <c r="F20" i="5"/>
  <c r="E18" i="21"/>
  <c r="H13" i="22"/>
  <c r="G16" i="22"/>
  <c r="H21" i="5" s="1"/>
  <c r="K27" i="5"/>
  <c r="H16" i="93"/>
  <c r="I25" i="5" s="1"/>
  <c r="I13" i="93"/>
  <c r="I16" i="93" s="1"/>
  <c r="J25" i="5" s="1"/>
  <c r="K25" i="5" s="1"/>
  <c r="H16" i="27"/>
  <c r="I29" i="5" s="1"/>
  <c r="K29" i="5" s="1"/>
  <c r="I13" i="27"/>
  <c r="I16" i="27" s="1"/>
  <c r="J29" i="5" s="1"/>
  <c r="G14" i="28"/>
  <c r="F16" i="28"/>
  <c r="G30" i="5" s="1"/>
  <c r="G16" i="29"/>
  <c r="H31" i="5" s="1"/>
  <c r="H15" i="29"/>
  <c r="H16" i="30"/>
  <c r="I14" i="30"/>
  <c r="I16" i="30" s="1"/>
  <c r="G18" i="30"/>
  <c r="H32" i="5"/>
  <c r="C25" i="4"/>
  <c r="D82" i="5" s="1"/>
  <c r="D83" i="5" s="1"/>
  <c r="K44" i="5"/>
  <c r="H14" i="46"/>
  <c r="G16" i="46"/>
  <c r="H45" i="5" s="1"/>
  <c r="E13" i="50"/>
  <c r="D14" i="4"/>
  <c r="D13" i="85"/>
  <c r="E11" i="50"/>
  <c r="D11" i="85"/>
  <c r="D12" i="4"/>
  <c r="E10" i="50"/>
  <c r="D10" i="85"/>
  <c r="D11" i="4"/>
  <c r="E9" i="50"/>
  <c r="D9" i="4"/>
  <c r="D31" i="4" s="1"/>
  <c r="D33" i="4" s="1"/>
  <c r="D9" i="85"/>
  <c r="D16" i="50"/>
  <c r="E12" i="50"/>
  <c r="D12" i="85"/>
  <c r="D13" i="4"/>
  <c r="H13" i="57"/>
  <c r="G16" i="57"/>
  <c r="H54" i="5" s="1"/>
  <c r="G16" i="97"/>
  <c r="H51" i="5" s="1"/>
  <c r="H13" i="97"/>
  <c r="I12" i="62"/>
  <c r="I16" i="62" s="1"/>
  <c r="J59" i="5" s="1"/>
  <c r="H16" i="62"/>
  <c r="I59" i="5" s="1"/>
  <c r="H13" i="67"/>
  <c r="G16" i="67"/>
  <c r="H65" i="5" s="1"/>
  <c r="G54" i="72"/>
  <c r="H70" i="5"/>
  <c r="I13" i="72"/>
  <c r="I16" i="72" s="1"/>
  <c r="J70" i="5" s="1"/>
  <c r="H16" i="72"/>
  <c r="I13" i="73"/>
  <c r="I16" i="73" s="1"/>
  <c r="J71" i="5" s="1"/>
  <c r="H16" i="73"/>
  <c r="I71" i="5" s="1"/>
  <c r="K71" i="5" s="1"/>
  <c r="G68" i="5"/>
  <c r="H9" i="1"/>
  <c r="G16" i="1"/>
  <c r="H8" i="5" s="1"/>
  <c r="G16" i="78"/>
  <c r="H76" i="5" s="1"/>
  <c r="H9" i="78"/>
  <c r="E23" i="101"/>
  <c r="I9" i="76"/>
  <c r="I16" i="76" s="1"/>
  <c r="J74" i="5" s="1"/>
  <c r="H16" i="76"/>
  <c r="I74" i="5" s="1"/>
  <c r="H16" i="63"/>
  <c r="I60" i="5" s="1"/>
  <c r="I9" i="63"/>
  <c r="I16" i="63" s="1"/>
  <c r="J60" i="5" s="1"/>
  <c r="I12" i="61"/>
  <c r="B33" i="4"/>
  <c r="B35" i="4" s="1"/>
  <c r="B25" i="4"/>
  <c r="C82" i="5" s="1"/>
  <c r="C83" i="5" s="1"/>
  <c r="K57" i="5"/>
  <c r="K52" i="5"/>
  <c r="H9" i="52"/>
  <c r="G16" i="52"/>
  <c r="H49" i="5" s="1"/>
  <c r="K16" i="5"/>
  <c r="H16" i="10"/>
  <c r="I12" i="5" s="1"/>
  <c r="I9" i="10"/>
  <c r="I16" i="10" s="1"/>
  <c r="J12" i="5" s="1"/>
  <c r="K12" i="5" s="1"/>
  <c r="K11" i="5"/>
  <c r="H9" i="8"/>
  <c r="G16" i="8"/>
  <c r="H10" i="5" s="1"/>
  <c r="I9" i="12"/>
  <c r="I16" i="12" s="1"/>
  <c r="J13" i="5" s="1"/>
  <c r="H16" i="12"/>
  <c r="J17" i="12" s="1"/>
  <c r="G10" i="86"/>
  <c r="G10" i="4"/>
  <c r="G16" i="83"/>
  <c r="H28" i="5" s="1"/>
  <c r="AB22" i="83"/>
  <c r="U25" i="83"/>
  <c r="I9" i="83"/>
  <c r="H12" i="80"/>
  <c r="G12" i="101"/>
  <c r="H9" i="80"/>
  <c r="G16" i="80"/>
  <c r="H79" i="5" s="1"/>
  <c r="G9" i="101"/>
  <c r="F16" i="101"/>
  <c r="G11" i="101"/>
  <c r="H11" i="80"/>
  <c r="I13" i="101"/>
  <c r="G78" i="5"/>
  <c r="F22" i="101"/>
  <c r="G14" i="101"/>
  <c r="H14" i="100"/>
  <c r="G16" i="100"/>
  <c r="G15" i="101"/>
  <c r="H15" i="100"/>
  <c r="H9" i="77"/>
  <c r="G16" i="77"/>
  <c r="H75" i="5" s="1"/>
  <c r="H9" i="75"/>
  <c r="G16" i="75"/>
  <c r="H73" i="5" s="1"/>
  <c r="E18" i="87"/>
  <c r="G16" i="70"/>
  <c r="H9" i="68"/>
  <c r="G16" i="68"/>
  <c r="H66" i="5" s="1"/>
  <c r="F64" i="5"/>
  <c r="E18" i="59"/>
  <c r="F16" i="59"/>
  <c r="G64" i="5" s="1"/>
  <c r="G9" i="59"/>
  <c r="H9" i="66"/>
  <c r="G16" i="66"/>
  <c r="H63" i="5" s="1"/>
  <c r="G16" i="92"/>
  <c r="H62" i="5" s="1"/>
  <c r="H9" i="92"/>
  <c r="H9" i="64"/>
  <c r="G16" i="64"/>
  <c r="H61" i="5" s="1"/>
  <c r="H9" i="69"/>
  <c r="G16" i="69"/>
  <c r="H67" i="5" s="1"/>
  <c r="G10" i="61"/>
  <c r="G16" i="61" s="1"/>
  <c r="H58" i="5" s="1"/>
  <c r="F10" i="88"/>
  <c r="G11" i="88"/>
  <c r="H11" i="61"/>
  <c r="F16" i="88"/>
  <c r="H14" i="61"/>
  <c r="G14" i="88"/>
  <c r="G13" i="88"/>
  <c r="H13" i="61"/>
  <c r="H9" i="61"/>
  <c r="G9" i="88"/>
  <c r="H9" i="65"/>
  <c r="G16" i="65"/>
  <c r="H56" i="5" s="1"/>
  <c r="H10" i="96"/>
  <c r="G16" i="96"/>
  <c r="H50" i="5" s="1"/>
  <c r="I9" i="58"/>
  <c r="I16" i="58" s="1"/>
  <c r="J55" i="5" s="1"/>
  <c r="H16" i="58"/>
  <c r="I55" i="5" s="1"/>
  <c r="H16" i="56"/>
  <c r="I53" i="5" s="1"/>
  <c r="I9" i="56"/>
  <c r="I16" i="56" s="1"/>
  <c r="J53" i="5" s="1"/>
  <c r="G12" i="91"/>
  <c r="H12" i="51"/>
  <c r="H10" i="51"/>
  <c r="G10" i="91"/>
  <c r="H14" i="51"/>
  <c r="G14" i="91"/>
  <c r="H13" i="51"/>
  <c r="G13" i="91"/>
  <c r="G9" i="91"/>
  <c r="H9" i="51"/>
  <c r="G16" i="51"/>
  <c r="H48" i="5" s="1"/>
  <c r="G15" i="91"/>
  <c r="H15" i="51"/>
  <c r="F16" i="91"/>
  <c r="G11" i="91"/>
  <c r="H11" i="51"/>
  <c r="E18" i="49"/>
  <c r="H9" i="43"/>
  <c r="G16" i="43"/>
  <c r="H43" i="5" s="1"/>
  <c r="K42" i="5"/>
  <c r="H12" i="71"/>
  <c r="G12" i="87"/>
  <c r="G11" i="87"/>
  <c r="H11" i="71"/>
  <c r="G13" i="87"/>
  <c r="H13" i="71"/>
  <c r="F16" i="87"/>
  <c r="H10" i="71"/>
  <c r="G10" i="87"/>
  <c r="G16" i="71"/>
  <c r="H69" i="5" s="1"/>
  <c r="H9" i="71"/>
  <c r="G9" i="87"/>
  <c r="H15" i="71"/>
  <c r="G15" i="87"/>
  <c r="I9" i="40"/>
  <c r="I16" i="40" s="1"/>
  <c r="J41" i="5" s="1"/>
  <c r="H16" i="40"/>
  <c r="I41" i="5" s="1"/>
  <c r="H9" i="39"/>
  <c r="G16" i="39"/>
  <c r="H40" i="5" s="1"/>
  <c r="K39" i="5"/>
  <c r="H9" i="36"/>
  <c r="G16" i="36"/>
  <c r="H38" i="5" s="1"/>
  <c r="H9" i="34"/>
  <c r="H9" i="94" s="1"/>
  <c r="G16" i="34"/>
  <c r="H36" i="5" s="1"/>
  <c r="F16" i="94"/>
  <c r="H10" i="35"/>
  <c r="G10" i="94"/>
  <c r="G16" i="35"/>
  <c r="H37" i="5" s="1"/>
  <c r="H12" i="35"/>
  <c r="G12" i="94"/>
  <c r="H11" i="94"/>
  <c r="I11" i="35"/>
  <c r="I11" i="94" s="1"/>
  <c r="H14" i="35"/>
  <c r="G14" i="94"/>
  <c r="G15" i="4"/>
  <c r="H15" i="94"/>
  <c r="I15" i="35"/>
  <c r="I15" i="94" s="1"/>
  <c r="I13" i="35"/>
  <c r="I13" i="94" s="1"/>
  <c r="H13" i="94"/>
  <c r="I9" i="35"/>
  <c r="H16" i="33"/>
  <c r="I35" i="5" s="1"/>
  <c r="I9" i="33"/>
  <c r="I16" i="33" s="1"/>
  <c r="J35" i="5" s="1"/>
  <c r="G16" i="32"/>
  <c r="H34" i="5" s="1"/>
  <c r="H9" i="32"/>
  <c r="E18" i="24"/>
  <c r="I14" i="24"/>
  <c r="H9" i="24"/>
  <c r="G9" i="86"/>
  <c r="G16" i="24"/>
  <c r="H23" i="5" s="1"/>
  <c r="H13" i="24"/>
  <c r="G14" i="86"/>
  <c r="F17" i="86"/>
  <c r="H12" i="86"/>
  <c r="I11" i="24"/>
  <c r="I12" i="86" s="1"/>
  <c r="H12" i="24"/>
  <c r="G13" i="86"/>
  <c r="H10" i="24"/>
  <c r="G11" i="86"/>
  <c r="H9" i="89"/>
  <c r="H16" i="20"/>
  <c r="I19" i="5" s="1"/>
  <c r="I9" i="20"/>
  <c r="H13" i="89"/>
  <c r="I13" i="20"/>
  <c r="I11" i="20"/>
  <c r="I11" i="89" s="1"/>
  <c r="H11" i="89"/>
  <c r="I12" i="20"/>
  <c r="I12" i="89" s="1"/>
  <c r="H12" i="89"/>
  <c r="I15" i="20"/>
  <c r="I15" i="89" s="1"/>
  <c r="H15" i="89"/>
  <c r="H12" i="49"/>
  <c r="F16" i="4"/>
  <c r="F15" i="85"/>
  <c r="G15" i="49"/>
  <c r="G16" i="49" s="1"/>
  <c r="H46" i="5" s="1"/>
  <c r="F16" i="49"/>
  <c r="G46" i="5" s="1"/>
  <c r="H13" i="49"/>
  <c r="I9" i="49"/>
  <c r="I11" i="49"/>
  <c r="H10" i="49"/>
  <c r="H14" i="85"/>
  <c r="I14" i="49"/>
  <c r="I14" i="85" s="1"/>
  <c r="I11" i="13"/>
  <c r="G13" i="13"/>
  <c r="F16" i="13"/>
  <c r="G14" i="5" s="1"/>
  <c r="I12" i="13"/>
  <c r="F14" i="5"/>
  <c r="E18" i="13"/>
  <c r="F22" i="5"/>
  <c r="E18" i="23"/>
  <c r="G10" i="23"/>
  <c r="F16" i="23"/>
  <c r="H14" i="90" l="1"/>
  <c r="H16" i="90" s="1"/>
  <c r="H16" i="18"/>
  <c r="I17" i="5" s="1"/>
  <c r="I14" i="18"/>
  <c r="G16" i="21"/>
  <c r="H20" i="5" s="1"/>
  <c r="H14" i="21"/>
  <c r="G14" i="89"/>
  <c r="G16" i="89" s="1"/>
  <c r="H16" i="22"/>
  <c r="I21" i="5" s="1"/>
  <c r="I13" i="22"/>
  <c r="I16" i="22" s="1"/>
  <c r="J21" i="5" s="1"/>
  <c r="H14" i="28"/>
  <c r="G16" i="28"/>
  <c r="H30" i="5" s="1"/>
  <c r="G15" i="86"/>
  <c r="I15" i="29"/>
  <c r="H16" i="29"/>
  <c r="I31" i="5" s="1"/>
  <c r="H16" i="86"/>
  <c r="C26" i="4"/>
  <c r="J32" i="5"/>
  <c r="I18" i="30"/>
  <c r="I32" i="5"/>
  <c r="K32" i="5" s="1"/>
  <c r="H18" i="30"/>
  <c r="D17" i="4"/>
  <c r="I14" i="46"/>
  <c r="I16" i="46" s="1"/>
  <c r="J45" i="5" s="1"/>
  <c r="H16" i="46"/>
  <c r="I45" i="5" s="1"/>
  <c r="F12" i="50"/>
  <c r="E12" i="85"/>
  <c r="E13" i="4"/>
  <c r="E16" i="50"/>
  <c r="E9" i="85"/>
  <c r="F9" i="50"/>
  <c r="E9" i="4"/>
  <c r="F10" i="50"/>
  <c r="E10" i="85"/>
  <c r="E11" i="4"/>
  <c r="D40" i="50"/>
  <c r="E47" i="5"/>
  <c r="E80" i="5" s="1"/>
  <c r="D16" i="85"/>
  <c r="F13" i="50"/>
  <c r="E13" i="85"/>
  <c r="E14" i="4"/>
  <c r="F11" i="50"/>
  <c r="E11" i="85"/>
  <c r="E12" i="4"/>
  <c r="H16" i="57"/>
  <c r="I54" i="5" s="1"/>
  <c r="I13" i="57"/>
  <c r="I16" i="57" s="1"/>
  <c r="J54" i="5" s="1"/>
  <c r="I13" i="97"/>
  <c r="I16" i="97" s="1"/>
  <c r="J51" i="5" s="1"/>
  <c r="H16" i="97"/>
  <c r="I51" i="5" s="1"/>
  <c r="I12" i="88"/>
  <c r="K59" i="5"/>
  <c r="H16" i="67"/>
  <c r="I65" i="5" s="1"/>
  <c r="I13" i="67"/>
  <c r="I16" i="67" s="1"/>
  <c r="J65" i="5" s="1"/>
  <c r="K65" i="5" s="1"/>
  <c r="I70" i="5"/>
  <c r="K70" i="5" s="1"/>
  <c r="H54" i="72"/>
  <c r="H68" i="5"/>
  <c r="G22" i="5"/>
  <c r="I13" i="5"/>
  <c r="K13" i="5" s="1"/>
  <c r="I9" i="1"/>
  <c r="I16" i="1" s="1"/>
  <c r="J8" i="5" s="1"/>
  <c r="H16" i="1"/>
  <c r="I8" i="5" s="1"/>
  <c r="H16" i="78"/>
  <c r="I76" i="5" s="1"/>
  <c r="I9" i="78"/>
  <c r="I16" i="78" s="1"/>
  <c r="J76" i="5" s="1"/>
  <c r="K76" i="5" s="1"/>
  <c r="B26" i="4"/>
  <c r="K74" i="5"/>
  <c r="K60" i="5"/>
  <c r="I9" i="52"/>
  <c r="I16" i="52" s="1"/>
  <c r="J49" i="5" s="1"/>
  <c r="H16" i="52"/>
  <c r="I49" i="5" s="1"/>
  <c r="H15" i="4"/>
  <c r="G16" i="94"/>
  <c r="I9" i="8"/>
  <c r="I16" i="8" s="1"/>
  <c r="J10" i="5" s="1"/>
  <c r="H16" i="8"/>
  <c r="I10" i="5" s="1"/>
  <c r="D18" i="4"/>
  <c r="D19" i="4" s="1"/>
  <c r="I16" i="83"/>
  <c r="J28" i="5" s="1"/>
  <c r="K28" i="5" s="1"/>
  <c r="I10" i="86"/>
  <c r="I10" i="4"/>
  <c r="F23" i="101"/>
  <c r="I9" i="80"/>
  <c r="H16" i="80"/>
  <c r="I79" i="5" s="1"/>
  <c r="H9" i="101"/>
  <c r="H12" i="101"/>
  <c r="I12" i="80"/>
  <c r="I12" i="101" s="1"/>
  <c r="I11" i="80"/>
  <c r="I11" i="101" s="1"/>
  <c r="H11" i="101"/>
  <c r="G22" i="101"/>
  <c r="H78" i="5"/>
  <c r="H14" i="101"/>
  <c r="I14" i="100"/>
  <c r="H16" i="100"/>
  <c r="H15" i="101"/>
  <c r="I15" i="100"/>
  <c r="I15" i="101" s="1"/>
  <c r="G16" i="101"/>
  <c r="I9" i="77"/>
  <c r="I16" i="77" s="1"/>
  <c r="J75" i="5" s="1"/>
  <c r="H16" i="77"/>
  <c r="I75" i="5" s="1"/>
  <c r="I9" i="75"/>
  <c r="I16" i="75" s="1"/>
  <c r="J73" i="5" s="1"/>
  <c r="H16" i="75"/>
  <c r="I73" i="5" s="1"/>
  <c r="I16" i="70"/>
  <c r="H16" i="70"/>
  <c r="I9" i="68"/>
  <c r="I16" i="68" s="1"/>
  <c r="J66" i="5" s="1"/>
  <c r="H16" i="68"/>
  <c r="I66" i="5" s="1"/>
  <c r="H9" i="59"/>
  <c r="G16" i="59"/>
  <c r="H64" i="5" s="1"/>
  <c r="H16" i="66"/>
  <c r="I63" i="5" s="1"/>
  <c r="I9" i="66"/>
  <c r="I16" i="66" s="1"/>
  <c r="J63" i="5" s="1"/>
  <c r="K63" i="5" s="1"/>
  <c r="I9" i="92"/>
  <c r="I16" i="92" s="1"/>
  <c r="J62" i="5" s="1"/>
  <c r="H16" i="92"/>
  <c r="I62" i="5" s="1"/>
  <c r="I9" i="64"/>
  <c r="I16" i="64" s="1"/>
  <c r="J61" i="5" s="1"/>
  <c r="H16" i="64"/>
  <c r="I61" i="5" s="1"/>
  <c r="I9" i="69"/>
  <c r="I16" i="69" s="1"/>
  <c r="J67" i="5" s="1"/>
  <c r="H16" i="69"/>
  <c r="I67" i="5" s="1"/>
  <c r="G10" i="88"/>
  <c r="G16" i="88" s="1"/>
  <c r="H10" i="61"/>
  <c r="I13" i="61"/>
  <c r="I13" i="88" s="1"/>
  <c r="H13" i="88"/>
  <c r="I11" i="61"/>
  <c r="I11" i="88" s="1"/>
  <c r="H11" i="88"/>
  <c r="I9" i="61"/>
  <c r="H16" i="61"/>
  <c r="I58" i="5" s="1"/>
  <c r="H9" i="88"/>
  <c r="I14" i="61"/>
  <c r="I14" i="88" s="1"/>
  <c r="H14" i="88"/>
  <c r="I9" i="65"/>
  <c r="I16" i="65" s="1"/>
  <c r="J56" i="5" s="1"/>
  <c r="H16" i="65"/>
  <c r="I56" i="5" s="1"/>
  <c r="I10" i="96"/>
  <c r="I16" i="96" s="1"/>
  <c r="J50" i="5" s="1"/>
  <c r="H16" i="96"/>
  <c r="I50" i="5" s="1"/>
  <c r="K55" i="5"/>
  <c r="K53" i="5"/>
  <c r="I13" i="51"/>
  <c r="I13" i="91" s="1"/>
  <c r="H13" i="91"/>
  <c r="I9" i="51"/>
  <c r="H9" i="91"/>
  <c r="H16" i="51"/>
  <c r="I48" i="5" s="1"/>
  <c r="H10" i="91"/>
  <c r="I10" i="51"/>
  <c r="I10" i="91" s="1"/>
  <c r="I15" i="51"/>
  <c r="I15" i="91" s="1"/>
  <c r="H15" i="91"/>
  <c r="G16" i="91"/>
  <c r="I12" i="51"/>
  <c r="I12" i="91" s="1"/>
  <c r="H12" i="91"/>
  <c r="I11" i="51"/>
  <c r="I11" i="91" s="1"/>
  <c r="H11" i="91"/>
  <c r="H14" i="91"/>
  <c r="I14" i="51"/>
  <c r="I14" i="91" s="1"/>
  <c r="I9" i="43"/>
  <c r="I16" i="43" s="1"/>
  <c r="J43" i="5" s="1"/>
  <c r="H16" i="43"/>
  <c r="I43" i="5" s="1"/>
  <c r="H15" i="87"/>
  <c r="I15" i="71"/>
  <c r="I15" i="87" s="1"/>
  <c r="I12" i="71"/>
  <c r="I12" i="87" s="1"/>
  <c r="H12" i="87"/>
  <c r="I9" i="71"/>
  <c r="H9" i="87"/>
  <c r="H16" i="71"/>
  <c r="I69" i="5" s="1"/>
  <c r="I13" i="71"/>
  <c r="I13" i="87" s="1"/>
  <c r="H13" i="87"/>
  <c r="G16" i="87"/>
  <c r="H10" i="87"/>
  <c r="I10" i="71"/>
  <c r="I10" i="87" s="1"/>
  <c r="I11" i="71"/>
  <c r="I11" i="87" s="1"/>
  <c r="H11" i="87"/>
  <c r="K41" i="5"/>
  <c r="H16" i="39"/>
  <c r="I40" i="5" s="1"/>
  <c r="I9" i="39"/>
  <c r="I16" i="39" s="1"/>
  <c r="J40" i="5" s="1"/>
  <c r="I9" i="36"/>
  <c r="I16" i="36" s="1"/>
  <c r="J38" i="5" s="1"/>
  <c r="H16" i="36"/>
  <c r="I38" i="5" s="1"/>
  <c r="H16" i="34"/>
  <c r="I36" i="5" s="1"/>
  <c r="I9" i="34"/>
  <c r="I16" i="34" s="1"/>
  <c r="J36" i="5" s="1"/>
  <c r="H16" i="35"/>
  <c r="I37" i="5" s="1"/>
  <c r="I14" i="35"/>
  <c r="I14" i="94" s="1"/>
  <c r="H14" i="94"/>
  <c r="H12" i="94"/>
  <c r="I12" i="35"/>
  <c r="I12" i="94" s="1"/>
  <c r="H10" i="94"/>
  <c r="I10" i="35"/>
  <c r="I10" i="94" s="1"/>
  <c r="K35" i="5"/>
  <c r="I9" i="32"/>
  <c r="I16" i="32" s="1"/>
  <c r="J34" i="5" s="1"/>
  <c r="H16" i="32"/>
  <c r="I34" i="5" s="1"/>
  <c r="I12" i="24"/>
  <c r="I13" i="86" s="1"/>
  <c r="H13" i="86"/>
  <c r="G17" i="86"/>
  <c r="I10" i="24"/>
  <c r="I11" i="86" s="1"/>
  <c r="H11" i="86"/>
  <c r="I13" i="24"/>
  <c r="I14" i="86" s="1"/>
  <c r="H14" i="86"/>
  <c r="I9" i="24"/>
  <c r="H16" i="24"/>
  <c r="I23" i="5" s="1"/>
  <c r="H9" i="86"/>
  <c r="I9" i="89"/>
  <c r="I16" i="20"/>
  <c r="J19" i="5" s="1"/>
  <c r="K19" i="5" s="1"/>
  <c r="G15" i="85"/>
  <c r="H15" i="49"/>
  <c r="H16" i="49" s="1"/>
  <c r="I46" i="5" s="1"/>
  <c r="G16" i="4"/>
  <c r="I12" i="49"/>
  <c r="I13" i="49"/>
  <c r="I10" i="49"/>
  <c r="H13" i="13"/>
  <c r="G16" i="13"/>
  <c r="H14" i="5" s="1"/>
  <c r="H10" i="23"/>
  <c r="G16" i="23"/>
  <c r="I16" i="18" l="1"/>
  <c r="J17" i="5" s="1"/>
  <c r="K17" i="5" s="1"/>
  <c r="I14" i="90"/>
  <c r="I16" i="90" s="1"/>
  <c r="I14" i="21"/>
  <c r="H16" i="21"/>
  <c r="I20" i="5" s="1"/>
  <c r="H14" i="89"/>
  <c r="H16" i="89" s="1"/>
  <c r="K21" i="5"/>
  <c r="I13" i="89"/>
  <c r="D25" i="4"/>
  <c r="D26" i="4" s="1"/>
  <c r="H16" i="28"/>
  <c r="I30" i="5" s="1"/>
  <c r="I14" i="28"/>
  <c r="H15" i="86"/>
  <c r="I16" i="29"/>
  <c r="J31" i="5" s="1"/>
  <c r="K31" i="5" s="1"/>
  <c r="I16" i="86"/>
  <c r="K40" i="5"/>
  <c r="K45" i="5"/>
  <c r="G10" i="50"/>
  <c r="F10" i="85"/>
  <c r="F11" i="4"/>
  <c r="E31" i="4"/>
  <c r="E33" i="4" s="1"/>
  <c r="E17" i="4"/>
  <c r="G11" i="50"/>
  <c r="F11" i="85"/>
  <c r="F12" i="4"/>
  <c r="E18" i="50"/>
  <c r="F47" i="5"/>
  <c r="F80" i="5" s="1"/>
  <c r="F85" i="5" s="1"/>
  <c r="E40" i="50"/>
  <c r="F9" i="85"/>
  <c r="F16" i="50"/>
  <c r="G9" i="50"/>
  <c r="F9" i="4"/>
  <c r="G13" i="50"/>
  <c r="F13" i="85"/>
  <c r="F14" i="4"/>
  <c r="E16" i="85"/>
  <c r="G12" i="50"/>
  <c r="F12" i="85"/>
  <c r="F13" i="4"/>
  <c r="K54" i="5"/>
  <c r="K51" i="5"/>
  <c r="K62" i="5"/>
  <c r="H22" i="5"/>
  <c r="I68" i="5"/>
  <c r="J68" i="5"/>
  <c r="K8" i="5"/>
  <c r="K10" i="5"/>
  <c r="K75" i="5"/>
  <c r="K56" i="5"/>
  <c r="K49" i="5"/>
  <c r="J10" i="4"/>
  <c r="K36" i="5"/>
  <c r="I9" i="101"/>
  <c r="I16" i="80"/>
  <c r="J79" i="5" s="1"/>
  <c r="K79" i="5" s="1"/>
  <c r="I78" i="5"/>
  <c r="H22" i="101"/>
  <c r="I14" i="101"/>
  <c r="I16" i="100"/>
  <c r="H16" i="101"/>
  <c r="G23" i="101"/>
  <c r="K73" i="5"/>
  <c r="K66" i="5"/>
  <c r="H16" i="59"/>
  <c r="I64" i="5" s="1"/>
  <c r="I9" i="59"/>
  <c r="I16" i="59" s="1"/>
  <c r="J64" i="5" s="1"/>
  <c r="K61" i="5"/>
  <c r="K67" i="5"/>
  <c r="I10" i="61"/>
  <c r="I10" i="88" s="1"/>
  <c r="H10" i="88"/>
  <c r="H16" i="88" s="1"/>
  <c r="I9" i="88"/>
  <c r="K50" i="5"/>
  <c r="I15" i="4"/>
  <c r="I9" i="91"/>
  <c r="I16" i="91" s="1"/>
  <c r="I16" i="51"/>
  <c r="J48" i="5" s="1"/>
  <c r="K48" i="5" s="1"/>
  <c r="H16" i="91"/>
  <c r="K43" i="5"/>
  <c r="I9" i="87"/>
  <c r="I16" i="87" s="1"/>
  <c r="I16" i="71"/>
  <c r="J69" i="5" s="1"/>
  <c r="K69" i="5" s="1"/>
  <c r="H16" i="87"/>
  <c r="K38" i="5"/>
  <c r="I9" i="94"/>
  <c r="I16" i="94" s="1"/>
  <c r="H16" i="94"/>
  <c r="I16" i="35"/>
  <c r="J37" i="5" s="1"/>
  <c r="K37" i="5" s="1"/>
  <c r="K34" i="5"/>
  <c r="H17" i="86"/>
  <c r="I9" i="86"/>
  <c r="I16" i="24"/>
  <c r="J23" i="5" s="1"/>
  <c r="K23" i="5" s="1"/>
  <c r="H15" i="85"/>
  <c r="H16" i="4"/>
  <c r="I15" i="49"/>
  <c r="I16" i="49" s="1"/>
  <c r="J46" i="5" s="1"/>
  <c r="K46" i="5" s="1"/>
  <c r="I13" i="13"/>
  <c r="H16" i="13"/>
  <c r="I14" i="5" s="1"/>
  <c r="I10" i="23"/>
  <c r="H16" i="23"/>
  <c r="E82" i="5" l="1"/>
  <c r="E83" i="5" s="1"/>
  <c r="I16" i="21"/>
  <c r="J20" i="5" s="1"/>
  <c r="K20" i="5" s="1"/>
  <c r="I14" i="89"/>
  <c r="I16" i="89" s="1"/>
  <c r="I16" i="28"/>
  <c r="J30" i="5" s="1"/>
  <c r="K30" i="5" s="1"/>
  <c r="I15" i="86"/>
  <c r="I17" i="86" s="1"/>
  <c r="G47" i="5"/>
  <c r="F40" i="50"/>
  <c r="H11" i="50"/>
  <c r="G11" i="85"/>
  <c r="G12" i="4"/>
  <c r="F16" i="85"/>
  <c r="E25" i="4"/>
  <c r="E18" i="4"/>
  <c r="H12" i="50"/>
  <c r="G12" i="85"/>
  <c r="G13" i="4"/>
  <c r="H13" i="50"/>
  <c r="G13" i="85"/>
  <c r="G14" i="4"/>
  <c r="F31" i="4"/>
  <c r="F33" i="4" s="1"/>
  <c r="F17" i="4"/>
  <c r="G9" i="85"/>
  <c r="G16" i="50"/>
  <c r="H9" i="50"/>
  <c r="G9" i="4"/>
  <c r="H10" i="50"/>
  <c r="G10" i="85"/>
  <c r="G11" i="4"/>
  <c r="K68" i="5"/>
  <c r="I22" i="5"/>
  <c r="I16" i="101"/>
  <c r="I22" i="101"/>
  <c r="J78" i="5"/>
  <c r="K78" i="5" s="1"/>
  <c r="H23" i="101"/>
  <c r="K64" i="5"/>
  <c r="I16" i="88"/>
  <c r="I16" i="61"/>
  <c r="J58" i="5" s="1"/>
  <c r="K58" i="5" s="1"/>
  <c r="J15" i="4"/>
  <c r="I15" i="85"/>
  <c r="I16" i="4"/>
  <c r="I16" i="13"/>
  <c r="J14" i="5" s="1"/>
  <c r="K14" i="5" s="1"/>
  <c r="I16" i="23"/>
  <c r="E19" i="4" l="1"/>
  <c r="F25" i="4"/>
  <c r="F26" i="4" s="1"/>
  <c r="I11" i="50"/>
  <c r="H11" i="85"/>
  <c r="H12" i="4"/>
  <c r="I10" i="50"/>
  <c r="H10" i="85"/>
  <c r="H11" i="4"/>
  <c r="G16" i="85"/>
  <c r="H47" i="5"/>
  <c r="H80" i="5" s="1"/>
  <c r="G40" i="50"/>
  <c r="G31" i="4"/>
  <c r="G33" i="4" s="1"/>
  <c r="G17" i="4"/>
  <c r="I12" i="50"/>
  <c r="H13" i="4"/>
  <c r="H12" i="85"/>
  <c r="G80" i="5"/>
  <c r="E26" i="4"/>
  <c r="F82" i="5"/>
  <c r="F83" i="5" s="1"/>
  <c r="H9" i="85"/>
  <c r="H16" i="50"/>
  <c r="I9" i="50"/>
  <c r="H9" i="4"/>
  <c r="I13" i="50"/>
  <c r="H13" i="85"/>
  <c r="H14" i="4"/>
  <c r="J22" i="5"/>
  <c r="I23" i="101"/>
  <c r="I24" i="101"/>
  <c r="J16" i="4"/>
  <c r="G82" i="5" l="1"/>
  <c r="G83" i="5" s="1"/>
  <c r="G25" i="4"/>
  <c r="H82" i="5" s="1"/>
  <c r="H83" i="5" s="1"/>
  <c r="I13" i="85"/>
  <c r="I14" i="4"/>
  <c r="H16" i="85"/>
  <c r="I12" i="85"/>
  <c r="I13" i="4"/>
  <c r="I10" i="85"/>
  <c r="I11" i="4"/>
  <c r="I47" i="5"/>
  <c r="H40" i="50"/>
  <c r="H31" i="4"/>
  <c r="H33" i="4" s="1"/>
  <c r="H17" i="4"/>
  <c r="I11" i="85"/>
  <c r="I12" i="4"/>
  <c r="I16" i="50"/>
  <c r="J47" i="5" s="1"/>
  <c r="J80" i="5" s="1"/>
  <c r="I9" i="85"/>
  <c r="I9" i="4"/>
  <c r="K22" i="5"/>
  <c r="G26" i="4" l="1"/>
  <c r="H25" i="4"/>
  <c r="H26" i="4" s="1"/>
  <c r="J11" i="4"/>
  <c r="J14" i="4"/>
  <c r="J12" i="4"/>
  <c r="J13" i="4"/>
  <c r="I16" i="85"/>
  <c r="I80" i="5"/>
  <c r="K47" i="5"/>
  <c r="K80" i="5" s="1"/>
  <c r="I17" i="4"/>
  <c r="I31" i="4"/>
  <c r="I33" i="4" s="1"/>
  <c r="J9" i="4"/>
  <c r="I82" i="5" l="1"/>
  <c r="I83" i="5" s="1"/>
  <c r="I25" i="4"/>
  <c r="I26" i="4" s="1"/>
  <c r="J17" i="4"/>
  <c r="J82" i="5" l="1"/>
  <c r="J83" i="5" s="1"/>
  <c r="J25" i="4"/>
  <c r="D27" i="4"/>
  <c r="D28" i="4" s="1"/>
  <c r="K82" i="5" l="1"/>
  <c r="K83" i="5" s="1"/>
  <c r="J26" i="4"/>
  <c r="E27" i="4"/>
  <c r="E28" i="4" s="1"/>
  <c r="F27" i="4" l="1"/>
  <c r="F28" i="4" s="1"/>
  <c r="G27" i="4"/>
  <c r="G28" i="4" s="1"/>
  <c r="H27" i="4" l="1"/>
  <c r="H28" i="4" s="1"/>
  <c r="I27" i="4"/>
  <c r="I28" i="4" s="1"/>
  <c r="J27" i="4" l="1"/>
  <c r="J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A13" authorId="0" shapeId="0" xr:uid="{1822984B-5E8A-4852-BD18-816CA0FCCF60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Council,Finance-contrib,CCP,Hero,Indemn,Refunds,SDP,DHS,MDO,Scholar,OHS,Prisons,PPR,Streets</t>
        </r>
      </text>
    </comment>
    <comment ref="A15" authorId="0" shapeId="0" xr:uid="{A2050B2B-CBD2-46BB-B12C-B490BC2E308D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PayasyouGO Capital
HTF
Fire-hydrants
Sustainability
Public Property</t>
        </r>
      </text>
    </comment>
    <comment ref="A16" authorId="0" shapeId="0" xr:uid="{383F253E-96A7-402F-8467-6D21BF2009BF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Labor Reserve
Recession Reserve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1D954AF6-AEB5-4895-9306-8EAD82ACF4F0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-1
fb adj +233805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119CBFD3-C92C-4FD8-8846-121B197E4A9D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+15538,-45000</t>
        </r>
      </text>
    </comment>
    <comment ref="B11" authorId="0" shapeId="0" xr:uid="{E8FE8DB8-05E5-44C6-9862-D9A3CA020C44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+110905</t>
        </r>
      </text>
    </comment>
    <comment ref="B14" authorId="0" shapeId="0" xr:uid="{4B570B00-73CF-481C-99EC-2FBB3DA6838E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+341
fb adj +1946659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9" authorId="0" shapeId="0" xr:uid="{5D1CBB9F-A86F-43D8-A9B2-99B466AAE65B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+1</t>
        </r>
      </text>
    </comment>
    <comment ref="B10" authorId="0" shapeId="0" xr:uid="{D74CD905-33F6-43C8-8B84-32E61B82CA9B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+20505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539C63CD-E369-40D1-A5F8-8A3E38B7BB58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-328681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CA921547-1600-4844-BB4A-3AC5CD037108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+219844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E11A6628-77CA-4653-8E7F-F15C016767A6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+222123</t>
        </r>
      </text>
    </comment>
    <comment ref="B11" authorId="0" shapeId="0" xr:uid="{47BDE5F4-CA75-45C2-B66D-5BC111824777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911 +1164825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1" authorId="0" shapeId="0" xr:uid="{9777EF11-64DB-4873-A8E1-8A5BF5E8CE87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+1164825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A09E331D-9308-4695-9246-3F8837CECA39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+43865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ROBERT.FITZMARTIN</author>
  </authors>
  <commentList>
    <comment ref="C6" authorId="0" shapeId="0" xr:uid="{00000000-0006-0000-3A00-000001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(Created in FY18)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D6FCF8A4-CB19-4A23-80C2-414BD715C148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+1434792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1D7BE955-E30E-4544-A466-43820A5BD75D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+693000</t>
        </r>
      </text>
    </comment>
    <comment ref="B11" authorId="0" shapeId="0" xr:uid="{C0B26AEA-94AA-449F-84D1-2B319C061405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+400969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20957F0F-5E78-45F7-AAA9-E252F300887A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+86478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4BDF3E4D-7E24-4E70-B901-6FE71AC7ECF8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-367959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3F530653-8B92-437F-9983-6FFD8C08867F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-1
fb adj +7482271,-98810</t>
        </r>
      </text>
    </comment>
    <comment ref="B11" authorId="0" shapeId="0" xr:uid="{D5A65D73-FAD3-4FC9-88DA-CEAE8D129C5F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+170815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65FFD216-58F7-46C9-8E5A-197C3C706510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+1288763, -1250543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9CD6FA86-0CC9-4E1E-86D5-761C2D59830E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+1288763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D1734705-162B-4B24-99CB-F0CC84205392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+34075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D6214944-552B-4B50-8DE3-2E4F3D3977A8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+5122108</t>
        </r>
      </text>
    </comment>
    <comment ref="F21" authorId="0" shapeId="0" xr:uid="{584D73BD-24F1-4EB3-B3E6-5B5B4F1EF98F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+1 rounding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AEF1595A-3983-416C-B2A4-C3CEC90E1E21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+519599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9" authorId="0" shapeId="0" xr:uid="{524D45B3-D53C-4E83-8DE6-34C951258F5B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+1</t>
        </r>
      </text>
    </comment>
    <comment ref="B10" authorId="0" shapeId="0" xr:uid="{A3CAE6D8-8655-4F82-9EA7-6ABBC7F10229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+519599, +245440</t>
        </r>
      </text>
    </comment>
    <comment ref="B12" authorId="0" shapeId="0" xr:uid="{A74C6D2A-048E-46BD-A87B-B5A115F7884E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-1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9" authorId="0" shapeId="0" xr:uid="{4BC049C7-47A2-4D39-A8C9-7B199E2098D0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-1
fb adj for fringes +2038765, -980784, -513601, +567023, +966426, +2053396</t>
        </r>
      </text>
    </comment>
    <comment ref="B10" authorId="0" shapeId="0" xr:uid="{6CC8E31F-B299-4F74-9EC8-63C1ADB00AF9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+9438</t>
        </r>
      </text>
    </comment>
    <comment ref="B12" authorId="0" shapeId="0" xr:uid="{931B7997-28FD-45FA-AD16-346C66683235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rounding -1
fb adj +609607, +7238981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  <author>ROBERT.FITZMARTIN</author>
  </authors>
  <commentList>
    <comment ref="N9" authorId="0" shapeId="0" xr:uid="{940DFE44-1123-43C8-9FF6-BE8457BD5879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+2038765</t>
        </r>
      </text>
    </comment>
    <comment ref="AG9" authorId="1" shapeId="0" xr:uid="{00000000-0006-0000-1500-000002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A/P = 
-97,193.28
</t>
        </r>
      </text>
    </comment>
    <comment ref="N10" authorId="0" shapeId="0" xr:uid="{76C6D8E6-B80E-47A9-AA9B-70305301B334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-980784, -513601</t>
        </r>
      </text>
    </comment>
    <comment ref="AG10" authorId="1" shapeId="0" xr:uid="{00000000-0006-0000-1500-000004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A/P = 
187 
188  
Net = 816,864.58 
151 TO REG 32 Sheet
</t>
        </r>
      </text>
    </comment>
    <comment ref="P11" authorId="0" shapeId="0" xr:uid="{5B86EAA1-0729-410A-98E1-32D10FEA95A8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QCMR amount; update for revised acct % calc?</t>
        </r>
      </text>
    </comment>
    <comment ref="N13" authorId="0" shapeId="0" xr:uid="{F4CCE130-7A08-497C-B013-0DEF4B970D95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+567023,+966426</t>
        </r>
      </text>
    </comment>
    <comment ref="N14" authorId="0" shapeId="0" xr:uid="{D30BA968-7D57-480E-9E30-6AF740B578C4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+2053396,-600000
rounding -1</t>
        </r>
      </text>
    </comment>
    <comment ref="Q14" authorId="0" shapeId="0" xr:uid="{D77EDCD1-6678-4A51-B43C-6AB4E46BF1C3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+180 rounding</t>
        </r>
      </text>
    </comment>
    <comment ref="AG14" authorId="1" shapeId="0" xr:uid="{00000000-0006-0000-1500-000006000000}">
      <text>
        <r>
          <rPr>
            <b/>
            <sz val="9"/>
            <color indexed="81"/>
            <rFont val="Tahoma"/>
            <family val="2"/>
          </rPr>
          <t>ROBERT.FITZMARTIN:</t>
        </r>
        <r>
          <rPr>
            <sz val="9"/>
            <color indexed="81"/>
            <rFont val="Tahoma"/>
            <family val="2"/>
          </rPr>
          <t xml:space="preserve">
FB A/P = 
+3,772,220
GL407 - -600,000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2" authorId="0" shapeId="0" xr:uid="{335CD065-4571-4F97-98DF-52C8C19C892A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1" authorId="0" shapeId="0" xr:uid="{B98F7084-A110-4744-A547-D496182EF07D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+144283</t>
        </r>
      </text>
    </comment>
    <comment ref="A14" authorId="0" shapeId="0" xr:uid="{7E880416-EB06-4CDE-B444-71C4CECEEA15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Amount from Water exog. Var. submission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29F20F7D-3686-4582-B1E3-F59AC47C743F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+43425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33CFDEDD-8126-4C1E-AD2A-71C59AC10441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+96579</t>
        </r>
      </text>
    </comment>
    <comment ref="B11" authorId="0" shapeId="0" xr:uid="{E57E0F47-90C5-4FC8-8B0C-A7F9675ED8E7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+44275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Comia</author>
  </authors>
  <commentList>
    <comment ref="B10" authorId="0" shapeId="0" xr:uid="{DA6B20F6-66E3-47DE-AAB9-8A7DFA5CE5EC}">
      <text>
        <r>
          <rPr>
            <b/>
            <sz val="9"/>
            <color indexed="81"/>
            <rFont val="Tahoma"/>
            <family val="2"/>
          </rPr>
          <t>Andrew Comia:</t>
        </r>
        <r>
          <rPr>
            <sz val="9"/>
            <color indexed="81"/>
            <rFont val="Tahoma"/>
            <family val="2"/>
          </rPr>
          <t xml:space="preserve">
fb adj +270175</t>
        </r>
      </text>
    </comment>
  </commentList>
</comments>
</file>

<file path=xl/sharedStrings.xml><?xml version="1.0" encoding="utf-8"?>
<sst xmlns="http://schemas.openxmlformats.org/spreadsheetml/2006/main" count="4222" uniqueCount="914">
  <si>
    <t>City of Philadelphia</t>
  </si>
  <si>
    <t>General Fund</t>
  </si>
  <si>
    <t>Master Schedule</t>
  </si>
  <si>
    <t>Expenditure Class</t>
  </si>
  <si>
    <t>Class 100 - Wages</t>
  </si>
  <si>
    <t>Class 200 - Contracts / Leases</t>
  </si>
  <si>
    <t>Class 300/400 - Supplies, Equipment</t>
  </si>
  <si>
    <t>Class 500 - Indemnities / Contributions</t>
  </si>
  <si>
    <t>Class 700 - Debt Service</t>
  </si>
  <si>
    <t>Class 800 - Payments to Other Funds</t>
  </si>
  <si>
    <t>Class 900 - Advances / Misc. Payments</t>
  </si>
  <si>
    <t>Total</t>
  </si>
  <si>
    <t>Adjustments:</t>
  </si>
  <si>
    <t>Class</t>
  </si>
  <si>
    <t>Department:</t>
  </si>
  <si>
    <t>Summary by Department</t>
  </si>
  <si>
    <t>Department Name</t>
  </si>
  <si>
    <t>#</t>
  </si>
  <si>
    <t>Atwater Kent Museum</t>
  </si>
  <si>
    <t>Auditing</t>
  </si>
  <si>
    <t>Board of Ethics</t>
  </si>
  <si>
    <t>Board of Revision of Taxes</t>
  </si>
  <si>
    <t>City Commissioners</t>
  </si>
  <si>
    <t>City Council</t>
  </si>
  <si>
    <t>01</t>
  </si>
  <si>
    <t>City Representative</t>
  </si>
  <si>
    <t>City Treasurer</t>
  </si>
  <si>
    <t>Civil Service Commission</t>
  </si>
  <si>
    <t>55L</t>
  </si>
  <si>
    <t>Commerce</t>
  </si>
  <si>
    <t>42CC</t>
  </si>
  <si>
    <t>Commerce - Convention Center Subsidy</t>
  </si>
  <si>
    <t>42ES</t>
  </si>
  <si>
    <t>Commerce - Economic Stimulus</t>
  </si>
  <si>
    <t>District Attorney</t>
  </si>
  <si>
    <t>Finance</t>
  </si>
  <si>
    <t>35CC</t>
  </si>
  <si>
    <t>Finance - Community College Subsidy</t>
  </si>
  <si>
    <t>35HA</t>
  </si>
  <si>
    <t>Finance - Hero Awards</t>
  </si>
  <si>
    <t>35SD</t>
  </si>
  <si>
    <t>Finance - School District Contribution</t>
  </si>
  <si>
    <t>35R</t>
  </si>
  <si>
    <t>Finance - Refunds</t>
  </si>
  <si>
    <t>35 IN</t>
  </si>
  <si>
    <t>Finance - Indemnities</t>
  </si>
  <si>
    <t>35WF</t>
  </si>
  <si>
    <t>Finance - Witness Fees</t>
  </si>
  <si>
    <t>Fire</t>
  </si>
  <si>
    <t>First Judicial District</t>
  </si>
  <si>
    <t>Fleet Management</t>
  </si>
  <si>
    <t>Free Library</t>
  </si>
  <si>
    <t>Human Relations Commission</t>
  </si>
  <si>
    <t>Human Services</t>
  </si>
  <si>
    <t>03</t>
  </si>
  <si>
    <t>Law</t>
  </si>
  <si>
    <t>Managing Director</t>
  </si>
  <si>
    <t>10LS</t>
  </si>
  <si>
    <t>Managing Director - Legal Services</t>
  </si>
  <si>
    <t>05</t>
  </si>
  <si>
    <t>Mayor</t>
  </si>
  <si>
    <t>05S</t>
  </si>
  <si>
    <t>Mayor - Scholarships</t>
  </si>
  <si>
    <t>08</t>
  </si>
  <si>
    <t>Mural Arts Program</t>
  </si>
  <si>
    <t>Office of Arts and Culture and the Creative Economy</t>
  </si>
  <si>
    <t>Office of Human Resources</t>
  </si>
  <si>
    <t>04</t>
  </si>
  <si>
    <t>Office of Innovation and Technology</t>
  </si>
  <si>
    <t>04 - 911</t>
  </si>
  <si>
    <t>Office of Innovation and Technology - 911</t>
  </si>
  <si>
    <t>Office of Property Assessment</t>
  </si>
  <si>
    <t>Parks and Recreation</t>
  </si>
  <si>
    <t>Police</t>
  </si>
  <si>
    <t>Prisons</t>
  </si>
  <si>
    <t>Procurement</t>
  </si>
  <si>
    <t>Public Health</t>
  </si>
  <si>
    <t>Public Property</t>
  </si>
  <si>
    <t>20SS</t>
  </si>
  <si>
    <t>Public Property - SEPTA Subsidy</t>
  </si>
  <si>
    <t>20SR</t>
  </si>
  <si>
    <t>Public Property - Space Rentals</t>
  </si>
  <si>
    <t>20U</t>
  </si>
  <si>
    <t>Public Property - Utilities</t>
  </si>
  <si>
    <t>Records</t>
  </si>
  <si>
    <t>Register of Wills</t>
  </si>
  <si>
    <t>Revenue</t>
  </si>
  <si>
    <t>Sheriff</t>
  </si>
  <si>
    <t>Sinking Fund Commission (Debt Service)</t>
  </si>
  <si>
    <t>FY20</t>
  </si>
  <si>
    <t>35EB</t>
  </si>
  <si>
    <t>35IN</t>
  </si>
  <si>
    <t>25V</t>
  </si>
  <si>
    <t>04-911</t>
  </si>
  <si>
    <t>Finance - Employee Benefits</t>
  </si>
  <si>
    <t>Fleet Management - Vehicle Lease/Purchases</t>
  </si>
  <si>
    <t>Mayor's Office of Community Empowerment and Opportunity</t>
  </si>
  <si>
    <t>Office of Behavioral Health and Intellectual disAbilities</t>
  </si>
  <si>
    <t>Office of Inspector General</t>
  </si>
  <si>
    <t>Unemployment Comp.</t>
  </si>
  <si>
    <t>Employee Disability</t>
  </si>
  <si>
    <t>Pension</t>
  </si>
  <si>
    <t>Pension Obligation Bonds</t>
  </si>
  <si>
    <t>FICA</t>
  </si>
  <si>
    <t>Health / Medical</t>
  </si>
  <si>
    <t>Group Legal</t>
  </si>
  <si>
    <t>Tool Allowance</t>
  </si>
  <si>
    <t>Flex Cash Payments</t>
  </si>
  <si>
    <t>Class 100 - Benefits</t>
  </si>
  <si>
    <t>Class 500 - Indemnities / Contributions*</t>
  </si>
  <si>
    <t>ART MUSEUM SUBSIDY</t>
  </si>
  <si>
    <t>ATWATER KENT MUSEUM</t>
  </si>
  <si>
    <t>SINKING FUND COMMISSION (DEBT SERVICE)</t>
  </si>
  <si>
    <t>SHERIFF</t>
  </si>
  <si>
    <t>REVENUE</t>
  </si>
  <si>
    <t>REGISTER OF WILLS</t>
  </si>
  <si>
    <t>RECORDS</t>
  </si>
  <si>
    <t>PUBLIC PROPERTY - UTILITIES</t>
  </si>
  <si>
    <t>PUBLIC PROPERTY - SPACE RENTALS</t>
  </si>
  <si>
    <t>PUBLIC PROPERTY - SEPTA SUBSIDY</t>
  </si>
  <si>
    <t>PUBLIC PROPERTY</t>
  </si>
  <si>
    <t>PUBLIC HEALTH</t>
  </si>
  <si>
    <t>PROCUREMENT</t>
  </si>
  <si>
    <t>PRISONS</t>
  </si>
  <si>
    <t>POLICE</t>
  </si>
  <si>
    <t>PARKS AND RECREATION</t>
  </si>
  <si>
    <t>OFFICE OF PROPERTY ASSESSMENT</t>
  </si>
  <si>
    <t>OFFICE OF THE INSPECTOR GENERAL</t>
  </si>
  <si>
    <t>OFFICE OF HUMAN RESOURCES</t>
  </si>
  <si>
    <t>OFFICE OF BEHAVIORAL HEALTH AND INTELLECTUAL DISABILITY</t>
  </si>
  <si>
    <t>OFFICE OF ARTS AND CULTURE AND THE CREATIVE ECONOMY</t>
  </si>
  <si>
    <t>MURAL ARTS PROGRAM</t>
  </si>
  <si>
    <t>MAYOR - SCHOLARSHIPS</t>
  </si>
  <si>
    <t>MAYOR</t>
  </si>
  <si>
    <t>MANAGING DIRECTOR</t>
  </si>
  <si>
    <t>L+I - BOARD OF L+I REVIEW</t>
  </si>
  <si>
    <t>L+I - BOARD OF BUILDING STANDARDS</t>
  </si>
  <si>
    <t>LICENSES AND INSPECTIONS</t>
  </si>
  <si>
    <t>LAW</t>
  </si>
  <si>
    <t>HUMAN SERVICES</t>
  </si>
  <si>
    <t>HUMAN RELATIONS COMMISSION</t>
  </si>
  <si>
    <t>FREE LIBRARY</t>
  </si>
  <si>
    <t>FLEET MANAGEMENT - VEHICLE LEASE/PURCHASE</t>
  </si>
  <si>
    <t>FLEET MANAGEMENT</t>
  </si>
  <si>
    <t>FIRST JUDICIAL DISTRICT</t>
  </si>
  <si>
    <t>FIRE</t>
  </si>
  <si>
    <t>FINANCE - WITNESS FEES</t>
  </si>
  <si>
    <t>FINANCE - SCHOOL DISTRICT CONTRIBUTION</t>
  </si>
  <si>
    <t>FINANCE - REFUNDS</t>
  </si>
  <si>
    <t>FINANCE - INDEMNITIES</t>
  </si>
  <si>
    <t>FINANCE - HERO AWARDS</t>
  </si>
  <si>
    <t>FINANCE - EMPLOYEE BENEFITS</t>
  </si>
  <si>
    <t>FINANCE - COMMUNITY COLLEGE SUBSIDY</t>
  </si>
  <si>
    <t>FINANCE</t>
  </si>
  <si>
    <t>DISTRICT ATTORNEY</t>
  </si>
  <si>
    <t>COMMERCE - ECONOMIC STIMULUS</t>
  </si>
  <si>
    <t>COMMERCE - CONVENTION CENTER SUBSIDY</t>
  </si>
  <si>
    <t>COMMERCE</t>
  </si>
  <si>
    <t>CIVIL SERVICE COMMISSION - PROVISIONS FOR FUTURE LABOR AGREEMENTS</t>
  </si>
  <si>
    <t>CIVIL SERVICE COMMISSION</t>
  </si>
  <si>
    <t>CITY TREASURER</t>
  </si>
  <si>
    <t>CITY REPRESENTATIVE</t>
  </si>
  <si>
    <t>CITY COUNCIL</t>
  </si>
  <si>
    <t>CITY COMMISSIONERS</t>
  </si>
  <si>
    <t>BOARD OF REVISION OF TAXES</t>
  </si>
  <si>
    <t>BOARD OF ETHICS</t>
  </si>
  <si>
    <t>AUDITING</t>
  </si>
  <si>
    <t>300/400</t>
  </si>
  <si>
    <t>Exog. Var-800Cl</t>
  </si>
  <si>
    <t>OFFICE OF INNOVATION AND TECHNOLOGY (Base)</t>
  </si>
  <si>
    <t>EV</t>
  </si>
  <si>
    <t>EV-Cl 205</t>
  </si>
  <si>
    <t>DEPT NAME</t>
  </si>
  <si>
    <t>DP #</t>
  </si>
  <si>
    <t>10 - ALL</t>
  </si>
  <si>
    <t>DEFENDER ASSOCIATION</t>
  </si>
  <si>
    <t>COMMUNITY LEGAL SERVICES</t>
  </si>
  <si>
    <t>By Contract:</t>
  </si>
  <si>
    <t>SUPPORT CENTER FOR CHILD ADVOCATES</t>
  </si>
  <si>
    <t>FINANCE - ALL</t>
  </si>
  <si>
    <t>35 - ALL</t>
  </si>
  <si>
    <t>20 - ALL</t>
  </si>
  <si>
    <t>PUBLIC PROPERTY -ALL</t>
  </si>
  <si>
    <t>04 - ALL</t>
  </si>
  <si>
    <t>42 - ALL</t>
  </si>
  <si>
    <t>COMMERCE - ALL</t>
  </si>
  <si>
    <t>55 - ALL</t>
  </si>
  <si>
    <t>CIVIL SERVICE COMMISSION - ALL</t>
  </si>
  <si>
    <t>MANAGING DIRECTOR - ALL</t>
  </si>
  <si>
    <t>OFFICE OF INNOVATION &amp; TECHNOLOGY - ALL</t>
  </si>
  <si>
    <t>MAYOR - ALL</t>
  </si>
  <si>
    <t>TEMPLATE</t>
  </si>
  <si>
    <t>ALL DEPARTMENTS</t>
  </si>
  <si>
    <t>Exog. Var.</t>
  </si>
  <si>
    <t>Civil Service Comm - Provision for Future Labor Obligations</t>
  </si>
  <si>
    <t>Exogenous Variable</t>
  </si>
  <si>
    <t>Exogenous Variables</t>
  </si>
  <si>
    <t>Difference</t>
  </si>
  <si>
    <t>OFFICE OF SUSTAINABILITY</t>
  </si>
  <si>
    <t>Office of Sustainability</t>
  </si>
  <si>
    <t>35BS</t>
  </si>
  <si>
    <t>FINANCE - BUDGET STABILIZATION RESERVE</t>
  </si>
  <si>
    <t>Group Life</t>
  </si>
  <si>
    <t>FLEET - ALL</t>
  </si>
  <si>
    <t>FY21 Estimate</t>
  </si>
  <si>
    <t>FY21</t>
  </si>
  <si>
    <t>Reconciliation Adjustments Sheet</t>
  </si>
  <si>
    <t>Mayor - Office of Chief Administrative Officer</t>
  </si>
  <si>
    <t>EXOG Var.</t>
  </si>
  <si>
    <t>Pension Relief - Sales Tax (0191)</t>
  </si>
  <si>
    <t>Unemployment Comp. (0196)</t>
  </si>
  <si>
    <t>Pension (0191)</t>
  </si>
  <si>
    <t>Pension Obligation Bonds (0190)</t>
  </si>
  <si>
    <t>FICA (0189,0192)</t>
  </si>
  <si>
    <t>Health / Medical (0193)</t>
  </si>
  <si>
    <t>Life (0194)</t>
  </si>
  <si>
    <t>Group Legal (0195)</t>
  </si>
  <si>
    <t>Tool Allowance (0197)</t>
  </si>
  <si>
    <t>Flex Cash Payments (0186)</t>
  </si>
  <si>
    <t>Pension - Plan 10 (0198)</t>
  </si>
  <si>
    <t>L&amp;I: Board of Building Standards</t>
  </si>
  <si>
    <t>L&amp;I: Board of L+I Review</t>
  </si>
  <si>
    <t xml:space="preserve">LABOR </t>
  </si>
  <si>
    <t>FY22 Estimate</t>
  </si>
  <si>
    <t>FY22</t>
  </si>
  <si>
    <t xml:space="preserve">OFFICE OF HOMELESS SERVICES </t>
  </si>
  <si>
    <t>Zero</t>
  </si>
  <si>
    <t>12</t>
  </si>
  <si>
    <t>Streets</t>
  </si>
  <si>
    <t>EXOG.- Disposal -Exog. Var -(cl 0205) -Per letter 12/9/15  (less $1m Red)</t>
  </si>
  <si>
    <t>Program Based Budget Status:  FY 2018</t>
  </si>
  <si>
    <t>FY 18 Justification Requests:</t>
  </si>
  <si>
    <t>1. Increase Foster Care Admin Rate</t>
  </si>
  <si>
    <t>Office of Homeless Services</t>
  </si>
  <si>
    <t>1. Additional costs required for Presidential election</t>
  </si>
  <si>
    <t>Licenses &amp; Inspections</t>
  </si>
  <si>
    <t>FY 2019</t>
  </si>
  <si>
    <t>FY 2020</t>
  </si>
  <si>
    <t>FY 2022</t>
  </si>
  <si>
    <t>Budget</t>
  </si>
  <si>
    <t>Estimate</t>
  </si>
  <si>
    <t>Planning &amp; Development</t>
  </si>
  <si>
    <t>FY23 Estimate</t>
  </si>
  <si>
    <t>FY23</t>
  </si>
  <si>
    <t>FY 19-23 Plan Adjustments:</t>
  </si>
  <si>
    <t>FY 18-22 Plan Adjustments:</t>
  </si>
  <si>
    <t>4. Police MDC's and Radios (Beg in FY18)</t>
  </si>
  <si>
    <t>2.Reduce Appropriations for Police Reimb.'s (Beg in FY 18)</t>
  </si>
  <si>
    <t>2. Lead Poisoning prevention (Beg in FY18)</t>
  </si>
  <si>
    <t>3. Tobacco Youth/Retail Compliance (Beg in FY18)</t>
  </si>
  <si>
    <t>4. Patient Centered Medical Homes (Beg in FY18)</t>
  </si>
  <si>
    <t>FY 2023</t>
  </si>
  <si>
    <t>4. Contributions-Reduced Army-Navy Game commitment(FY19-23)</t>
  </si>
  <si>
    <t>Total Pension (0190+0191+0198)</t>
  </si>
  <si>
    <t>Exog Var</t>
  </si>
  <si>
    <t>Finance-Reg #32</t>
  </si>
  <si>
    <t>FINANCE-DISABILITY-REG #32 PAYROLL</t>
  </si>
  <si>
    <t>OFFICE OF THE CHIEF ADMINISTRATIVE OFFICER</t>
  </si>
  <si>
    <t>Program Based Budget Status:  FY 2019</t>
  </si>
  <si>
    <t>Labor</t>
  </si>
  <si>
    <t>Interfund Service Charges:</t>
  </si>
  <si>
    <t>To Capital Fund</t>
  </si>
  <si>
    <t>To Aviation Fund</t>
  </si>
  <si>
    <t>To Pension Fund</t>
  </si>
  <si>
    <t>Employee Disability (0187,0188)</t>
  </si>
  <si>
    <t>12 - ALL</t>
  </si>
  <si>
    <t>STREETS (Excl. Disposal)</t>
  </si>
  <si>
    <t>STREETS - ALL</t>
  </si>
  <si>
    <t>Streets-Disposal</t>
  </si>
  <si>
    <t>12D</t>
  </si>
  <si>
    <t>3. Contributions-PCVB/Army-Navy Game-1.25M(partial Rev offset)</t>
  </si>
  <si>
    <t>FY 19 Justification Requests/Cuts:</t>
  </si>
  <si>
    <t>4. Additional Firefighters (30 pos) (Beg in FY18)</t>
  </si>
  <si>
    <t>5. Additional Paramedics (30 pos) (Beg in FY18)</t>
  </si>
  <si>
    <t>1. Increase Contribution</t>
  </si>
  <si>
    <t>3. Pharmacy Benefit Audit (every 5 yrs)</t>
  </si>
  <si>
    <t>6. OIT operating support for capital projects</t>
  </si>
  <si>
    <t>11. OIT SaaS costs from capital</t>
  </si>
  <si>
    <t>1. Tobacco related death prevention campaign</t>
  </si>
  <si>
    <t>10. Paving Realignment</t>
  </si>
  <si>
    <t>2. Increase Contribution - Wage Tax</t>
  </si>
  <si>
    <t>3. Increase Contribution - RTT</t>
  </si>
  <si>
    <t xml:space="preserve">3. Increase Contribution - RTT-Homestead Offset </t>
  </si>
  <si>
    <t>Loss from Wage Tax Reductions (Original)</t>
  </si>
  <si>
    <t>FY 19 Caucus Changes:</t>
  </si>
  <si>
    <t>FY 19 Justification Requests/Cuts/Adj's:</t>
  </si>
  <si>
    <t>1. Internal target budget adjustments (No Ord)</t>
  </si>
  <si>
    <t>24-add 80k</t>
  </si>
  <si>
    <t>1. Transfer Labor Negotiating Counsel fees-Law to Labor</t>
  </si>
  <si>
    <t>Class 900-Reserve for Possible Grant Reductions</t>
  </si>
  <si>
    <t>NET SCHOOL DISTRICT ADJUSTMENTS FROM PREV PLAN</t>
  </si>
  <si>
    <t>FY24 Estimate</t>
  </si>
  <si>
    <t>TOTAL Estimate FY2019-2024</t>
  </si>
  <si>
    <t>FY24</t>
  </si>
  <si>
    <t>FY 20-24 Plan Adjustments:</t>
  </si>
  <si>
    <t>Add 150k in FY24 and 25</t>
  </si>
  <si>
    <t>4. HR Service Improvement Project (+1Pos)(FY22 Phase out)</t>
  </si>
  <si>
    <t>5. Revenue eGov Upgrades and Support (FY19 $440k)</t>
  </si>
  <si>
    <t xml:space="preserve">FY 20-24 FYP </t>
  </si>
  <si>
    <t>TOTAL</t>
  </si>
  <si>
    <t>FY 2024</t>
  </si>
  <si>
    <t xml:space="preserve">Art Museum </t>
  </si>
  <si>
    <t>35GR</t>
  </si>
  <si>
    <t>Prelim Actual</t>
  </si>
  <si>
    <t>Add 31k in FY24 and 25</t>
  </si>
  <si>
    <t>Incr(Decr)</t>
  </si>
  <si>
    <t>Program Based Budget Status:  FY 2020</t>
  </si>
  <si>
    <t>3. Pre-K expansion</t>
  </si>
  <si>
    <t>2. Transfer Labor Negotiating Counsel fees-Law to Labor</t>
  </si>
  <si>
    <t>2. Internal realignment</t>
  </si>
  <si>
    <t>1. Housing initiative to alleviate homeless encampments (3yrs-FY19-21- ends FY22)</t>
  </si>
  <si>
    <t>2. Tri-Plex Contract wage increase (Adj to FY19)</t>
  </si>
  <si>
    <t>Finance-Budget Stabilization</t>
  </si>
  <si>
    <t>2. 5 New Peak time Medic Units (12 pos ) (Beg in FY18)</t>
  </si>
  <si>
    <t>SEPTA Subsidy</t>
  </si>
  <si>
    <t>Change from Prelim(Lower)</t>
  </si>
  <si>
    <t>STREETS - Disposal  (Class 0205 in Divisions 01 and 02)</t>
  </si>
  <si>
    <t>Plan 10</t>
  </si>
  <si>
    <t>Sales Tax</t>
  </si>
  <si>
    <t>Per email from CTO  dated 12/13/18</t>
  </si>
  <si>
    <t>PRELIMINARY  FYP</t>
  </si>
  <si>
    <t>Increase (Decrease)</t>
  </si>
  <si>
    <t>Previous Plan</t>
  </si>
  <si>
    <r>
      <t xml:space="preserve">OFFICE OF COMMUNITY EMPOWERMENT &amp; OPPORTUNITY </t>
    </r>
    <r>
      <rPr>
        <b/>
        <i/>
        <sz val="12"/>
        <color theme="1"/>
        <rFont val="Calibri"/>
        <family val="2"/>
        <scheme val="minor"/>
      </rPr>
      <t>(formerly MOCS 08)</t>
    </r>
  </si>
  <si>
    <r>
      <rPr>
        <b/>
        <u/>
        <sz val="12"/>
        <color theme="1"/>
        <rFont val="Calibri"/>
        <family val="2"/>
        <scheme val="minor"/>
      </rPr>
      <t xml:space="preserve">PLANNING &amp; DEVELOPMENT </t>
    </r>
    <r>
      <rPr>
        <b/>
        <sz val="12"/>
        <color theme="1"/>
        <rFont val="Calibri"/>
        <family val="2"/>
        <scheme val="minor"/>
      </rPr>
      <t xml:space="preserve"> </t>
    </r>
  </si>
  <si>
    <t>(OHCD(06), L&amp;I-ZBA(30), Hist. Comm.(32), City Planning Comm.(51), Mayor-P&amp;D(62) (Created in FY18)</t>
  </si>
  <si>
    <t>4. Internal Realignment</t>
  </si>
  <si>
    <t>-100k in 25</t>
  </si>
  <si>
    <t>12. IT costs for 400 N Broad (FY19-$1,638,127)</t>
  </si>
  <si>
    <t xml:space="preserve">6. 400 N. Broad St - Revised Plan </t>
  </si>
  <si>
    <t>16. SEPTA Urban Panel funds (Rev Offset)</t>
  </si>
  <si>
    <t>6. SEPTA Urban Panel funds (Rev Offset)</t>
  </si>
  <si>
    <t>FY 20 Justification Requests/Cuts:</t>
  </si>
  <si>
    <t>3. Cut- Reduce Zero Waste Advertising (FY20-21)</t>
  </si>
  <si>
    <t>2. Gun Violence Reduction Initiative (+7 pos)</t>
  </si>
  <si>
    <t>3. Gun Violence Reduction Init-Nbhd Grants</t>
  </si>
  <si>
    <t>4. Gun Violence Reduction Init-Nbhd Res Ctr</t>
  </si>
  <si>
    <t>1. Living Wage Increases</t>
  </si>
  <si>
    <t>1. Increased support</t>
  </si>
  <si>
    <t>3. Living Wage - Increases for contractors</t>
  </si>
  <si>
    <t>2. FFPSA Infrastructure</t>
  </si>
  <si>
    <t>3. Contib to Atwater Kent</t>
  </si>
  <si>
    <t>3. Atwater Kent Transition</t>
  </si>
  <si>
    <t>1. Labor Neg Counsel fees - additional costs in contract yrs</t>
  </si>
  <si>
    <t>5. Incr PMA Contract for cost of one employee's Pension Cost</t>
  </si>
  <si>
    <t>1. Internal Transfer for IT support ( FY20-21 Only)</t>
  </si>
  <si>
    <t>1. Utility Contract Reserve Requirement</t>
  </si>
  <si>
    <t>6. PollBook Maintenance (Licenses, Support, Warranty)</t>
  </si>
  <si>
    <t>1. City Commissioners-Warehousing New Machines</t>
  </si>
  <si>
    <t>x</t>
  </si>
  <si>
    <t>3. REVMax Adjustments</t>
  </si>
  <si>
    <t>Pension - City Matching Funds(0198)</t>
  </si>
  <si>
    <t>4. Inter Government Transfer</t>
  </si>
  <si>
    <t>FY 20 Caucus Changes:</t>
  </si>
  <si>
    <t>1. Gun Violence Reduction Init.- Realignment (+12 pos)</t>
  </si>
  <si>
    <t>2. SAFER Grant Support Costs</t>
  </si>
  <si>
    <t>Difference (Must be Zero's)</t>
  </si>
  <si>
    <t>Difference (Increase /(Decrease)</t>
  </si>
  <si>
    <t>NOTE: Correctly shown here - Recorded in Base in FY20 Ordinance</t>
  </si>
  <si>
    <t>FY20 Adopted Budget</t>
  </si>
  <si>
    <t>FY25 Estimate</t>
  </si>
  <si>
    <t>FY25</t>
  </si>
  <si>
    <t>FY20 Current Target</t>
  </si>
  <si>
    <t>FY 2025</t>
  </si>
  <si>
    <t>FY 20</t>
  </si>
  <si>
    <t>FY 2021 - 2025 Five Year Financial Plan</t>
  </si>
  <si>
    <t>Carryforward from FY 20-24 Plan:</t>
  </si>
  <si>
    <t>Program Based Budget Status:  FY 2021</t>
  </si>
  <si>
    <t>* Transferred to depts at fiscal year-end</t>
  </si>
  <si>
    <t xml:space="preserve"> FY 20 Caucus Changes:</t>
  </si>
  <si>
    <t>FY 21-25 Plan Adjustments:</t>
  </si>
  <si>
    <t>FY19 Actual</t>
  </si>
  <si>
    <t>Non-Pension</t>
  </si>
  <si>
    <t>13. Net Adjustments to payment to Housing Trust Fund (FY21-24)</t>
  </si>
  <si>
    <t>ORIGINAL FY 21-25 PLAN RESERVES</t>
  </si>
  <si>
    <t>8. BJA Match (FY 21-22)</t>
  </si>
  <si>
    <t>6. Census (+11 pos) (FY 20-22)</t>
  </si>
  <si>
    <t>3. Salary Increases</t>
  </si>
  <si>
    <t>2. Remove Current Warehouse Costs - FY21-24</t>
  </si>
  <si>
    <t>FY 20-24 Plan Adjustments: (INCLUDED IN ABOVE)</t>
  </si>
  <si>
    <t>2. Support for new Capital investments (Beg in FY18)</t>
  </si>
  <si>
    <t>FY19</t>
  </si>
  <si>
    <t>HTF Adj 1</t>
  </si>
  <si>
    <t>HTF Adj 2</t>
  </si>
  <si>
    <t>HTF Adj 3</t>
  </si>
  <si>
    <t>Final Actual Est</t>
  </si>
  <si>
    <t>2. Parking Expenses (FY20-23)</t>
  </si>
  <si>
    <t>FY 21-25 Plan Adjustments</t>
  </si>
  <si>
    <t>Diff</t>
  </si>
  <si>
    <t>1. Exempt Raises</t>
  </si>
  <si>
    <t>FY 18 Justification Request</t>
  </si>
  <si>
    <t>FY 20 Justification Request</t>
  </si>
  <si>
    <t>FY21-25 Plan Adjustments:</t>
  </si>
  <si>
    <t>Div</t>
  </si>
  <si>
    <t>OFFICE OF INNOVATION AND TECHNOLOGY - 911  (Div 14)</t>
  </si>
  <si>
    <t>MANAGING DIRECTOR - LEGAL SERVICES (Div 46)</t>
  </si>
  <si>
    <t>Div: 11</t>
  </si>
  <si>
    <t>Div: 12</t>
  </si>
  <si>
    <t>Div: 01</t>
  </si>
  <si>
    <t>Div: 10  0428</t>
  </si>
  <si>
    <t xml:space="preserve">Div: 03  0285 </t>
  </si>
  <si>
    <t xml:space="preserve">Div: 03-  421706  0250 </t>
  </si>
  <si>
    <t>Impromptu</t>
  </si>
  <si>
    <t>2. O365</t>
  </si>
  <si>
    <t>3. AWS</t>
  </si>
  <si>
    <t>1. Funding of Overtime/SAFER</t>
  </si>
  <si>
    <t>Transferred to Depts - FY 19=</t>
  </si>
  <si>
    <t>FY 21-25 FYP - Preliminary Budget</t>
  </si>
  <si>
    <t>35RR</t>
  </si>
  <si>
    <t>Incl FB Adjs</t>
  </si>
  <si>
    <t>`</t>
  </si>
  <si>
    <t>FB</t>
  </si>
  <si>
    <t>2. Interdepartmental transfer - OCF</t>
  </si>
  <si>
    <t>OFFICE OF CHILDREN AND FAMILIES (formerly known as OFFICE OF EDUCATION)</t>
  </si>
  <si>
    <t>FY 21 Justification Requests/Cuts:</t>
  </si>
  <si>
    <t>1. Restore: AVP-Street Lighting Upgrades</t>
  </si>
  <si>
    <t>FY 21 Justification Requests</t>
  </si>
  <si>
    <t>1. Net Adjustments to payment to Housing Trust Fund (FY25)</t>
  </si>
  <si>
    <t>1. Increase SD contribution</t>
  </si>
  <si>
    <t>1. Increase labor reserve</t>
  </si>
  <si>
    <t>1. Adjustments</t>
  </si>
  <si>
    <t>3. Build-out office space</t>
  </si>
  <si>
    <t>4. Purchase of new copier, paper, maint. fees</t>
  </si>
  <si>
    <t>3. Racial equity training</t>
  </si>
  <si>
    <t>1. Public Safety Enforcement Officers (+28 pos)</t>
  </si>
  <si>
    <t>2. Body Worn Cameras License &amp; Storage</t>
  </si>
  <si>
    <t>3. Intelligence Bureau Augmentation (+20 pos)</t>
  </si>
  <si>
    <t>3. Project Management Resource Support (+9 pos)</t>
  </si>
  <si>
    <t>FY 21 Justification Requests:</t>
  </si>
  <si>
    <t>1. Full-Time Permanent HazMat Unit (+36 pos)</t>
  </si>
  <si>
    <t>2. EMS Supplies (+1 pos)</t>
  </si>
  <si>
    <t>FY21 Justification Requests:</t>
  </si>
  <si>
    <t>1. Health center &amp; lab services-full funding</t>
  </si>
  <si>
    <t>4. Opioid Response Crisis</t>
  </si>
  <si>
    <t>1. HVAC Preventative Maintenance</t>
  </si>
  <si>
    <t>2. Backflow and Plumbing Insp, Emerg and Repairs</t>
  </si>
  <si>
    <t>3. Additional Maintenance Sites</t>
  </si>
  <si>
    <t>1. Inmate Pay Increase</t>
  </si>
  <si>
    <t>1. 21st Century Wage Increase</t>
  </si>
  <si>
    <t>5. Staff Aug-CBS and CBMS</t>
  </si>
  <si>
    <t>2. Transportation costs to cover int'l travel</t>
  </si>
  <si>
    <t>3. Greenworks Expansion (+5 pos)</t>
  </si>
  <si>
    <t>1. Prison &amp; Reentry Services Librarian (+1 pos)</t>
  </si>
  <si>
    <t>2. Maintenance &amp; Security Improvements (+10 pos)</t>
  </si>
  <si>
    <t>1. Pharmacy Audit</t>
  </si>
  <si>
    <t>1. Data Collection Consultant Fees</t>
  </si>
  <si>
    <t>3. Audit Consultant</t>
  </si>
  <si>
    <t>3. Vendor Contract - OAR</t>
  </si>
  <si>
    <t>2. Diversity Equity and Inclusion Support</t>
  </si>
  <si>
    <t>1. Act 77 and Presidential Primary</t>
  </si>
  <si>
    <t>13. Planning/design study for the MSB Concourse</t>
  </si>
  <si>
    <t>2. Citywide Weekly Street Cleaning (+58 pos)</t>
  </si>
  <si>
    <t>1. Add'l position and full funding (+1 pos)</t>
  </si>
  <si>
    <t>6. 500 S. Broad Delays-rollover funds into FY21</t>
  </si>
  <si>
    <t>3. Realignment- 400 N. Broad</t>
  </si>
  <si>
    <t>12. JAC and YARP support (+19 pos)</t>
  </si>
  <si>
    <t>17. MacArthur Sustainability</t>
  </si>
  <si>
    <t>4. Loan forgiveness to Wawa Welcome America</t>
  </si>
  <si>
    <t>18. MacArthur Match</t>
  </si>
  <si>
    <t>5. Space Renovation</t>
  </si>
  <si>
    <t>4. Fully Support OnePhilly (+19 pos)</t>
  </si>
  <si>
    <t>5. JAC-Civilian Security (+35 pos)</t>
  </si>
  <si>
    <t>Office of Children and Families</t>
  </si>
  <si>
    <t>4. Last-Dollar Tuition</t>
  </si>
  <si>
    <t>5. Student Stipend</t>
  </si>
  <si>
    <t>6. Administrative and Program Costs</t>
  </si>
  <si>
    <t>2. Job Incentives</t>
  </si>
  <si>
    <t>3. Relief Factor</t>
  </si>
  <si>
    <t>1. Enhancements to Capital Business Applications (+25 pos)</t>
  </si>
  <si>
    <t>1. SAFER Grant - Required Adjustments</t>
  </si>
  <si>
    <t>* Not Funded directly in FY 21</t>
  </si>
  <si>
    <t>2. PHLRentAssist</t>
  </si>
  <si>
    <t>Per email from CTO</t>
  </si>
  <si>
    <t>1. Eliminate positions, salary reductions (-7 pos)</t>
  </si>
  <si>
    <t>2. Reduction of services</t>
  </si>
  <si>
    <t>3. Reduction of goods</t>
  </si>
  <si>
    <t>FY 21 Adjustments/Reductions</t>
  </si>
  <si>
    <t>1. Reduction of scholarships</t>
  </si>
  <si>
    <t>Previous Plan ( FY 21-25 FYP )</t>
  </si>
  <si>
    <t>Changes from Original Plan (FY21-25)</t>
  </si>
  <si>
    <t>2. School on Ryan Ave.-SDP (FY22 only)</t>
  </si>
  <si>
    <t>3. Reduce SD contribution</t>
  </si>
  <si>
    <t>2. Reduction of payment</t>
  </si>
  <si>
    <t>1. Overtime Reduction</t>
  </si>
  <si>
    <t>2. Fuel savings</t>
  </si>
  <si>
    <t>FY21 Revised</t>
  </si>
  <si>
    <t>FY21 Revised:</t>
  </si>
  <si>
    <t>FY 21 Revised:</t>
  </si>
  <si>
    <t>FY21-25 Plan Adjustments</t>
  </si>
  <si>
    <t>1. Vehicle Purchase Curtailment</t>
  </si>
  <si>
    <t>1. Reduce OT and delay hiring</t>
  </si>
  <si>
    <t>2. Reduce contracts and training</t>
  </si>
  <si>
    <t>3. Reduce office supplies</t>
  </si>
  <si>
    <t>1. Eliminate positions, delay hiring (-4 pos)</t>
  </si>
  <si>
    <t>2. Reduce opioid related programs and other contracts</t>
  </si>
  <si>
    <t>2. Reduction due to lower census and attrition</t>
  </si>
  <si>
    <t>3. Reduction in purchases due to lower census</t>
  </si>
  <si>
    <t>4. Elimination of inmate pay increase</t>
  </si>
  <si>
    <t>1. Reduction in agency operations</t>
  </si>
  <si>
    <t>2. Wi-Fi tower leases, software, capital projects support, training</t>
  </si>
  <si>
    <t>3. Telecom supplies, Electrical supplies</t>
  </si>
  <si>
    <t>4. Telecom equipment and replacement Public Safety Radios</t>
  </si>
  <si>
    <t>1. Reduction of overtime</t>
  </si>
  <si>
    <t>1. Increase appropriations (offset by revenue) (FY21 only)</t>
  </si>
  <si>
    <t>2. Elimination of public health programs, grants, contract staff</t>
  </si>
  <si>
    <t>3. Reduced purchase of naloxone, vaccines for City empl.</t>
  </si>
  <si>
    <t>4. Elimination of PT/OT pilot, computer replacements</t>
  </si>
  <si>
    <t>1. Eliminate positions, overtime (-31 pos)</t>
  </si>
  <si>
    <t>2. Reduction of various contracts</t>
  </si>
  <si>
    <t>3. Reduction of Various Pool, Program and Skilled Trades Supplies</t>
  </si>
  <si>
    <t xml:space="preserve">4. Reduction of Equipment &amp; Office Furniture </t>
  </si>
  <si>
    <t>5. Reduction of Activities Fund and Legacy Tennis</t>
  </si>
  <si>
    <t>2. Reduction of profession services</t>
  </si>
  <si>
    <t>1. Reduction of rent contingency</t>
  </si>
  <si>
    <t>3. Reduction of funding allocated towards Violence Reduction</t>
  </si>
  <si>
    <t>2. Reduction of demolition funding</t>
  </si>
  <si>
    <t>1. Reduction of vacant positions and overtime (-45 pos)</t>
  </si>
  <si>
    <t>1. Delay in hiring</t>
  </si>
  <si>
    <t>2. Delay upgrades and enhancements</t>
  </si>
  <si>
    <t>3. Delay contributions to National History Day</t>
  </si>
  <si>
    <t>2. Reduction on services/purchases</t>
  </si>
  <si>
    <t>1. Eliminate vacant positions (-15 pos)</t>
  </si>
  <si>
    <t>3. Reduction in materials</t>
  </si>
  <si>
    <t>4. Reduction in equipment</t>
  </si>
  <si>
    <t>5. Reduce payment to other capital fund and HTF</t>
  </si>
  <si>
    <t>2. Reduction in professional services activities</t>
  </si>
  <si>
    <t>3. Reductions in supplies and materials</t>
  </si>
  <si>
    <t>1. Reduction in positions and personnel cost (-26 pos)</t>
  </si>
  <si>
    <t>2. Reduction in services</t>
  </si>
  <si>
    <t>1. Eliminate positions, salary reduction (-8 pos)</t>
  </si>
  <si>
    <t>2. Reduction in dues</t>
  </si>
  <si>
    <t>2. Business Acceleration Team (req from MDO) (+6 pos)</t>
  </si>
  <si>
    <t>4. SEPTA Urban Panel funds (Rev Offset) adjustment</t>
  </si>
  <si>
    <t>6. Loan forgiveness to Wawa Welcome America adjustment</t>
  </si>
  <si>
    <t>7. Space Renovation adjustment</t>
  </si>
  <si>
    <t>1. Reduction in staff and vacant positions (-3 pos)</t>
  </si>
  <si>
    <t>1. Eliminate vacant position, delay in hiring (-1 pos)</t>
  </si>
  <si>
    <t>1. Delay in hiring, reduction in commissioner stipends</t>
  </si>
  <si>
    <t>1. Reduction in court reporting</t>
  </si>
  <si>
    <t>2. Reduction in equipment</t>
  </si>
  <si>
    <t>3. Reduction in supplies and equipment</t>
  </si>
  <si>
    <t>4. Reduction in LandBank and PHLRentAssist</t>
  </si>
  <si>
    <t>1. Reduction to FY20 level</t>
  </si>
  <si>
    <t>2. Reduction in IT services</t>
  </si>
  <si>
    <t>1. Reduction in positions, delay in hiring</t>
  </si>
  <si>
    <t>2. Cut-eliminate funding</t>
  </si>
  <si>
    <t>1. Reduction in services</t>
  </si>
  <si>
    <t>1. DC47 Award‐ Wage Increase (FY20‐2%)</t>
  </si>
  <si>
    <t>2. Register of Wills Award- Wage Increase (FY20-2%)</t>
  </si>
  <si>
    <t>2. Transfer labor costs to departments</t>
  </si>
  <si>
    <t>(FOP,IAFF,DC47,Local 810,Nonreps, RoW,Sheriff)</t>
  </si>
  <si>
    <t>3. Adjustment labor reserve</t>
  </si>
  <si>
    <t>1. Reduce support staff</t>
  </si>
  <si>
    <t>3. Reduction in services</t>
  </si>
  <si>
    <t>4. Reduction in supplies</t>
  </si>
  <si>
    <t>2. Reduction in vacant positions (-30 pos)</t>
  </si>
  <si>
    <t>1. BUDGET IMPACT NOT SUBMITTED-Reduction in staffing</t>
  </si>
  <si>
    <t>2. BUDGET IMPACT NOT SUBMITTED-Reduction in services</t>
  </si>
  <si>
    <t xml:space="preserve">3. BUDGET IMPACT NOT SUBMITTED-Reduction in supplies </t>
  </si>
  <si>
    <t>7. Reduce Finance contrib. except Army Navy, Welcome America</t>
  </si>
  <si>
    <t>2. BUDGET IMPACT NOT SUBMITTED-LIBRARY</t>
  </si>
  <si>
    <t>6. BUDGET IMPACT NOT SUBMITTED-LAW</t>
  </si>
  <si>
    <t>5. BUDGET IMPACT NOT SUBMITTED-OWD</t>
  </si>
  <si>
    <t>3. BUDGET IMPACT NOT SUBMITTED</t>
  </si>
  <si>
    <t>2. BUDGET IMPACT NOT SUBMITTED-SUSTAINABILITY</t>
  </si>
  <si>
    <t>1. BUDGET IMPACT NOT SUBMITTED-SHERIFF</t>
  </si>
  <si>
    <t>Division: 14</t>
  </si>
  <si>
    <t>Division: 25</t>
  </si>
  <si>
    <t>Division: 29</t>
  </si>
  <si>
    <t>Division: 13 (trfrd to depts at fiscal yr-end)</t>
  </si>
  <si>
    <t>Division: 12</t>
  </si>
  <si>
    <t>Divisions: 08,20,21,22,23</t>
  </si>
  <si>
    <t>Division: 01</t>
  </si>
  <si>
    <t>Division: 10</t>
  </si>
  <si>
    <t>Division: 20</t>
  </si>
  <si>
    <t>Divisions: 01,02,05,07,32 (less BS)</t>
  </si>
  <si>
    <t>1. Commercial Corridors</t>
  </si>
  <si>
    <t>1. Overtime related to Presidential Election (FY 20 Only)</t>
  </si>
  <si>
    <t>1. Reduction in vacant position, delay in hiring (-1 pos)</t>
  </si>
  <si>
    <t>1. Elimin. of vacancies, attrition and reduction in OT (-154 pos)</t>
  </si>
  <si>
    <t>1. Reduction in positions, delay in hiring (-63 pos)</t>
  </si>
  <si>
    <t>1. Eliminate Mayor's Intern Program, delay in hiring (-2 pos)</t>
  </si>
  <si>
    <t>1. Transfer positions and programs to grants funds (-20 pos)</t>
  </si>
  <si>
    <t>1. Reduction of seasonal, PPT and Vacant FT Positions (-29 pos)</t>
  </si>
  <si>
    <t>1. Elimination of positions, delay in hiring (-9 pos)</t>
  </si>
  <si>
    <t>1. Reduction of funding (-154 pos)</t>
  </si>
  <si>
    <t>1. Reduction in positions (-2 pos)</t>
  </si>
  <si>
    <t>2. DC47 Award- Bonus ($750/$475)</t>
  </si>
  <si>
    <t>3. Exempt- Salary Reductions (FY21 only)</t>
  </si>
  <si>
    <t>6. Exempt- Salary Reductions (FY21 only)</t>
  </si>
  <si>
    <t>2. Exempt- Salary Reductions (FY21 only)</t>
  </si>
  <si>
    <t>1. Exempt- Salary Reductions (FY21 only)</t>
  </si>
  <si>
    <t>5. Exempt- Salary Reductions (FY21 only)</t>
  </si>
  <si>
    <t>4. Exempt- Salary Reductions (FY21 only)</t>
  </si>
  <si>
    <t>FY21 Caucus Changes:</t>
  </si>
  <si>
    <t>1. Restore: Exempt- Salary Reductions</t>
  </si>
  <si>
    <t>FY 21 Caucus Changes:</t>
  </si>
  <si>
    <t>1. Reduction realignment</t>
  </si>
  <si>
    <t>1. Budget Impact Realignment</t>
  </si>
  <si>
    <t>1. Exempt Salary Reductions</t>
  </si>
  <si>
    <t>1. Rollover funds to FY21</t>
  </si>
  <si>
    <t>3. Rollover funds to FY21</t>
  </si>
  <si>
    <t>4. Transfer labor costs to departments (DC33, Local 159)</t>
  </si>
  <si>
    <t>FY 21-25 FYP  Ado</t>
  </si>
  <si>
    <t>FY18 Actual</t>
  </si>
  <si>
    <t>1. Offset to ESG funds</t>
  </si>
  <si>
    <t>1. Increase HTF payment</t>
  </si>
  <si>
    <t>2. Contribution-City Year</t>
  </si>
  <si>
    <t>FY 21 Caucus:</t>
  </si>
  <si>
    <t>2. Transfer recession reserve</t>
  </si>
  <si>
    <t>1. Tacony Lab</t>
  </si>
  <si>
    <t>12. Payroll costs transferred from Police</t>
  </si>
  <si>
    <t>1. Budget Reductions</t>
  </si>
  <si>
    <t>1. Extend budget reduction thru FY23</t>
  </si>
  <si>
    <t>3. Extend budget reductions thru FY23</t>
  </si>
  <si>
    <t>2. Extend budget reductions thru FY23</t>
  </si>
  <si>
    <t>1. Extend budget reductions thru FY23</t>
  </si>
  <si>
    <t>1. Realignment-reduce staff, Sunday Service, loss of temp/seasonal</t>
  </si>
  <si>
    <t>2. Realignment -reductions in maintenance of facilities</t>
  </si>
  <si>
    <t>3. Realignment-reduction in number of new materials purchased</t>
  </si>
  <si>
    <t>4. Extend budget reductions thru FY23</t>
  </si>
  <si>
    <t>2. Living Wage Audit Extension</t>
  </si>
  <si>
    <t>13. Extend budget reductions thru FY23</t>
  </si>
  <si>
    <t>1. 2 positions-communications and policy (+2 pos)</t>
  </si>
  <si>
    <t>FY 21 Caucus Changes</t>
  </si>
  <si>
    <t>1. Reduction of support</t>
  </si>
  <si>
    <t>5. Extend budget reductions</t>
  </si>
  <si>
    <t>2. Extend budget reductions</t>
  </si>
  <si>
    <t>6. Reduction BWC License &amp; Storage</t>
  </si>
  <si>
    <t>FY 2022 - 2026 Five Year Financial Plan</t>
  </si>
  <si>
    <t>FY20 Actual</t>
  </si>
  <si>
    <t>FY21 Adopted Budget</t>
  </si>
  <si>
    <t>FY21 Current Target</t>
  </si>
  <si>
    <t>FY26 Estimate</t>
  </si>
  <si>
    <t>FY26</t>
  </si>
  <si>
    <t>Carryforward from FY 21-25 Plan:</t>
  </si>
  <si>
    <t>ORIGINAL ADOPTED BUDGET RESERVES -FY21-25 FYP</t>
  </si>
  <si>
    <t>FY 22-26 Plan Adjustments:</t>
  </si>
  <si>
    <t>19. Opioid Cabinet-Data &amp; Analytics</t>
  </si>
  <si>
    <t>5. Transfer public safety officers from Police</t>
  </si>
  <si>
    <t>3. Transfer Public Safety Officers to MDO</t>
  </si>
  <si>
    <t>Carryforward from FY 21-25 Plan: (INCLUDED IN ABOVE )</t>
  </si>
  <si>
    <t>FY21 Target Adjustments</t>
  </si>
  <si>
    <t>1. Multi Factor Authenticator (+2 pos)</t>
  </si>
  <si>
    <t>2. Ongoing support and maintenance for OnePhilly</t>
  </si>
  <si>
    <t>3. Structural shortfall</t>
  </si>
  <si>
    <t>4. ISP support for CAMA</t>
  </si>
  <si>
    <t>6. Outfit 25 rec centers with high-speed Internet and WIFI</t>
  </si>
  <si>
    <t>FY21 Target Adjustments:</t>
  </si>
  <si>
    <t>FY 21 Target Adjustments</t>
  </si>
  <si>
    <t>1. Restore scholarships (FY21 only)</t>
  </si>
  <si>
    <t>1. Racial equity training (FY21 only)</t>
  </si>
  <si>
    <t>2. Af-Am Biz Thinktank (FY21 only)</t>
  </si>
  <si>
    <t>3. Lump sum payments for City Rep personnel (FY21 only)</t>
  </si>
  <si>
    <t>5. Offset MFA, OnePhilly, staffing needs (FY21 only)</t>
  </si>
  <si>
    <t>1. Transfer of Adult Literacy Program to DHS</t>
  </si>
  <si>
    <t>2. PEPP Rental Assistance (FY21 only)</t>
  </si>
  <si>
    <t>3. Fencing and Catering for Civil Unrest (FY21 only)</t>
  </si>
  <si>
    <t>2. Technology upgrades for homicide unit</t>
  </si>
  <si>
    <t>1. Commercial Corridor Cleaning Program- from Commerce</t>
  </si>
  <si>
    <t>2. Hiring of temporary sanitation laborers</t>
  </si>
  <si>
    <t>3. Interdept transfer of Zero Waste staff to Sustainability (-2 pos)</t>
  </si>
  <si>
    <t>1. Waste disposal costs due to increased tonnage</t>
  </si>
  <si>
    <t>1. Fire Overtime Spending</t>
  </si>
  <si>
    <t>1. RevMax Adjustments</t>
  </si>
  <si>
    <t>2. Riverview Home</t>
  </si>
  <si>
    <t>1. Tree Emergency Work for storms on 6/3/20 and 8/4/20</t>
  </si>
  <si>
    <t>3. PA State Police Background Check</t>
  </si>
  <si>
    <t xml:space="preserve">3. FBI Clearance </t>
  </si>
  <si>
    <t>4. Childline Child Abuse Clearance</t>
  </si>
  <si>
    <t>2. Fidelity Burglar &amp; Fire Alarm Co - Virtual Learn Supp Access Ctr</t>
  </si>
  <si>
    <t>1. PMA pension expenses</t>
  </si>
  <si>
    <t>2. Property Repairs, Cleaning</t>
  </si>
  <si>
    <t>1. Internam transfers for body worn camera costs (FY21 only)</t>
  </si>
  <si>
    <t>1. Internal transfer- support instructional coaching for PHLpreK</t>
  </si>
  <si>
    <t>2. Transfer of Adult Literacy Program from MDO</t>
  </si>
  <si>
    <t>1. Funding for security, food, and winter beds</t>
  </si>
  <si>
    <t>1.  Higher risk insurance costs</t>
  </si>
  <si>
    <t>2. Additional contributions</t>
  </si>
  <si>
    <t>1. EITC contract extension due to federal tax filing date change</t>
  </si>
  <si>
    <t>1. Bond counsel consulting, PMA 2014B audit, disclosure training</t>
  </si>
  <si>
    <t>5. Business Acceleration Team (req from MDO) (+6 pos) adj</t>
  </si>
  <si>
    <t>1. Salary restructure</t>
  </si>
  <si>
    <t>2. Commercial corridor cleaning program- to Streets</t>
  </si>
  <si>
    <t>1. Interdept transfer of Zero Waste staff- from Streets (+2 pos)</t>
  </si>
  <si>
    <t>1. New evaluators (+10 pos)</t>
  </si>
  <si>
    <t>1. Additional support</t>
  </si>
  <si>
    <t>3. Remote work support</t>
  </si>
  <si>
    <t>2. E-Discovery system support and replace Court Mgmt System</t>
  </si>
  <si>
    <t>1. Eviction Diversion</t>
  </si>
  <si>
    <t>1. Act 77 and election related support</t>
  </si>
  <si>
    <t>FY 2026</t>
  </si>
  <si>
    <t>TOTAL EST    FY22-26</t>
  </si>
  <si>
    <t>3. General training</t>
  </si>
  <si>
    <t>2. Pre COVID rental assistance</t>
  </si>
  <si>
    <t xml:space="preserve">Previous FYP (FY 21-25) </t>
  </si>
  <si>
    <t>FYP COSTS  (per email 11/23/20)</t>
  </si>
  <si>
    <t>FY 22-26 FYP   Pro</t>
  </si>
  <si>
    <t>per SEPTA memo dated 11/23/20</t>
  </si>
  <si>
    <t>FYP COSTS  (per Water email 11/23/20)</t>
  </si>
  <si>
    <t>Per Water Dept Interfunds email 11/24/20</t>
  </si>
  <si>
    <t>FY 21-25 Plan</t>
  </si>
  <si>
    <t>To Water Fund (Total less Fire)</t>
  </si>
  <si>
    <t>Per Email 11/24/20</t>
  </si>
  <si>
    <t>Per Email 11/24/20 with Contingencies)</t>
  </si>
  <si>
    <t>4. Support for Kensington ($500K) and Victims Advocate ($560K)</t>
  </si>
  <si>
    <t>1. Mothers in Charge (FY21 only)</t>
  </si>
  <si>
    <t>1. Point Breeze Clean Up (FY21 only)</t>
  </si>
  <si>
    <t>2. Media Relations (FY21 only)</t>
  </si>
  <si>
    <t>3. Point Breeze Clean Up- from Council (FY21 only)</t>
  </si>
  <si>
    <t>4. Business relief (FY21 only)</t>
  </si>
  <si>
    <t>TOTAL Estimate FY2021-2026</t>
  </si>
  <si>
    <t>UPDATE HEADER</t>
  </si>
  <si>
    <t>FY 21 Target:</t>
  </si>
  <si>
    <t>1. FY20 services paid in FY21</t>
  </si>
  <si>
    <t>FY22 Justifications:</t>
  </si>
  <si>
    <t>1. Adjustment to budget reductions</t>
  </si>
  <si>
    <t>Updated 1/7/2021</t>
  </si>
  <si>
    <t>Updated 1/14/21</t>
  </si>
  <si>
    <t>DIFFERENCE-MASTER SCHEDULE</t>
  </si>
  <si>
    <t>FY 22-26 MAYOR'S PROPOSED</t>
  </si>
  <si>
    <t>1. Rollover move from 500 S. Broad St. to FY22</t>
  </si>
  <si>
    <t>1. Internal Transfer for IT support</t>
  </si>
  <si>
    <t>Control Totals (PRELIM)</t>
  </si>
  <si>
    <t>CURRENT PLAN-PROPOSED- (from Above)</t>
  </si>
  <si>
    <t>Updated 1/19/2021</t>
  </si>
  <si>
    <t>FY 21 Target Adjustments:</t>
  </si>
  <si>
    <t>1. Internal transfer for Xerox</t>
  </si>
  <si>
    <t>Gallery Mall payment (per Funding Agreement)</t>
  </si>
  <si>
    <t xml:space="preserve">800 CL; 200CL Gallery-EV </t>
  </si>
  <si>
    <t>2. Internal transfer for IT position</t>
  </si>
  <si>
    <t>FY 22 Justifications:</t>
  </si>
  <si>
    <t>1. Computer Aid Dispatch System</t>
  </si>
  <si>
    <t>2. Public Safety Radio Ethernet Backhaul</t>
  </si>
  <si>
    <t>1. Gallery Mall Maintenance</t>
  </si>
  <si>
    <t>3. New Jobs Initiative (FY21 only)</t>
  </si>
  <si>
    <t>5. New Jobs Initiative (FY21 only)</t>
  </si>
  <si>
    <t>4. Same Day Work and Pay Program</t>
  </si>
  <si>
    <t>5. Program support for the arts and culture community</t>
  </si>
  <si>
    <t>6. Program support for the arts &amp; culture community (FY21 only)</t>
  </si>
  <si>
    <t>1. Certification Agencies and Partner Support</t>
  </si>
  <si>
    <t>2. Director of Technology and Innovation (+1 pos)</t>
  </si>
  <si>
    <t>3. Business Response Team (+2 pos)</t>
  </si>
  <si>
    <t>4. Small Business Grants - storefronts and public safety</t>
  </si>
  <si>
    <t>5. Workforce Solutions Grants and Initiatives</t>
  </si>
  <si>
    <t>1. Restore to FY21 pre pandemic level</t>
  </si>
  <si>
    <t>FY22 Justifications/Cuts</t>
  </si>
  <si>
    <t>4. Maintain current level of service</t>
  </si>
  <si>
    <t>FY22 Justifications/Cuts:</t>
  </si>
  <si>
    <t>2. Restore class 100 funding</t>
  </si>
  <si>
    <t>3. Insurance Premium Increases</t>
  </si>
  <si>
    <t>4. Participatory Budgeting (+1 pos)</t>
  </si>
  <si>
    <t>6. Additional Recovery and Grants Office Position (+1 pos)</t>
  </si>
  <si>
    <t>7. 5% reduction scenario</t>
  </si>
  <si>
    <t>1. Delay SD contribution increase</t>
  </si>
  <si>
    <t>1. Maintain current level of service</t>
  </si>
  <si>
    <t>2. EMS supplies</t>
  </si>
  <si>
    <t>1. Sustaining MacArthur Initiative</t>
  </si>
  <si>
    <t>FY22 Cuts:</t>
  </si>
  <si>
    <t>1. Vehicle Purchase Reduction</t>
  </si>
  <si>
    <t>1. Parts Expenditure Reduction</t>
  </si>
  <si>
    <t>1. Stable 5 Day Service (+49 pos)</t>
  </si>
  <si>
    <t>2. Regional Operations Center Lease</t>
  </si>
  <si>
    <t>3. After School Leaders (LEAP)</t>
  </si>
  <si>
    <t>4. Fiscal Support (+1 pos)</t>
  </si>
  <si>
    <t>1. Full funding of salaries</t>
  </si>
  <si>
    <t>1. CUA staff retention initiative</t>
  </si>
  <si>
    <t xml:space="preserve">2. Out of School Time </t>
  </si>
  <si>
    <t>8. HTF adjustment in FY 25 and FY26</t>
  </si>
  <si>
    <t>Based on 11th Yr</t>
  </si>
  <si>
    <t>Abatement</t>
  </si>
  <si>
    <t>2. Civil Service Transition</t>
  </si>
  <si>
    <t>3. Labor Policy and Compliance Law Support (+2 pos)</t>
  </si>
  <si>
    <t>4. Rollover funds for contract negotiations</t>
  </si>
  <si>
    <t>5. Language Access</t>
  </si>
  <si>
    <t>6. Labor Standards - Employee Transfer (+1 pos)</t>
  </si>
  <si>
    <t xml:space="preserve">2. Labor Standards - Employee Transfer to Labor (-1 pos) </t>
  </si>
  <si>
    <t>7. Domestic Worker Task Force and Board Operations</t>
  </si>
  <si>
    <t>1. 5% reduction scenario</t>
  </si>
  <si>
    <t>2. Diversity &amp; Racial Equity Training &amp; Development</t>
  </si>
  <si>
    <t>1. Demolition Funding</t>
  </si>
  <si>
    <t>3. Remote Support Unit (+6 pos)</t>
  </si>
  <si>
    <t>1. PAD Program Expansion</t>
  </si>
  <si>
    <t>3. Carry forward Public Safety Enforcement Officer Program</t>
  </si>
  <si>
    <t>4. Retain Opioid Response Unit</t>
  </si>
  <si>
    <t>5. JAC Mobile Units</t>
  </si>
  <si>
    <t>7. ACCT Contracted Wage Increases</t>
  </si>
  <si>
    <t>8. Targeted Community Investment Grants (TCIG)</t>
  </si>
  <si>
    <t>9. Columbus Statute Removal &amp; Park Restoration</t>
  </si>
  <si>
    <t>10. Kensington Restroom Initiative</t>
  </si>
  <si>
    <t>11. Transition Atwater Kent to Drexel</t>
  </si>
  <si>
    <t>13. Increase Phila Cultural Fund Contribution</t>
  </si>
  <si>
    <t>12. Increase AAMP Contribution</t>
  </si>
  <si>
    <t>14. Roadmap Community Response (+14 pos)</t>
  </si>
  <si>
    <t>6. Launch the Citizen Police Oversight Board (+7 pos)</t>
  </si>
  <si>
    <t>15. Violence Intervention Expansion (+5 pos)</t>
  </si>
  <si>
    <t>16. Transitional Jobs Program (+6 pos)</t>
  </si>
  <si>
    <t>17. Elections Coordination (+1 pos)</t>
  </si>
  <si>
    <t>18. Hire Civilian Dispatchers (+75 pos)</t>
  </si>
  <si>
    <t>19. Maintenance of Early Intervention System (EIS)</t>
  </si>
  <si>
    <t>20. Increase training for PPD</t>
  </si>
  <si>
    <t>21. Office of Forensics Upgrades</t>
  </si>
  <si>
    <t>2. Color Me Back Program</t>
  </si>
  <si>
    <t>1. Mobile Crisis Teams/Philadelphia Crisis Line (+12 pos)</t>
  </si>
  <si>
    <t>1. 5% Reduction Scenario</t>
  </si>
  <si>
    <t>2. Establish Operations Transfer Formation Fund</t>
  </si>
  <si>
    <t>3. Restore Funding for Conduent</t>
  </si>
  <si>
    <t>1. Restore FY21 Budget Reductions (FY22 and FY23 only) (+20 pos)</t>
  </si>
  <si>
    <t>2. Fire Fighter CS Examination Development</t>
  </si>
  <si>
    <t>1. 1% Reduction</t>
  </si>
  <si>
    <t>3. Transfer of Westlaw Contract to Procurement</t>
  </si>
  <si>
    <t>1. Transfer of Westlaw Contract from OIT</t>
  </si>
  <si>
    <t>2. Increase Funding For Evaluators (+7 pos)</t>
  </si>
  <si>
    <t>1. Energy Office - Building Tuneup</t>
  </si>
  <si>
    <t>1. Dell Music Center Restoration</t>
  </si>
  <si>
    <t>2. Restoration of Program and Operations Seasonal Support Staff</t>
  </si>
  <si>
    <t>3. Aquatics Program Restoration</t>
  </si>
  <si>
    <t>6. Operations Restoration</t>
  </si>
  <si>
    <t>4. Community Service Area Phase 2 (+14 pos)</t>
  </si>
  <si>
    <t>5. Keyspots Restoration (+1 pos)</t>
  </si>
  <si>
    <t>7. Transfer of capital staff to Public Property (-3 pos)</t>
  </si>
  <si>
    <t>3. Transfer of capital staff from Parks and Rec (+3 pos)</t>
  </si>
  <si>
    <t>1. Continue Diversity. Equity and Inclusion Work</t>
  </si>
  <si>
    <t>1. Contraband Scanners</t>
  </si>
  <si>
    <t>2. Covid PPE</t>
  </si>
  <si>
    <t>3. Increase for Inmate Medical Services</t>
  </si>
  <si>
    <t>4. Funding for Inmate Medical Claims</t>
  </si>
  <si>
    <t>5. Increase for Inmate Food Services</t>
  </si>
  <si>
    <t>6. Funding for Maintenance Services</t>
  </si>
  <si>
    <t>7. Motorola Radio Replacement</t>
  </si>
  <si>
    <t>8. Restore Inmate Pay</t>
  </si>
  <si>
    <t>9. Continue Virtual Video Visitation</t>
  </si>
  <si>
    <t>2. Transfer Contract Unit from CAO (+2 pos)</t>
  </si>
  <si>
    <t>4. Transfer of Contract Unit to Procurement (-2 pos)</t>
  </si>
  <si>
    <t xml:space="preserve">3. Closing of PNH Starting in FY23 </t>
  </si>
  <si>
    <t>4. COVID19 Isolation and Quarantine</t>
  </si>
  <si>
    <t>5. Tele-lactation Services</t>
  </si>
  <si>
    <t>6. Air Pollution Reduction</t>
  </si>
  <si>
    <t>7. Treatment of Opioid Addiction</t>
  </si>
  <si>
    <t>8. Rollover funds for MEO Move</t>
  </si>
  <si>
    <t>4. PPSB Maintenance Funding</t>
  </si>
  <si>
    <t>1. Increase for rent contingency</t>
  </si>
  <si>
    <t>2. Deed Fraud Prevention</t>
  </si>
  <si>
    <t>1. Funding for EITC</t>
  </si>
  <si>
    <t>FY 22-26</t>
  </si>
  <si>
    <t>1. Commerce Clean Corridors Program Support (+11 pos)</t>
  </si>
  <si>
    <t>2. Expand Mechanical Street Sweeping</t>
  </si>
  <si>
    <t>2. Technicians for Mechanical Street Sweeping (+3 pos)</t>
  </si>
  <si>
    <t>Updated 4/1/21</t>
  </si>
  <si>
    <t>FY21 Justifications:</t>
  </si>
  <si>
    <t>1. Increased Support</t>
  </si>
  <si>
    <t>2. 911 Triage and Co-Responder Strategy (DBH) (+12 pos)</t>
  </si>
  <si>
    <t>2. 911 Triage and Co-Responder Strategy (+1 pos)</t>
  </si>
  <si>
    <t>1. Permanently Extend FY21 Budget Reductions</t>
  </si>
  <si>
    <t>3. Funding for Juneteenth Holiday</t>
  </si>
  <si>
    <t>22. Funding for Juneteenth Holiday</t>
  </si>
  <si>
    <t>9. Permanently Extend FY21 Budget Reductions</t>
  </si>
  <si>
    <t>4. Permanently Extend FY21 Budget Reductions</t>
  </si>
  <si>
    <t>2. Permanently Extend FY21 Budget Reductions</t>
  </si>
  <si>
    <t>3. Permanently Extend FY21 Budget Reductions</t>
  </si>
  <si>
    <t>5. Permanently Extend FY21 Budget Reductions</t>
  </si>
  <si>
    <t>8. Permanently Extend FY21 Budget Reductions</t>
  </si>
  <si>
    <t>2. Building Inspectors- CCP Pilot Program (+5 pos)</t>
  </si>
  <si>
    <t>23. Permanently Extend FY21 Budget Reductions</t>
  </si>
  <si>
    <t>1. Increase for Defender Association</t>
  </si>
  <si>
    <t>1. 5% Reduction Scenario (No Cuts to Filled Positions)</t>
  </si>
  <si>
    <t>10. Permanently Extend FY21 Budget Reductions</t>
  </si>
  <si>
    <t>2. Funding Riverview (DPH Share)</t>
  </si>
  <si>
    <t>1. Advertising Invoices</t>
  </si>
  <si>
    <t>3. Transfer funding of Kensington Home Repair/Assist- from MDO</t>
  </si>
  <si>
    <t>4. Transfer of Child Oversight Board</t>
  </si>
  <si>
    <t>2. Inmate Medical Services (FY21 only)</t>
  </si>
  <si>
    <t>2. Language Access Services</t>
  </si>
  <si>
    <t>1. Various Professional Service Costs</t>
  </si>
  <si>
    <t>7. OnePhilly Past Due Invoices</t>
  </si>
  <si>
    <t>6. Past Due Invoices for OnePhilly (to OIT)</t>
  </si>
  <si>
    <t>4. Snow Overcosts</t>
  </si>
  <si>
    <t>5. Bells Mill Rd Repayment</t>
  </si>
  <si>
    <t>7. Additional COVID Support (FY21 only)</t>
  </si>
  <si>
    <t>8. Transfer Kensington Home Repair/Assist- to OHS (Fy21 only)</t>
  </si>
  <si>
    <t>9. Internal Transfer for Various Purchases (FY21 only)</t>
  </si>
  <si>
    <t>3. Transfer Legal Personnel to Law Department (-1 pos)</t>
  </si>
  <si>
    <t>10. Transfer Legal Personnel to Law Department (-1 pos)</t>
  </si>
  <si>
    <t>4. Transfer Legal Personnel to Law Department (-6 pos)</t>
  </si>
  <si>
    <t>4. Transfer Legal Personnel to Law Department (-2 pos)</t>
  </si>
  <si>
    <t>3. Transfer Legal Personnel to Law Department (-3 pos)</t>
  </si>
  <si>
    <t>11. Offset NPI to HTF</t>
  </si>
  <si>
    <t>6. 5% Reduction Scenario</t>
  </si>
  <si>
    <t>2. Digital Equity (+2 pos)</t>
  </si>
  <si>
    <t>FY 22-26 FYP Worksheet (above)</t>
  </si>
  <si>
    <t>2. Transfer Legal Personnel to Law Department (-1 pos)</t>
  </si>
  <si>
    <t>5. National Association of Counties (NACo) contrib (FY25 only)</t>
  </si>
  <si>
    <t>3. Adjustment to election related support (FY25 only)</t>
  </si>
  <si>
    <t>FY 22-6 Plan Adjustments</t>
  </si>
  <si>
    <t>1. Adjustments to labor reserve</t>
  </si>
  <si>
    <t>2. Adjustment to SAFER grant</t>
  </si>
  <si>
    <t>3. Adjustment to Relief Factor</t>
  </si>
  <si>
    <t>4. Transfer Legal Personnel to Law (+45 pos)</t>
  </si>
  <si>
    <t>10. Internal Transfer for CLIP (FY21 only)</t>
  </si>
  <si>
    <t>3. Transfer Legal Personnel to Law Department (-24 pos)</t>
  </si>
  <si>
    <t>2. Transfer Legal Personnel to Law Department (-2 pos)</t>
  </si>
  <si>
    <t>Cl800</t>
  </si>
  <si>
    <t>Capital</t>
  </si>
  <si>
    <t>HTF</t>
  </si>
  <si>
    <t>NPI</t>
  </si>
  <si>
    <t>Net HTF</t>
  </si>
  <si>
    <t>3. 5% Reduction Scenario</t>
  </si>
  <si>
    <t>FICA Check</t>
  </si>
  <si>
    <t>Per Above</t>
  </si>
  <si>
    <t>Per FICA File</t>
  </si>
  <si>
    <t>9. Roadmap to Health Racial Equity</t>
  </si>
  <si>
    <t>FINANCE-PANDEMIC RESERVE</t>
  </si>
  <si>
    <t>Finance - Pandemic Reserve</t>
  </si>
  <si>
    <t>1. Restorative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</si>
</sst>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1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8"/>
      <name val="Arial"/>
      <family val="2"/>
    </font>
    <font>
      <u/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lightGray"/>
    </fill>
    <fill>
      <patternFill patternType="solid">
        <fgColor rgb="FF92D050"/>
        <bgColor indexed="64"/>
      </patternFill>
    </fill>
    <fill>
      <patternFill patternType="lightGray"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Gray">
        <bgColor theme="0" tint="-4.9989318521683403E-2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4">
    <xf numFmtId="0" fontId="0" fillId="0" borderId="0"/>
    <xf numFmtId="43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08" fillId="0" borderId="0" applyNumberFormat="0" applyFill="0" applyBorder="0" applyAlignment="0" applyProtection="0"/>
  </cellStyleXfs>
  <cellXfs count="886">
    <xf numFmtId="0" fontId="0" fillId="0" borderId="0" xfId="0"/>
    <xf numFmtId="0" fontId="75" fillId="0" borderId="3" xfId="0" applyFont="1" applyBorder="1" applyAlignment="1">
      <alignment horizontal="left" wrapText="1"/>
    </xf>
    <xf numFmtId="0" fontId="75" fillId="0" borderId="4" xfId="0" applyFont="1" applyBorder="1" applyAlignment="1">
      <alignment horizontal="center" wrapText="1"/>
    </xf>
    <xf numFmtId="0" fontId="75" fillId="0" borderId="5" xfId="0" applyFont="1" applyBorder="1" applyAlignment="1">
      <alignment horizontal="center" wrapText="1"/>
    </xf>
    <xf numFmtId="0" fontId="75" fillId="0" borderId="0" xfId="0" applyFont="1" applyAlignment="1">
      <alignment horizontal="right"/>
    </xf>
    <xf numFmtId="0" fontId="75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164" fontId="0" fillId="2" borderId="6" xfId="1" applyNumberFormat="1" applyFont="1" applyFill="1" applyBorder="1"/>
    <xf numFmtId="164" fontId="0" fillId="0" borderId="6" xfId="1" applyNumberFormat="1" applyFont="1" applyBorder="1"/>
    <xf numFmtId="164" fontId="0" fillId="0" borderId="0" xfId="1" applyNumberFormat="1" applyFont="1"/>
    <xf numFmtId="0" fontId="0" fillId="0" borderId="0" xfId="0" applyFont="1" applyAlignment="1">
      <alignment horizontal="right"/>
    </xf>
    <xf numFmtId="0" fontId="75" fillId="0" borderId="0" xfId="0" applyFont="1" applyAlignment="1">
      <alignment horizontal="left"/>
    </xf>
    <xf numFmtId="0" fontId="78" fillId="0" borderId="0" xfId="0" applyFont="1"/>
    <xf numFmtId="0" fontId="78" fillId="0" borderId="0" xfId="0" applyFont="1" applyAlignment="1">
      <alignment horizontal="left"/>
    </xf>
    <xf numFmtId="0" fontId="78" fillId="0" borderId="0" xfId="0" applyFont="1" applyAlignment="1">
      <alignment horizontal="center" wrapText="1"/>
    </xf>
    <xf numFmtId="0" fontId="78" fillId="0" borderId="0" xfId="0" applyFont="1" applyFill="1" applyBorder="1"/>
    <xf numFmtId="0" fontId="78" fillId="0" borderId="1" xfId="0" applyFont="1" applyFill="1" applyBorder="1" applyAlignment="1">
      <alignment horizontal="left" wrapText="1"/>
    </xf>
    <xf numFmtId="0" fontId="78" fillId="3" borderId="1" xfId="0" applyFont="1" applyFill="1" applyBorder="1" applyAlignment="1">
      <alignment horizontal="left" wrapText="1"/>
    </xf>
    <xf numFmtId="3" fontId="78" fillId="0" borderId="0" xfId="0" applyNumberFormat="1" applyFont="1"/>
    <xf numFmtId="0" fontId="75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center" wrapText="1"/>
    </xf>
    <xf numFmtId="164" fontId="0" fillId="3" borderId="6" xfId="1" applyNumberFormat="1" applyFont="1" applyFill="1" applyBorder="1"/>
    <xf numFmtId="0" fontId="0" fillId="0" borderId="2" xfId="0" applyFont="1" applyFill="1" applyBorder="1"/>
    <xf numFmtId="0" fontId="0" fillId="2" borderId="1" xfId="0" applyFill="1" applyBorder="1"/>
    <xf numFmtId="0" fontId="76" fillId="0" borderId="0" xfId="0" applyFont="1" applyAlignment="1">
      <alignment horizontal="left"/>
    </xf>
    <xf numFmtId="0" fontId="76" fillId="0" borderId="0" xfId="0" quotePrefix="1" applyFont="1" applyAlignment="1">
      <alignment horizontal="left"/>
    </xf>
    <xf numFmtId="37" fontId="0" fillId="2" borderId="6" xfId="1" applyNumberFormat="1" applyFont="1" applyFill="1" applyBorder="1" applyAlignment="1">
      <alignment horizontal="right"/>
    </xf>
    <xf numFmtId="37" fontId="0" fillId="2" borderId="7" xfId="1" applyNumberFormat="1" applyFont="1" applyFill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7" fontId="0" fillId="2" borderId="8" xfId="1" applyNumberFormat="1" applyFont="1" applyFill="1" applyBorder="1" applyAlignment="1">
      <alignment horizontal="right"/>
    </xf>
    <xf numFmtId="37" fontId="0" fillId="2" borderId="9" xfId="1" applyNumberFormat="1" applyFont="1" applyFill="1" applyBorder="1" applyAlignment="1">
      <alignment horizontal="right"/>
    </xf>
    <xf numFmtId="37" fontId="0" fillId="0" borderId="0" xfId="1" applyNumberFormat="1" applyFont="1" applyAlignment="1">
      <alignment horizontal="right"/>
    </xf>
    <xf numFmtId="3" fontId="78" fillId="0" borderId="6" xfId="1" applyNumberFormat="1" applyFont="1" applyFill="1" applyBorder="1" applyAlignment="1">
      <alignment horizontal="right" vertical="center" wrapText="1"/>
    </xf>
    <xf numFmtId="3" fontId="78" fillId="3" borderId="6" xfId="1" applyNumberFormat="1" applyFont="1" applyFill="1" applyBorder="1" applyAlignment="1">
      <alignment horizontal="right" vertical="center" wrapText="1"/>
    </xf>
    <xf numFmtId="38" fontId="0" fillId="0" borderId="6" xfId="0" applyNumberFormat="1" applyFill="1" applyBorder="1"/>
    <xf numFmtId="0" fontId="0" fillId="0" borderId="1" xfId="0" applyBorder="1"/>
    <xf numFmtId="38" fontId="0" fillId="0" borderId="0" xfId="0" applyNumberFormat="1" applyFill="1" applyBorder="1"/>
    <xf numFmtId="0" fontId="75" fillId="0" borderId="1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1" xfId="0" applyFont="1" applyFill="1" applyBorder="1"/>
    <xf numFmtId="37" fontId="0" fillId="0" borderId="6" xfId="1" applyNumberFormat="1" applyFont="1" applyFill="1" applyBorder="1" applyAlignment="1">
      <alignment horizontal="right"/>
    </xf>
    <xf numFmtId="37" fontId="0" fillId="0" borderId="7" xfId="1" applyNumberFormat="1" applyFont="1" applyFill="1" applyBorder="1" applyAlignment="1">
      <alignment horizontal="right"/>
    </xf>
    <xf numFmtId="37" fontId="0" fillId="2" borderId="13" xfId="1" applyNumberFormat="1" applyFont="1" applyFill="1" applyBorder="1" applyAlignment="1">
      <alignment horizontal="right"/>
    </xf>
    <xf numFmtId="37" fontId="0" fillId="0" borderId="8" xfId="1" applyNumberFormat="1" applyFont="1" applyFill="1" applyBorder="1" applyAlignment="1">
      <alignment horizontal="right"/>
    </xf>
    <xf numFmtId="0" fontId="0" fillId="0" borderId="0" xfId="0" applyFont="1" applyBorder="1"/>
    <xf numFmtId="3" fontId="78" fillId="0" borderId="0" xfId="1" applyNumberFormat="1" applyFont="1" applyFill="1" applyBorder="1" applyAlignment="1">
      <alignment horizontal="right" vertical="center" wrapText="1"/>
    </xf>
    <xf numFmtId="38" fontId="0" fillId="0" borderId="1" xfId="0" applyNumberFormat="1" applyFill="1" applyBorder="1"/>
    <xf numFmtId="3" fontId="81" fillId="0" borderId="0" xfId="1" applyNumberFormat="1" applyFont="1" applyFill="1" applyBorder="1" applyAlignment="1">
      <alignment horizontal="right" vertical="center" wrapText="1"/>
    </xf>
    <xf numFmtId="0" fontId="81" fillId="0" borderId="0" xfId="0" applyFont="1" applyAlignment="1">
      <alignment horizontal="left" vertical="center"/>
    </xf>
    <xf numFmtId="0" fontId="81" fillId="5" borderId="0" xfId="0" applyFont="1" applyFill="1" applyAlignment="1">
      <alignment horizontal="left" vertical="center"/>
    </xf>
    <xf numFmtId="0" fontId="0" fillId="0" borderId="0" xfId="0" applyFont="1" applyFill="1"/>
    <xf numFmtId="0" fontId="75" fillId="0" borderId="10" xfId="0" applyFont="1" applyFill="1" applyBorder="1" applyAlignment="1">
      <alignment horizontal="center" vertical="center"/>
    </xf>
    <xf numFmtId="0" fontId="81" fillId="0" borderId="0" xfId="0" applyFont="1" applyAlignment="1">
      <alignment horizontal="right" vertical="center"/>
    </xf>
    <xf numFmtId="37" fontId="81" fillId="0" borderId="0" xfId="0" applyNumberFormat="1" applyFont="1" applyAlignment="1">
      <alignment horizontal="right"/>
    </xf>
    <xf numFmtId="0" fontId="81" fillId="5" borderId="0" xfId="0" applyFont="1" applyFill="1" applyAlignment="1">
      <alignment horizontal="right" vertical="center"/>
    </xf>
    <xf numFmtId="37" fontId="81" fillId="5" borderId="0" xfId="0" applyNumberFormat="1" applyFont="1" applyFill="1" applyAlignment="1">
      <alignment horizontal="right"/>
    </xf>
    <xf numFmtId="1" fontId="81" fillId="0" borderId="0" xfId="0" applyNumberFormat="1" applyFont="1" applyAlignment="1">
      <alignment horizontal="right" vertical="center"/>
    </xf>
    <xf numFmtId="1" fontId="81" fillId="5" borderId="0" xfId="0" applyNumberFormat="1" applyFont="1" applyFill="1" applyAlignment="1">
      <alignment horizontal="right" vertical="center"/>
    </xf>
    <xf numFmtId="164" fontId="78" fillId="5" borderId="0" xfId="1" applyNumberFormat="1" applyFont="1" applyFill="1" applyAlignment="1">
      <alignment horizontal="right" vertical="center"/>
    </xf>
    <xf numFmtId="1" fontId="78" fillId="5" borderId="0" xfId="1" applyNumberFormat="1" applyFont="1" applyFill="1" applyAlignment="1">
      <alignment horizontal="right" vertical="center"/>
    </xf>
    <xf numFmtId="38" fontId="78" fillId="5" borderId="0" xfId="1" applyNumberFormat="1" applyFont="1" applyFill="1" applyAlignment="1">
      <alignment horizontal="right"/>
    </xf>
    <xf numFmtId="38" fontId="78" fillId="5" borderId="0" xfId="0" applyNumberFormat="1" applyFont="1" applyFill="1" applyAlignment="1">
      <alignment horizontal="right"/>
    </xf>
    <xf numFmtId="164" fontId="78" fillId="0" borderId="0" xfId="1" applyNumberFormat="1" applyFont="1" applyFill="1" applyAlignment="1">
      <alignment horizontal="right" vertical="center"/>
    </xf>
    <xf numFmtId="1" fontId="78" fillId="0" borderId="0" xfId="1" applyNumberFormat="1" applyFont="1" applyFill="1" applyAlignment="1">
      <alignment horizontal="right" vertical="center"/>
    </xf>
    <xf numFmtId="38" fontId="78" fillId="0" borderId="0" xfId="1" applyNumberFormat="1" applyFont="1" applyFill="1" applyAlignment="1">
      <alignment horizontal="right"/>
    </xf>
    <xf numFmtId="38" fontId="78" fillId="0" borderId="0" xfId="0" applyNumberFormat="1" applyFont="1" applyFill="1" applyAlignment="1">
      <alignment horizontal="right"/>
    </xf>
    <xf numFmtId="1" fontId="78" fillId="5" borderId="0" xfId="0" applyNumberFormat="1" applyFont="1" applyFill="1" applyAlignment="1">
      <alignment horizontal="right" vertical="center"/>
    </xf>
    <xf numFmtId="1" fontId="78" fillId="0" borderId="0" xfId="0" applyNumberFormat="1" applyFont="1" applyFill="1" applyAlignment="1">
      <alignment horizontal="right" vertical="center"/>
    </xf>
    <xf numFmtId="38" fontId="78" fillId="0" borderId="16" xfId="0" applyNumberFormat="1" applyFont="1" applyFill="1" applyBorder="1" applyAlignment="1">
      <alignment horizontal="right"/>
    </xf>
    <xf numFmtId="0" fontId="78" fillId="0" borderId="0" xfId="0" applyFont="1" applyFill="1" applyAlignment="1">
      <alignment horizontal="left" vertical="center"/>
    </xf>
    <xf numFmtId="0" fontId="78" fillId="0" borderId="0" xfId="0" applyFont="1" applyFill="1" applyAlignment="1">
      <alignment horizontal="right" vertical="center"/>
    </xf>
    <xf numFmtId="0" fontId="82" fillId="0" borderId="0" xfId="0" applyFont="1" applyFill="1" applyAlignment="1">
      <alignment horizontal="left"/>
    </xf>
    <xf numFmtId="0" fontId="78" fillId="0" borderId="0" xfId="0" applyFont="1" applyFill="1" applyAlignment="1">
      <alignment horizontal="left" vertical="center" wrapText="1"/>
    </xf>
    <xf numFmtId="0" fontId="78" fillId="0" borderId="0" xfId="0" applyFont="1" applyFill="1"/>
    <xf numFmtId="38" fontId="78" fillId="0" borderId="0" xfId="0" applyNumberFormat="1" applyFont="1" applyFill="1"/>
    <xf numFmtId="0" fontId="78" fillId="5" borderId="0" xfId="0" applyFont="1" applyFill="1" applyAlignment="1">
      <alignment horizontal="left" vertical="center"/>
    </xf>
    <xf numFmtId="0" fontId="78" fillId="5" borderId="0" xfId="0" applyFont="1" applyFill="1" applyAlignment="1">
      <alignment horizontal="right" vertical="center"/>
    </xf>
    <xf numFmtId="0" fontId="84" fillId="0" borderId="0" xfId="0" applyFont="1" applyFill="1" applyAlignment="1">
      <alignment horizontal="right"/>
    </xf>
    <xf numFmtId="1" fontId="78" fillId="5" borderId="0" xfId="0" quotePrefix="1" applyNumberFormat="1" applyFont="1" applyFill="1" applyAlignment="1">
      <alignment horizontal="right" vertical="center"/>
    </xf>
    <xf numFmtId="0" fontId="0" fillId="6" borderId="0" xfId="0" applyFill="1"/>
    <xf numFmtId="1" fontId="78" fillId="0" borderId="0" xfId="0" quotePrefix="1" applyNumberFormat="1" applyFont="1" applyFill="1" applyAlignment="1">
      <alignment horizontal="right" vertical="center"/>
    </xf>
    <xf numFmtId="0" fontId="78" fillId="0" borderId="17" xfId="0" applyFont="1" applyFill="1" applyBorder="1" applyAlignment="1">
      <alignment horizontal="right" vertical="center"/>
    </xf>
    <xf numFmtId="1" fontId="78" fillId="0" borderId="17" xfId="0" applyNumberFormat="1" applyFont="1" applyFill="1" applyBorder="1" applyAlignment="1">
      <alignment horizontal="right" vertical="center"/>
    </xf>
    <xf numFmtId="38" fontId="78" fillId="0" borderId="17" xfId="0" applyNumberFormat="1" applyFont="1" applyFill="1" applyBorder="1" applyAlignment="1">
      <alignment horizontal="right"/>
    </xf>
    <xf numFmtId="0" fontId="78" fillId="0" borderId="0" xfId="0" applyFont="1" applyFill="1" applyBorder="1" applyAlignment="1">
      <alignment horizontal="right" vertical="center"/>
    </xf>
    <xf numFmtId="1" fontId="78" fillId="0" borderId="0" xfId="0" applyNumberFormat="1" applyFont="1" applyFill="1" applyBorder="1" applyAlignment="1">
      <alignment horizontal="right" vertical="center"/>
    </xf>
    <xf numFmtId="38" fontId="78" fillId="0" borderId="0" xfId="0" applyNumberFormat="1" applyFont="1" applyFill="1" applyBorder="1" applyAlignment="1">
      <alignment horizontal="right"/>
    </xf>
    <xf numFmtId="1" fontId="78" fillId="0" borderId="0" xfId="1" quotePrefix="1" applyNumberFormat="1" applyFont="1" applyFill="1" applyAlignment="1">
      <alignment horizontal="right" vertical="center"/>
    </xf>
    <xf numFmtId="0" fontId="87" fillId="0" borderId="0" xfId="0" applyFont="1"/>
    <xf numFmtId="1" fontId="78" fillId="0" borderId="17" xfId="1" applyNumberFormat="1" applyFont="1" applyFill="1" applyBorder="1" applyAlignment="1">
      <alignment horizontal="right" vertical="center"/>
    </xf>
    <xf numFmtId="38" fontId="78" fillId="0" borderId="17" xfId="1" applyNumberFormat="1" applyFont="1" applyFill="1" applyBorder="1" applyAlignment="1">
      <alignment horizontal="right"/>
    </xf>
    <xf numFmtId="164" fontId="78" fillId="0" borderId="17" xfId="1" applyNumberFormat="1" applyFont="1" applyFill="1" applyBorder="1" applyAlignment="1">
      <alignment horizontal="right" vertical="center"/>
    </xf>
    <xf numFmtId="0" fontId="84" fillId="0" borderId="0" xfId="0" applyFont="1" applyFill="1" applyAlignment="1">
      <alignment horizontal="left" indent="2"/>
    </xf>
    <xf numFmtId="164" fontId="78" fillId="0" borderId="0" xfId="1" applyNumberFormat="1" applyFont="1" applyFill="1" applyBorder="1" applyAlignment="1">
      <alignment horizontal="right" vertical="center"/>
    </xf>
    <xf numFmtId="1" fontId="78" fillId="0" borderId="0" xfId="1" applyNumberFormat="1" applyFont="1" applyFill="1" applyBorder="1" applyAlignment="1">
      <alignment horizontal="right" vertical="center"/>
    </xf>
    <xf numFmtId="38" fontId="78" fillId="0" borderId="0" xfId="1" applyNumberFormat="1" applyFont="1" applyFill="1" applyBorder="1" applyAlignment="1">
      <alignment horizontal="right"/>
    </xf>
    <xf numFmtId="0" fontId="84" fillId="0" borderId="0" xfId="0" applyFont="1" applyFill="1" applyBorder="1" applyAlignment="1">
      <alignment horizontal="left" indent="2"/>
    </xf>
    <xf numFmtId="38" fontId="78" fillId="0" borderId="0" xfId="0" applyNumberFormat="1" applyFont="1" applyFill="1" applyBorder="1"/>
    <xf numFmtId="0" fontId="75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90" fillId="6" borderId="0" xfId="0" applyFont="1" applyFill="1"/>
    <xf numFmtId="0" fontId="75" fillId="6" borderId="0" xfId="0" applyFont="1" applyFill="1"/>
    <xf numFmtId="0" fontId="91" fillId="0" borderId="0" xfId="0" applyFont="1" applyAlignment="1">
      <alignment horizontal="left"/>
    </xf>
    <xf numFmtId="37" fontId="0" fillId="0" borderId="9" xfId="1" applyNumberFormat="1" applyFont="1" applyFill="1" applyBorder="1" applyAlignment="1">
      <alignment horizontal="right"/>
    </xf>
    <xf numFmtId="37" fontId="0" fillId="2" borderId="24" xfId="1" applyNumberFormat="1" applyFont="1" applyFill="1" applyBorder="1" applyAlignment="1">
      <alignment horizontal="right"/>
    </xf>
    <xf numFmtId="37" fontId="0" fillId="0" borderId="25" xfId="1" applyNumberFormat="1" applyFont="1" applyFill="1" applyBorder="1" applyAlignment="1">
      <alignment horizontal="right"/>
    </xf>
    <xf numFmtId="37" fontId="0" fillId="2" borderId="25" xfId="1" applyNumberFormat="1" applyFont="1" applyFill="1" applyBorder="1" applyAlignment="1">
      <alignment horizontal="right"/>
    </xf>
    <xf numFmtId="37" fontId="0" fillId="0" borderId="26" xfId="1" applyNumberFormat="1" applyFont="1" applyFill="1" applyBorder="1" applyAlignment="1">
      <alignment horizontal="right"/>
    </xf>
    <xf numFmtId="0" fontId="0" fillId="0" borderId="1" xfId="0" applyFill="1" applyBorder="1"/>
    <xf numFmtId="37" fontId="0" fillId="3" borderId="7" xfId="1" applyNumberFormat="1" applyFont="1" applyFill="1" applyBorder="1" applyAlignment="1">
      <alignment horizontal="right"/>
    </xf>
    <xf numFmtId="0" fontId="86" fillId="0" borderId="0" xfId="0" applyFont="1" applyFill="1" applyAlignment="1">
      <alignment horizontal="left"/>
    </xf>
    <xf numFmtId="0" fontId="82" fillId="0" borderId="0" xfId="0" applyFont="1" applyFill="1" applyAlignment="1">
      <alignment horizontal="left" indent="2"/>
    </xf>
    <xf numFmtId="0" fontId="78" fillId="0" borderId="17" xfId="0" applyFont="1" applyFill="1" applyBorder="1"/>
    <xf numFmtId="0" fontId="83" fillId="0" borderId="0" xfId="0" applyFont="1" applyFill="1" applyAlignment="1">
      <alignment horizontal="left"/>
    </xf>
    <xf numFmtId="0" fontId="89" fillId="0" borderId="0" xfId="0" applyFont="1" applyFill="1" applyAlignment="1">
      <alignment horizontal="left" vertical="center" indent="2"/>
    </xf>
    <xf numFmtId="0" fontId="84" fillId="0" borderId="0" xfId="0" applyFont="1" applyFill="1" applyBorder="1" applyAlignment="1">
      <alignment horizontal="left"/>
    </xf>
    <xf numFmtId="0" fontId="84" fillId="0" borderId="0" xfId="0" applyFont="1" applyFill="1" applyAlignment="1">
      <alignment horizontal="left"/>
    </xf>
    <xf numFmtId="0" fontId="77" fillId="0" borderId="0" xfId="0" applyFont="1" applyFill="1" applyBorder="1" applyAlignment="1">
      <alignment horizontal="right" vertical="center"/>
    </xf>
    <xf numFmtId="38" fontId="77" fillId="0" borderId="0" xfId="0" applyNumberFormat="1" applyFont="1" applyFill="1" applyBorder="1" applyAlignment="1">
      <alignment horizontal="right" vertical="center"/>
    </xf>
    <xf numFmtId="0" fontId="76" fillId="0" borderId="0" xfId="0" applyFont="1" applyAlignment="1">
      <alignment horizontal="left"/>
    </xf>
    <xf numFmtId="38" fontId="78" fillId="5" borderId="0" xfId="0" applyNumberFormat="1" applyFont="1" applyFill="1"/>
    <xf numFmtId="38" fontId="78" fillId="5" borderId="0" xfId="0" applyNumberFormat="1" applyFont="1" applyFill="1" applyBorder="1"/>
    <xf numFmtId="0" fontId="78" fillId="5" borderId="0" xfId="0" applyFont="1" applyFill="1"/>
    <xf numFmtId="0" fontId="84" fillId="5" borderId="0" xfId="0" applyFont="1" applyFill="1" applyAlignment="1">
      <alignment horizontal="right"/>
    </xf>
    <xf numFmtId="38" fontId="78" fillId="5" borderId="0" xfId="1" applyNumberFormat="1" applyFont="1" applyFill="1" applyBorder="1"/>
    <xf numFmtId="0" fontId="84" fillId="5" borderId="17" xfId="0" applyFont="1" applyFill="1" applyBorder="1" applyAlignment="1">
      <alignment horizontal="left" indent="2"/>
    </xf>
    <xf numFmtId="164" fontId="78" fillId="5" borderId="17" xfId="1" applyNumberFormat="1" applyFont="1" applyFill="1" applyBorder="1" applyAlignment="1">
      <alignment horizontal="right" vertical="center"/>
    </xf>
    <xf numFmtId="38" fontId="78" fillId="5" borderId="17" xfId="1" applyNumberFormat="1" applyFont="1" applyFill="1" applyBorder="1" applyAlignment="1">
      <alignment horizontal="right"/>
    </xf>
    <xf numFmtId="38" fontId="78" fillId="5" borderId="17" xfId="0" applyNumberFormat="1" applyFont="1" applyFill="1" applyBorder="1" applyAlignment="1">
      <alignment horizontal="right"/>
    </xf>
    <xf numFmtId="0" fontId="78" fillId="5" borderId="17" xfId="0" applyFont="1" applyFill="1" applyBorder="1" applyAlignment="1">
      <alignment horizontal="right" vertical="center"/>
    </xf>
    <xf numFmtId="1" fontId="78" fillId="5" borderId="17" xfId="0" applyNumberFormat="1" applyFont="1" applyFill="1" applyBorder="1" applyAlignment="1">
      <alignment horizontal="right" vertical="center"/>
    </xf>
    <xf numFmtId="0" fontId="84" fillId="5" borderId="0" xfId="0" applyFont="1" applyFill="1" applyBorder="1" applyAlignment="1">
      <alignment horizontal="right"/>
    </xf>
    <xf numFmtId="0" fontId="78" fillId="5" borderId="0" xfId="0" applyFont="1" applyFill="1" applyBorder="1"/>
    <xf numFmtId="38" fontId="78" fillId="5" borderId="0" xfId="1" applyNumberFormat="1" applyFont="1" applyFill="1" applyBorder="1" applyAlignment="1">
      <alignment horizontal="right"/>
    </xf>
    <xf numFmtId="38" fontId="78" fillId="5" borderId="0" xfId="0" applyNumberFormat="1" applyFont="1" applyFill="1" applyBorder="1" applyAlignment="1">
      <alignment horizontal="right"/>
    </xf>
    <xf numFmtId="0" fontId="0" fillId="5" borderId="0" xfId="0" applyFont="1" applyFill="1"/>
    <xf numFmtId="0" fontId="89" fillId="5" borderId="18" xfId="0" applyFont="1" applyFill="1" applyBorder="1" applyAlignment="1">
      <alignment horizontal="right" vertical="center"/>
    </xf>
    <xf numFmtId="164" fontId="78" fillId="5" borderId="16" xfId="1" applyNumberFormat="1" applyFont="1" applyFill="1" applyBorder="1" applyAlignment="1">
      <alignment horizontal="right" vertical="center"/>
    </xf>
    <xf numFmtId="1" fontId="78" fillId="5" borderId="16" xfId="1" applyNumberFormat="1" applyFont="1" applyFill="1" applyBorder="1" applyAlignment="1">
      <alignment horizontal="right" vertical="center"/>
    </xf>
    <xf numFmtId="38" fontId="78" fillId="5" borderId="16" xfId="1" applyNumberFormat="1" applyFont="1" applyFill="1" applyBorder="1" applyAlignment="1">
      <alignment horizontal="right"/>
    </xf>
    <xf numFmtId="38" fontId="78" fillId="5" borderId="16" xfId="0" applyNumberFormat="1" applyFont="1" applyFill="1" applyBorder="1" applyAlignment="1">
      <alignment horizontal="right"/>
    </xf>
    <xf numFmtId="38" fontId="78" fillId="5" borderId="19" xfId="0" applyNumberFormat="1" applyFont="1" applyFill="1" applyBorder="1" applyAlignment="1">
      <alignment horizontal="right"/>
    </xf>
    <xf numFmtId="0" fontId="78" fillId="5" borderId="15" xfId="0" applyFont="1" applyFill="1" applyBorder="1" applyAlignment="1">
      <alignment horizontal="right" vertical="center"/>
    </xf>
    <xf numFmtId="0" fontId="78" fillId="5" borderId="0" xfId="0" applyFont="1" applyFill="1" applyBorder="1" applyAlignment="1">
      <alignment horizontal="right" vertical="center"/>
    </xf>
    <xf numFmtId="1" fontId="78" fillId="5" borderId="0" xfId="1" applyNumberFormat="1" applyFont="1" applyFill="1" applyBorder="1" applyAlignment="1">
      <alignment horizontal="right" vertical="center"/>
    </xf>
    <xf numFmtId="0" fontId="78" fillId="5" borderId="20" xfId="0" applyFont="1" applyFill="1" applyBorder="1" applyAlignment="1">
      <alignment horizontal="left" vertical="center"/>
    </xf>
    <xf numFmtId="38" fontId="78" fillId="5" borderId="21" xfId="0" applyNumberFormat="1" applyFont="1" applyFill="1" applyBorder="1" applyAlignment="1">
      <alignment horizontal="right"/>
    </xf>
    <xf numFmtId="38" fontId="78" fillId="5" borderId="22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92" fillId="0" borderId="0" xfId="0" applyFont="1" applyFill="1" applyAlignment="1">
      <alignment horizontal="left" vertical="center"/>
    </xf>
    <xf numFmtId="38" fontId="81" fillId="0" borderId="0" xfId="1" applyNumberFormat="1" applyFont="1" applyFill="1" applyBorder="1" applyAlignment="1">
      <alignment horizontal="right" vertical="center" wrapText="1"/>
    </xf>
    <xf numFmtId="164" fontId="0" fillId="0" borderId="6" xfId="1" applyNumberFormat="1" applyFont="1" applyFill="1" applyBorder="1"/>
    <xf numFmtId="164" fontId="0" fillId="0" borderId="0" xfId="1" applyNumberFormat="1" applyFont="1" applyFill="1"/>
    <xf numFmtId="0" fontId="87" fillId="0" borderId="0" xfId="0" quotePrefix="1" applyFont="1" applyAlignment="1">
      <alignment horizontal="left" wrapText="1"/>
    </xf>
    <xf numFmtId="37" fontId="0" fillId="3" borderId="6" xfId="1" applyNumberFormat="1" applyFont="1" applyFill="1" applyBorder="1" applyAlignment="1">
      <alignment horizontal="right"/>
    </xf>
    <xf numFmtId="0" fontId="94" fillId="0" borderId="0" xfId="0" applyFont="1"/>
    <xf numFmtId="0" fontId="89" fillId="0" borderId="0" xfId="0" applyFont="1" applyFill="1" applyAlignment="1">
      <alignment horizontal="left" vertical="center"/>
    </xf>
    <xf numFmtId="0" fontId="89" fillId="5" borderId="0" xfId="0" applyFont="1" applyFill="1" applyAlignment="1">
      <alignment horizontal="left" vertical="center"/>
    </xf>
    <xf numFmtId="0" fontId="95" fillId="0" borderId="0" xfId="0" applyFont="1" applyFill="1" applyAlignment="1">
      <alignment horizontal="left" vertical="center"/>
    </xf>
    <xf numFmtId="164" fontId="78" fillId="0" borderId="0" xfId="1" quotePrefix="1" applyNumberFormat="1" applyFont="1" applyFill="1" applyAlignment="1">
      <alignment horizontal="right" vertical="center"/>
    </xf>
    <xf numFmtId="38" fontId="78" fillId="0" borderId="0" xfId="0" applyNumberFormat="1" applyFont="1"/>
    <xf numFmtId="0" fontId="75" fillId="0" borderId="0" xfId="0" applyFont="1" applyAlignment="1">
      <alignment horizontal="left"/>
    </xf>
    <xf numFmtId="0" fontId="95" fillId="5" borderId="0" xfId="0" applyFont="1" applyFill="1" applyAlignment="1">
      <alignment horizontal="left" vertical="center"/>
    </xf>
    <xf numFmtId="0" fontId="78" fillId="0" borderId="0" xfId="0" applyFont="1" applyFill="1" applyBorder="1" applyAlignment="1">
      <alignment horizontal="left" vertical="center"/>
    </xf>
    <xf numFmtId="0" fontId="78" fillId="5" borderId="0" xfId="0" applyFont="1" applyFill="1" applyBorder="1" applyAlignment="1">
      <alignment horizontal="left" vertical="center"/>
    </xf>
    <xf numFmtId="0" fontId="75" fillId="6" borderId="0" xfId="0" applyFont="1" applyFill="1" applyAlignment="1">
      <alignment horizontal="right"/>
    </xf>
    <xf numFmtId="0" fontId="75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97" fillId="0" borderId="0" xfId="0" applyFont="1"/>
    <xf numFmtId="165" fontId="97" fillId="0" borderId="0" xfId="0" applyNumberFormat="1" applyFont="1"/>
    <xf numFmtId="0" fontId="75" fillId="0" borderId="0" xfId="0" applyFont="1" applyAlignment="1">
      <alignment horizontal="left"/>
    </xf>
    <xf numFmtId="0" fontId="88" fillId="0" borderId="0" xfId="0" applyFont="1" applyFill="1" applyAlignment="1">
      <alignment horizontal="left" vertical="center"/>
    </xf>
    <xf numFmtId="0" fontId="88" fillId="5" borderId="0" xfId="0" applyFont="1" applyFill="1" applyAlignment="1">
      <alignment horizontal="left" vertical="center"/>
    </xf>
    <xf numFmtId="1" fontId="78" fillId="5" borderId="0" xfId="0" applyNumberFormat="1" applyFont="1" applyFill="1" applyBorder="1" applyAlignment="1">
      <alignment horizontal="right" vertical="center"/>
    </xf>
    <xf numFmtId="0" fontId="84" fillId="5" borderId="0" xfId="0" applyFont="1" applyFill="1" applyAlignment="1"/>
    <xf numFmtId="0" fontId="0" fillId="5" borderId="17" xfId="0" applyFont="1" applyFill="1" applyBorder="1"/>
    <xf numFmtId="37" fontId="0" fillId="6" borderId="7" xfId="1" applyNumberFormat="1" applyFont="1" applyFill="1" applyBorder="1" applyAlignment="1">
      <alignment horizontal="right"/>
    </xf>
    <xf numFmtId="38" fontId="78" fillId="6" borderId="0" xfId="1" applyNumberFormat="1" applyFont="1" applyFill="1" applyBorder="1" applyAlignment="1">
      <alignment horizontal="right"/>
    </xf>
    <xf numFmtId="0" fontId="75" fillId="0" borderId="29" xfId="0" applyFont="1" applyFill="1" applyBorder="1" applyAlignment="1">
      <alignment horizontal="center" vertical="center"/>
    </xf>
    <xf numFmtId="0" fontId="96" fillId="0" borderId="0" xfId="0" applyFont="1" applyFill="1" applyAlignment="1">
      <alignment horizontal="left" vertical="center"/>
    </xf>
    <xf numFmtId="164" fontId="0" fillId="3" borderId="7" xfId="1" applyNumberFormat="1" applyFont="1" applyFill="1" applyBorder="1"/>
    <xf numFmtId="164" fontId="78" fillId="5" borderId="0" xfId="1" applyNumberFormat="1" applyFont="1" applyFill="1" applyBorder="1" applyAlignment="1">
      <alignment horizontal="right" vertical="center"/>
    </xf>
    <xf numFmtId="0" fontId="75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1" applyNumberFormat="1" applyFont="1"/>
    <xf numFmtId="0" fontId="84" fillId="5" borderId="0" xfId="0" applyFont="1" applyFill="1" applyBorder="1" applyAlignment="1"/>
    <xf numFmtId="38" fontId="88" fillId="5" borderId="0" xfId="0" applyNumberFormat="1" applyFont="1" applyFill="1" applyAlignment="1">
      <alignment horizontal="right"/>
    </xf>
    <xf numFmtId="164" fontId="0" fillId="0" borderId="7" xfId="1" applyNumberFormat="1" applyFont="1" applyFill="1" applyBorder="1"/>
    <xf numFmtId="0" fontId="0" fillId="5" borderId="0" xfId="0" applyFont="1" applyFill="1" applyBorder="1"/>
    <xf numFmtId="0" fontId="0" fillId="6" borderId="0" xfId="0" applyFont="1" applyFill="1"/>
    <xf numFmtId="164" fontId="0" fillId="0" borderId="0" xfId="0" applyNumberFormat="1" applyFont="1"/>
    <xf numFmtId="164" fontId="0" fillId="0" borderId="0" xfId="0" applyNumberFormat="1" applyFont="1" applyFill="1"/>
    <xf numFmtId="0" fontId="0" fillId="0" borderId="0" xfId="0" applyFont="1" applyFill="1" applyBorder="1"/>
    <xf numFmtId="0" fontId="88" fillId="0" borderId="0" xfId="0" applyFont="1" applyAlignment="1">
      <alignment horizontal="left" vertical="center"/>
    </xf>
    <xf numFmtId="0" fontId="75" fillId="0" borderId="0" xfId="0" applyFont="1" applyAlignment="1">
      <alignment horizontal="left"/>
    </xf>
    <xf numFmtId="0" fontId="96" fillId="5" borderId="0" xfId="0" applyFont="1" applyFill="1" applyBorder="1" applyAlignment="1">
      <alignment horizontal="left" vertical="center"/>
    </xf>
    <xf numFmtId="0" fontId="75" fillId="0" borderId="0" xfId="0" applyFont="1" applyBorder="1" applyAlignment="1">
      <alignment horizontal="center" vertical="center"/>
    </xf>
    <xf numFmtId="0" fontId="0" fillId="0" borderId="0" xfId="0" quotePrefix="1" applyFont="1"/>
    <xf numFmtId="37" fontId="0" fillId="0" borderId="0" xfId="0" applyNumberFormat="1" applyFont="1"/>
    <xf numFmtId="38" fontId="0" fillId="0" borderId="0" xfId="0" applyNumberFormat="1" applyFont="1"/>
    <xf numFmtId="0" fontId="0" fillId="5" borderId="1" xfId="0" applyFont="1" applyFill="1" applyBorder="1"/>
    <xf numFmtId="0" fontId="75" fillId="0" borderId="4" xfId="0" applyFont="1" applyFill="1" applyBorder="1" applyAlignment="1">
      <alignment horizontal="center" wrapText="1"/>
    </xf>
    <xf numFmtId="0" fontId="78" fillId="0" borderId="0" xfId="0" applyFont="1" applyFill="1" applyAlignment="1">
      <alignment vertical="center"/>
    </xf>
    <xf numFmtId="0" fontId="78" fillId="0" borderId="0" xfId="0" applyFont="1" applyBorder="1"/>
    <xf numFmtId="0" fontId="78" fillId="0" borderId="0" xfId="0" quotePrefix="1" applyFont="1" applyFill="1" applyAlignment="1">
      <alignment horizontal="right"/>
    </xf>
    <xf numFmtId="1" fontId="78" fillId="5" borderId="0" xfId="0" quotePrefix="1" applyNumberFormat="1" applyFont="1" applyFill="1" applyBorder="1" applyAlignment="1">
      <alignment horizontal="right" vertical="center"/>
    </xf>
    <xf numFmtId="0" fontId="0" fillId="0" borderId="17" xfId="0" applyFont="1" applyFill="1" applyBorder="1"/>
    <xf numFmtId="164" fontId="0" fillId="0" borderId="0" xfId="0" applyNumberFormat="1" applyFont="1" applyFill="1" applyBorder="1"/>
    <xf numFmtId="164" fontId="0" fillId="0" borderId="0" xfId="0" quotePrefix="1" applyNumberFormat="1" applyFont="1" applyFill="1" applyBorder="1"/>
    <xf numFmtId="0" fontId="84" fillId="0" borderId="0" xfId="0" applyFont="1" applyFill="1" applyBorder="1" applyAlignment="1"/>
    <xf numFmtId="0" fontId="78" fillId="0" borderId="0" xfId="0" quotePrefix="1" applyFont="1"/>
    <xf numFmtId="37" fontId="0" fillId="2" borderId="15" xfId="1" applyNumberFormat="1" applyFont="1" applyFill="1" applyBorder="1" applyAlignment="1">
      <alignment horizontal="right"/>
    </xf>
    <xf numFmtId="37" fontId="0" fillId="0" borderId="15" xfId="1" applyNumberFormat="1" applyFont="1" applyFill="1" applyBorder="1" applyAlignment="1">
      <alignment horizontal="right"/>
    </xf>
    <xf numFmtId="37" fontId="0" fillId="3" borderId="15" xfId="1" applyNumberFormat="1" applyFont="1" applyFill="1" applyBorder="1" applyAlignment="1">
      <alignment horizontal="right"/>
    </xf>
    <xf numFmtId="37" fontId="0" fillId="0" borderId="15" xfId="1" applyNumberFormat="1" applyFont="1" applyBorder="1" applyAlignment="1">
      <alignment horizontal="right"/>
    </xf>
    <xf numFmtId="37" fontId="0" fillId="2" borderId="31" xfId="1" applyNumberFormat="1" applyFont="1" applyFill="1" applyBorder="1" applyAlignment="1">
      <alignment horizontal="right"/>
    </xf>
    <xf numFmtId="37" fontId="0" fillId="0" borderId="0" xfId="1" applyNumberFormat="1" applyFont="1" applyFill="1" applyBorder="1" applyAlignment="1">
      <alignment horizontal="right"/>
    </xf>
    <xf numFmtId="37" fontId="0" fillId="3" borderId="13" xfId="1" applyNumberFormat="1" applyFont="1" applyFill="1" applyBorder="1" applyAlignment="1">
      <alignment horizontal="right"/>
    </xf>
    <xf numFmtId="0" fontId="88" fillId="5" borderId="17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left" vertical="center"/>
    </xf>
    <xf numFmtId="0" fontId="83" fillId="0" borderId="0" xfId="0" applyFont="1" applyAlignment="1">
      <alignment horizontal="left"/>
    </xf>
    <xf numFmtId="0" fontId="83" fillId="5" borderId="0" xfId="0" applyFont="1" applyFill="1" applyAlignment="1">
      <alignment horizontal="left"/>
    </xf>
    <xf numFmtId="37" fontId="78" fillId="0" borderId="0" xfId="1" applyNumberFormat="1" applyFont="1" applyFill="1" applyBorder="1" applyAlignment="1">
      <alignment horizontal="right"/>
    </xf>
    <xf numFmtId="0" fontId="89" fillId="5" borderId="0" xfId="0" applyFont="1" applyFill="1"/>
    <xf numFmtId="1" fontId="88" fillId="0" borderId="0" xfId="0" applyNumberFormat="1" applyFont="1" applyAlignment="1">
      <alignment horizontal="right" vertical="center"/>
    </xf>
    <xf numFmtId="0" fontId="78" fillId="5" borderId="0" xfId="0" quotePrefix="1" applyFont="1" applyFill="1" applyAlignment="1">
      <alignment horizontal="right"/>
    </xf>
    <xf numFmtId="0" fontId="78" fillId="5" borderId="0" xfId="0" applyFont="1" applyFill="1" applyAlignment="1">
      <alignment horizontal="right"/>
    </xf>
    <xf numFmtId="164" fontId="93" fillId="3" borderId="7" xfId="1" applyNumberFormat="1" applyFont="1" applyFill="1" applyBorder="1"/>
    <xf numFmtId="164" fontId="74" fillId="0" borderId="6" xfId="1" applyNumberFormat="1" applyFont="1" applyFill="1" applyBorder="1"/>
    <xf numFmtId="164" fontId="0" fillId="5" borderId="8" xfId="1" applyNumberFormat="1" applyFont="1" applyFill="1" applyBorder="1"/>
    <xf numFmtId="164" fontId="0" fillId="5" borderId="9" xfId="1" applyNumberFormat="1" applyFont="1" applyFill="1" applyBorder="1"/>
    <xf numFmtId="1" fontId="88" fillId="7" borderId="0" xfId="0" applyNumberFormat="1" applyFont="1" applyFill="1" applyAlignment="1">
      <alignment horizontal="right" vertical="center"/>
    </xf>
    <xf numFmtId="38" fontId="88" fillId="7" borderId="0" xfId="0" applyNumberFormat="1" applyFont="1" applyFill="1" applyAlignment="1">
      <alignment horizontal="right"/>
    </xf>
    <xf numFmtId="1" fontId="88" fillId="0" borderId="0" xfId="0" applyNumberFormat="1" applyFont="1" applyFill="1" applyAlignment="1">
      <alignment horizontal="right" vertical="center"/>
    </xf>
    <xf numFmtId="38" fontId="88" fillId="0" borderId="0" xfId="0" applyNumberFormat="1" applyFont="1" applyFill="1" applyAlignment="1">
      <alignment horizontal="right"/>
    </xf>
    <xf numFmtId="164" fontId="100" fillId="6" borderId="0" xfId="0" applyNumberFormat="1" applyFont="1" applyFill="1"/>
    <xf numFmtId="164" fontId="0" fillId="0" borderId="15" xfId="1" applyNumberFormat="1" applyFont="1" applyBorder="1"/>
    <xf numFmtId="164" fontId="0" fillId="2" borderId="15" xfId="1" applyNumberFormat="1" applyFont="1" applyFill="1" applyBorder="1"/>
    <xf numFmtId="164" fontId="0" fillId="3" borderId="15" xfId="1" applyNumberFormat="1" applyFont="1" applyFill="1" applyBorder="1"/>
    <xf numFmtId="38" fontId="0" fillId="0" borderId="15" xfId="0" applyNumberFormat="1" applyFill="1" applyBorder="1"/>
    <xf numFmtId="37" fontId="0" fillId="2" borderId="30" xfId="1" applyNumberFormat="1" applyFont="1" applyFill="1" applyBorder="1"/>
    <xf numFmtId="37" fontId="0" fillId="2" borderId="0" xfId="1" applyNumberFormat="1" applyFont="1" applyFill="1" applyBorder="1"/>
    <xf numFmtId="37" fontId="0" fillId="0" borderId="6" xfId="1" applyNumberFormat="1" applyFont="1" applyBorder="1"/>
    <xf numFmtId="37" fontId="0" fillId="0" borderId="0" xfId="1" applyNumberFormat="1" applyFont="1" applyBorder="1"/>
    <xf numFmtId="37" fontId="0" fillId="2" borderId="6" xfId="1" applyNumberFormat="1" applyFont="1" applyFill="1" applyBorder="1"/>
    <xf numFmtId="37" fontId="0" fillId="2" borderId="8" xfId="1" applyNumberFormat="1" applyFont="1" applyFill="1" applyBorder="1"/>
    <xf numFmtId="37" fontId="0" fillId="2" borderId="14" xfId="1" applyNumberFormat="1" applyFont="1" applyFill="1" applyBorder="1"/>
    <xf numFmtId="37" fontId="0" fillId="2" borderId="18" xfId="0" applyNumberFormat="1" applyFont="1" applyFill="1" applyBorder="1"/>
    <xf numFmtId="37" fontId="0" fillId="2" borderId="30" xfId="0" applyNumberFormat="1" applyFont="1" applyFill="1" applyBorder="1"/>
    <xf numFmtId="37" fontId="0" fillId="0" borderId="15" xfId="0" applyNumberFormat="1" applyFont="1" applyBorder="1"/>
    <xf numFmtId="37" fontId="0" fillId="0" borderId="6" xfId="0" applyNumberFormat="1" applyFont="1" applyBorder="1"/>
    <xf numFmtId="37" fontId="0" fillId="2" borderId="15" xfId="0" applyNumberFormat="1" applyFont="1" applyFill="1" applyBorder="1"/>
    <xf numFmtId="37" fontId="0" fillId="2" borderId="6" xfId="0" applyNumberFormat="1" applyFont="1" applyFill="1" applyBorder="1"/>
    <xf numFmtId="37" fontId="0" fillId="2" borderId="31" xfId="0" applyNumberFormat="1" applyFont="1" applyFill="1" applyBorder="1"/>
    <xf numFmtId="37" fontId="0" fillId="2" borderId="8" xfId="0" applyNumberFormat="1" applyFont="1" applyFill="1" applyBorder="1"/>
    <xf numFmtId="37" fontId="0" fillId="2" borderId="7" xfId="0" applyNumberFormat="1" applyFill="1" applyBorder="1"/>
    <xf numFmtId="37" fontId="0" fillId="0" borderId="7" xfId="0" applyNumberFormat="1" applyFont="1" applyBorder="1"/>
    <xf numFmtId="37" fontId="0" fillId="2" borderId="7" xfId="0" applyNumberFormat="1" applyFont="1" applyFill="1" applyBorder="1"/>
    <xf numFmtId="37" fontId="0" fillId="2" borderId="9" xfId="0" applyNumberFormat="1" applyFont="1" applyFill="1" applyBorder="1"/>
    <xf numFmtId="37" fontId="0" fillId="0" borderId="18" xfId="0" applyNumberFormat="1" applyFont="1" applyBorder="1"/>
    <xf numFmtId="37" fontId="0" fillId="2" borderId="15" xfId="0" applyNumberFormat="1" applyFill="1" applyBorder="1"/>
    <xf numFmtId="37" fontId="0" fillId="2" borderId="0" xfId="0" applyNumberFormat="1" applyFont="1" applyFill="1" applyBorder="1"/>
    <xf numFmtId="37" fontId="0" fillId="0" borderId="0" xfId="0" applyNumberFormat="1" applyFont="1" applyBorder="1"/>
    <xf numFmtId="37" fontId="0" fillId="2" borderId="14" xfId="0" applyNumberFormat="1" applyFont="1" applyFill="1" applyBorder="1"/>
    <xf numFmtId="37" fontId="0" fillId="2" borderId="13" xfId="0" applyNumberFormat="1" applyFont="1" applyFill="1" applyBorder="1"/>
    <xf numFmtId="37" fontId="0" fillId="2" borderId="13" xfId="1" applyNumberFormat="1" applyFont="1" applyFill="1" applyBorder="1"/>
    <xf numFmtId="37" fontId="0" fillId="0" borderId="7" xfId="1" applyNumberFormat="1" applyFont="1" applyBorder="1"/>
    <xf numFmtId="37" fontId="0" fillId="2" borderId="7" xfId="1" applyNumberFormat="1" applyFont="1" applyFill="1" applyBorder="1"/>
    <xf numFmtId="37" fontId="0" fillId="2" borderId="9" xfId="1" applyNumberFormat="1" applyFont="1" applyFill="1" applyBorder="1"/>
    <xf numFmtId="164" fontId="87" fillId="0" borderId="0" xfId="1" applyNumberFormat="1" applyFont="1" applyBorder="1" applyAlignment="1">
      <alignment horizontal="right"/>
    </xf>
    <xf numFmtId="0" fontId="84" fillId="7" borderId="29" xfId="0" applyFont="1" applyFill="1" applyBorder="1" applyAlignment="1">
      <alignment wrapText="1"/>
    </xf>
    <xf numFmtId="0" fontId="84" fillId="0" borderId="0" xfId="0" applyFont="1" applyFill="1" applyBorder="1" applyAlignment="1">
      <alignment horizontal="right"/>
    </xf>
    <xf numFmtId="0" fontId="78" fillId="0" borderId="0" xfId="0" applyFont="1" applyFill="1" applyAlignment="1">
      <alignment horizontal="left" vertical="center" indent="2"/>
    </xf>
    <xf numFmtId="0" fontId="78" fillId="0" borderId="0" xfId="0" applyFont="1" applyFill="1" applyBorder="1" applyAlignment="1">
      <alignment horizontal="left" vertical="center" indent="2"/>
    </xf>
    <xf numFmtId="0" fontId="78" fillId="6" borderId="0" xfId="0" applyFont="1" applyFill="1" applyBorder="1" applyAlignment="1">
      <alignment horizontal="left" vertical="center" wrapText="1"/>
    </xf>
    <xf numFmtId="0" fontId="78" fillId="6" borderId="0" xfId="0" applyFont="1" applyFill="1" applyBorder="1" applyAlignment="1">
      <alignment horizontal="right" vertical="center" wrapText="1"/>
    </xf>
    <xf numFmtId="1" fontId="78" fillId="6" borderId="0" xfId="1" applyNumberFormat="1" applyFont="1" applyFill="1" applyBorder="1" applyAlignment="1">
      <alignment horizontal="right"/>
    </xf>
    <xf numFmtId="0" fontId="78" fillId="13" borderId="27" xfId="0" applyFont="1" applyFill="1" applyBorder="1" applyAlignment="1">
      <alignment horizontal="left" vertical="center" wrapText="1"/>
    </xf>
    <xf numFmtId="0" fontId="78" fillId="13" borderId="21" xfId="0" applyFont="1" applyFill="1" applyBorder="1" applyAlignment="1">
      <alignment horizontal="right" vertical="center" wrapText="1"/>
    </xf>
    <xf numFmtId="1" fontId="78" fillId="13" borderId="21" xfId="1" applyNumberFormat="1" applyFont="1" applyFill="1" applyBorder="1" applyAlignment="1">
      <alignment horizontal="right"/>
    </xf>
    <xf numFmtId="38" fontId="78" fillId="13" borderId="21" xfId="1" applyNumberFormat="1" applyFont="1" applyFill="1" applyBorder="1" applyAlignment="1">
      <alignment horizontal="right"/>
    </xf>
    <xf numFmtId="38" fontId="78" fillId="13" borderId="21" xfId="0" applyNumberFormat="1" applyFont="1" applyFill="1" applyBorder="1" applyAlignment="1">
      <alignment horizontal="right"/>
    </xf>
    <xf numFmtId="38" fontId="101" fillId="13" borderId="22" xfId="0" applyNumberFormat="1" applyFont="1" applyFill="1" applyBorder="1" applyAlignment="1">
      <alignment horizontal="right"/>
    </xf>
    <xf numFmtId="0" fontId="76" fillId="0" borderId="0" xfId="0" applyFont="1" applyAlignment="1">
      <alignment horizontal="center"/>
    </xf>
    <xf numFmtId="0" fontId="76" fillId="0" borderId="0" xfId="0" applyFont="1" applyAlignment="1">
      <alignment horizontal="right"/>
    </xf>
    <xf numFmtId="0" fontId="84" fillId="7" borderId="0" xfId="0" applyFont="1" applyFill="1"/>
    <xf numFmtId="0" fontId="88" fillId="7" borderId="0" xfId="0" applyFont="1" applyFill="1" applyAlignment="1">
      <alignment horizontal="right" vertical="center"/>
    </xf>
    <xf numFmtId="0" fontId="88" fillId="0" borderId="0" xfId="0" applyFont="1" applyFill="1" applyAlignment="1">
      <alignment horizontal="right" vertical="center"/>
    </xf>
    <xf numFmtId="0" fontId="84" fillId="0" borderId="0" xfId="0" applyFont="1" applyFill="1"/>
    <xf numFmtId="38" fontId="0" fillId="2" borderId="6" xfId="1" applyNumberFormat="1" applyFont="1" applyFill="1" applyBorder="1" applyAlignment="1">
      <alignment horizontal="right"/>
    </xf>
    <xf numFmtId="0" fontId="84" fillId="5" borderId="0" xfId="0" applyFont="1" applyFill="1"/>
    <xf numFmtId="0" fontId="77" fillId="0" borderId="33" xfId="0" applyFont="1" applyBorder="1" applyAlignment="1">
      <alignment horizontal="left" wrapText="1"/>
    </xf>
    <xf numFmtId="0" fontId="78" fillId="0" borderId="6" xfId="0" applyFont="1" applyFill="1" applyBorder="1" applyAlignment="1">
      <alignment wrapText="1"/>
    </xf>
    <xf numFmtId="0" fontId="78" fillId="3" borderId="6" xfId="0" applyFont="1" applyFill="1" applyBorder="1" applyAlignment="1">
      <alignment wrapText="1"/>
    </xf>
    <xf numFmtId="3" fontId="77" fillId="0" borderId="34" xfId="1" applyNumberFormat="1" applyFont="1" applyFill="1" applyBorder="1" applyAlignment="1">
      <alignment horizontal="right" vertical="center" wrapText="1"/>
    </xf>
    <xf numFmtId="0" fontId="77" fillId="0" borderId="35" xfId="0" applyFont="1" applyBorder="1" applyAlignment="1">
      <alignment horizontal="center" vertical="center"/>
    </xf>
    <xf numFmtId="0" fontId="77" fillId="0" borderId="32" xfId="0" applyFont="1" applyBorder="1"/>
    <xf numFmtId="0" fontId="77" fillId="0" borderId="32" xfId="0" applyFont="1" applyBorder="1" applyAlignment="1">
      <alignment horizontal="right"/>
    </xf>
    <xf numFmtId="0" fontId="77" fillId="0" borderId="36" xfId="0" applyFont="1" applyBorder="1" applyAlignment="1">
      <alignment horizontal="right"/>
    </xf>
    <xf numFmtId="3" fontId="78" fillId="0" borderId="28" xfId="1" applyNumberFormat="1" applyFont="1" applyFill="1" applyBorder="1" applyAlignment="1">
      <alignment horizontal="right" vertical="center" wrapText="1"/>
    </xf>
    <xf numFmtId="3" fontId="78" fillId="3" borderId="28" xfId="1" applyNumberFormat="1" applyFont="1" applyFill="1" applyBorder="1" applyAlignment="1">
      <alignment horizontal="right" vertical="center" wrapText="1"/>
    </xf>
    <xf numFmtId="3" fontId="77" fillId="0" borderId="37" xfId="1" applyNumberFormat="1" applyFont="1" applyFill="1" applyBorder="1" applyAlignment="1">
      <alignment horizontal="right" vertical="center" wrapText="1"/>
    </xf>
    <xf numFmtId="0" fontId="77" fillId="0" borderId="38" xfId="0" applyFont="1" applyBorder="1" applyAlignment="1">
      <alignment horizontal="left" wrapText="1"/>
    </xf>
    <xf numFmtId="0" fontId="77" fillId="0" borderId="36" xfId="0" applyFont="1" applyBorder="1"/>
    <xf numFmtId="0" fontId="83" fillId="5" borderId="0" xfId="0" applyFont="1" applyFill="1"/>
    <xf numFmtId="0" fontId="95" fillId="7" borderId="0" xfId="0" applyFont="1" applyFill="1" applyAlignment="1">
      <alignment horizontal="left" vertical="center"/>
    </xf>
    <xf numFmtId="0" fontId="84" fillId="0" borderId="0" xfId="0" applyFont="1"/>
    <xf numFmtId="38" fontId="88" fillId="0" borderId="0" xfId="0" applyNumberFormat="1" applyFont="1" applyFill="1" applyBorder="1" applyAlignment="1">
      <alignment horizontal="right"/>
    </xf>
    <xf numFmtId="0" fontId="84" fillId="0" borderId="0" xfId="0" applyFont="1" applyFill="1" applyBorder="1"/>
    <xf numFmtId="0" fontId="88" fillId="0" borderId="0" xfId="0" applyFont="1" applyFill="1" applyBorder="1" applyAlignment="1">
      <alignment horizontal="right" vertical="center"/>
    </xf>
    <xf numFmtId="0" fontId="78" fillId="0" borderId="0" xfId="0" applyFont="1" applyFill="1" applyAlignment="1">
      <alignment horizontal="right"/>
    </xf>
    <xf numFmtId="0" fontId="82" fillId="5" borderId="0" xfId="0" applyFont="1" applyFill="1"/>
    <xf numFmtId="49" fontId="78" fillId="0" borderId="0" xfId="0" applyNumberFormat="1" applyFont="1" applyFill="1" applyBorder="1"/>
    <xf numFmtId="38" fontId="78" fillId="0" borderId="0" xfId="1" applyNumberFormat="1" applyFont="1"/>
    <xf numFmtId="0" fontId="0" fillId="5" borderId="12" xfId="0" applyFont="1" applyFill="1" applyBorder="1"/>
    <xf numFmtId="164" fontId="0" fillId="5" borderId="12" xfId="0" applyNumberFormat="1" applyFont="1" applyFill="1" applyBorder="1"/>
    <xf numFmtId="164" fontId="0" fillId="5" borderId="12" xfId="0" quotePrefix="1" applyNumberFormat="1" applyFont="1" applyFill="1" applyBorder="1"/>
    <xf numFmtId="0" fontId="0" fillId="0" borderId="16" xfId="0" applyFont="1" applyBorder="1"/>
    <xf numFmtId="0" fontId="75" fillId="0" borderId="42" xfId="0" applyFont="1" applyBorder="1" applyAlignment="1">
      <alignment horizontal="center" wrapText="1"/>
    </xf>
    <xf numFmtId="37" fontId="0" fillId="0" borderId="0" xfId="1" applyNumberFormat="1" applyFont="1" applyBorder="1" applyAlignment="1">
      <alignment horizontal="right"/>
    </xf>
    <xf numFmtId="0" fontId="84" fillId="0" borderId="0" xfId="0" applyFont="1" applyFill="1" applyAlignment="1"/>
    <xf numFmtId="38" fontId="104" fillId="0" borderId="16" xfId="0" applyNumberFormat="1" applyFont="1" applyBorder="1"/>
    <xf numFmtId="0" fontId="78" fillId="11" borderId="16" xfId="0" applyFont="1" applyFill="1" applyBorder="1"/>
    <xf numFmtId="0" fontId="75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1" fontId="78" fillId="5" borderId="0" xfId="1" quotePrefix="1" applyNumberFormat="1" applyFont="1" applyFill="1" applyAlignment="1">
      <alignment horizontal="right" vertical="center"/>
    </xf>
    <xf numFmtId="0" fontId="95" fillId="0" borderId="0" xfId="0" applyFont="1" applyFill="1" applyBorder="1" applyAlignment="1">
      <alignment horizontal="left" vertical="center"/>
    </xf>
    <xf numFmtId="1" fontId="88" fillId="0" borderId="0" xfId="0" applyNumberFormat="1" applyFont="1" applyFill="1" applyBorder="1" applyAlignment="1">
      <alignment horizontal="right" vertical="center"/>
    </xf>
    <xf numFmtId="0" fontId="88" fillId="0" borderId="0" xfId="0" applyFont="1" applyFill="1" applyBorder="1"/>
    <xf numFmtId="0" fontId="84" fillId="0" borderId="0" xfId="0" applyFont="1" applyBorder="1"/>
    <xf numFmtId="0" fontId="89" fillId="0" borderId="0" xfId="0" applyFont="1" applyFill="1" applyBorder="1" applyAlignment="1">
      <alignment horizontal="left" vertical="center"/>
    </xf>
    <xf numFmtId="164" fontId="78" fillId="5" borderId="0" xfId="1" applyNumberFormat="1" applyFont="1" applyFill="1" applyBorder="1"/>
    <xf numFmtId="0" fontId="75" fillId="0" borderId="43" xfId="0" applyFont="1" applyBorder="1" applyAlignment="1">
      <alignment horizontal="center" wrapText="1"/>
    </xf>
    <xf numFmtId="37" fontId="0" fillId="2" borderId="44" xfId="1" applyNumberFormat="1" applyFont="1" applyFill="1" applyBorder="1" applyAlignment="1">
      <alignment horizontal="right"/>
    </xf>
    <xf numFmtId="38" fontId="0" fillId="0" borderId="44" xfId="0" applyNumberFormat="1" applyFill="1" applyBorder="1"/>
    <xf numFmtId="37" fontId="0" fillId="0" borderId="44" xfId="1" applyNumberFormat="1" applyFont="1" applyBorder="1" applyAlignment="1">
      <alignment horizontal="right"/>
    </xf>
    <xf numFmtId="37" fontId="0" fillId="2" borderId="45" xfId="1" applyNumberFormat="1" applyFont="1" applyFill="1" applyBorder="1" applyAlignment="1">
      <alignment horizontal="right"/>
    </xf>
    <xf numFmtId="0" fontId="81" fillId="0" borderId="0" xfId="0" applyFont="1" applyFill="1" applyBorder="1"/>
    <xf numFmtId="0" fontId="81" fillId="0" borderId="15" xfId="0" applyFont="1" applyFill="1" applyBorder="1"/>
    <xf numFmtId="0" fontId="106" fillId="0" borderId="0" xfId="0" applyFont="1" applyFill="1" applyBorder="1"/>
    <xf numFmtId="0" fontId="88" fillId="0" borderId="0" xfId="0" applyFont="1" applyFill="1" applyBorder="1" applyAlignment="1"/>
    <xf numFmtId="37" fontId="0" fillId="0" borderId="12" xfId="1" applyNumberFormat="1" applyFont="1" applyBorder="1" applyAlignment="1">
      <alignment horizontal="right"/>
    </xf>
    <xf numFmtId="0" fontId="81" fillId="0" borderId="27" xfId="0" applyFont="1" applyFill="1" applyBorder="1"/>
    <xf numFmtId="37" fontId="0" fillId="0" borderId="0" xfId="0" applyNumberFormat="1"/>
    <xf numFmtId="37" fontId="0" fillId="0" borderId="0" xfId="0" applyNumberFormat="1" applyBorder="1"/>
    <xf numFmtId="0" fontId="89" fillId="0" borderId="0" xfId="0" applyFont="1" applyFill="1" applyBorder="1"/>
    <xf numFmtId="0" fontId="88" fillId="0" borderId="0" xfId="0" applyFont="1" applyFill="1" applyBorder="1" applyAlignment="1">
      <alignment horizontal="left" vertical="center"/>
    </xf>
    <xf numFmtId="0" fontId="83" fillId="0" borderId="0" xfId="0" applyFont="1" applyFill="1" applyBorder="1"/>
    <xf numFmtId="0" fontId="0" fillId="0" borderId="17" xfId="0" applyFont="1" applyBorder="1"/>
    <xf numFmtId="164" fontId="0" fillId="0" borderId="17" xfId="1" applyNumberFormat="1" applyFont="1" applyBorder="1"/>
    <xf numFmtId="0" fontId="0" fillId="6" borderId="17" xfId="0" applyFont="1" applyFill="1" applyBorder="1"/>
    <xf numFmtId="164" fontId="0" fillId="6" borderId="17" xfId="1" applyNumberFormat="1" applyFont="1" applyFill="1" applyBorder="1"/>
    <xf numFmtId="0" fontId="75" fillId="0" borderId="46" xfId="0" applyFont="1" applyBorder="1" applyAlignment="1">
      <alignment horizontal="center" vertical="center"/>
    </xf>
    <xf numFmtId="0" fontId="75" fillId="0" borderId="47" xfId="0" applyFont="1" applyBorder="1" applyAlignment="1">
      <alignment horizontal="center" vertical="center"/>
    </xf>
    <xf numFmtId="0" fontId="0" fillId="6" borderId="20" xfId="0" applyFont="1" applyFill="1" applyBorder="1"/>
    <xf numFmtId="164" fontId="0" fillId="6" borderId="41" xfId="1" applyNumberFormat="1" applyFont="1" applyFill="1" applyBorder="1"/>
    <xf numFmtId="0" fontId="0" fillId="0" borderId="15" xfId="0" applyFont="1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0" fontId="0" fillId="0" borderId="20" xfId="0" applyFont="1" applyBorder="1"/>
    <xf numFmtId="164" fontId="0" fillId="0" borderId="41" xfId="1" applyNumberFormat="1" applyFont="1" applyBorder="1"/>
    <xf numFmtId="0" fontId="107" fillId="0" borderId="18" xfId="0" applyFont="1" applyBorder="1"/>
    <xf numFmtId="0" fontId="109" fillId="0" borderId="1" xfId="3" applyFont="1" applyFill="1" applyBorder="1"/>
    <xf numFmtId="0" fontId="109" fillId="0" borderId="1" xfId="3" applyFont="1" applyBorder="1"/>
    <xf numFmtId="38" fontId="78" fillId="1" borderId="0" xfId="1" applyNumberFormat="1" applyFont="1" applyFill="1" applyAlignment="1">
      <alignment horizontal="right"/>
    </xf>
    <xf numFmtId="38" fontId="78" fillId="0" borderId="16" xfId="1" applyNumberFormat="1" applyFont="1" applyBorder="1"/>
    <xf numFmtId="38" fontId="78" fillId="0" borderId="17" xfId="1" applyNumberFormat="1" applyFont="1" applyBorder="1"/>
    <xf numFmtId="38" fontId="78" fillId="0" borderId="30" xfId="0" applyNumberFormat="1" applyFont="1" applyBorder="1"/>
    <xf numFmtId="0" fontId="75" fillId="0" borderId="0" xfId="0" applyFont="1" applyFill="1" applyBorder="1" applyAlignment="1">
      <alignment horizontal="center" vertical="center"/>
    </xf>
    <xf numFmtId="37" fontId="0" fillId="0" borderId="16" xfId="1" applyNumberFormat="1" applyFont="1" applyBorder="1" applyAlignment="1">
      <alignment horizontal="right"/>
    </xf>
    <xf numFmtId="38" fontId="78" fillId="0" borderId="16" xfId="1" applyNumberFormat="1" applyFont="1" applyFill="1" applyBorder="1" applyAlignment="1">
      <alignment horizontal="right"/>
    </xf>
    <xf numFmtId="0" fontId="108" fillId="0" borderId="1" xfId="3" applyBorder="1"/>
    <xf numFmtId="0" fontId="108" fillId="0" borderId="1" xfId="3" applyFill="1" applyBorder="1"/>
    <xf numFmtId="0" fontId="75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75" fillId="0" borderId="35" xfId="0" applyFont="1" applyBorder="1" applyAlignment="1">
      <alignment horizontal="center" vertical="center"/>
    </xf>
    <xf numFmtId="38" fontId="78" fillId="0" borderId="15" xfId="1" applyNumberFormat="1" applyFont="1" applyFill="1" applyBorder="1" applyAlignment="1">
      <alignment horizontal="right"/>
    </xf>
    <xf numFmtId="0" fontId="84" fillId="0" borderId="17" xfId="0" applyFont="1" applyFill="1" applyBorder="1"/>
    <xf numFmtId="164" fontId="100" fillId="0" borderId="0" xfId="0" applyNumberFormat="1" applyFont="1" applyFill="1"/>
    <xf numFmtId="0" fontId="92" fillId="5" borderId="0" xfId="0" applyFont="1" applyFill="1" applyAlignment="1">
      <alignment horizontal="left" vertical="center"/>
    </xf>
    <xf numFmtId="38" fontId="0" fillId="2" borderId="15" xfId="1" applyNumberFormat="1" applyFont="1" applyFill="1" applyBorder="1" applyAlignment="1">
      <alignment horizontal="right"/>
    </xf>
    <xf numFmtId="38" fontId="0" fillId="2" borderId="7" xfId="1" applyNumberFormat="1" applyFont="1" applyFill="1" applyBorder="1" applyAlignment="1">
      <alignment horizontal="right"/>
    </xf>
    <xf numFmtId="164" fontId="100" fillId="0" borderId="0" xfId="1" applyNumberFormat="1" applyFont="1"/>
    <xf numFmtId="37" fontId="100" fillId="0" borderId="0" xfId="0" applyNumberFormat="1" applyFont="1"/>
    <xf numFmtId="37" fontId="0" fillId="0" borderId="13" xfId="0" applyNumberFormat="1" applyFont="1" applyBorder="1"/>
    <xf numFmtId="0" fontId="75" fillId="0" borderId="0" xfId="0" applyFont="1" applyFill="1" applyAlignment="1">
      <alignment horizontal="right"/>
    </xf>
    <xf numFmtId="37" fontId="0" fillId="0" borderId="31" xfId="1" applyNumberFormat="1" applyFont="1" applyFill="1" applyBorder="1" applyAlignment="1">
      <alignment horizontal="right"/>
    </xf>
    <xf numFmtId="0" fontId="75" fillId="0" borderId="48" xfId="0" applyFont="1" applyBorder="1" applyAlignment="1">
      <alignment horizontal="center" wrapText="1"/>
    </xf>
    <xf numFmtId="37" fontId="0" fillId="2" borderId="11" xfId="1" applyNumberFormat="1" applyFont="1" applyFill="1" applyBorder="1" applyAlignment="1">
      <alignment horizontal="right"/>
    </xf>
    <xf numFmtId="37" fontId="0" fillId="0" borderId="11" xfId="1" applyNumberFormat="1" applyFont="1" applyFill="1" applyBorder="1" applyAlignment="1">
      <alignment horizontal="right"/>
    </xf>
    <xf numFmtId="37" fontId="0" fillId="0" borderId="49" xfId="1" applyNumberFormat="1" applyFont="1" applyFill="1" applyBorder="1" applyAlignment="1">
      <alignment horizontal="right"/>
    </xf>
    <xf numFmtId="0" fontId="75" fillId="0" borderId="50" xfId="0" applyFont="1" applyBorder="1" applyAlignment="1">
      <alignment horizontal="center" wrapText="1"/>
    </xf>
    <xf numFmtId="37" fontId="81" fillId="0" borderId="0" xfId="0" applyNumberFormat="1" applyFont="1"/>
    <xf numFmtId="37" fontId="100" fillId="0" borderId="0" xfId="0" applyNumberFormat="1" applyFont="1" applyFill="1" applyBorder="1"/>
    <xf numFmtId="164" fontId="100" fillId="0" borderId="0" xfId="1" applyNumberFormat="1" applyFont="1" applyFill="1" applyBorder="1"/>
    <xf numFmtId="10" fontId="100" fillId="0" borderId="0" xfId="2" applyNumberFormat="1" applyFont="1" applyFill="1" applyBorder="1"/>
    <xf numFmtId="0" fontId="78" fillId="13" borderId="0" xfId="0" applyFont="1" applyFill="1" applyAlignment="1">
      <alignment horizontal="left" vertical="center"/>
    </xf>
    <xf numFmtId="0" fontId="78" fillId="13" borderId="0" xfId="0" applyFont="1" applyFill="1" applyAlignment="1">
      <alignment horizontal="right" vertical="center"/>
    </xf>
    <xf numFmtId="1" fontId="78" fillId="13" borderId="0" xfId="0" applyNumberFormat="1" applyFont="1" applyFill="1" applyAlignment="1">
      <alignment horizontal="right" vertical="center"/>
    </xf>
    <xf numFmtId="38" fontId="78" fillId="13" borderId="0" xfId="0" applyNumberFormat="1" applyFont="1" applyFill="1" applyAlignment="1">
      <alignment horizontal="right"/>
    </xf>
    <xf numFmtId="0" fontId="78" fillId="13" borderId="0" xfId="0" applyFont="1" applyFill="1"/>
    <xf numFmtId="0" fontId="0" fillId="13" borderId="0" xfId="0" applyFont="1" applyFill="1"/>
    <xf numFmtId="164" fontId="78" fillId="13" borderId="0" xfId="1" applyNumberFormat="1" applyFont="1" applyFill="1" applyAlignment="1">
      <alignment horizontal="right" vertical="center"/>
    </xf>
    <xf numFmtId="1" fontId="78" fillId="13" borderId="0" xfId="1" applyNumberFormat="1" applyFont="1" applyFill="1" applyAlignment="1">
      <alignment horizontal="right" vertical="center"/>
    </xf>
    <xf numFmtId="38" fontId="78" fillId="13" borderId="0" xfId="1" applyNumberFormat="1" applyFont="1" applyFill="1" applyAlignment="1">
      <alignment horizontal="right"/>
    </xf>
    <xf numFmtId="38" fontId="78" fillId="13" borderId="16" xfId="0" applyNumberFormat="1" applyFont="1" applyFill="1" applyBorder="1" applyAlignment="1">
      <alignment horizontal="right"/>
    </xf>
    <xf numFmtId="0" fontId="92" fillId="13" borderId="0" xfId="0" applyFont="1" applyFill="1" applyAlignment="1">
      <alignment horizontal="left" vertical="center"/>
    </xf>
    <xf numFmtId="0" fontId="0" fillId="6" borderId="27" xfId="0" applyFont="1" applyFill="1" applyBorder="1"/>
    <xf numFmtId="164" fontId="0" fillId="6" borderId="21" xfId="0" applyNumberFormat="1" applyFont="1" applyFill="1" applyBorder="1"/>
    <xf numFmtId="38" fontId="78" fillId="0" borderId="0" xfId="1" applyNumberFormat="1" applyFont="1" applyBorder="1"/>
    <xf numFmtId="38" fontId="78" fillId="0" borderId="0" xfId="1" applyNumberFormat="1" applyFont="1" applyFill="1" applyBorder="1"/>
    <xf numFmtId="38" fontId="81" fillId="0" borderId="0" xfId="0" applyNumberFormat="1" applyFont="1"/>
    <xf numFmtId="38" fontId="78" fillId="0" borderId="6" xfId="0" applyNumberFormat="1" applyFont="1" applyBorder="1"/>
    <xf numFmtId="164" fontId="78" fillId="0" borderId="16" xfId="1" applyNumberFormat="1" applyFont="1" applyFill="1" applyBorder="1" applyAlignment="1">
      <alignment horizontal="right" vertical="center"/>
    </xf>
    <xf numFmtId="0" fontId="111" fillId="0" borderId="0" xfId="0" applyFont="1" applyBorder="1" applyAlignment="1">
      <alignment horizontal="right"/>
    </xf>
    <xf numFmtId="37" fontId="111" fillId="0" borderId="0" xfId="0" applyNumberFormat="1" applyFont="1" applyFill="1" applyBorder="1" applyAlignment="1">
      <alignment horizontal="left"/>
    </xf>
    <xf numFmtId="0" fontId="75" fillId="6" borderId="39" xfId="0" applyFont="1" applyFill="1" applyBorder="1" applyAlignment="1">
      <alignment horizontal="center"/>
    </xf>
    <xf numFmtId="0" fontId="73" fillId="0" borderId="0" xfId="0" applyFont="1" applyFill="1" applyAlignment="1">
      <alignment horizontal="left" vertical="center"/>
    </xf>
    <xf numFmtId="0" fontId="73" fillId="0" borderId="0" xfId="0" applyFont="1" applyFill="1"/>
    <xf numFmtId="0" fontId="75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103" fillId="0" borderId="14" xfId="0" applyFont="1" applyFill="1" applyBorder="1" applyAlignment="1"/>
    <xf numFmtId="0" fontId="0" fillId="0" borderId="0" xfId="0" applyFont="1" applyAlignment="1"/>
    <xf numFmtId="0" fontId="0" fillId="0" borderId="0" xfId="0" quotePrefix="1" applyFont="1" applyAlignment="1">
      <alignment horizontal="center"/>
    </xf>
    <xf numFmtId="0" fontId="88" fillId="5" borderId="0" xfId="0" applyFont="1" applyFill="1" applyBorder="1" applyAlignment="1">
      <alignment horizontal="left" vertical="center"/>
    </xf>
    <xf numFmtId="38" fontId="78" fillId="5" borderId="0" xfId="0" applyNumberFormat="1" applyFont="1" applyFill="1" applyBorder="1" applyAlignment="1">
      <alignment horizontal="right" vertical="center"/>
    </xf>
    <xf numFmtId="38" fontId="77" fillId="5" borderId="0" xfId="0" applyNumberFormat="1" applyFont="1" applyFill="1" applyBorder="1" applyAlignment="1">
      <alignment horizontal="right" vertical="center"/>
    </xf>
    <xf numFmtId="0" fontId="71" fillId="0" borderId="0" xfId="0" applyFont="1"/>
    <xf numFmtId="0" fontId="96" fillId="0" borderId="0" xfId="0" applyFont="1" applyAlignment="1">
      <alignment horizontal="left" vertical="center"/>
    </xf>
    <xf numFmtId="0" fontId="96" fillId="5" borderId="0" xfId="0" applyFont="1" applyFill="1" applyAlignment="1">
      <alignment horizontal="left" vertical="center"/>
    </xf>
    <xf numFmtId="0" fontId="98" fillId="11" borderId="18" xfId="0" applyFont="1" applyFill="1" applyBorder="1" applyAlignment="1">
      <alignment horizontal="left"/>
    </xf>
    <xf numFmtId="0" fontId="75" fillId="11" borderId="16" xfId="0" applyFont="1" applyFill="1" applyBorder="1" applyAlignment="1">
      <alignment horizontal="center" vertical="center"/>
    </xf>
    <xf numFmtId="38" fontId="78" fillId="11" borderId="16" xfId="0" applyNumberFormat="1" applyFont="1" applyFill="1" applyBorder="1"/>
    <xf numFmtId="38" fontId="0" fillId="11" borderId="19" xfId="0" applyNumberFormat="1" applyFont="1" applyFill="1" applyBorder="1" applyAlignment="1">
      <alignment horizontal="right" vertical="center"/>
    </xf>
    <xf numFmtId="0" fontId="92" fillId="0" borderId="0" xfId="0" applyFont="1" applyFill="1" applyBorder="1" applyAlignment="1">
      <alignment horizontal="left" vertical="center"/>
    </xf>
    <xf numFmtId="0" fontId="71" fillId="0" borderId="0" xfId="0" applyFont="1" applyFill="1" applyAlignment="1">
      <alignment horizontal="left" vertical="center"/>
    </xf>
    <xf numFmtId="0" fontId="110" fillId="0" borderId="0" xfId="0" applyFont="1" applyBorder="1" applyAlignment="1">
      <alignment horizontal="right"/>
    </xf>
    <xf numFmtId="37" fontId="110" fillId="0" borderId="0" xfId="0" applyNumberFormat="1" applyFont="1" applyFill="1" applyBorder="1" applyAlignment="1">
      <alignment horizontal="center"/>
    </xf>
    <xf numFmtId="0" fontId="95" fillId="0" borderId="0" xfId="0" applyFont="1" applyAlignment="1">
      <alignment horizontal="left" vertical="center"/>
    </xf>
    <xf numFmtId="38" fontId="71" fillId="0" borderId="0" xfId="0" applyNumberFormat="1" applyFont="1" applyFill="1" applyAlignment="1">
      <alignment horizontal="right"/>
    </xf>
    <xf numFmtId="0" fontId="71" fillId="0" borderId="0" xfId="0" applyFont="1" applyFill="1"/>
    <xf numFmtId="0" fontId="71" fillId="0" borderId="0" xfId="0" applyFont="1" applyFill="1" applyAlignment="1">
      <alignment horizontal="right" vertical="center"/>
    </xf>
    <xf numFmtId="1" fontId="71" fillId="0" borderId="0" xfId="0" applyNumberFormat="1" applyFont="1" applyFill="1" applyAlignment="1">
      <alignment horizontal="right" vertical="center"/>
    </xf>
    <xf numFmtId="38" fontId="71" fillId="0" borderId="0" xfId="0" applyNumberFormat="1" applyFont="1" applyFill="1"/>
    <xf numFmtId="37" fontId="0" fillId="5" borderId="8" xfId="1" applyNumberFormat="1" applyFont="1" applyFill="1" applyBorder="1" applyAlignment="1">
      <alignment horizontal="right"/>
    </xf>
    <xf numFmtId="38" fontId="78" fillId="0" borderId="11" xfId="0" applyNumberFormat="1" applyFont="1" applyFill="1" applyBorder="1" applyAlignment="1">
      <alignment horizontal="right"/>
    </xf>
    <xf numFmtId="0" fontId="103" fillId="5" borderId="51" xfId="0" applyFont="1" applyFill="1" applyBorder="1"/>
    <xf numFmtId="164" fontId="78" fillId="5" borderId="51" xfId="1" applyNumberFormat="1" applyFont="1" applyFill="1" applyBorder="1" applyAlignment="1">
      <alignment horizontal="right" vertical="center"/>
    </xf>
    <xf numFmtId="38" fontId="78" fillId="0" borderId="12" xfId="0" applyNumberFormat="1" applyFont="1" applyFill="1" applyBorder="1" applyAlignment="1">
      <alignment horizontal="right"/>
    </xf>
    <xf numFmtId="37" fontId="0" fillId="5" borderId="31" xfId="1" applyNumberFormat="1" applyFont="1" applyFill="1" applyBorder="1" applyAlignment="1">
      <alignment horizontal="right"/>
    </xf>
    <xf numFmtId="37" fontId="0" fillId="5" borderId="9" xfId="1" applyNumberFormat="1" applyFont="1" applyFill="1" applyBorder="1" applyAlignment="1">
      <alignment horizontal="right"/>
    </xf>
    <xf numFmtId="0" fontId="72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/>
    </xf>
    <xf numFmtId="0" fontId="70" fillId="0" borderId="0" xfId="0" applyFont="1"/>
    <xf numFmtId="0" fontId="82" fillId="0" borderId="0" xfId="0" applyFont="1" applyFill="1" applyBorder="1" applyAlignment="1">
      <alignment horizontal="left"/>
    </xf>
    <xf numFmtId="0" fontId="69" fillId="5" borderId="0" xfId="0" applyFont="1" applyFill="1"/>
    <xf numFmtId="0" fontId="69" fillId="0" borderId="0" xfId="0" applyFont="1" applyFill="1" applyAlignment="1">
      <alignment horizontal="left" vertical="center"/>
    </xf>
    <xf numFmtId="38" fontId="72" fillId="0" borderId="0" xfId="0" applyNumberFormat="1" applyFont="1" applyFill="1"/>
    <xf numFmtId="0" fontId="84" fillId="5" borderId="17" xfId="0" applyFont="1" applyFill="1" applyBorder="1"/>
    <xf numFmtId="0" fontId="78" fillId="0" borderId="0" xfId="0" quotePrefix="1" applyFont="1" applyFill="1" applyBorder="1" applyAlignment="1">
      <alignment horizontal="right" vertical="center"/>
    </xf>
    <xf numFmtId="38" fontId="78" fillId="0" borderId="0" xfId="1" applyNumberFormat="1" applyFont="1" applyFill="1" applyAlignment="1">
      <alignment horizontal="right" vertical="center"/>
    </xf>
    <xf numFmtId="164" fontId="68" fillId="0" borderId="0" xfId="1" applyNumberFormat="1" applyFont="1" applyFill="1" applyAlignment="1">
      <alignment horizontal="right" vertical="center"/>
    </xf>
    <xf numFmtId="0" fontId="99" fillId="0" borderId="14" xfId="0" applyFont="1" applyFill="1" applyBorder="1"/>
    <xf numFmtId="37" fontId="0" fillId="3" borderId="25" xfId="1" applyNumberFormat="1" applyFont="1" applyFill="1" applyBorder="1" applyAlignment="1">
      <alignment horizontal="right"/>
    </xf>
    <xf numFmtId="0" fontId="0" fillId="0" borderId="0" xfId="0" quotePrefix="1" applyFont="1" applyFill="1" applyAlignment="1">
      <alignment horizontal="center"/>
    </xf>
    <xf numFmtId="38" fontId="88" fillId="5" borderId="0" xfId="0" applyNumberFormat="1" applyFont="1" applyFill="1" applyBorder="1" applyAlignment="1">
      <alignment horizontal="right"/>
    </xf>
    <xf numFmtId="0" fontId="84" fillId="5" borderId="0" xfId="0" applyFont="1" applyFill="1" applyBorder="1"/>
    <xf numFmtId="0" fontId="67" fillId="0" borderId="0" xfId="0" applyFont="1"/>
    <xf numFmtId="37" fontId="0" fillId="0" borderId="1" xfId="1" applyNumberFormat="1" applyFont="1" applyBorder="1" applyAlignment="1">
      <alignment horizontal="right"/>
    </xf>
    <xf numFmtId="0" fontId="66" fillId="0" borderId="6" xfId="0" applyFont="1" applyFill="1" applyBorder="1" applyAlignment="1">
      <alignment wrapText="1"/>
    </xf>
    <xf numFmtId="0" fontId="85" fillId="6" borderId="0" xfId="0" applyFont="1" applyFill="1"/>
    <xf numFmtId="0" fontId="75" fillId="0" borderId="0" xfId="0" applyFont="1" applyAlignment="1">
      <alignment horizontal="center"/>
    </xf>
    <xf numFmtId="164" fontId="87" fillId="0" borderId="0" xfId="1" quotePrefix="1" applyNumberFormat="1" applyFont="1" applyBorder="1" applyAlignment="1">
      <alignment horizontal="right"/>
    </xf>
    <xf numFmtId="0" fontId="65" fillId="0" borderId="0" xfId="0" applyFont="1"/>
    <xf numFmtId="0" fontId="64" fillId="0" borderId="0" xfId="0" applyFont="1" applyAlignment="1">
      <alignment horizontal="center"/>
    </xf>
    <xf numFmtId="0" fontId="62" fillId="0" borderId="0" xfId="0" applyFont="1" applyFill="1" applyAlignment="1">
      <alignment horizontal="left" vertical="center"/>
    </xf>
    <xf numFmtId="1" fontId="61" fillId="5" borderId="0" xfId="0" quotePrefix="1" applyNumberFormat="1" applyFont="1" applyFill="1" applyAlignment="1">
      <alignment horizontal="right" vertical="center"/>
    </xf>
    <xf numFmtId="1" fontId="67" fillId="5" borderId="0" xfId="0" applyNumberFormat="1" applyFont="1" applyFill="1" applyAlignment="1">
      <alignment horizontal="right" vertical="center"/>
    </xf>
    <xf numFmtId="38" fontId="60" fillId="0" borderId="0" xfId="1" applyNumberFormat="1" applyFont="1" applyFill="1" applyBorder="1"/>
    <xf numFmtId="38" fontId="60" fillId="0" borderId="0" xfId="0" applyNumberFormat="1" applyFont="1" applyFill="1" applyAlignment="1">
      <alignment horizontal="right"/>
    </xf>
    <xf numFmtId="38" fontId="59" fillId="0" borderId="0" xfId="0" applyNumberFormat="1" applyFont="1" applyFill="1" applyAlignment="1">
      <alignment horizontal="right"/>
    </xf>
    <xf numFmtId="38" fontId="58" fillId="0" borderId="0" xfId="0" applyNumberFormat="1" applyFont="1" applyFill="1" applyAlignment="1">
      <alignment horizontal="right"/>
    </xf>
    <xf numFmtId="0" fontId="81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75" fillId="0" borderId="4" xfId="0" applyFont="1" applyBorder="1" applyAlignment="1">
      <alignment horizontal="center" vertical="center" wrapText="1"/>
    </xf>
    <xf numFmtId="0" fontId="75" fillId="0" borderId="42" xfId="0" applyFont="1" applyBorder="1" applyAlignment="1">
      <alignment horizontal="center" vertical="center" wrapText="1"/>
    </xf>
    <xf numFmtId="0" fontId="75" fillId="0" borderId="23" xfId="0" applyFont="1" applyBorder="1" applyAlignment="1">
      <alignment horizontal="center" vertical="center" wrapText="1"/>
    </xf>
    <xf numFmtId="0" fontId="57" fillId="0" borderId="0" xfId="0" applyFont="1" applyFill="1" applyAlignment="1">
      <alignment horizontal="left" vertical="center"/>
    </xf>
    <xf numFmtId="38" fontId="57" fillId="0" borderId="0" xfId="0" applyNumberFormat="1" applyFont="1" applyFill="1" applyAlignment="1">
      <alignment horizontal="right"/>
    </xf>
    <xf numFmtId="0" fontId="56" fillId="0" borderId="0" xfId="0" applyFont="1" applyFill="1" applyAlignment="1">
      <alignment horizontal="left" vertical="center"/>
    </xf>
    <xf numFmtId="0" fontId="112" fillId="6" borderId="0" xfId="0" applyFont="1" applyFill="1"/>
    <xf numFmtId="0" fontId="54" fillId="0" borderId="0" xfId="0" applyFont="1" applyFill="1" applyAlignment="1">
      <alignment horizontal="left" vertical="center"/>
    </xf>
    <xf numFmtId="1" fontId="54" fillId="0" borderId="0" xfId="0" applyNumberFormat="1" applyFont="1" applyFill="1" applyAlignment="1">
      <alignment horizontal="right" vertical="center"/>
    </xf>
    <xf numFmtId="0" fontId="77" fillId="0" borderId="0" xfId="0" applyFont="1" applyFill="1" applyAlignment="1">
      <alignment horizontal="left" vertical="center"/>
    </xf>
    <xf numFmtId="38" fontId="78" fillId="0" borderId="0" xfId="0" applyNumberFormat="1" applyFont="1" applyFill="1" applyAlignment="1">
      <alignment horizontal="right" vertical="center"/>
    </xf>
    <xf numFmtId="38" fontId="53" fillId="0" borderId="0" xfId="1" applyNumberFormat="1" applyFont="1" applyFill="1" applyBorder="1" applyAlignment="1">
      <alignment horizontal="right"/>
    </xf>
    <xf numFmtId="37" fontId="0" fillId="0" borderId="11" xfId="1" applyNumberFormat="1" applyFont="1" applyBorder="1" applyAlignment="1">
      <alignment horizontal="right"/>
    </xf>
    <xf numFmtId="37" fontId="0" fillId="2" borderId="49" xfId="1" applyNumberFormat="1" applyFont="1" applyFill="1" applyBorder="1" applyAlignment="1">
      <alignment horizontal="right"/>
    </xf>
    <xf numFmtId="37" fontId="0" fillId="0" borderId="25" xfId="1" applyNumberFormat="1" applyFont="1" applyBorder="1" applyAlignment="1">
      <alignment horizontal="right"/>
    </xf>
    <xf numFmtId="37" fontId="0" fillId="2" borderId="26" xfId="1" applyNumberFormat="1" applyFont="1" applyFill="1" applyBorder="1" applyAlignment="1">
      <alignment horizontal="right"/>
    </xf>
    <xf numFmtId="37" fontId="0" fillId="2" borderId="18" xfId="1" applyNumberFormat="1" applyFont="1" applyFill="1" applyBorder="1"/>
    <xf numFmtId="37" fontId="0" fillId="0" borderId="15" xfId="1" applyNumberFormat="1" applyFont="1" applyBorder="1"/>
    <xf numFmtId="37" fontId="0" fillId="2" borderId="15" xfId="1" applyNumberFormat="1" applyFont="1" applyFill="1" applyBorder="1"/>
    <xf numFmtId="37" fontId="0" fillId="2" borderId="31" xfId="1" applyNumberFormat="1" applyFont="1" applyFill="1" applyBorder="1"/>
    <xf numFmtId="37" fontId="0" fillId="2" borderId="16" xfId="0" applyNumberFormat="1" applyFont="1" applyFill="1" applyBorder="1"/>
    <xf numFmtId="37" fontId="0" fillId="0" borderId="16" xfId="0" applyNumberFormat="1" applyFont="1" applyBorder="1"/>
    <xf numFmtId="37" fontId="0" fillId="2" borderId="0" xfId="0" applyNumberFormat="1" applyFill="1" applyBorder="1"/>
    <xf numFmtId="37" fontId="0" fillId="2" borderId="19" xfId="1" applyNumberFormat="1" applyFont="1" applyFill="1" applyBorder="1"/>
    <xf numFmtId="37" fontId="0" fillId="0" borderId="11" xfId="1" applyNumberFormat="1" applyFont="1" applyBorder="1"/>
    <xf numFmtId="37" fontId="0" fillId="2" borderId="11" xfId="1" applyNumberFormat="1" applyFont="1" applyFill="1" applyBorder="1"/>
    <xf numFmtId="37" fontId="0" fillId="2" borderId="49" xfId="1" applyNumberFormat="1" applyFont="1" applyFill="1" applyBorder="1"/>
    <xf numFmtId="37" fontId="0" fillId="3" borderId="11" xfId="1" applyNumberFormat="1" applyFont="1" applyFill="1" applyBorder="1" applyAlignment="1">
      <alignment horizontal="right"/>
    </xf>
    <xf numFmtId="38" fontId="0" fillId="2" borderId="11" xfId="1" applyNumberFormat="1" applyFont="1" applyFill="1" applyBorder="1" applyAlignment="1">
      <alignment horizontal="right"/>
    </xf>
    <xf numFmtId="37" fontId="0" fillId="0" borderId="25" xfId="0" applyNumberFormat="1" applyFont="1" applyBorder="1"/>
    <xf numFmtId="37" fontId="0" fillId="2" borderId="25" xfId="0" applyNumberFormat="1" applyFont="1" applyFill="1" applyBorder="1"/>
    <xf numFmtId="37" fontId="0" fillId="2" borderId="26" xfId="0" applyNumberFormat="1" applyFont="1" applyFill="1" applyBorder="1"/>
    <xf numFmtId="37" fontId="0" fillId="2" borderId="25" xfId="0" applyNumberFormat="1" applyFill="1" applyBorder="1"/>
    <xf numFmtId="37" fontId="0" fillId="0" borderId="25" xfId="1" applyNumberFormat="1" applyFont="1" applyBorder="1"/>
    <xf numFmtId="37" fontId="0" fillId="2" borderId="25" xfId="1" applyNumberFormat="1" applyFont="1" applyFill="1" applyBorder="1"/>
    <xf numFmtId="37" fontId="0" fillId="2" borderId="26" xfId="1" applyNumberFormat="1" applyFont="1" applyFill="1" applyBorder="1"/>
    <xf numFmtId="38" fontId="0" fillId="2" borderId="25" xfId="1" applyNumberFormat="1" applyFont="1" applyFill="1" applyBorder="1" applyAlignment="1">
      <alignment horizontal="right"/>
    </xf>
    <xf numFmtId="37" fontId="0" fillId="0" borderId="26" xfId="1" applyNumberFormat="1" applyFont="1" applyBorder="1" applyAlignment="1">
      <alignment horizontal="right"/>
    </xf>
    <xf numFmtId="37" fontId="0" fillId="0" borderId="39" xfId="1" applyNumberFormat="1" applyFont="1" applyBorder="1" applyAlignment="1">
      <alignment horizontal="right"/>
    </xf>
    <xf numFmtId="0" fontId="75" fillId="0" borderId="50" xfId="0" applyFont="1" applyFill="1" applyBorder="1" applyAlignment="1">
      <alignment horizontal="center" wrapText="1"/>
    </xf>
    <xf numFmtId="0" fontId="52" fillId="0" borderId="0" xfId="0" applyFont="1" applyFill="1" applyBorder="1" applyAlignment="1">
      <alignment horizontal="left" vertical="center"/>
    </xf>
    <xf numFmtId="0" fontId="75" fillId="0" borderId="3" xfId="0" applyFont="1" applyBorder="1" applyAlignment="1">
      <alignment horizontal="center" wrapText="1"/>
    </xf>
    <xf numFmtId="37" fontId="0" fillId="2" borderId="1" xfId="1" applyNumberFormat="1" applyFont="1" applyFill="1" applyBorder="1" applyAlignment="1">
      <alignment horizontal="right"/>
    </xf>
    <xf numFmtId="37" fontId="0" fillId="2" borderId="2" xfId="1" applyNumberFormat="1" applyFont="1" applyFill="1" applyBorder="1" applyAlignment="1">
      <alignment horizontal="right"/>
    </xf>
    <xf numFmtId="37" fontId="0" fillId="0" borderId="2" xfId="1" applyNumberFormat="1" applyFont="1" applyBorder="1" applyAlignment="1">
      <alignment horizontal="right"/>
    </xf>
    <xf numFmtId="0" fontId="0" fillId="0" borderId="0" xfId="0" applyFont="1" applyBorder="1" applyAlignment="1"/>
    <xf numFmtId="0" fontId="88" fillId="5" borderId="0" xfId="0" applyFont="1" applyFill="1" applyAlignment="1">
      <alignment horizontal="right" vertical="center"/>
    </xf>
    <xf numFmtId="38" fontId="52" fillId="0" borderId="0" xfId="0" applyNumberFormat="1" applyFont="1" applyFill="1" applyAlignment="1">
      <alignment horizontal="right"/>
    </xf>
    <xf numFmtId="0" fontId="51" fillId="0" borderId="0" xfId="0" applyFont="1" applyFill="1" applyAlignment="1">
      <alignment vertical="center"/>
    </xf>
    <xf numFmtId="37" fontId="114" fillId="0" borderId="0" xfId="0" applyNumberFormat="1" applyFont="1"/>
    <xf numFmtId="0" fontId="77" fillId="6" borderId="0" xfId="0" applyFont="1" applyFill="1"/>
    <xf numFmtId="164" fontId="63" fillId="0" borderId="0" xfId="0" applyNumberFormat="1" applyFont="1" applyFill="1" applyAlignment="1">
      <alignment horizontal="right"/>
    </xf>
    <xf numFmtId="0" fontId="50" fillId="0" borderId="0" xfId="0" quotePrefix="1" applyFont="1" applyAlignment="1">
      <alignment horizontal="right"/>
    </xf>
    <xf numFmtId="0" fontId="49" fillId="0" borderId="0" xfId="0" applyFont="1" applyFill="1" applyAlignment="1">
      <alignment horizontal="left" vertical="center"/>
    </xf>
    <xf numFmtId="1" fontId="49" fillId="5" borderId="0" xfId="1" quotePrefix="1" applyNumberFormat="1" applyFont="1" applyFill="1" applyBorder="1" applyAlignment="1">
      <alignment horizontal="right" vertical="center"/>
    </xf>
    <xf numFmtId="0" fontId="48" fillId="5" borderId="0" xfId="0" applyFont="1" applyFill="1" applyBorder="1" applyAlignment="1">
      <alignment horizontal="left" vertical="center"/>
    </xf>
    <xf numFmtId="0" fontId="47" fillId="0" borderId="0" xfId="0" applyFont="1"/>
    <xf numFmtId="0" fontId="47" fillId="0" borderId="0" xfId="0" applyFont="1" applyFill="1" applyAlignment="1">
      <alignment horizontal="left" vertical="center"/>
    </xf>
    <xf numFmtId="14" fontId="0" fillId="6" borderId="0" xfId="0" applyNumberFormat="1" applyFont="1" applyFill="1" applyAlignment="1">
      <alignment horizontal="left"/>
    </xf>
    <xf numFmtId="0" fontId="47" fillId="0" borderId="0" xfId="0" applyFont="1" applyFill="1" applyBorder="1" applyAlignment="1">
      <alignment horizontal="left" vertical="center"/>
    </xf>
    <xf numFmtId="38" fontId="47" fillId="0" borderId="0" xfId="1" quotePrefix="1" applyNumberFormat="1" applyFont="1" applyFill="1" applyAlignment="1">
      <alignment horizontal="right"/>
    </xf>
    <xf numFmtId="38" fontId="47" fillId="0" borderId="0" xfId="1" applyNumberFormat="1" applyFont="1" applyFill="1" applyAlignment="1">
      <alignment horizontal="right"/>
    </xf>
    <xf numFmtId="38" fontId="47" fillId="0" borderId="0" xfId="1" quotePrefix="1" applyNumberFormat="1" applyFont="1" applyFill="1" applyBorder="1" applyAlignment="1">
      <alignment horizontal="right"/>
    </xf>
    <xf numFmtId="38" fontId="47" fillId="0" borderId="0" xfId="0" applyNumberFormat="1" applyFont="1" applyFill="1" applyAlignment="1">
      <alignment horizontal="right"/>
    </xf>
    <xf numFmtId="38" fontId="47" fillId="0" borderId="16" xfId="0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164" fontId="47" fillId="0" borderId="0" xfId="1" applyNumberFormat="1" applyFont="1"/>
    <xf numFmtId="164" fontId="47" fillId="0" borderId="16" xfId="1" applyNumberFormat="1" applyFont="1" applyBorder="1"/>
    <xf numFmtId="38" fontId="46" fillId="0" borderId="0" xfId="0" applyNumberFormat="1" applyFont="1" applyFill="1" applyAlignment="1">
      <alignment horizontal="right"/>
    </xf>
    <xf numFmtId="0" fontId="46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/>
    </xf>
    <xf numFmtId="38" fontId="45" fillId="0" borderId="0" xfId="1" quotePrefix="1" applyNumberFormat="1" applyFont="1" applyFill="1" applyAlignment="1">
      <alignment horizontal="right"/>
    </xf>
    <xf numFmtId="0" fontId="45" fillId="0" borderId="0" xfId="0" applyFont="1" applyFill="1" applyAlignment="1">
      <alignment horizontal="left" vertical="center"/>
    </xf>
    <xf numFmtId="164" fontId="44" fillId="0" borderId="0" xfId="1" applyNumberFormat="1" applyFont="1" applyFill="1" applyAlignment="1">
      <alignment horizontal="right" vertical="center"/>
    </xf>
    <xf numFmtId="0" fontId="43" fillId="0" borderId="0" xfId="0" applyFont="1" applyFill="1" applyAlignment="1">
      <alignment horizontal="left" vertical="center"/>
    </xf>
    <xf numFmtId="164" fontId="78" fillId="0" borderId="16" xfId="1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 vertical="center"/>
    </xf>
    <xf numFmtId="0" fontId="41" fillId="0" borderId="0" xfId="0" quotePrefix="1" applyFont="1"/>
    <xf numFmtId="1" fontId="40" fillId="5" borderId="0" xfId="1" quotePrefix="1" applyNumberFormat="1" applyFont="1" applyFill="1" applyAlignment="1">
      <alignment horizontal="right" vertical="center"/>
    </xf>
    <xf numFmtId="38" fontId="39" fillId="0" borderId="0" xfId="1" applyNumberFormat="1" applyFont="1" applyFill="1" applyAlignment="1">
      <alignment horizontal="right"/>
    </xf>
    <xf numFmtId="0" fontId="38" fillId="5" borderId="0" xfId="0" applyFont="1" applyFill="1"/>
    <xf numFmtId="0" fontId="38" fillId="0" borderId="0" xfId="0" quotePrefix="1" applyFont="1" applyFill="1" applyAlignment="1">
      <alignment horizontal="right"/>
    </xf>
    <xf numFmtId="0" fontId="38" fillId="5" borderId="0" xfId="0" applyFont="1" applyFill="1" applyAlignment="1">
      <alignment horizontal="right"/>
    </xf>
    <xf numFmtId="38" fontId="38" fillId="5" borderId="0" xfId="1" applyNumberFormat="1" applyFont="1" applyFill="1" applyAlignment="1">
      <alignment horizontal="right"/>
    </xf>
    <xf numFmtId="38" fontId="38" fillId="0" borderId="0" xfId="1" applyNumberFormat="1" applyFont="1" applyFill="1" applyAlignment="1">
      <alignment horizontal="right"/>
    </xf>
    <xf numFmtId="0" fontId="37" fillId="0" borderId="0" xfId="0" applyFont="1" applyFill="1"/>
    <xf numFmtId="1" fontId="36" fillId="0" borderId="0" xfId="0" applyNumberFormat="1" applyFont="1" applyFill="1" applyAlignment="1">
      <alignment horizontal="right" vertical="center"/>
    </xf>
    <xf numFmtId="38" fontId="36" fillId="0" borderId="0" xfId="0" applyNumberFormat="1" applyFont="1" applyFill="1" applyAlignment="1">
      <alignment horizontal="right"/>
    </xf>
    <xf numFmtId="0" fontId="95" fillId="12" borderId="0" xfId="0" applyFont="1" applyFill="1" applyAlignment="1">
      <alignment horizontal="left" vertical="center"/>
    </xf>
    <xf numFmtId="0" fontId="35" fillId="0" borderId="0" xfId="0" applyFont="1" applyFill="1"/>
    <xf numFmtId="1" fontId="35" fillId="0" borderId="0" xfId="0" quotePrefix="1" applyNumberFormat="1" applyFont="1" applyFill="1" applyAlignment="1">
      <alignment horizontal="right" vertical="center"/>
    </xf>
    <xf numFmtId="0" fontId="35" fillId="5" borderId="0" xfId="0" applyFont="1" applyFill="1"/>
    <xf numFmtId="38" fontId="58" fillId="5" borderId="0" xfId="0" applyNumberFormat="1" applyFont="1" applyFill="1" applyAlignment="1">
      <alignment horizontal="right"/>
    </xf>
    <xf numFmtId="1" fontId="35" fillId="5" borderId="0" xfId="0" quotePrefix="1" applyNumberFormat="1" applyFont="1" applyFill="1" applyAlignment="1">
      <alignment horizontal="right" vertical="center"/>
    </xf>
    <xf numFmtId="1" fontId="49" fillId="0" borderId="0" xfId="1" quotePrefix="1" applyNumberFormat="1" applyFont="1" applyFill="1" applyBorder="1" applyAlignment="1">
      <alignment horizontal="right" vertical="center"/>
    </xf>
    <xf numFmtId="0" fontId="34" fillId="0" borderId="0" xfId="0" applyFont="1" applyFill="1"/>
    <xf numFmtId="1" fontId="33" fillId="0" borderId="0" xfId="0" quotePrefix="1" applyNumberFormat="1" applyFont="1" applyFill="1" applyAlignment="1">
      <alignment horizontal="right" vertical="center"/>
    </xf>
    <xf numFmtId="1" fontId="33" fillId="5" borderId="0" xfId="0" quotePrefix="1" applyNumberFormat="1" applyFont="1" applyFill="1" applyAlignment="1">
      <alignment horizontal="right" vertical="center"/>
    </xf>
    <xf numFmtId="38" fontId="39" fillId="5" borderId="0" xfId="1" applyNumberFormat="1" applyFont="1" applyFill="1" applyAlignment="1">
      <alignment horizontal="right"/>
    </xf>
    <xf numFmtId="0" fontId="32" fillId="0" borderId="0" xfId="0" applyFont="1" applyFill="1"/>
    <xf numFmtId="0" fontId="32" fillId="5" borderId="0" xfId="0" applyFont="1" applyFill="1" applyAlignment="1">
      <alignment horizontal="left" vertical="center"/>
    </xf>
    <xf numFmtId="38" fontId="31" fillId="0" borderId="0" xfId="0" applyNumberFormat="1" applyFont="1" applyFill="1" applyAlignment="1">
      <alignment horizontal="right"/>
    </xf>
    <xf numFmtId="0" fontId="31" fillId="0" borderId="0" xfId="0" applyFont="1" applyFill="1" applyBorder="1" applyAlignment="1">
      <alignment horizontal="left" vertical="center"/>
    </xf>
    <xf numFmtId="0" fontId="96" fillId="7" borderId="0" xfId="0" applyFont="1" applyFill="1" applyAlignment="1">
      <alignment horizontal="left" vertical="center"/>
    </xf>
    <xf numFmtId="1" fontId="30" fillId="5" borderId="0" xfId="1" quotePrefix="1" applyNumberFormat="1" applyFont="1" applyFill="1" applyBorder="1" applyAlignment="1">
      <alignment horizontal="right" vertical="center"/>
    </xf>
    <xf numFmtId="38" fontId="30" fillId="5" borderId="0" xfId="1" applyNumberFormat="1" applyFont="1" applyFill="1" applyBorder="1" applyAlignment="1">
      <alignment horizontal="right"/>
    </xf>
    <xf numFmtId="0" fontId="29" fillId="5" borderId="0" xfId="0" applyFont="1" applyFill="1" applyAlignment="1">
      <alignment horizontal="left" vertical="center"/>
    </xf>
    <xf numFmtId="38" fontId="28" fillId="0" borderId="0" xfId="0" applyNumberFormat="1" applyFont="1" applyFill="1" applyAlignment="1">
      <alignment horizontal="right"/>
    </xf>
    <xf numFmtId="0" fontId="27" fillId="0" borderId="0" xfId="0" applyFont="1" applyFill="1" applyBorder="1" applyAlignment="1"/>
    <xf numFmtId="0" fontId="26" fillId="0" borderId="0" xfId="0" applyFont="1" applyFill="1"/>
    <xf numFmtId="38" fontId="26" fillId="0" borderId="0" xfId="0" applyNumberFormat="1" applyFont="1" applyFill="1" applyAlignment="1">
      <alignment horizontal="right"/>
    </xf>
    <xf numFmtId="38" fontId="26" fillId="0" borderId="0" xfId="1" quotePrefix="1" applyNumberFormat="1" applyFont="1" applyFill="1" applyAlignment="1">
      <alignment horizontal="right"/>
    </xf>
    <xf numFmtId="0" fontId="25" fillId="0" borderId="0" xfId="0" applyFont="1" applyFill="1" applyAlignment="1">
      <alignment horizontal="left" vertical="center"/>
    </xf>
    <xf numFmtId="0" fontId="25" fillId="5" borderId="0" xfId="0" applyFont="1" applyFill="1" applyAlignment="1">
      <alignment horizontal="left" vertical="center"/>
    </xf>
    <xf numFmtId="38" fontId="25" fillId="5" borderId="0" xfId="1" applyNumberFormat="1" applyFont="1" applyFill="1" applyAlignment="1">
      <alignment horizontal="right"/>
    </xf>
    <xf numFmtId="37" fontId="78" fillId="0" borderId="0" xfId="0" applyNumberFormat="1" applyFont="1"/>
    <xf numFmtId="0" fontId="24" fillId="0" borderId="0" xfId="0" applyFont="1" applyFill="1"/>
    <xf numFmtId="38" fontId="23" fillId="0" borderId="0" xfId="0" applyNumberFormat="1" applyFont="1" applyFill="1" applyAlignment="1">
      <alignment horizontal="right"/>
    </xf>
    <xf numFmtId="0" fontId="23" fillId="0" borderId="0" xfId="0" applyFont="1" applyFill="1" applyBorder="1"/>
    <xf numFmtId="0" fontId="96" fillId="0" borderId="16" xfId="0" applyFont="1" applyFill="1" applyBorder="1" applyAlignment="1">
      <alignment horizontal="left" vertical="center"/>
    </xf>
    <xf numFmtId="1" fontId="21" fillId="0" borderId="0" xfId="0" quotePrefix="1" applyNumberFormat="1" applyFont="1" applyFill="1" applyAlignment="1">
      <alignment horizontal="right" vertical="center"/>
    </xf>
    <xf numFmtId="0" fontId="96" fillId="0" borderId="0" xfId="0" applyFont="1" applyFill="1" applyBorder="1" applyAlignment="1">
      <alignment horizontal="left" vertical="center"/>
    </xf>
    <xf numFmtId="1" fontId="78" fillId="0" borderId="16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center"/>
    </xf>
    <xf numFmtId="0" fontId="19" fillId="5" borderId="0" xfId="0" applyFont="1" applyFill="1"/>
    <xf numFmtId="0" fontId="17" fillId="0" borderId="0" xfId="0" applyFont="1" applyFill="1"/>
    <xf numFmtId="38" fontId="0" fillId="0" borderId="0" xfId="0" applyNumberFormat="1" applyFont="1" applyFill="1" applyBorder="1"/>
    <xf numFmtId="0" fontId="15" fillId="0" borderId="17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64" fontId="14" fillId="0" borderId="0" xfId="1" applyNumberFormat="1" applyFont="1" applyFill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96" fillId="12" borderId="0" xfId="0" applyFont="1" applyFill="1" applyAlignment="1">
      <alignment horizontal="left" vertical="center"/>
    </xf>
    <xf numFmtId="0" fontId="92" fillId="15" borderId="0" xfId="0" applyFont="1" applyFill="1" applyAlignment="1">
      <alignment horizontal="left" vertical="center"/>
    </xf>
    <xf numFmtId="0" fontId="115" fillId="0" borderId="0" xfId="0" quotePrefix="1" applyFont="1" applyFill="1" applyBorder="1" applyAlignment="1">
      <alignment horizontal="left" vertical="center"/>
    </xf>
    <xf numFmtId="0" fontId="116" fillId="0" borderId="0" xfId="0" applyFont="1" applyFill="1" applyAlignment="1">
      <alignment horizontal="left" vertical="center"/>
    </xf>
    <xf numFmtId="0" fontId="13" fillId="5" borderId="17" xfId="0" applyFont="1" applyFill="1" applyBorder="1" applyAlignment="1">
      <alignment horizontal="left" vertical="center"/>
    </xf>
    <xf numFmtId="1" fontId="67" fillId="0" borderId="0" xfId="0" applyNumberFormat="1" applyFont="1" applyFill="1" applyBorder="1" applyAlignment="1">
      <alignment horizontal="right" vertical="center"/>
    </xf>
    <xf numFmtId="0" fontId="13" fillId="5" borderId="0" xfId="0" applyFont="1" applyFill="1" applyAlignment="1">
      <alignment horizontal="left" vertical="center" wrapText="1"/>
    </xf>
    <xf numFmtId="38" fontId="78" fillId="5" borderId="0" xfId="0" quotePrefix="1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 vertical="center"/>
    </xf>
    <xf numFmtId="38" fontId="22" fillId="0" borderId="0" xfId="1" quotePrefix="1" applyNumberFormat="1" applyFont="1" applyFill="1" applyBorder="1" applyAlignment="1">
      <alignment horizontal="right"/>
    </xf>
    <xf numFmtId="0" fontId="16" fillId="0" borderId="0" xfId="0" applyFont="1" applyFill="1" applyBorder="1"/>
    <xf numFmtId="0" fontId="16" fillId="0" borderId="0" xfId="0" quotePrefix="1" applyFont="1" applyFill="1" applyBorder="1" applyAlignment="1">
      <alignment horizontal="right"/>
    </xf>
    <xf numFmtId="0" fontId="75" fillId="0" borderId="5" xfId="0" applyFont="1" applyFill="1" applyBorder="1" applyAlignment="1">
      <alignment horizontal="center" wrapText="1"/>
    </xf>
    <xf numFmtId="164" fontId="81" fillId="0" borderId="0" xfId="0" applyNumberFormat="1" applyFont="1" applyAlignment="1">
      <alignment horizontal="right"/>
    </xf>
    <xf numFmtId="0" fontId="0" fillId="0" borderId="16" xfId="0" applyFont="1" applyFill="1" applyBorder="1"/>
    <xf numFmtId="0" fontId="15" fillId="0" borderId="0" xfId="0" applyFont="1" applyFill="1" applyAlignment="1">
      <alignment horizontal="left" vertical="center"/>
    </xf>
    <xf numFmtId="1" fontId="39" fillId="0" borderId="0" xfId="1" quotePrefix="1" applyNumberFormat="1" applyFont="1" applyFill="1" applyBorder="1" applyAlignment="1">
      <alignment horizontal="right" vertical="center"/>
    </xf>
    <xf numFmtId="0" fontId="83" fillId="0" borderId="0" xfId="0" applyFont="1" applyFill="1" applyBorder="1" applyAlignment="1">
      <alignment horizontal="left"/>
    </xf>
    <xf numFmtId="38" fontId="78" fillId="0" borderId="0" xfId="0" applyNumberFormat="1" applyFont="1" applyBorder="1"/>
    <xf numFmtId="0" fontId="0" fillId="0" borderId="0" xfId="0" applyFont="1" applyFill="1" applyAlignment="1">
      <alignment horizontal="right"/>
    </xf>
    <xf numFmtId="164" fontId="0" fillId="0" borderId="0" xfId="1" quotePrefix="1" applyNumberFormat="1" applyFont="1" applyFill="1"/>
    <xf numFmtId="164" fontId="0" fillId="0" borderId="0" xfId="0" applyNumberFormat="1" applyFont="1" applyFill="1" applyAlignment="1">
      <alignment horizontal="center"/>
    </xf>
    <xf numFmtId="164" fontId="78" fillId="0" borderId="0" xfId="1" applyNumberFormat="1" applyFont="1" applyFill="1" applyBorder="1"/>
    <xf numFmtId="0" fontId="34" fillId="5" borderId="0" xfId="0" applyFont="1" applyFill="1" applyBorder="1"/>
    <xf numFmtId="0" fontId="12" fillId="0" borderId="17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78" fillId="5" borderId="14" xfId="0" applyFont="1" applyFill="1" applyBorder="1" applyAlignment="1">
      <alignment horizontal="right" vertical="center"/>
    </xf>
    <xf numFmtId="1" fontId="78" fillId="5" borderId="14" xfId="0" applyNumberFormat="1" applyFont="1" applyFill="1" applyBorder="1" applyAlignment="1">
      <alignment horizontal="right" vertical="center"/>
    </xf>
    <xf numFmtId="38" fontId="78" fillId="5" borderId="14" xfId="0" applyNumberFormat="1" applyFont="1" applyFill="1" applyBorder="1" applyAlignment="1">
      <alignment horizontal="right"/>
    </xf>
    <xf numFmtId="164" fontId="78" fillId="0" borderId="0" xfId="1" applyNumberFormat="1" applyFont="1" applyFill="1" applyBorder="1" applyAlignment="1">
      <alignment horizontal="right"/>
    </xf>
    <xf numFmtId="38" fontId="78" fillId="0" borderId="12" xfId="1" applyNumberFormat="1" applyFont="1" applyFill="1" applyBorder="1" applyAlignment="1">
      <alignment horizontal="right"/>
    </xf>
    <xf numFmtId="0" fontId="12" fillId="5" borderId="14" xfId="0" applyFont="1" applyFill="1" applyBorder="1" applyAlignment="1">
      <alignment horizontal="left" vertical="center"/>
    </xf>
    <xf numFmtId="0" fontId="28" fillId="5" borderId="14" xfId="0" applyFont="1" applyFill="1" applyBorder="1" applyAlignment="1">
      <alignment horizontal="left" vertical="center"/>
    </xf>
    <xf numFmtId="1" fontId="78" fillId="5" borderId="14" xfId="1" applyNumberFormat="1" applyFont="1" applyFill="1" applyBorder="1" applyAlignment="1">
      <alignment horizontal="right" vertical="center"/>
    </xf>
    <xf numFmtId="38" fontId="0" fillId="5" borderId="14" xfId="0" applyNumberFormat="1" applyFill="1" applyBorder="1"/>
    <xf numFmtId="37" fontId="78" fillId="5" borderId="14" xfId="1" applyNumberFormat="1" applyFont="1" applyFill="1" applyBorder="1" applyAlignment="1">
      <alignment horizontal="right"/>
    </xf>
    <xf numFmtId="0" fontId="12" fillId="5" borderId="0" xfId="0" applyFont="1" applyFill="1" applyBorder="1" applyAlignment="1">
      <alignment horizontal="left" vertical="center"/>
    </xf>
    <xf numFmtId="0" fontId="35" fillId="0" borderId="0" xfId="0" applyFont="1" applyFill="1" applyBorder="1"/>
    <xf numFmtId="0" fontId="11" fillId="5" borderId="0" xfId="0" applyFont="1" applyFill="1"/>
    <xf numFmtId="38" fontId="11" fillId="5" borderId="0" xfId="1" applyNumberFormat="1" applyFont="1" applyFill="1" applyAlignment="1">
      <alignment horizontal="right"/>
    </xf>
    <xf numFmtId="0" fontId="11" fillId="0" borderId="0" xfId="0" applyFont="1" applyFill="1"/>
    <xf numFmtId="38" fontId="11" fillId="0" borderId="0" xfId="1" applyNumberFormat="1" applyFont="1" applyFill="1" applyAlignment="1">
      <alignment horizontal="right"/>
    </xf>
    <xf numFmtId="0" fontId="60" fillId="0" borderId="15" xfId="0" applyFont="1" applyFill="1" applyBorder="1" applyAlignment="1">
      <alignment horizontal="left" vertical="center"/>
    </xf>
    <xf numFmtId="38" fontId="57" fillId="0" borderId="0" xfId="0" applyNumberFormat="1" applyFont="1" applyFill="1" applyBorder="1" applyAlignment="1">
      <alignment horizontal="right"/>
    </xf>
    <xf numFmtId="38" fontId="59" fillId="0" borderId="0" xfId="0" applyNumberFormat="1" applyFont="1" applyFill="1" applyBorder="1" applyAlignment="1">
      <alignment horizontal="right"/>
    </xf>
    <xf numFmtId="38" fontId="59" fillId="0" borderId="11" xfId="0" applyNumberFormat="1" applyFont="1" applyFill="1" applyBorder="1" applyAlignment="1">
      <alignment horizontal="right"/>
    </xf>
    <xf numFmtId="0" fontId="78" fillId="5" borderId="0" xfId="0" quotePrefix="1" applyFont="1" applyFill="1" applyBorder="1" applyAlignment="1">
      <alignment horizontal="right"/>
    </xf>
    <xf numFmtId="0" fontId="10" fillId="0" borderId="0" xfId="0" applyFont="1" applyFill="1"/>
    <xf numFmtId="0" fontId="38" fillId="0" borderId="0" xfId="0" applyFont="1" applyFill="1"/>
    <xf numFmtId="0" fontId="10" fillId="5" borderId="0" xfId="0" applyFont="1" applyFill="1" applyAlignment="1">
      <alignment horizontal="left" vertical="center"/>
    </xf>
    <xf numFmtId="38" fontId="0" fillId="0" borderId="0" xfId="0" applyNumberFormat="1" applyFont="1" applyFill="1"/>
    <xf numFmtId="1" fontId="38" fillId="0" borderId="0" xfId="0" quotePrefix="1" applyNumberFormat="1" applyFont="1" applyFill="1" applyAlignment="1">
      <alignment horizontal="right" vertical="center"/>
    </xf>
    <xf numFmtId="1" fontId="49" fillId="5" borderId="17" xfId="1" quotePrefix="1" applyNumberFormat="1" applyFont="1" applyFill="1" applyBorder="1" applyAlignment="1">
      <alignment horizontal="right" vertical="center"/>
    </xf>
    <xf numFmtId="38" fontId="88" fillId="5" borderId="15" xfId="0" applyNumberFormat="1" applyFont="1" applyFill="1" applyBorder="1" applyAlignment="1">
      <alignment horizontal="right"/>
    </xf>
    <xf numFmtId="38" fontId="88" fillId="0" borderId="15" xfId="0" applyNumberFormat="1" applyFont="1" applyFill="1" applyBorder="1" applyAlignment="1">
      <alignment horizontal="right"/>
    </xf>
    <xf numFmtId="38" fontId="0" fillId="0" borderId="16" xfId="0" applyNumberFormat="1" applyFont="1" applyFill="1" applyBorder="1"/>
    <xf numFmtId="0" fontId="0" fillId="16" borderId="0" xfId="0" applyFont="1" applyFill="1" applyBorder="1"/>
    <xf numFmtId="38" fontId="0" fillId="16" borderId="16" xfId="0" applyNumberFormat="1" applyFont="1" applyFill="1" applyBorder="1"/>
    <xf numFmtId="38" fontId="0" fillId="16" borderId="18" xfId="0" applyNumberFormat="1" applyFont="1" applyFill="1" applyBorder="1"/>
    <xf numFmtId="1" fontId="78" fillId="0" borderId="17" xfId="0" quotePrefix="1" applyNumberFormat="1" applyFont="1" applyFill="1" applyBorder="1" applyAlignment="1">
      <alignment horizontal="right" vertical="center"/>
    </xf>
    <xf numFmtId="0" fontId="9" fillId="0" borderId="17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right"/>
    </xf>
    <xf numFmtId="0" fontId="78" fillId="5" borderId="0" xfId="0" applyFont="1" applyFill="1" applyBorder="1" applyAlignment="1">
      <alignment horizontal="right"/>
    </xf>
    <xf numFmtId="1" fontId="28" fillId="0" borderId="0" xfId="1" quotePrefix="1" applyNumberFormat="1" applyFont="1" applyFill="1" applyAlignment="1">
      <alignment horizontal="right" vertical="center"/>
    </xf>
    <xf numFmtId="38" fontId="81" fillId="8" borderId="0" xfId="1" applyNumberFormat="1" applyFont="1" applyFill="1" applyBorder="1" applyAlignment="1">
      <alignment horizontal="right" vertical="center" wrapText="1"/>
    </xf>
    <xf numFmtId="0" fontId="0" fillId="9" borderId="0" xfId="0" applyFont="1" applyFill="1" applyAlignment="1">
      <alignment horizontal="center" vertical="center"/>
    </xf>
    <xf numFmtId="1" fontId="8" fillId="0" borderId="0" xfId="0" quotePrefix="1" applyNumberFormat="1" applyFont="1" applyFill="1" applyAlignment="1">
      <alignment horizontal="right" vertical="center"/>
    </xf>
    <xf numFmtId="0" fontId="8" fillId="5" borderId="0" xfId="0" applyFont="1" applyFill="1" applyBorder="1"/>
    <xf numFmtId="0" fontId="92" fillId="5" borderId="0" xfId="0" applyFont="1" applyFill="1"/>
    <xf numFmtId="0" fontId="7" fillId="0" borderId="0" xfId="0" quotePrefix="1" applyFont="1"/>
    <xf numFmtId="0" fontId="77" fillId="5" borderId="0" xfId="0" applyFont="1" applyFill="1" applyBorder="1" applyAlignment="1">
      <alignment horizontal="left" vertical="center"/>
    </xf>
    <xf numFmtId="0" fontId="77" fillId="5" borderId="0" xfId="0" quotePrefix="1" applyFont="1" applyFill="1" applyBorder="1" applyAlignment="1">
      <alignment horizontal="left" vertical="center"/>
    </xf>
    <xf numFmtId="0" fontId="0" fillId="0" borderId="0" xfId="0" quotePrefix="1" applyFont="1" applyAlignment="1">
      <alignment horizontal="right"/>
    </xf>
    <xf numFmtId="0" fontId="82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92" fillId="0" borderId="0" xfId="0" applyFont="1" applyFill="1"/>
    <xf numFmtId="0" fontId="96" fillId="0" borderId="0" xfId="0" applyFont="1"/>
    <xf numFmtId="0" fontId="88" fillId="0" borderId="0" xfId="0" applyFont="1" applyAlignment="1">
      <alignment horizontal="right" vertical="center"/>
    </xf>
    <xf numFmtId="38" fontId="88" fillId="0" borderId="0" xfId="0" applyNumberFormat="1" applyFont="1" applyAlignment="1">
      <alignment horizontal="right"/>
    </xf>
    <xf numFmtId="0" fontId="96" fillId="5" borderId="0" xfId="0" applyFont="1" applyFill="1"/>
    <xf numFmtId="1" fontId="88" fillId="5" borderId="0" xfId="0" applyNumberFormat="1" applyFont="1" applyFill="1" applyAlignment="1">
      <alignment horizontal="right" vertical="center"/>
    </xf>
    <xf numFmtId="0" fontId="33" fillId="0" borderId="17" xfId="0" applyFont="1" applyFill="1" applyBorder="1" applyAlignment="1">
      <alignment horizontal="left" vertical="center"/>
    </xf>
    <xf numFmtId="0" fontId="96" fillId="0" borderId="0" xfId="0" applyFont="1" applyFill="1"/>
    <xf numFmtId="1" fontId="28" fillId="5" borderId="17" xfId="0" quotePrefix="1" applyNumberFormat="1" applyFont="1" applyFill="1" applyBorder="1" applyAlignment="1">
      <alignment horizontal="right" vertical="center"/>
    </xf>
    <xf numFmtId="1" fontId="88" fillId="5" borderId="0" xfId="0" quotePrefix="1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1" fontId="5" fillId="5" borderId="0" xfId="1" quotePrefix="1" applyNumberFormat="1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right" wrapText="1"/>
    </xf>
    <xf numFmtId="164" fontId="81" fillId="0" borderId="6" xfId="1" applyNumberFormat="1" applyFont="1" applyFill="1" applyBorder="1"/>
    <xf numFmtId="0" fontId="4" fillId="0" borderId="0" xfId="0" applyFont="1" applyFill="1" applyAlignment="1">
      <alignment horizontal="right" vertical="center"/>
    </xf>
    <xf numFmtId="164" fontId="81" fillId="0" borderId="0" xfId="1" applyNumberFormat="1" applyFont="1" applyAlignment="1">
      <alignment horizontal="right" vertical="center"/>
    </xf>
    <xf numFmtId="37" fontId="87" fillId="0" borderId="0" xfId="0" applyNumberFormat="1" applyFont="1"/>
    <xf numFmtId="37" fontId="87" fillId="0" borderId="0" xfId="0" quotePrefix="1" applyNumberFormat="1" applyFont="1"/>
    <xf numFmtId="0" fontId="4" fillId="5" borderId="0" xfId="0" applyFont="1" applyFill="1" applyBorder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" fontId="4" fillId="0" borderId="0" xfId="1" applyNumberFormat="1" applyFont="1" applyFill="1" applyAlignment="1">
      <alignment horizontal="right" vertical="center"/>
    </xf>
    <xf numFmtId="38" fontId="4" fillId="1" borderId="0" xfId="1" applyNumberFormat="1" applyFont="1" applyFill="1" applyAlignment="1">
      <alignment horizontal="right"/>
    </xf>
    <xf numFmtId="38" fontId="4" fillId="0" borderId="0" xfId="1" applyNumberFormat="1" applyFont="1"/>
    <xf numFmtId="38" fontId="4" fillId="0" borderId="0" xfId="1" applyNumberFormat="1" applyFont="1" applyFill="1" applyAlignment="1">
      <alignment horizontal="right"/>
    </xf>
    <xf numFmtId="38" fontId="4" fillId="0" borderId="0" xfId="0" applyNumberFormat="1" applyFont="1"/>
    <xf numFmtId="38" fontId="4" fillId="0" borderId="16" xfId="1" applyNumberFormat="1" applyFont="1" applyBorder="1"/>
    <xf numFmtId="0" fontId="4" fillId="0" borderId="0" xfId="0" applyFont="1"/>
    <xf numFmtId="38" fontId="4" fillId="0" borderId="17" xfId="1" applyNumberFormat="1" applyFont="1" applyBorder="1"/>
    <xf numFmtId="38" fontId="4" fillId="0" borderId="17" xfId="1" applyNumberFormat="1" applyFont="1" applyFill="1" applyBorder="1" applyAlignment="1">
      <alignment horizontal="right"/>
    </xf>
    <xf numFmtId="0" fontId="82" fillId="6" borderId="0" xfId="0" applyFont="1" applyFill="1" applyAlignment="1">
      <alignment horizontal="left"/>
    </xf>
    <xf numFmtId="6" fontId="3" fillId="0" borderId="0" xfId="0" applyNumberFormat="1" applyFont="1" applyFill="1" applyAlignment="1">
      <alignment horizontal="right" vertical="center" wrapText="1"/>
    </xf>
    <xf numFmtId="164" fontId="3" fillId="0" borderId="0" xfId="1" applyNumberFormat="1" applyFont="1" applyFill="1" applyAlignment="1">
      <alignment horizontal="right" vertical="center"/>
    </xf>
    <xf numFmtId="1" fontId="3" fillId="0" borderId="0" xfId="0" applyNumberFormat="1" applyFont="1" applyFill="1" applyAlignment="1">
      <alignment horizontal="right" vertical="center"/>
    </xf>
    <xf numFmtId="38" fontId="3" fillId="0" borderId="16" xfId="0" applyNumberFormat="1" applyFont="1" applyFill="1" applyBorder="1" applyAlignment="1">
      <alignment horizontal="right"/>
    </xf>
    <xf numFmtId="38" fontId="3" fillId="5" borderId="0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Fill="1"/>
    <xf numFmtId="0" fontId="83" fillId="0" borderId="0" xfId="0" applyFont="1" applyFill="1"/>
    <xf numFmtId="0" fontId="11" fillId="5" borderId="0" xfId="0" applyFont="1" applyFill="1" applyAlignment="1">
      <alignment horizontal="right"/>
    </xf>
    <xf numFmtId="49" fontId="2" fillId="5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0" fontId="92" fillId="5" borderId="0" xfId="0" applyFont="1" applyFill="1" applyBorder="1" applyAlignment="1">
      <alignment horizontal="left" vertical="center"/>
    </xf>
    <xf numFmtId="0" fontId="1" fillId="5" borderId="0" xfId="0" applyFont="1" applyFill="1"/>
    <xf numFmtId="0" fontId="1" fillId="0" borderId="0" xfId="0" applyFont="1" applyFill="1" applyAlignment="1">
      <alignment horizontal="left" vertical="center"/>
    </xf>
    <xf numFmtId="1" fontId="1" fillId="0" borderId="0" xfId="1" quotePrefix="1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Border="1" applyAlignment="1">
      <alignment horizontal="left" vertical="center"/>
    </xf>
    <xf numFmtId="1" fontId="1" fillId="5" borderId="0" xfId="0" quotePrefix="1" applyNumberFormat="1" applyFont="1" applyFill="1" applyAlignment="1">
      <alignment horizontal="right" vertical="center"/>
    </xf>
    <xf numFmtId="0" fontId="1" fillId="0" borderId="0" xfId="0" applyFont="1" applyFill="1"/>
    <xf numFmtId="0" fontId="1" fillId="5" borderId="0" xfId="0" applyFont="1" applyFill="1" applyAlignment="1">
      <alignment horizontal="left" vertical="center"/>
    </xf>
    <xf numFmtId="1" fontId="1" fillId="0" borderId="0" xfId="0" quotePrefix="1" applyNumberFormat="1" applyFont="1" applyFill="1" applyAlignment="1">
      <alignment horizontal="right" vertical="center"/>
    </xf>
    <xf numFmtId="1" fontId="88" fillId="0" borderId="0" xfId="0" quotePrefix="1" applyNumberFormat="1" applyFont="1" applyFill="1" applyAlignment="1">
      <alignment horizontal="right" vertical="center"/>
    </xf>
    <xf numFmtId="0" fontId="83" fillId="7" borderId="0" xfId="0" applyFont="1" applyFill="1"/>
    <xf numFmtId="0" fontId="88" fillId="7" borderId="0" xfId="0" applyFont="1" applyFill="1" applyAlignment="1">
      <alignment horizontal="left" vertical="center"/>
    </xf>
    <xf numFmtId="38" fontId="0" fillId="0" borderId="25" xfId="1" applyNumberFormat="1" applyFont="1" applyFill="1" applyBorder="1" applyAlignment="1">
      <alignment horizontal="right"/>
    </xf>
    <xf numFmtId="38" fontId="0" fillId="0" borderId="11" xfId="0" applyNumberFormat="1" applyFill="1" applyBorder="1"/>
    <xf numFmtId="38" fontId="0" fillId="0" borderId="0" xfId="0" applyNumberFormat="1" applyFill="1"/>
    <xf numFmtId="38" fontId="0" fillId="0" borderId="15" xfId="1" applyNumberFormat="1" applyFont="1" applyFill="1" applyBorder="1" applyAlignment="1">
      <alignment horizontal="right"/>
    </xf>
    <xf numFmtId="38" fontId="0" fillId="0" borderId="7" xfId="1" applyNumberFormat="1" applyFont="1" applyFill="1" applyBorder="1" applyAlignment="1">
      <alignment horizontal="right"/>
    </xf>
    <xf numFmtId="0" fontId="84" fillId="0" borderId="0" xfId="0" applyFont="1" applyAlignment="1">
      <alignment horizontal="left"/>
    </xf>
    <xf numFmtId="0" fontId="1" fillId="5" borderId="0" xfId="0" applyFont="1" applyFill="1" applyBorder="1"/>
    <xf numFmtId="38" fontId="1" fillId="5" borderId="0" xfId="0" applyNumberFormat="1" applyFont="1" applyFill="1" applyAlignment="1">
      <alignment horizontal="right"/>
    </xf>
    <xf numFmtId="0" fontId="77" fillId="0" borderId="32" xfId="0" applyFont="1" applyFill="1" applyBorder="1" applyAlignment="1">
      <alignment horizontal="right"/>
    </xf>
    <xf numFmtId="0" fontId="1" fillId="5" borderId="0" xfId="0" quotePrefix="1" applyFont="1" applyFill="1" applyAlignment="1">
      <alignment horizontal="left" vertical="center"/>
    </xf>
    <xf numFmtId="0" fontId="82" fillId="0" borderId="0" xfId="0" applyFont="1"/>
    <xf numFmtId="0" fontId="1" fillId="5" borderId="0" xfId="0" applyFont="1" applyFill="1" applyAlignment="1">
      <alignment horizontal="right" vertical="center"/>
    </xf>
    <xf numFmtId="1" fontId="1" fillId="5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right" vertical="center"/>
    </xf>
    <xf numFmtId="38" fontId="1" fillId="0" borderId="0" xfId="0" applyNumberFormat="1" applyFont="1" applyFill="1" applyAlignment="1">
      <alignment horizontal="right"/>
    </xf>
    <xf numFmtId="0" fontId="83" fillId="5" borderId="0" xfId="0" applyFont="1" applyFill="1" applyBorder="1"/>
    <xf numFmtId="0" fontId="1" fillId="15" borderId="0" xfId="0" applyFont="1" applyFill="1" applyAlignment="1">
      <alignment horizontal="left" vertical="center"/>
    </xf>
    <xf numFmtId="0" fontId="1" fillId="5" borderId="0" xfId="0" quotePrefix="1" applyFont="1" applyFill="1" applyAlignment="1">
      <alignment horizontal="right" vertical="center"/>
    </xf>
    <xf numFmtId="38" fontId="1" fillId="0" borderId="0" xfId="1" applyNumberFormat="1" applyFont="1"/>
    <xf numFmtId="49" fontId="1" fillId="0" borderId="0" xfId="0" applyNumberFormat="1" applyFont="1"/>
    <xf numFmtId="49" fontId="92" fillId="0" borderId="0" xfId="0" applyNumberFormat="1" applyFont="1"/>
    <xf numFmtId="0" fontId="88" fillId="0" borderId="0" xfId="0" applyFont="1"/>
    <xf numFmtId="0" fontId="84" fillId="5" borderId="0" xfId="0" applyFont="1" applyFill="1" applyAlignment="1">
      <alignment horizontal="left" indent="1"/>
    </xf>
    <xf numFmtId="0" fontId="96" fillId="0" borderId="0" xfId="0" quotePrefix="1" applyFont="1" applyFill="1" applyBorder="1" applyAlignment="1">
      <alignment horizontal="left" vertical="center"/>
    </xf>
    <xf numFmtId="38" fontId="1" fillId="0" borderId="17" xfId="1" applyNumberFormat="1" applyFont="1" applyBorder="1"/>
    <xf numFmtId="0" fontId="85" fillId="5" borderId="0" xfId="0" applyFont="1" applyFill="1" applyBorder="1"/>
    <xf numFmtId="1" fontId="113" fillId="5" borderId="0" xfId="1" applyNumberFormat="1" applyFont="1" applyFill="1" applyBorder="1" applyAlignment="1">
      <alignment horizontal="right" vertical="center"/>
    </xf>
    <xf numFmtId="38" fontId="113" fillId="5" borderId="0" xfId="1" applyNumberFormat="1" applyFont="1" applyFill="1" applyBorder="1" applyAlignment="1">
      <alignment horizontal="right"/>
    </xf>
    <xf numFmtId="0" fontId="55" fillId="5" borderId="0" xfId="0" quotePrefix="1" applyFont="1" applyFill="1" applyBorder="1" applyAlignment="1">
      <alignment horizontal="left" vertical="center"/>
    </xf>
    <xf numFmtId="38" fontId="55" fillId="5" borderId="0" xfId="1" applyNumberFormat="1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37" fontId="110" fillId="0" borderId="0" xfId="0" applyNumberFormat="1" applyFont="1"/>
    <xf numFmtId="0" fontId="1" fillId="0" borderId="17" xfId="0" applyFont="1" applyFill="1" applyBorder="1" applyAlignment="1">
      <alignment horizontal="left" vertical="center"/>
    </xf>
    <xf numFmtId="0" fontId="1" fillId="0" borderId="0" xfId="0" applyFont="1"/>
    <xf numFmtId="1" fontId="1" fillId="0" borderId="0" xfId="1" applyNumberFormat="1" applyFont="1" applyFill="1" applyAlignment="1">
      <alignment horizontal="right" vertical="center"/>
    </xf>
    <xf numFmtId="1" fontId="88" fillId="7" borderId="0" xfId="0" quotePrefix="1" applyNumberFormat="1" applyFont="1" applyFill="1" applyAlignment="1">
      <alignment horizontal="right" vertical="center"/>
    </xf>
    <xf numFmtId="49" fontId="1" fillId="5" borderId="0" xfId="0" applyNumberFormat="1" applyFont="1" applyFill="1" applyBorder="1"/>
    <xf numFmtId="1" fontId="1" fillId="5" borderId="0" xfId="0" quotePrefix="1" applyNumberFormat="1" applyFont="1" applyFill="1" applyBorder="1" applyAlignment="1">
      <alignment horizontal="right" vertical="center"/>
    </xf>
    <xf numFmtId="164" fontId="1" fillId="0" borderId="0" xfId="1" applyNumberFormat="1" applyFont="1" applyFill="1" applyAlignment="1">
      <alignment horizontal="right" vertical="center"/>
    </xf>
    <xf numFmtId="10" fontId="0" fillId="0" borderId="0" xfId="2" applyNumberFormat="1" applyFont="1"/>
    <xf numFmtId="1" fontId="1" fillId="0" borderId="0" xfId="0" quotePrefix="1" applyNumberFormat="1" applyFont="1" applyFill="1" applyBorder="1" applyAlignment="1">
      <alignment horizontal="right" vertical="center"/>
    </xf>
    <xf numFmtId="0" fontId="1" fillId="0" borderId="0" xfId="0" applyFont="1" applyFill="1" applyBorder="1"/>
    <xf numFmtId="0" fontId="92" fillId="0" borderId="0" xfId="0" applyFont="1" applyFill="1" applyBorder="1" applyAlignment="1"/>
    <xf numFmtId="0" fontId="1" fillId="0" borderId="0" xfId="0" applyFont="1" applyFill="1" applyAlignment="1">
      <alignment horizontal="right"/>
    </xf>
    <xf numFmtId="1" fontId="1" fillId="5" borderId="0" xfId="1" quotePrefix="1" applyNumberFormat="1" applyFont="1" applyFill="1" applyAlignment="1">
      <alignment horizontal="right" vertical="center"/>
    </xf>
    <xf numFmtId="0" fontId="92" fillId="0" borderId="0" xfId="0" applyFont="1" applyFill="1" applyBorder="1"/>
    <xf numFmtId="0" fontId="83" fillId="5" borderId="16" xfId="0" applyFont="1" applyFill="1" applyBorder="1"/>
    <xf numFmtId="0" fontId="78" fillId="5" borderId="16" xfId="0" applyFont="1" applyFill="1" applyBorder="1" applyAlignment="1">
      <alignment horizontal="right" vertical="center"/>
    </xf>
    <xf numFmtId="1" fontId="78" fillId="5" borderId="16" xfId="0" applyNumberFormat="1" applyFont="1" applyFill="1" applyBorder="1" applyAlignment="1">
      <alignment horizontal="right" vertical="center"/>
    </xf>
    <xf numFmtId="49" fontId="1" fillId="0" borderId="0" xfId="0" applyNumberFormat="1" applyFont="1" applyBorder="1"/>
    <xf numFmtId="38" fontId="1" fillId="0" borderId="0" xfId="1" applyNumberFormat="1" applyFont="1" applyBorder="1"/>
    <xf numFmtId="49" fontId="92" fillId="0" borderId="0" xfId="0" applyNumberFormat="1" applyFont="1" applyBorder="1"/>
    <xf numFmtId="0" fontId="9" fillId="0" borderId="0" xfId="0" applyFont="1" applyFill="1" applyBorder="1" applyAlignment="1">
      <alignment horizontal="right" vertical="center"/>
    </xf>
    <xf numFmtId="1" fontId="9" fillId="0" borderId="0" xfId="0" applyNumberFormat="1" applyFont="1" applyFill="1" applyBorder="1" applyAlignment="1">
      <alignment horizontal="right" vertical="center"/>
    </xf>
    <xf numFmtId="38" fontId="9" fillId="0" borderId="0" xfId="0" applyNumberFormat="1" applyFont="1" applyFill="1" applyBorder="1" applyAlignment="1">
      <alignment horizontal="right"/>
    </xf>
    <xf numFmtId="0" fontId="96" fillId="0" borderId="0" xfId="0" applyFont="1" applyBorder="1"/>
    <xf numFmtId="0" fontId="1" fillId="0" borderId="0" xfId="0" applyFont="1" applyFill="1" applyBorder="1" applyAlignment="1">
      <alignment horizontal="right" vertical="center"/>
    </xf>
    <xf numFmtId="38" fontId="1" fillId="0" borderId="0" xfId="0" applyNumberFormat="1" applyFont="1" applyFill="1" applyBorder="1" applyAlignment="1">
      <alignment horizontal="right"/>
    </xf>
    <xf numFmtId="38" fontId="1" fillId="0" borderId="0" xfId="0" applyNumberFormat="1" applyFont="1" applyFill="1" applyBorder="1"/>
    <xf numFmtId="0" fontId="1" fillId="0" borderId="0" xfId="0" applyFont="1" applyFill="1" applyBorder="1" applyAlignment="1"/>
    <xf numFmtId="0" fontId="83" fillId="0" borderId="0" xfId="0" applyFont="1" applyBorder="1" applyAlignment="1">
      <alignment horizontal="left"/>
    </xf>
    <xf numFmtId="0" fontId="83" fillId="5" borderId="0" xfId="0" applyFont="1" applyFill="1" applyAlignment="1"/>
    <xf numFmtId="0" fontId="96" fillId="0" borderId="0" xfId="0" applyFont="1" applyBorder="1" applyAlignment="1">
      <alignment horizontal="left" vertical="center"/>
    </xf>
    <xf numFmtId="0" fontId="1" fillId="5" borderId="0" xfId="0" applyFont="1" applyFill="1" applyAlignment="1">
      <alignment wrapText="1"/>
    </xf>
    <xf numFmtId="0" fontId="18" fillId="5" borderId="0" xfId="0" applyFont="1" applyFill="1" applyBorder="1"/>
    <xf numFmtId="0" fontId="88" fillId="0" borderId="0" xfId="0" applyFont="1" applyBorder="1" applyAlignment="1">
      <alignment horizontal="right" vertical="center"/>
    </xf>
    <xf numFmtId="1" fontId="88" fillId="0" borderId="0" xfId="0" applyNumberFormat="1" applyFont="1" applyBorder="1" applyAlignment="1">
      <alignment horizontal="right" vertical="center"/>
    </xf>
    <xf numFmtId="38" fontId="88" fillId="0" borderId="0" xfId="0" applyNumberFormat="1" applyFont="1" applyBorder="1" applyAlignment="1">
      <alignment horizontal="right"/>
    </xf>
    <xf numFmtId="0" fontId="38" fillId="0" borderId="0" xfId="0" applyFont="1" applyFill="1" applyBorder="1"/>
    <xf numFmtId="0" fontId="78" fillId="0" borderId="0" xfId="0" quotePrefix="1" applyFont="1" applyFill="1" applyBorder="1" applyAlignment="1">
      <alignment horizontal="right"/>
    </xf>
    <xf numFmtId="0" fontId="92" fillId="5" borderId="0" xfId="0" applyFont="1" applyFill="1" applyBorder="1"/>
    <xf numFmtId="1" fontId="38" fillId="0" borderId="0" xfId="0" quotePrefix="1" applyNumberFormat="1" applyFont="1" applyFill="1" applyBorder="1" applyAlignment="1">
      <alignment horizontal="right" vertical="center"/>
    </xf>
    <xf numFmtId="1" fontId="5" fillId="0" borderId="0" xfId="0" quotePrefix="1" applyNumberFormat="1" applyFont="1" applyFill="1" applyBorder="1" applyAlignment="1">
      <alignment horizontal="right" vertical="center"/>
    </xf>
    <xf numFmtId="1" fontId="1" fillId="0" borderId="0" xfId="1" quotePrefix="1" applyNumberFormat="1" applyFont="1" applyFill="1" applyBorder="1" applyAlignment="1">
      <alignment horizontal="right" vertical="center"/>
    </xf>
    <xf numFmtId="0" fontId="88" fillId="5" borderId="0" xfId="0" applyFont="1" applyFill="1"/>
    <xf numFmtId="0" fontId="78" fillId="0" borderId="0" xfId="0" applyFont="1" applyFill="1" applyBorder="1" applyAlignment="1">
      <alignment horizontal="right"/>
    </xf>
    <xf numFmtId="1" fontId="33" fillId="5" borderId="0" xfId="0" quotePrefix="1" applyNumberFormat="1" applyFont="1" applyFill="1" applyBorder="1" applyAlignment="1">
      <alignment horizontal="right" vertical="center"/>
    </xf>
    <xf numFmtId="38" fontId="58" fillId="5" borderId="0" xfId="0" applyNumberFormat="1" applyFont="1" applyFill="1" applyBorder="1" applyAlignment="1">
      <alignment horizontal="right"/>
    </xf>
    <xf numFmtId="1" fontId="8" fillId="0" borderId="0" xfId="0" quotePrefix="1" applyNumberFormat="1" applyFont="1" applyFill="1" applyBorder="1" applyAlignment="1">
      <alignment horizontal="right" vertical="center"/>
    </xf>
    <xf numFmtId="0" fontId="1" fillId="0" borderId="0" xfId="0" quotePrefix="1" applyFont="1" applyFill="1"/>
    <xf numFmtId="0" fontId="8" fillId="5" borderId="0" xfId="0" applyFont="1" applyFill="1" applyBorder="1" applyAlignment="1">
      <alignment horizontal="left" vertical="center"/>
    </xf>
    <xf numFmtId="38" fontId="1" fillId="0" borderId="0" xfId="0" applyNumberFormat="1" applyFont="1"/>
    <xf numFmtId="38" fontId="1" fillId="0" borderId="0" xfId="1" applyNumberFormat="1" applyFont="1" applyFill="1" applyBorder="1"/>
    <xf numFmtId="0" fontId="1" fillId="6" borderId="0" xfId="0" applyFont="1" applyFill="1" applyAlignment="1">
      <alignment horizontal="left" vertical="center"/>
    </xf>
    <xf numFmtId="38" fontId="81" fillId="0" borderId="16" xfId="1" applyNumberFormat="1" applyFont="1" applyFill="1" applyBorder="1" applyAlignment="1">
      <alignment horizontal="right" vertical="center" wrapText="1"/>
    </xf>
    <xf numFmtId="3" fontId="81" fillId="14" borderId="18" xfId="1" applyNumberFormat="1" applyFont="1" applyFill="1" applyBorder="1" applyAlignment="1">
      <alignment horizontal="right" vertical="center" wrapText="1"/>
    </xf>
    <xf numFmtId="3" fontId="81" fillId="0" borderId="16" xfId="1" applyNumberFormat="1" applyFont="1" applyFill="1" applyBorder="1" applyAlignment="1">
      <alignment horizontal="right" vertical="center" wrapText="1"/>
    </xf>
    <xf numFmtId="3" fontId="81" fillId="0" borderId="19" xfId="1" applyNumberFormat="1" applyFont="1" applyFill="1" applyBorder="1" applyAlignment="1">
      <alignment horizontal="right" vertical="center" wrapText="1"/>
    </xf>
    <xf numFmtId="3" fontId="81" fillId="0" borderId="15" xfId="1" applyNumberFormat="1" applyFont="1" applyFill="1" applyBorder="1" applyAlignment="1">
      <alignment horizontal="right" vertical="center" wrapText="1"/>
    </xf>
    <xf numFmtId="3" fontId="81" fillId="0" borderId="11" xfId="1" applyNumberFormat="1" applyFont="1" applyFill="1" applyBorder="1" applyAlignment="1">
      <alignment horizontal="right" vertical="center" wrapText="1"/>
    </xf>
    <xf numFmtId="38" fontId="81" fillId="0" borderId="18" xfId="1" applyNumberFormat="1" applyFont="1" applyFill="1" applyBorder="1" applyAlignment="1">
      <alignment horizontal="right" vertical="center" wrapText="1"/>
    </xf>
    <xf numFmtId="38" fontId="81" fillId="0" borderId="19" xfId="1" applyNumberFormat="1" applyFont="1" applyFill="1" applyBorder="1" applyAlignment="1">
      <alignment horizontal="right" vertical="center" wrapText="1"/>
    </xf>
    <xf numFmtId="0" fontId="0" fillId="8" borderId="15" xfId="0" applyFont="1" applyFill="1" applyBorder="1" applyAlignment="1">
      <alignment horizontal="right" vertical="center"/>
    </xf>
    <xf numFmtId="38" fontId="81" fillId="0" borderId="11" xfId="1" applyNumberFormat="1" applyFont="1" applyFill="1" applyBorder="1" applyAlignment="1">
      <alignment horizontal="right" vertical="center" wrapText="1"/>
    </xf>
    <xf numFmtId="0" fontId="0" fillId="10" borderId="27" xfId="0" applyFont="1" applyFill="1" applyBorder="1" applyAlignment="1">
      <alignment horizontal="right" vertical="center"/>
    </xf>
    <xf numFmtId="38" fontId="81" fillId="10" borderId="21" xfId="1" applyNumberFormat="1" applyFont="1" applyFill="1" applyBorder="1" applyAlignment="1">
      <alignment horizontal="right" vertical="center" wrapText="1"/>
    </xf>
    <xf numFmtId="38" fontId="81" fillId="9" borderId="21" xfId="1" applyNumberFormat="1" applyFont="1" applyFill="1" applyBorder="1" applyAlignment="1">
      <alignment horizontal="right" vertical="center" wrapText="1"/>
    </xf>
    <xf numFmtId="38" fontId="81" fillId="9" borderId="22" xfId="1" applyNumberFormat="1" applyFont="1" applyFill="1" applyBorder="1" applyAlignment="1">
      <alignment horizontal="right" vertical="center" wrapText="1"/>
    </xf>
    <xf numFmtId="0" fontId="1" fillId="0" borderId="0" xfId="0" quotePrefix="1" applyFont="1" applyFill="1" applyAlignment="1">
      <alignment horizontal="right"/>
    </xf>
    <xf numFmtId="0" fontId="92" fillId="0" borderId="0" xfId="0" applyFont="1"/>
    <xf numFmtId="0" fontId="1" fillId="5" borderId="0" xfId="0" quotePrefix="1" applyFont="1" applyFill="1" applyAlignment="1">
      <alignment horizontal="right"/>
    </xf>
    <xf numFmtId="0" fontId="83" fillId="0" borderId="0" xfId="0" applyFont="1" applyFill="1" applyAlignment="1"/>
    <xf numFmtId="0" fontId="78" fillId="5" borderId="0" xfId="0" applyNumberFormat="1" applyFont="1" applyFill="1" applyBorder="1" applyAlignment="1">
      <alignment horizontal="left" vertical="center"/>
    </xf>
    <xf numFmtId="0" fontId="78" fillId="5" borderId="0" xfId="0" applyNumberFormat="1" applyFont="1" applyFill="1" applyBorder="1" applyAlignment="1">
      <alignment horizontal="right" vertical="center"/>
    </xf>
    <xf numFmtId="0" fontId="78" fillId="5" borderId="0" xfId="0" quotePrefix="1" applyNumberFormat="1" applyFont="1" applyFill="1" applyBorder="1" applyAlignment="1">
      <alignment horizontal="right" vertical="center"/>
    </xf>
    <xf numFmtId="38" fontId="0" fillId="0" borderId="17" xfId="0" applyNumberFormat="1" applyFont="1" applyFill="1" applyBorder="1"/>
    <xf numFmtId="0" fontId="0" fillId="18" borderId="0" xfId="0" applyFont="1" applyFill="1"/>
    <xf numFmtId="0" fontId="0" fillId="0" borderId="11" xfId="0" applyFont="1" applyBorder="1" applyAlignment="1">
      <alignment horizontal="right" vertical="center"/>
    </xf>
    <xf numFmtId="164" fontId="81" fillId="0" borderId="11" xfId="1" applyNumberFormat="1" applyFont="1" applyBorder="1" applyAlignment="1">
      <alignment horizontal="right" vertical="center"/>
    </xf>
    <xf numFmtId="164" fontId="81" fillId="0" borderId="19" xfId="1" applyNumberFormat="1" applyFont="1" applyBorder="1" applyAlignment="1">
      <alignment horizontal="right" vertical="center"/>
    </xf>
    <xf numFmtId="37" fontId="0" fillId="0" borderId="0" xfId="0" applyNumberFormat="1" applyFont="1" applyAlignment="1">
      <alignment horizontal="right" vertical="center"/>
    </xf>
    <xf numFmtId="38" fontId="0" fillId="0" borderId="0" xfId="0" applyNumberFormat="1" applyFont="1" applyAlignment="1">
      <alignment horizontal="right" vertical="center"/>
    </xf>
    <xf numFmtId="38" fontId="81" fillId="6" borderId="0" xfId="1" applyNumberFormat="1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wrapText="1"/>
    </xf>
    <xf numFmtId="0" fontId="117" fillId="17" borderId="29" xfId="0" applyFont="1" applyFill="1" applyBorder="1" applyAlignment="1">
      <alignment horizontal="center" vertical="center"/>
    </xf>
    <xf numFmtId="0" fontId="117" fillId="17" borderId="0" xfId="0" applyFont="1" applyFill="1" applyAlignment="1">
      <alignment horizontal="center" vertical="center"/>
    </xf>
    <xf numFmtId="0" fontId="76" fillId="0" borderId="0" xfId="0" applyFont="1" applyAlignment="1">
      <alignment horizontal="center"/>
    </xf>
    <xf numFmtId="0" fontId="75" fillId="0" borderId="0" xfId="0" applyFont="1" applyAlignment="1">
      <alignment horizontal="left"/>
    </xf>
    <xf numFmtId="0" fontId="77" fillId="0" borderId="0" xfId="0" applyFont="1" applyAlignment="1">
      <alignment horizontal="center"/>
    </xf>
    <xf numFmtId="0" fontId="77" fillId="0" borderId="23" xfId="0" applyFont="1" applyBorder="1" applyAlignment="1">
      <alignment horizontal="center" wrapText="1"/>
    </xf>
    <xf numFmtId="0" fontId="77" fillId="0" borderId="40" xfId="0" applyFont="1" applyBorder="1" applyAlignment="1">
      <alignment horizontal="center" wrapText="1"/>
    </xf>
    <xf numFmtId="0" fontId="76" fillId="0" borderId="0" xfId="0" applyFont="1" applyAlignment="1">
      <alignment horizontal="left"/>
    </xf>
    <xf numFmtId="0" fontId="76" fillId="0" borderId="0" xfId="0" applyFont="1" applyAlignment="1">
      <alignment horizontal="right"/>
    </xf>
    <xf numFmtId="38" fontId="77" fillId="0" borderId="29" xfId="1" applyNumberFormat="1" applyFont="1" applyFill="1" applyBorder="1" applyAlignment="1">
      <alignment horizontal="center"/>
    </xf>
    <xf numFmtId="0" fontId="75" fillId="0" borderId="0" xfId="0" applyFont="1" applyFill="1"/>
    <xf numFmtId="0" fontId="77" fillId="0" borderId="0" xfId="0" applyFont="1" applyAlignment="1">
      <alignment horizontal="left"/>
    </xf>
    <xf numFmtId="0" fontId="76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0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8F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P2226%20Depts%20List%20PRELIM%20TO%20PROPOSED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FITZ/Fringes/FICA_Medicare/FICA%20Actuals%2099%20-20%20Projected%20FY%2021%20-%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ments"/>
      <sheetName val="Summary"/>
      <sheetName val="Pivot"/>
      <sheetName val="Other Funds"/>
      <sheetName val="GenFdSumbyDept"/>
    </sheetNames>
    <sheetDataSet>
      <sheetData sheetId="0">
        <row r="2">
          <cell r="M2">
            <v>45566978</v>
          </cell>
          <cell r="N2">
            <v>151962760</v>
          </cell>
          <cell r="O2">
            <v>95084564</v>
          </cell>
          <cell r="P2">
            <v>-133874372</v>
          </cell>
          <cell r="Q2">
            <v>-165228062</v>
          </cell>
          <cell r="R2">
            <v>-97638820</v>
          </cell>
          <cell r="S2">
            <v>-104126952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Fd"/>
      <sheetName val="Annual AllFunds"/>
    </sheetNames>
    <sheetDataSet>
      <sheetData sheetId="0">
        <row r="78">
          <cell r="C78">
            <v>1829169138</v>
          </cell>
        </row>
        <row r="79">
          <cell r="C79">
            <v>1877983984</v>
          </cell>
        </row>
        <row r="80">
          <cell r="C80">
            <v>1900661464</v>
          </cell>
        </row>
        <row r="81">
          <cell r="C81">
            <v>1975993852</v>
          </cell>
        </row>
        <row r="82">
          <cell r="C82">
            <v>1979124649</v>
          </cell>
        </row>
        <row r="83">
          <cell r="C83">
            <v>1979366477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../../5YR1923/Exogenous/Responses/FY19-FY23%20Emp.Disb%205yr%20Projections%20FINAL%20for%20BS.xlsx" TargetMode="External"/><Relationship Id="rId3" Type="http://schemas.openxmlformats.org/officeDocument/2006/relationships/hyperlink" Target="../../FITZ/Fringes/Pension/FY%202019/FY%2019%20-%2023%20Pens%20Oblig%20Bond%20by%20Fund%20.xlsx" TargetMode="External"/><Relationship Id="rId7" Type="http://schemas.openxmlformats.org/officeDocument/2006/relationships/hyperlink" Target="../../FITZ/Fringes/Pension/FY%202019/FY%2019%20-%2023%20Pens%20Oblig%20Bond%20by%20Fund%20.xlsx" TargetMode="External"/><Relationship Id="rId2" Type="http://schemas.openxmlformats.org/officeDocument/2006/relationships/hyperlink" Target="../../FITZ/Fringes/Health-Med/FY2019/FY%2019-FY%2023%20Health%20Medical%20Projecton_basedonFY17Actual.xlsx" TargetMode="External"/><Relationship Id="rId1" Type="http://schemas.openxmlformats.org/officeDocument/2006/relationships/hyperlink" Target="../../FITZ/Fringes/FICA_Medicare/FICA%20Actuals%2099%20-17%20Projected%20FY%2018%20-%2023.xlsx" TargetMode="External"/><Relationship Id="rId6" Type="http://schemas.openxmlformats.org/officeDocument/2006/relationships/hyperlink" Target="../../FITZ/Fringes/Health-Med/FY2019/FY%2019-FY%2023%20Health%20Medical%20Projecton_basedonFY17Actual.xlsx" TargetMode="External"/><Relationship Id="rId11" Type="http://schemas.openxmlformats.org/officeDocument/2006/relationships/comments" Target="../comments4.xml"/><Relationship Id="rId5" Type="http://schemas.openxmlformats.org/officeDocument/2006/relationships/hyperlink" Target="../../FITZ/Fringes/FICA_Medicare/FICA%20Actuals%2099%20-17%20Projected%20FY%2018%20-%2023.xlsx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../../5YR1923/Exogenous/Responses/FY19-FY23%20Emp.Disb%205yr%20Projections%20FINAL%20for%20BS.xlsx" TargetMode="External"/><Relationship Id="rId9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2"/>
  <sheetViews>
    <sheetView topLeftCell="A6" zoomScaleNormal="100" zoomScaleSheetLayoutView="80" workbookViewId="0">
      <selection activeCell="I21" sqref="I21"/>
    </sheetView>
  </sheetViews>
  <sheetFormatPr defaultColWidth="9.1796875" defaultRowHeight="14.5" x14ac:dyDescent="0.35"/>
  <cols>
    <col min="1" max="1" width="35.81640625" style="7" bestFit="1" customWidth="1"/>
    <col min="2" max="2" width="14.54296875" style="15" customWidth="1"/>
    <col min="3" max="9" width="14.54296875" style="7" customWidth="1"/>
    <col min="10" max="10" width="16.54296875" style="7" customWidth="1"/>
    <col min="11" max="11" width="9.1796875" style="7"/>
    <col min="12" max="12" width="11.81640625" style="7" bestFit="1" customWidth="1"/>
    <col min="13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x14ac:dyDescent="0.35">
      <c r="A5"/>
    </row>
    <row r="6" spans="1:10" ht="19" thickBot="1" x14ac:dyDescent="0.5">
      <c r="A6" s="110" t="s">
        <v>192</v>
      </c>
      <c r="B6" s="4"/>
      <c r="C6" s="876"/>
      <c r="D6" s="876"/>
      <c r="E6" s="876"/>
      <c r="F6" s="876"/>
      <c r="G6" s="876"/>
      <c r="H6" s="876"/>
      <c r="I6" s="876"/>
    </row>
    <row r="7" spans="1:10" ht="21.5" thickBot="1" x14ac:dyDescent="0.55000000000000004">
      <c r="A7" s="108" t="s">
        <v>720</v>
      </c>
      <c r="B7" s="173"/>
      <c r="C7" s="173"/>
      <c r="D7" s="173"/>
      <c r="E7" s="424" t="s">
        <v>238</v>
      </c>
      <c r="F7" s="393"/>
      <c r="G7" s="4"/>
      <c r="H7" s="4"/>
      <c r="I7" s="472"/>
    </row>
    <row r="8" spans="1:10" s="8" customFormat="1" ht="30" customHeight="1" thickBot="1" x14ac:dyDescent="0.4">
      <c r="A8" s="1" t="s">
        <v>3</v>
      </c>
      <c r="B8" s="492" t="s">
        <v>630</v>
      </c>
      <c r="C8" s="492" t="s">
        <v>631</v>
      </c>
      <c r="D8" s="493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494" t="s">
        <v>711</v>
      </c>
    </row>
    <row r="9" spans="1:10" x14ac:dyDescent="0.35">
      <c r="A9" s="9" t="s">
        <v>4</v>
      </c>
      <c r="B9" s="33">
        <f>SUM('34-Art Museum Subsidy:12-Streets'!B9)-'35EB-Finance - Benefits'!B9</f>
        <v>1874182010</v>
      </c>
      <c r="C9" s="33">
        <f>SUM('34-Art Museum Subsidy:12-Streets'!C9)-'35EB-Finance - Benefits'!C9</f>
        <v>1795159258.4200001</v>
      </c>
      <c r="D9" s="219">
        <f>SUM('34-Art Museum Subsidy:12-Streets'!D9)-'35EB-Finance - Benefits'!D9</f>
        <v>1828850272.4200001</v>
      </c>
      <c r="E9" s="114">
        <f ca="1">SUM('34-Art Museum Subsidy:12-Streets'!E9)-'35EB-Finance - Benefits'!E9</f>
        <v>1881908438.4200001</v>
      </c>
      <c r="F9" s="396">
        <f ca="1">SUM('34-Art Museum Subsidy:12-Streets'!F9)-'35EB-Finance - Benefits'!F9</f>
        <v>1887074803.4200001</v>
      </c>
      <c r="G9" s="33">
        <f ca="1">SUM('34-Art Museum Subsidy:12-Streets'!G9)-'35EB-Finance - Benefits'!G9</f>
        <v>1886855360.4200001</v>
      </c>
      <c r="H9" s="33">
        <f ca="1">SUM('34-Art Museum Subsidy:12-Streets'!H9)-'35EB-Finance - Benefits'!H9</f>
        <v>1889365508.4200001</v>
      </c>
      <c r="I9" s="50">
        <f ca="1">SUM('34-Art Museum Subsidy:12-Streets'!I9)-'35EB-Finance - Benefits'!I9</f>
        <v>1889607336.4200001</v>
      </c>
      <c r="J9" s="112">
        <f t="shared" ref="J9:J16" ca="1" si="0">SUM(D9:I9)</f>
        <v>11263661719.52</v>
      </c>
    </row>
    <row r="10" spans="1:10" x14ac:dyDescent="0.35">
      <c r="A10" s="116" t="s">
        <v>108</v>
      </c>
      <c r="B10" s="48">
        <f>+'35EB-Finance - Benefits'!B9</f>
        <v>1363379633</v>
      </c>
      <c r="C10" s="48">
        <f>+'35EB-Finance - Benefits'!C9</f>
        <v>1287159003</v>
      </c>
      <c r="D10" s="220">
        <f>+'35EB-Finance - Benefits'!D9</f>
        <v>1302161016</v>
      </c>
      <c r="E10" s="113">
        <f>+'35EB-Finance - Benefits'!E9</f>
        <v>1434553835</v>
      </c>
      <c r="F10" s="397">
        <f>+'35EB-Finance - Benefits'!F9</f>
        <v>1501975576</v>
      </c>
      <c r="G10" s="48">
        <f>+'35EB-Finance - Benefits'!G9</f>
        <v>1568556052</v>
      </c>
      <c r="H10" s="48">
        <f>+'35EB-Finance - Benefits'!H9</f>
        <v>1619677604</v>
      </c>
      <c r="I10" s="49">
        <f>+'35EB-Finance - Benefits'!I9</f>
        <v>1675168998</v>
      </c>
      <c r="J10" s="113">
        <f t="shared" si="0"/>
        <v>9102093081</v>
      </c>
    </row>
    <row r="11" spans="1:10" x14ac:dyDescent="0.35">
      <c r="A11" s="9" t="s">
        <v>5</v>
      </c>
      <c r="B11" s="33">
        <f>SUM('34-Art Museum Subsidy:12-Streets'!B10)</f>
        <v>1016806311</v>
      </c>
      <c r="C11" s="33">
        <f>SUM('34-Art Museum Subsidy:12-Streets'!C10)</f>
        <v>948562174</v>
      </c>
      <c r="D11" s="219">
        <f ca="1">SUM('34-Art Museum Subsidy:12-Streets'!D10)</f>
        <v>1016567272</v>
      </c>
      <c r="E11" s="471">
        <f ca="1">SUM('34-Art Museum Subsidy:12-Streets'!E10)</f>
        <v>1042849369</v>
      </c>
      <c r="F11" s="396">
        <f ca="1">SUM('34-Art Museum Subsidy:12-Streets'!F10)</f>
        <v>1015845058</v>
      </c>
      <c r="G11" s="33">
        <f ca="1">SUM('34-Art Museum Subsidy:12-Streets'!G10)</f>
        <v>1022606428</v>
      </c>
      <c r="H11" s="33">
        <f ca="1">SUM('34-Art Museum Subsidy:12-Streets'!H10)</f>
        <v>1028397896</v>
      </c>
      <c r="I11" s="33">
        <f ca="1">SUM('34-Art Museum Subsidy:12-Streets'!I10)</f>
        <v>1031239517</v>
      </c>
      <c r="J11" s="114">
        <f t="shared" ca="1" si="0"/>
        <v>6157505540</v>
      </c>
    </row>
    <row r="12" spans="1:10" x14ac:dyDescent="0.35">
      <c r="A12" s="47" t="s">
        <v>6</v>
      </c>
      <c r="B12" s="48">
        <f>SUM('34-Art Museum Subsidy:12-Streets'!B11)</f>
        <v>125642727</v>
      </c>
      <c r="C12" s="48">
        <f>SUM('34-Art Museum Subsidy:12-Streets'!C11)</f>
        <v>117303678</v>
      </c>
      <c r="D12" s="220">
        <f>SUM('34-Art Museum Subsidy:12-Streets'!D11)</f>
        <v>139668602</v>
      </c>
      <c r="E12" s="113">
        <f ca="1">SUM('34-Art Museum Subsidy:12-Streets'!E11)</f>
        <v>115335363</v>
      </c>
      <c r="F12" s="397">
        <f ca="1">SUM('34-Art Museum Subsidy:12-Streets'!F11)</f>
        <v>110577970</v>
      </c>
      <c r="G12" s="48">
        <f ca="1">SUM('34-Art Museum Subsidy:12-Streets'!G11)</f>
        <v>108568706</v>
      </c>
      <c r="H12" s="48">
        <f ca="1">SUM('34-Art Museum Subsidy:12-Streets'!H11)</f>
        <v>92690597</v>
      </c>
      <c r="I12" s="49">
        <f ca="1">SUM('34-Art Museum Subsidy:12-Streets'!I11)</f>
        <v>91954490</v>
      </c>
      <c r="J12" s="113">
        <f t="shared" ca="1" si="0"/>
        <v>658795728</v>
      </c>
    </row>
    <row r="13" spans="1:10" x14ac:dyDescent="0.35">
      <c r="A13" s="9" t="s">
        <v>7</v>
      </c>
      <c r="B13" s="162">
        <f>SUM('34-Art Museum Subsidy:12-Streets'!B12)</f>
        <v>342542814</v>
      </c>
      <c r="C13" s="33">
        <f>SUM('34-Art Museum Subsidy:12-Streets'!C12)</f>
        <v>378737166</v>
      </c>
      <c r="D13" s="219">
        <f>SUM('34-Art Museum Subsidy:12-Streets'!D12)</f>
        <v>389537408</v>
      </c>
      <c r="E13" s="114">
        <f ca="1">SUM('34-Art Museum Subsidy:12-Streets'!E12)</f>
        <v>363839063</v>
      </c>
      <c r="F13" s="396">
        <f ca="1">SUM('34-Art Museum Subsidy:12-Streets'!F12)</f>
        <v>380301941</v>
      </c>
      <c r="G13" s="33">
        <f ca="1">SUM('34-Art Museum Subsidy:12-Streets'!G12)</f>
        <v>393655673</v>
      </c>
      <c r="H13" s="33">
        <f ca="1">SUM('34-Art Museum Subsidy:12-Streets'!H12)</f>
        <v>399992606</v>
      </c>
      <c r="I13" s="117">
        <f ca="1">SUM('34-Art Museum Subsidy:12-Streets'!I12)</f>
        <v>399692606</v>
      </c>
      <c r="J13" s="114">
        <f t="shared" ca="1" si="0"/>
        <v>2327019297</v>
      </c>
    </row>
    <row r="14" spans="1:10" x14ac:dyDescent="0.35">
      <c r="A14" s="47" t="s">
        <v>8</v>
      </c>
      <c r="B14" s="48">
        <f>SUM('34-Art Museum Subsidy:12-Streets'!B13)</f>
        <v>159226532</v>
      </c>
      <c r="C14" s="48">
        <f>SUM('34-Art Museum Subsidy:12-Streets'!C13)</f>
        <v>185714117</v>
      </c>
      <c r="D14" s="220">
        <f>SUM('34-Art Museum Subsidy:12-Streets'!D13)</f>
        <v>185714117</v>
      </c>
      <c r="E14" s="113">
        <f ca="1">SUM('34-Art Museum Subsidy:12-Streets'!E13)</f>
        <v>192666858</v>
      </c>
      <c r="F14" s="397">
        <f ca="1">SUM('34-Art Museum Subsidy:12-Streets'!F13)</f>
        <v>204369866.25999999</v>
      </c>
      <c r="G14" s="48">
        <f ca="1">SUM('34-Art Museum Subsidy:12-Streets'!G13)</f>
        <v>234852447</v>
      </c>
      <c r="H14" s="48">
        <f ca="1">SUM('34-Art Museum Subsidy:12-Streets'!H13)</f>
        <v>247879034</v>
      </c>
      <c r="I14" s="49">
        <f ca="1">SUM('34-Art Museum Subsidy:12-Streets'!I13)</f>
        <v>261405499</v>
      </c>
      <c r="J14" s="113">
        <f t="shared" ca="1" si="0"/>
        <v>1326887821.26</v>
      </c>
    </row>
    <row r="15" spans="1:10" x14ac:dyDescent="0.35">
      <c r="A15" s="9" t="s">
        <v>9</v>
      </c>
      <c r="B15" s="33">
        <f>SUM('34-Art Museum Subsidy:12-Streets'!B14)</f>
        <v>154753256</v>
      </c>
      <c r="C15" s="33">
        <f>SUM('34-Art Museum Subsidy:12-Streets'!C14)</f>
        <v>67215504</v>
      </c>
      <c r="D15" s="219">
        <f>SUM('34-Art Museum Subsidy:12-Streets'!D14)</f>
        <v>67215504</v>
      </c>
      <c r="E15" s="114">
        <f ca="1">SUM('34-Art Museum Subsidy:12-Streets'!E14)</f>
        <v>48791974</v>
      </c>
      <c r="F15" s="396">
        <f ca="1">SUM('34-Art Museum Subsidy:12-Streets'!F14)</f>
        <v>47215397</v>
      </c>
      <c r="G15" s="33">
        <f ca="1">SUM('34-Art Museum Subsidy:12-Streets'!G14)</f>
        <v>55985643</v>
      </c>
      <c r="H15" s="33">
        <f ca="1">SUM('34-Art Museum Subsidy:12-Streets'!H14)</f>
        <v>55045812</v>
      </c>
      <c r="I15" s="117">
        <f ca="1">SUM('34-Art Museum Subsidy:12-Streets'!I14)</f>
        <v>59744733</v>
      </c>
      <c r="J15" s="114">
        <f t="shared" ca="1" si="0"/>
        <v>333999063</v>
      </c>
    </row>
    <row r="16" spans="1:10" ht="15" thickBot="1" x14ac:dyDescent="0.4">
      <c r="A16" s="29" t="s">
        <v>10</v>
      </c>
      <c r="B16" s="51">
        <f>SUM('34-Art Museum Subsidy:12-Streets'!B15)</f>
        <v>0</v>
      </c>
      <c r="C16" s="51">
        <f>SUM('34-Art Museum Subsidy:12-Streets'!C15)</f>
        <v>25000100</v>
      </c>
      <c r="D16" s="394">
        <f>SUM('34-Art Museum Subsidy:12-Streets'!D15)</f>
        <v>100</v>
      </c>
      <c r="E16" s="115">
        <f ca="1">SUM('34-Art Museum Subsidy:12-Streets'!E15)</f>
        <v>100000100</v>
      </c>
      <c r="F16" s="398">
        <f ca="1">SUM('34-Art Museum Subsidy:12-Streets'!F15)</f>
        <v>110000100</v>
      </c>
      <c r="G16" s="51">
        <f ca="1">SUM('34-Art Museum Subsidy:12-Streets'!G15)</f>
        <v>65000100</v>
      </c>
      <c r="H16" s="51">
        <f ca="1">SUM('34-Art Museum Subsidy:12-Streets'!H15)</f>
        <v>75000100</v>
      </c>
      <c r="I16" s="111">
        <f ca="1">SUM('34-Art Museum Subsidy:12-Streets'!I15)</f>
        <v>75000100</v>
      </c>
      <c r="J16" s="115">
        <f t="shared" ca="1" si="0"/>
        <v>425000600</v>
      </c>
    </row>
    <row r="17" spans="1:10" x14ac:dyDescent="0.35">
      <c r="A17" s="4" t="s">
        <v>11</v>
      </c>
      <c r="B17" s="39">
        <f t="shared" ref="B17:H17" si="1">SUM(B9:B16)</f>
        <v>5036533283</v>
      </c>
      <c r="C17" s="39">
        <f t="shared" si="1"/>
        <v>4804851000.4200001</v>
      </c>
      <c r="D17" s="39">
        <f t="shared" ca="1" si="1"/>
        <v>4929714291.4200001</v>
      </c>
      <c r="E17" s="39">
        <f t="shared" ca="1" si="1"/>
        <v>5179945000.4200001</v>
      </c>
      <c r="F17" s="39">
        <f t="shared" ca="1" si="1"/>
        <v>5257360711.6800003</v>
      </c>
      <c r="G17" s="39">
        <f t="shared" ca="1" si="1"/>
        <v>5336080409.4200001</v>
      </c>
      <c r="H17" s="39">
        <f t="shared" ca="1" si="1"/>
        <v>5408049157.4200001</v>
      </c>
      <c r="I17" s="39">
        <f ca="1">SUM(I9:I16)</f>
        <v>5483813279.4200001</v>
      </c>
      <c r="J17" s="39">
        <f ca="1">SUM(J9:J16)</f>
        <v>31594962849.779999</v>
      </c>
    </row>
    <row r="18" spans="1:10" x14ac:dyDescent="0.35">
      <c r="A18" s="52"/>
      <c r="B18" s="480"/>
      <c r="D18" s="402">
        <f ca="1">+D17-C17</f>
        <v>124863291</v>
      </c>
      <c r="E18" s="402">
        <f ca="1">+E17-D17</f>
        <v>250230709</v>
      </c>
      <c r="F18" s="206"/>
    </row>
    <row r="19" spans="1:10" x14ac:dyDescent="0.35">
      <c r="A19" s="52"/>
      <c r="B19" s="277"/>
      <c r="C19" s="198"/>
      <c r="D19" s="403">
        <f ca="1">+D18/C17</f>
        <v>2.5986922589084551E-2</v>
      </c>
      <c r="E19" s="403">
        <f ca="1">+E18/D17</f>
        <v>5.0759677784069153E-2</v>
      </c>
      <c r="F19" s="403"/>
    </row>
    <row r="20" spans="1:10" ht="15" thickBot="1" x14ac:dyDescent="0.4">
      <c r="A20" s="24" t="s">
        <v>12</v>
      </c>
      <c r="B20" s="45"/>
      <c r="C20" s="24" t="s">
        <v>13</v>
      </c>
      <c r="D20" s="24" t="s">
        <v>205</v>
      </c>
      <c r="E20" s="24" t="s">
        <v>224</v>
      </c>
      <c r="F20" s="24" t="s">
        <v>243</v>
      </c>
      <c r="G20" s="24" t="s">
        <v>293</v>
      </c>
      <c r="H20" s="24" t="s">
        <v>361</v>
      </c>
      <c r="I20" s="24" t="s">
        <v>634</v>
      </c>
      <c r="J20" s="24" t="s">
        <v>11</v>
      </c>
    </row>
    <row r="21" spans="1:10" ht="15" thickTop="1" x14ac:dyDescent="0.35">
      <c r="A21" s="873" t="s">
        <v>712</v>
      </c>
      <c r="B21" s="46"/>
      <c r="C21" s="25"/>
      <c r="D21" s="25"/>
      <c r="E21" s="25"/>
      <c r="F21" s="25"/>
      <c r="G21" s="25"/>
      <c r="H21" s="25"/>
      <c r="I21" s="25"/>
      <c r="J21" s="25"/>
    </row>
    <row r="22" spans="1:10" ht="15" thickBot="1" x14ac:dyDescent="0.4">
      <c r="A22" s="874"/>
      <c r="B22" s="46"/>
      <c r="C22" s="25"/>
      <c r="D22" s="25"/>
      <c r="E22" s="25"/>
      <c r="F22" s="25"/>
      <c r="G22" s="25"/>
      <c r="H22" s="25"/>
      <c r="I22" s="25"/>
      <c r="J22" s="25"/>
    </row>
    <row r="23" spans="1:10" ht="29" x14ac:dyDescent="0.35">
      <c r="A23" s="25"/>
      <c r="B23" s="492" t="str">
        <f>B8</f>
        <v>FY20 Actual</v>
      </c>
      <c r="C23" s="2" t="s">
        <v>631</v>
      </c>
      <c r="D23" s="326" t="s">
        <v>632</v>
      </c>
      <c r="E23" s="395" t="s">
        <v>223</v>
      </c>
      <c r="F23" s="2" t="s">
        <v>242</v>
      </c>
      <c r="G23" s="2" t="s">
        <v>291</v>
      </c>
      <c r="H23" s="3" t="s">
        <v>360</v>
      </c>
      <c r="I23" s="3" t="s">
        <v>633</v>
      </c>
      <c r="J23" s="399" t="s">
        <v>711</v>
      </c>
    </row>
    <row r="24" spans="1:10" x14ac:dyDescent="0.35">
      <c r="A24" s="156" t="s">
        <v>723</v>
      </c>
      <c r="B24" s="844">
        <v>5036533283</v>
      </c>
      <c r="C24" s="845">
        <v>4804851000.4200001</v>
      </c>
      <c r="D24" s="845">
        <v>4884147313.4200001</v>
      </c>
      <c r="E24" s="845">
        <v>5027982240.4200001</v>
      </c>
      <c r="F24" s="845">
        <v>5162276147.4200001</v>
      </c>
      <c r="G24" s="845">
        <v>5469954781.4200001</v>
      </c>
      <c r="H24" s="845">
        <v>5573277219.4200001</v>
      </c>
      <c r="I24" s="845">
        <v>5581452099.4200001</v>
      </c>
      <c r="J24" s="846">
        <f>SUM(D24:I24)</f>
        <v>31699089801.519997</v>
      </c>
    </row>
    <row r="25" spans="1:10" x14ac:dyDescent="0.35">
      <c r="A25" s="156" t="s">
        <v>724</v>
      </c>
      <c r="B25" s="847">
        <f>+B17</f>
        <v>5036533283</v>
      </c>
      <c r="C25" s="55">
        <f t="shared" ref="C25:J25" si="2">+C17</f>
        <v>4804851000.4200001</v>
      </c>
      <c r="D25" s="55">
        <f t="shared" ca="1" si="2"/>
        <v>4929714291.4200001</v>
      </c>
      <c r="E25" s="55">
        <f ca="1">+E17</f>
        <v>5179945000.4200001</v>
      </c>
      <c r="F25" s="55">
        <f ca="1">+F17</f>
        <v>5257360711.6800003</v>
      </c>
      <c r="G25" s="55">
        <f t="shared" ca="1" si="2"/>
        <v>5336080409.4200001</v>
      </c>
      <c r="H25" s="55">
        <f t="shared" ca="1" si="2"/>
        <v>5408049157.4200001</v>
      </c>
      <c r="I25" s="55">
        <f ca="1">+I17</f>
        <v>5483813279.4200001</v>
      </c>
      <c r="J25" s="848">
        <f t="shared" ca="1" si="2"/>
        <v>31594962849.779999</v>
      </c>
    </row>
    <row r="26" spans="1:10" x14ac:dyDescent="0.35">
      <c r="A26" s="156" t="s">
        <v>719</v>
      </c>
      <c r="B26" s="849">
        <f t="shared" ref="B26:J26" si="3">+B25-B24</f>
        <v>0</v>
      </c>
      <c r="C26" s="843">
        <f t="shared" si="3"/>
        <v>0</v>
      </c>
      <c r="D26" s="843">
        <f ca="1">+D25-D24</f>
        <v>45566978</v>
      </c>
      <c r="E26" s="843">
        <f ca="1">+E25-E24</f>
        <v>151962760</v>
      </c>
      <c r="F26" s="843">
        <f ca="1">+F25-F24</f>
        <v>95084564.260000229</v>
      </c>
      <c r="G26" s="843">
        <f t="shared" ca="1" si="3"/>
        <v>-133874372</v>
      </c>
      <c r="H26" s="843">
        <f t="shared" ca="1" si="3"/>
        <v>-165228062</v>
      </c>
      <c r="I26" s="843">
        <f t="shared" ca="1" si="3"/>
        <v>-97638820</v>
      </c>
      <c r="J26" s="850">
        <f t="shared" ca="1" si="3"/>
        <v>-104126951.73999786</v>
      </c>
    </row>
    <row r="27" spans="1:10" x14ac:dyDescent="0.35">
      <c r="A27" s="25" t="s">
        <v>206</v>
      </c>
      <c r="B27" s="851"/>
      <c r="C27" s="688"/>
      <c r="D27" s="158">
        <f>+[1]Adjustments!M2</f>
        <v>45566978</v>
      </c>
      <c r="E27" s="158">
        <f>+[1]Adjustments!N2</f>
        <v>151962760</v>
      </c>
      <c r="F27" s="158">
        <f>+[1]Adjustments!O2</f>
        <v>95084564</v>
      </c>
      <c r="G27" s="158">
        <f>+[1]Adjustments!P2</f>
        <v>-133874372</v>
      </c>
      <c r="H27" s="158">
        <f>+[1]Adjustments!Q2</f>
        <v>-165228062</v>
      </c>
      <c r="I27" s="158">
        <f>+[1]Adjustments!R2</f>
        <v>-97638820</v>
      </c>
      <c r="J27" s="852">
        <f>+[1]Adjustments!S2</f>
        <v>-104126952</v>
      </c>
    </row>
    <row r="28" spans="1:10" x14ac:dyDescent="0.35">
      <c r="A28" s="689" t="s">
        <v>356</v>
      </c>
      <c r="B28" s="853"/>
      <c r="C28" s="854"/>
      <c r="D28" s="855">
        <f t="shared" ref="D28:J28" ca="1" si="4">+D26-D27</f>
        <v>0</v>
      </c>
      <c r="E28" s="855">
        <f t="shared" ca="1" si="4"/>
        <v>0</v>
      </c>
      <c r="F28" s="855">
        <f t="shared" ca="1" si="4"/>
        <v>0.26000022888183594</v>
      </c>
      <c r="G28" s="855">
        <f t="shared" ca="1" si="4"/>
        <v>0</v>
      </c>
      <c r="H28" s="855">
        <f t="shared" ca="1" si="4"/>
        <v>0</v>
      </c>
      <c r="I28" s="855">
        <f t="shared" ca="1" si="4"/>
        <v>0</v>
      </c>
      <c r="J28" s="856">
        <f t="shared" ca="1" si="4"/>
        <v>0.26000213623046875</v>
      </c>
    </row>
    <row r="29" spans="1:10" x14ac:dyDescent="0.35">
      <c r="B29" s="716"/>
      <c r="C29" s="58"/>
      <c r="D29" s="58"/>
      <c r="E29" s="58"/>
    </row>
    <row r="30" spans="1:10" x14ac:dyDescent="0.35">
      <c r="A30" s="25"/>
      <c r="B30" s="46"/>
      <c r="C30" s="158"/>
      <c r="D30" s="871" t="s">
        <v>907</v>
      </c>
      <c r="E30" s="158"/>
      <c r="F30" s="158"/>
      <c r="G30" s="158"/>
      <c r="H30" s="158"/>
      <c r="I30" s="158"/>
      <c r="J30" s="158"/>
    </row>
    <row r="31" spans="1:10" x14ac:dyDescent="0.35">
      <c r="A31" s="25"/>
      <c r="B31" s="866" t="s">
        <v>402</v>
      </c>
      <c r="C31" s="46" t="s">
        <v>908</v>
      </c>
      <c r="D31" s="869">
        <f>D9</f>
        <v>1828850272.4200001</v>
      </c>
      <c r="E31" s="869">
        <f t="shared" ref="E31:I31" ca="1" si="5">E9</f>
        <v>1881908438.4200001</v>
      </c>
      <c r="F31" s="869">
        <f t="shared" ca="1" si="5"/>
        <v>1887074803.4200001</v>
      </c>
      <c r="G31" s="869">
        <f t="shared" ca="1" si="5"/>
        <v>1886855360.4200001</v>
      </c>
      <c r="H31" s="869">
        <f t="shared" ca="1" si="5"/>
        <v>1889365508.4200001</v>
      </c>
      <c r="I31" s="869">
        <f t="shared" ca="1" si="5"/>
        <v>1889607336.4200001</v>
      </c>
      <c r="J31" s="25"/>
    </row>
    <row r="32" spans="1:10" x14ac:dyDescent="0.35">
      <c r="A32" s="25"/>
      <c r="B32" s="867">
        <v>0</v>
      </c>
      <c r="C32" s="869" t="s">
        <v>909</v>
      </c>
      <c r="D32" s="869">
        <f>[2]GenFd!$C$78</f>
        <v>1829169138</v>
      </c>
      <c r="E32" s="870">
        <f>[2]GenFd!$C$79</f>
        <v>1877983984</v>
      </c>
      <c r="F32" s="870">
        <f>[2]GenFd!$C$80</f>
        <v>1900661464</v>
      </c>
      <c r="G32" s="870">
        <f>[2]GenFd!$C$81</f>
        <v>1975993852</v>
      </c>
      <c r="H32" s="870">
        <f>[2]GenFd!$C$82</f>
        <v>1979124649</v>
      </c>
      <c r="I32" s="870">
        <f>[2]GenFd!$C$83</f>
        <v>1979366477</v>
      </c>
      <c r="J32" s="25"/>
    </row>
    <row r="33" spans="1:9" x14ac:dyDescent="0.35">
      <c r="A33" s="15" t="s">
        <v>388</v>
      </c>
      <c r="B33" s="867">
        <f>+B32-B17</f>
        <v>-5036533283</v>
      </c>
      <c r="C33" s="7" t="s">
        <v>197</v>
      </c>
      <c r="D33" s="869">
        <f>D32-D31</f>
        <v>318865.57999992371</v>
      </c>
      <c r="E33" s="869">
        <f t="shared" ref="E33:I33" ca="1" si="6">E32-E31</f>
        <v>-3924454.4200000763</v>
      </c>
      <c r="F33" s="869">
        <f t="shared" ca="1" si="6"/>
        <v>13586660.579999924</v>
      </c>
      <c r="G33" s="869">
        <f t="shared" ca="1" si="6"/>
        <v>89138491.579999924</v>
      </c>
      <c r="H33" s="869">
        <f t="shared" ca="1" si="6"/>
        <v>89759140.579999924</v>
      </c>
      <c r="I33" s="869">
        <f t="shared" ca="1" si="6"/>
        <v>89759140.579999924</v>
      </c>
    </row>
    <row r="34" spans="1:9" x14ac:dyDescent="0.35">
      <c r="A34" s="15" t="s">
        <v>411</v>
      </c>
      <c r="B34" s="867">
        <v>0</v>
      </c>
    </row>
    <row r="35" spans="1:9" x14ac:dyDescent="0.35">
      <c r="B35" s="868">
        <f>+B34+B33</f>
        <v>-5036533283</v>
      </c>
    </row>
    <row r="36" spans="1:9" x14ac:dyDescent="0.35">
      <c r="B36" s="716"/>
      <c r="C36" s="58"/>
      <c r="D36" s="58"/>
      <c r="E36" s="58"/>
    </row>
    <row r="37" spans="1:9" x14ac:dyDescent="0.35">
      <c r="B37" s="642"/>
      <c r="C37" s="642"/>
      <c r="D37" s="160"/>
      <c r="E37" s="58"/>
    </row>
    <row r="38" spans="1:9" x14ac:dyDescent="0.35">
      <c r="B38" s="642"/>
      <c r="C38" s="58"/>
      <c r="D38" s="160"/>
      <c r="E38" s="58"/>
    </row>
    <row r="39" spans="1:9" x14ac:dyDescent="0.35">
      <c r="B39" s="642"/>
      <c r="C39" s="58"/>
      <c r="D39" s="160"/>
      <c r="E39" s="58"/>
    </row>
    <row r="40" spans="1:9" x14ac:dyDescent="0.35">
      <c r="B40" s="642"/>
      <c r="C40" s="642"/>
      <c r="D40" s="643"/>
      <c r="E40" s="58"/>
    </row>
    <row r="41" spans="1:9" x14ac:dyDescent="0.35">
      <c r="B41" s="642"/>
      <c r="C41" s="642"/>
      <c r="D41" s="643"/>
      <c r="E41" s="58"/>
    </row>
    <row r="42" spans="1:9" x14ac:dyDescent="0.35">
      <c r="B42" s="642"/>
      <c r="C42" s="642"/>
      <c r="D42" s="643"/>
      <c r="E42" s="58"/>
    </row>
    <row r="43" spans="1:9" x14ac:dyDescent="0.35">
      <c r="B43" s="642"/>
      <c r="C43" s="642"/>
      <c r="D43" s="160"/>
      <c r="E43" s="58"/>
    </row>
    <row r="44" spans="1:9" x14ac:dyDescent="0.35">
      <c r="B44" s="642"/>
      <c r="C44" s="642"/>
      <c r="D44" s="160"/>
      <c r="E44" s="58"/>
    </row>
    <row r="45" spans="1:9" x14ac:dyDescent="0.35">
      <c r="B45" s="642"/>
      <c r="C45" s="642"/>
      <c r="D45" s="160"/>
      <c r="E45" s="58"/>
    </row>
    <row r="46" spans="1:9" x14ac:dyDescent="0.35">
      <c r="B46" s="642"/>
      <c r="C46" s="642"/>
      <c r="D46" s="160"/>
      <c r="E46" s="58"/>
    </row>
    <row r="47" spans="1:9" x14ac:dyDescent="0.35">
      <c r="B47" s="642"/>
      <c r="C47" s="642"/>
      <c r="D47" s="160"/>
      <c r="E47" s="58"/>
    </row>
    <row r="48" spans="1:9" x14ac:dyDescent="0.35">
      <c r="B48" s="642"/>
      <c r="C48" s="642"/>
      <c r="D48" s="160"/>
      <c r="E48" s="58"/>
    </row>
    <row r="49" spans="2:5" x14ac:dyDescent="0.35">
      <c r="B49" s="642"/>
      <c r="C49" s="642"/>
      <c r="D49" s="557"/>
      <c r="E49" s="58"/>
    </row>
    <row r="50" spans="2:5" x14ac:dyDescent="0.35">
      <c r="B50" s="642"/>
      <c r="C50" s="58"/>
      <c r="D50" s="215"/>
      <c r="E50" s="58"/>
    </row>
    <row r="51" spans="2:5" x14ac:dyDescent="0.35">
      <c r="B51" s="642"/>
      <c r="C51" s="58"/>
      <c r="D51" s="644"/>
      <c r="E51" s="58"/>
    </row>
    <row r="52" spans="2:5" x14ac:dyDescent="0.35">
      <c r="B52" s="642"/>
      <c r="C52" s="58"/>
      <c r="D52" s="58"/>
      <c r="E52" s="58"/>
    </row>
  </sheetData>
  <mergeCells count="6">
    <mergeCell ref="A21:A22"/>
    <mergeCell ref="A1:I1"/>
    <mergeCell ref="A2:I2"/>
    <mergeCell ref="A3:I3"/>
    <mergeCell ref="A4:I4"/>
    <mergeCell ref="C6:I6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3"/>
  </sheetPr>
  <dimension ref="A1:K54"/>
  <sheetViews>
    <sheetView zoomScaleNormal="100" zoomScaleSheetLayoutView="90" workbookViewId="0">
      <selection activeCell="C9" sqref="C9:I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41</v>
      </c>
      <c r="C6" s="880" t="s">
        <v>161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683372</v>
      </c>
      <c r="C9" s="33">
        <v>0</v>
      </c>
      <c r="D9" s="219">
        <f>+C9+SUMIF($C$20:$C$31,K9,$D$20:$D$31)</f>
        <v>0</v>
      </c>
      <c r="E9" s="114">
        <f>+D9+SUMIF($C$20:$C$51,K9,$E$20:$E$51)</f>
        <v>0</v>
      </c>
      <c r="F9" s="396">
        <f>+E9+SUMIF($C$20:$C$51,K9,$F$20:$F$51)</f>
        <v>0</v>
      </c>
      <c r="G9" s="33">
        <f>+F9+SUMIF($C$20:$C$51,K9,$G$20:$G$51)</f>
        <v>0</v>
      </c>
      <c r="H9" s="219">
        <f>+G9+SUMIF($C$20:$C$51,K9,$H$20:$H$51)</f>
        <v>0</v>
      </c>
      <c r="I9" s="50">
        <f>+H9+SUMIF($C$20:$C$51,K9,$I$20:$I$51)</f>
        <v>0</v>
      </c>
      <c r="K9" s="7">
        <v>100</v>
      </c>
    </row>
    <row r="10" spans="1:11" x14ac:dyDescent="0.35">
      <c r="A10" s="10" t="s">
        <v>5</v>
      </c>
      <c r="B10" s="35">
        <v>320942</v>
      </c>
      <c r="C10" s="35">
        <v>0</v>
      </c>
      <c r="D10" s="222">
        <f>+C10+SUMIF($C$20:$C$31,K10,$D$20:$D$31)</f>
        <v>0</v>
      </c>
      <c r="E10" s="506">
        <f t="shared" ref="E10:E15" si="0">+D10+SUMIF($C$20:$C$51,K10,$E$20:$E$51)</f>
        <v>0</v>
      </c>
      <c r="F10" s="504">
        <f t="shared" ref="F10:F15" si="1">+E10+SUMIF($C$20:$C$51,K10,$F$20:$F$51)</f>
        <v>0</v>
      </c>
      <c r="G10" s="35">
        <f t="shared" ref="G10:G15" si="2">+F10+SUMIF($C$20:$C$51,K10,$G$20:$G$51)</f>
        <v>0</v>
      </c>
      <c r="H10" s="222">
        <f t="shared" ref="H10:H15" si="3">+G10+SUMIF($C$20:$C$51,K10,$H$20:$H$51)</f>
        <v>0</v>
      </c>
      <c r="I10" s="36">
        <f t="shared" ref="I10:I15" si="4">+H10+SUMIF($C$20:$C$51,K10,$I$20:$I$51)</f>
        <v>0</v>
      </c>
      <c r="K10" s="7">
        <v>200</v>
      </c>
    </row>
    <row r="11" spans="1:11" x14ac:dyDescent="0.35">
      <c r="A11" s="9" t="s">
        <v>6</v>
      </c>
      <c r="B11" s="33">
        <f>24746</f>
        <v>24746</v>
      </c>
      <c r="C11" s="33">
        <v>0</v>
      </c>
      <c r="D11" s="219">
        <f t="shared" ref="D11:D15" si="5">+C11+SUMIF($C$20:$C$31,K11,$D$20:$D$31)</f>
        <v>0</v>
      </c>
      <c r="E11" s="114">
        <f t="shared" si="0"/>
        <v>0</v>
      </c>
      <c r="F11" s="396">
        <f t="shared" si="1"/>
        <v>0</v>
      </c>
      <c r="G11" s="33">
        <f t="shared" si="2"/>
        <v>0</v>
      </c>
      <c r="H11" s="219">
        <f t="shared" si="3"/>
        <v>0</v>
      </c>
      <c r="I11" s="34">
        <f t="shared" si="4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5"/>
        <v>0</v>
      </c>
      <c r="E12" s="506">
        <f t="shared" si="0"/>
        <v>0</v>
      </c>
      <c r="F12" s="504">
        <f t="shared" si="1"/>
        <v>0</v>
      </c>
      <c r="G12" s="35">
        <f t="shared" si="2"/>
        <v>0</v>
      </c>
      <c r="H12" s="222">
        <f t="shared" si="3"/>
        <v>0</v>
      </c>
      <c r="I12" s="36">
        <f t="shared" si="4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5"/>
        <v>0</v>
      </c>
      <c r="E13" s="114">
        <f t="shared" si="0"/>
        <v>0</v>
      </c>
      <c r="F13" s="396">
        <f t="shared" si="1"/>
        <v>0</v>
      </c>
      <c r="G13" s="33">
        <f t="shared" si="2"/>
        <v>0</v>
      </c>
      <c r="H13" s="219">
        <f t="shared" si="3"/>
        <v>0</v>
      </c>
      <c r="I13" s="34">
        <f t="shared" si="4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5"/>
        <v>0</v>
      </c>
      <c r="E14" s="506">
        <f t="shared" si="0"/>
        <v>0</v>
      </c>
      <c r="F14" s="504">
        <f t="shared" si="1"/>
        <v>0</v>
      </c>
      <c r="G14" s="35">
        <f t="shared" si="2"/>
        <v>0</v>
      </c>
      <c r="H14" s="222">
        <f t="shared" si="3"/>
        <v>0</v>
      </c>
      <c r="I14" s="36">
        <f t="shared" si="4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5"/>
        <v>0</v>
      </c>
      <c r="E15" s="507">
        <f t="shared" si="0"/>
        <v>0</v>
      </c>
      <c r="F15" s="505">
        <f t="shared" si="1"/>
        <v>0</v>
      </c>
      <c r="G15" s="37">
        <f t="shared" si="2"/>
        <v>0</v>
      </c>
      <c r="H15" s="223">
        <f t="shared" si="3"/>
        <v>0</v>
      </c>
      <c r="I15" s="38">
        <f t="shared" si="4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1029060</v>
      </c>
      <c r="C16" s="39">
        <f t="shared" ref="C16:I16" si="6">SUM(C9:C15)</f>
        <v>0</v>
      </c>
      <c r="D16" s="39">
        <f t="shared" si="6"/>
        <v>0</v>
      </c>
      <c r="E16" s="529">
        <f t="shared" si="6"/>
        <v>0</v>
      </c>
      <c r="F16" s="39">
        <f t="shared" si="6"/>
        <v>0</v>
      </c>
      <c r="G16" s="39">
        <f t="shared" si="6"/>
        <v>0</v>
      </c>
      <c r="H16" s="39">
        <f t="shared" si="6"/>
        <v>0</v>
      </c>
      <c r="I16" s="39">
        <f t="shared" si="6"/>
        <v>0</v>
      </c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01" t="s">
        <v>387</v>
      </c>
      <c r="B20" s="78"/>
      <c r="C20" s="75"/>
      <c r="D20" s="72"/>
      <c r="E20" s="72"/>
      <c r="F20" s="72"/>
      <c r="G20" s="72"/>
      <c r="H20" s="72"/>
      <c r="I20" s="73"/>
    </row>
    <row r="21" spans="1:10" ht="13" customHeight="1" x14ac:dyDescent="0.35">
      <c r="A21" s="312" t="s">
        <v>428</v>
      </c>
      <c r="B21" s="151"/>
      <c r="C21" s="181"/>
      <c r="D21" s="141"/>
      <c r="E21" s="141"/>
      <c r="F21" s="141"/>
      <c r="G21" s="141"/>
      <c r="H21" s="142"/>
      <c r="I21" s="142"/>
      <c r="J21" s="17"/>
    </row>
    <row r="22" spans="1:10" ht="13" customHeight="1" x14ac:dyDescent="0.35">
      <c r="A22" s="780" t="s">
        <v>440</v>
      </c>
      <c r="B22" s="78"/>
      <c r="C22" s="75">
        <v>200</v>
      </c>
      <c r="D22" s="72"/>
      <c r="E22" s="82">
        <v>-16000</v>
      </c>
      <c r="F22" s="72"/>
      <c r="G22" s="72"/>
      <c r="H22" s="73"/>
      <c r="I22" s="73"/>
      <c r="J22" s="17"/>
    </row>
    <row r="23" spans="1:10" ht="13" customHeight="1" x14ac:dyDescent="0.35">
      <c r="A23" s="312" t="s">
        <v>487</v>
      </c>
      <c r="B23" s="151"/>
      <c r="C23" s="181"/>
      <c r="D23" s="141"/>
      <c r="E23" s="129"/>
      <c r="F23" s="141"/>
      <c r="G23" s="141"/>
      <c r="H23" s="142"/>
      <c r="I23" s="142"/>
      <c r="J23" s="211"/>
    </row>
    <row r="24" spans="1:10" ht="13" customHeight="1" x14ac:dyDescent="0.35">
      <c r="A24" s="314" t="s">
        <v>545</v>
      </c>
      <c r="B24" s="78"/>
      <c r="C24" s="75">
        <v>200</v>
      </c>
      <c r="D24" s="72"/>
      <c r="E24" s="82">
        <v>16000</v>
      </c>
      <c r="F24" s="72"/>
      <c r="G24" s="72"/>
      <c r="H24" s="73"/>
      <c r="I24" s="73"/>
      <c r="J24" s="17"/>
    </row>
    <row r="25" spans="1:10" ht="13" customHeight="1" x14ac:dyDescent="0.35">
      <c r="A25" s="298"/>
      <c r="B25" s="143"/>
      <c r="C25" s="485"/>
      <c r="D25" s="69"/>
      <c r="E25" s="69"/>
      <c r="F25" s="68"/>
      <c r="G25" s="68"/>
      <c r="H25" s="69"/>
      <c r="I25" s="69"/>
      <c r="J25" s="17"/>
    </row>
    <row r="26" spans="1:10" ht="13" customHeight="1" x14ac:dyDescent="0.35">
      <c r="A26" s="314"/>
      <c r="B26" s="78"/>
      <c r="C26" s="75"/>
      <c r="D26" s="72"/>
      <c r="E26" s="82"/>
      <c r="F26" s="72"/>
      <c r="G26" s="72"/>
      <c r="H26" s="73"/>
      <c r="I26" s="73"/>
      <c r="J26" s="17"/>
    </row>
    <row r="27" spans="1:10" ht="13" customHeight="1" x14ac:dyDescent="0.35">
      <c r="A27" s="298"/>
      <c r="B27" s="143"/>
      <c r="C27" s="485"/>
      <c r="D27" s="69"/>
      <c r="E27" s="69"/>
      <c r="F27" s="68"/>
      <c r="G27" s="68"/>
      <c r="H27" s="69"/>
      <c r="I27" s="69"/>
      <c r="J27" s="17"/>
    </row>
    <row r="28" spans="1:10" ht="13" customHeight="1" x14ac:dyDescent="0.35">
      <c r="A28" s="314"/>
      <c r="B28" s="78"/>
      <c r="C28" s="754"/>
      <c r="D28" s="72"/>
      <c r="E28" s="82"/>
      <c r="F28" s="72"/>
      <c r="G28" s="72"/>
      <c r="H28" s="73"/>
      <c r="I28" s="73"/>
      <c r="J28" s="17"/>
    </row>
    <row r="29" spans="1:10" ht="13" customHeight="1" x14ac:dyDescent="0.35">
      <c r="A29" s="298"/>
      <c r="B29" s="143"/>
      <c r="C29" s="485"/>
      <c r="D29" s="69"/>
      <c r="E29" s="69"/>
      <c r="F29" s="68"/>
      <c r="G29" s="68"/>
      <c r="H29" s="69"/>
      <c r="I29" s="69"/>
      <c r="J29" s="17"/>
    </row>
    <row r="30" spans="1:10" ht="12.75" customHeight="1" x14ac:dyDescent="0.35">
      <c r="A30" s="314"/>
      <c r="B30" s="78"/>
      <c r="C30" s="75"/>
      <c r="D30" s="72"/>
      <c r="E30" s="82"/>
      <c r="F30" s="72"/>
      <c r="G30" s="72"/>
      <c r="H30" s="73"/>
      <c r="I30" s="73"/>
      <c r="J30" s="17"/>
    </row>
    <row r="31" spans="1:10" ht="12.75" customHeight="1" x14ac:dyDescent="0.35">
      <c r="A31" s="298"/>
      <c r="B31" s="143"/>
      <c r="C31" s="485"/>
      <c r="D31" s="69"/>
      <c r="E31" s="69"/>
      <c r="F31" s="68"/>
      <c r="G31" s="68"/>
      <c r="H31" s="69"/>
      <c r="I31" s="69"/>
      <c r="J31" s="17"/>
    </row>
    <row r="32" spans="1:10" ht="12.75" customHeight="1" x14ac:dyDescent="0.35">
      <c r="A32" s="314"/>
      <c r="B32" s="78"/>
      <c r="C32" s="75"/>
      <c r="D32" s="72"/>
      <c r="E32" s="82"/>
      <c r="F32" s="72"/>
      <c r="G32" s="72"/>
      <c r="H32" s="73"/>
      <c r="I32" s="73"/>
      <c r="J32" s="17"/>
    </row>
    <row r="33" spans="1:10" ht="12.75" customHeight="1" x14ac:dyDescent="0.35">
      <c r="A33" s="298"/>
      <c r="B33" s="143"/>
      <c r="C33" s="485"/>
      <c r="D33" s="69"/>
      <c r="E33" s="69"/>
      <c r="F33" s="68"/>
      <c r="G33" s="68"/>
      <c r="H33" s="69"/>
      <c r="I33" s="69"/>
      <c r="J33" s="17"/>
    </row>
    <row r="34" spans="1:10" ht="12.75" customHeight="1" x14ac:dyDescent="0.35">
      <c r="A34" s="314"/>
      <c r="B34" s="78"/>
      <c r="C34" s="75"/>
      <c r="D34" s="72"/>
      <c r="E34" s="82"/>
      <c r="F34" s="72"/>
      <c r="G34" s="72"/>
      <c r="H34" s="73"/>
      <c r="I34" s="73"/>
      <c r="J34" s="17"/>
    </row>
    <row r="35" spans="1:10" ht="12.75" customHeight="1" x14ac:dyDescent="0.35">
      <c r="A35" s="298"/>
      <c r="B35" s="143"/>
      <c r="C35" s="485"/>
      <c r="D35" s="69"/>
      <c r="E35" s="69"/>
      <c r="F35" s="68"/>
      <c r="G35" s="68"/>
      <c r="H35" s="69"/>
      <c r="I35" s="69"/>
      <c r="J35" s="17"/>
    </row>
    <row r="36" spans="1:10" ht="12.75" customHeight="1" x14ac:dyDescent="0.35">
      <c r="A36" s="314"/>
      <c r="B36" s="78"/>
      <c r="C36" s="75"/>
      <c r="D36" s="72"/>
      <c r="E36" s="82"/>
      <c r="F36" s="72"/>
      <c r="G36" s="72"/>
      <c r="H36" s="73"/>
      <c r="I36" s="73"/>
      <c r="J36" s="17"/>
    </row>
    <row r="37" spans="1:10" ht="12.75" customHeight="1" x14ac:dyDescent="0.35">
      <c r="A37" s="77"/>
      <c r="B37" s="78"/>
      <c r="C37" s="75"/>
      <c r="D37" s="72"/>
      <c r="E37" s="72"/>
      <c r="F37" s="72"/>
      <c r="G37" s="72"/>
      <c r="H37" s="73"/>
      <c r="I37" s="73"/>
      <c r="J37" s="17"/>
    </row>
    <row r="38" spans="1:10" ht="12.75" customHeight="1" x14ac:dyDescent="0.35">
      <c r="A38" s="77"/>
      <c r="B38" s="78"/>
      <c r="C38" s="75"/>
      <c r="D38" s="72"/>
      <c r="E38" s="72"/>
      <c r="F38" s="72"/>
      <c r="G38" s="72"/>
      <c r="H38" s="73"/>
      <c r="I38" s="73"/>
      <c r="J38" s="17"/>
    </row>
    <row r="39" spans="1:10" ht="12.75" customHeight="1" x14ac:dyDescent="0.35">
      <c r="A39" s="77"/>
      <c r="B39" s="78"/>
      <c r="C39" s="75"/>
      <c r="D39" s="72"/>
      <c r="E39" s="72"/>
      <c r="F39" s="72"/>
      <c r="G39" s="72"/>
      <c r="H39" s="73"/>
      <c r="I39" s="73"/>
      <c r="J39" s="17"/>
    </row>
    <row r="40" spans="1:10" ht="12.75" customHeight="1" x14ac:dyDescent="0.35">
      <c r="A40" s="77"/>
      <c r="B40" s="78"/>
      <c r="C40" s="75"/>
      <c r="D40" s="72"/>
      <c r="E40" s="72"/>
      <c r="F40" s="72"/>
      <c r="G40" s="72"/>
      <c r="H40" s="73"/>
      <c r="I40" s="73"/>
      <c r="J40" s="17"/>
    </row>
    <row r="41" spans="1:10" ht="12.75" customHeight="1" x14ac:dyDescent="0.35">
      <c r="A41" s="77"/>
      <c r="B41" s="78"/>
      <c r="C41" s="75"/>
      <c r="D41" s="72"/>
      <c r="E41" s="72"/>
      <c r="F41" s="72"/>
      <c r="G41" s="72"/>
      <c r="H41" s="73"/>
      <c r="I41" s="73"/>
      <c r="J41" s="17"/>
    </row>
    <row r="42" spans="1:10" ht="12.75" customHeight="1" x14ac:dyDescent="0.35">
      <c r="A42" s="77"/>
      <c r="B42" s="78"/>
      <c r="C42" s="75"/>
      <c r="D42" s="72"/>
      <c r="E42" s="72"/>
      <c r="F42" s="72"/>
      <c r="G42" s="72"/>
      <c r="H42" s="73"/>
      <c r="I42" s="73"/>
      <c r="J42" s="17"/>
    </row>
    <row r="43" spans="1:10" ht="12.75" customHeight="1" x14ac:dyDescent="0.35">
      <c r="A43" s="77"/>
      <c r="B43" s="78"/>
      <c r="C43" s="75"/>
      <c r="D43" s="72"/>
      <c r="E43" s="72"/>
      <c r="F43" s="72"/>
      <c r="G43" s="72"/>
      <c r="H43" s="73"/>
      <c r="I43" s="73"/>
      <c r="J43" s="17"/>
    </row>
    <row r="44" spans="1:10" ht="12.75" customHeight="1" x14ac:dyDescent="0.35">
      <c r="A44" s="77"/>
      <c r="B44" s="78"/>
      <c r="C44" s="75"/>
      <c r="D44" s="72"/>
      <c r="E44" s="72"/>
      <c r="F44" s="72"/>
      <c r="G44" s="72"/>
      <c r="H44" s="73"/>
      <c r="I44" s="73"/>
      <c r="J44" s="17"/>
    </row>
    <row r="45" spans="1:10" ht="12.75" customHeight="1" x14ac:dyDescent="0.35">
      <c r="A45" s="77"/>
      <c r="B45" s="78"/>
      <c r="C45" s="75"/>
      <c r="D45" s="72"/>
      <c r="E45" s="72"/>
      <c r="F45" s="72"/>
      <c r="G45" s="72"/>
      <c r="H45" s="73"/>
      <c r="I45" s="73"/>
      <c r="J45" s="17"/>
    </row>
    <row r="46" spans="1:10" ht="12.75" customHeight="1" x14ac:dyDescent="0.35">
      <c r="A46" s="77"/>
      <c r="B46" s="78"/>
      <c r="C46" s="75"/>
      <c r="D46" s="72"/>
      <c r="E46" s="72"/>
      <c r="F46" s="72"/>
      <c r="G46" s="72"/>
      <c r="H46" s="73"/>
      <c r="I46" s="73"/>
      <c r="J46" s="17"/>
    </row>
    <row r="47" spans="1:10" ht="12.75" customHeight="1" x14ac:dyDescent="0.35">
      <c r="A47" s="77"/>
      <c r="B47" s="78"/>
      <c r="C47" s="75"/>
      <c r="D47" s="72"/>
      <c r="E47" s="72"/>
      <c r="F47" s="72"/>
      <c r="G47" s="72"/>
      <c r="H47" s="73"/>
      <c r="I47" s="73"/>
      <c r="J47" s="17"/>
    </row>
    <row r="48" spans="1:10" ht="12.75" customHeight="1" x14ac:dyDescent="0.35">
      <c r="A48" s="77"/>
      <c r="B48" s="78"/>
      <c r="C48" s="75"/>
      <c r="D48" s="72"/>
      <c r="E48" s="72"/>
      <c r="F48" s="72"/>
      <c r="G48" s="72"/>
      <c r="H48" s="73"/>
      <c r="I48" s="73"/>
      <c r="J48" s="17"/>
    </row>
    <row r="49" spans="1:10" ht="12.75" customHeight="1" x14ac:dyDescent="0.35">
      <c r="A49" s="77"/>
      <c r="B49" s="78"/>
      <c r="C49" s="75"/>
      <c r="D49" s="73"/>
      <c r="E49" s="73"/>
      <c r="F49" s="73"/>
      <c r="G49" s="73"/>
      <c r="H49" s="73"/>
      <c r="I49" s="73"/>
      <c r="J49" s="17"/>
    </row>
    <row r="50" spans="1:10" ht="12.75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81"/>
      <c r="B53" s="81"/>
      <c r="C53" s="81"/>
      <c r="D53" s="81"/>
      <c r="E53" s="81"/>
      <c r="F53" s="81"/>
      <c r="G53" s="81"/>
      <c r="H53" s="81"/>
      <c r="I53" s="81"/>
      <c r="J53" s="17"/>
    </row>
    <row r="54" spans="1:10" ht="13" customHeight="1" x14ac:dyDescent="0.35">
      <c r="A54" s="81"/>
      <c r="B54" s="81"/>
      <c r="C54" s="81"/>
      <c r="D54" s="81"/>
      <c r="E54" s="81"/>
      <c r="F54" s="81"/>
      <c r="G54" s="81"/>
      <c r="H54" s="81"/>
      <c r="I54" s="81"/>
      <c r="J54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7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3"/>
  </sheetPr>
  <dimension ref="A1:K67"/>
  <sheetViews>
    <sheetView topLeftCell="A7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40</v>
      </c>
      <c r="C6" s="880" t="s">
        <v>160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1268936</v>
      </c>
      <c r="C9" s="33">
        <v>1368170</v>
      </c>
      <c r="D9" s="219">
        <f t="shared" ref="D9:D15" si="0">+C9+SUMIF($C$20:$C$32,K9,$D$20:$D$32)</f>
        <v>1368170</v>
      </c>
      <c r="E9" s="114">
        <f t="shared" ref="E9:E15" si="1">+D9+SUMIF($C$20:$C$52,K9,$E$20:$E$52)</f>
        <v>1395075</v>
      </c>
      <c r="F9" s="396">
        <f t="shared" ref="F9:F15" si="2">+E9+SUMIF($C$20:$C$52,K9,$F$20:$F$52)</f>
        <v>1395075</v>
      </c>
      <c r="G9" s="33">
        <f t="shared" ref="G9:G15" si="3">+F9+SUMIF($C$20:$C$52,K9,$G$20:$G$52)</f>
        <v>1395075</v>
      </c>
      <c r="H9" s="219">
        <f t="shared" ref="H9:H15" si="4">+G9+SUMIF($C$20:$C$52,K9,$H$20:$H$52)</f>
        <v>1395075</v>
      </c>
      <c r="I9" s="50">
        <f t="shared" ref="I9:I15" si="5">+H9+SUMIF($C$20:$C$52,K9,$I$20:$I$52)</f>
        <v>1395075</v>
      </c>
      <c r="K9" s="7">
        <v>100</v>
      </c>
    </row>
    <row r="10" spans="1:11" x14ac:dyDescent="0.35">
      <c r="A10" s="10" t="s">
        <v>5</v>
      </c>
      <c r="B10" s="35">
        <v>180610</v>
      </c>
      <c r="C10" s="35">
        <v>193544</v>
      </c>
      <c r="D10" s="222">
        <f t="shared" si="0"/>
        <v>558544</v>
      </c>
      <c r="E10" s="506">
        <f t="shared" si="1"/>
        <v>193544</v>
      </c>
      <c r="F10" s="504">
        <f t="shared" si="2"/>
        <v>193544</v>
      </c>
      <c r="G10" s="35">
        <f t="shared" si="3"/>
        <v>193544</v>
      </c>
      <c r="H10" s="222">
        <f t="shared" si="4"/>
        <v>193544</v>
      </c>
      <c r="I10" s="36">
        <f t="shared" si="5"/>
        <v>193544</v>
      </c>
      <c r="K10" s="7">
        <v>200</v>
      </c>
    </row>
    <row r="11" spans="1:11" x14ac:dyDescent="0.35">
      <c r="A11" s="9" t="s">
        <v>6</v>
      </c>
      <c r="B11" s="33">
        <f>6492+270</f>
        <v>6762</v>
      </c>
      <c r="C11" s="33">
        <v>22224</v>
      </c>
      <c r="D11" s="219">
        <f t="shared" si="0"/>
        <v>22224</v>
      </c>
      <c r="E11" s="114">
        <f t="shared" si="1"/>
        <v>22224</v>
      </c>
      <c r="F11" s="396">
        <f t="shared" si="2"/>
        <v>22224</v>
      </c>
      <c r="G11" s="33">
        <f t="shared" si="3"/>
        <v>22224</v>
      </c>
      <c r="H11" s="219">
        <f t="shared" si="4"/>
        <v>22224</v>
      </c>
      <c r="I11" s="34">
        <f t="shared" si="5"/>
        <v>22224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1456308</v>
      </c>
      <c r="C16" s="39">
        <f t="shared" ref="C16:I16" si="6">SUM(C9:C15)</f>
        <v>1583938</v>
      </c>
      <c r="D16" s="39">
        <f t="shared" si="6"/>
        <v>1948938</v>
      </c>
      <c r="E16" s="529">
        <f t="shared" si="6"/>
        <v>1610843</v>
      </c>
      <c r="F16" s="39">
        <f t="shared" si="6"/>
        <v>1610843</v>
      </c>
      <c r="G16" s="39">
        <f t="shared" si="6"/>
        <v>1610843</v>
      </c>
      <c r="H16" s="39">
        <f t="shared" si="6"/>
        <v>1610843</v>
      </c>
      <c r="I16" s="39">
        <f t="shared" si="6"/>
        <v>1610843</v>
      </c>
    </row>
    <row r="18" spans="1:10" x14ac:dyDescent="0.35">
      <c r="E18" s="401">
        <f>+E16-D16</f>
        <v>-338095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8"/>
      <c r="C20" s="75"/>
      <c r="D20" s="72"/>
      <c r="E20" s="72"/>
      <c r="F20" s="72"/>
      <c r="G20" s="72"/>
      <c r="H20" s="72"/>
      <c r="I20" s="73"/>
    </row>
    <row r="21" spans="1:10" s="52" customFormat="1" ht="13" customHeight="1" x14ac:dyDescent="0.35">
      <c r="A21" s="744" t="s">
        <v>370</v>
      </c>
      <c r="B21" s="151"/>
      <c r="C21" s="181"/>
      <c r="D21" s="142"/>
      <c r="E21" s="142"/>
      <c r="F21" s="142"/>
      <c r="G21" s="141"/>
      <c r="H21" s="142"/>
      <c r="I21" s="142"/>
      <c r="J21" s="211"/>
    </row>
    <row r="22" spans="1:10" ht="13" customHeight="1" x14ac:dyDescent="0.35">
      <c r="A22" s="701" t="s">
        <v>428</v>
      </c>
      <c r="B22" s="702"/>
      <c r="C22" s="232"/>
      <c r="D22" s="703"/>
      <c r="E22" s="82"/>
      <c r="F22" s="72"/>
      <c r="G22" s="72"/>
      <c r="H22" s="73"/>
      <c r="I22" s="73"/>
      <c r="J22" s="17"/>
    </row>
    <row r="23" spans="1:10" ht="13" customHeight="1" x14ac:dyDescent="0.35">
      <c r="A23" s="293" t="s">
        <v>452</v>
      </c>
      <c r="B23" s="294"/>
      <c r="C23" s="239">
        <v>100</v>
      </c>
      <c r="D23" s="240"/>
      <c r="E23" s="129">
        <v>6600</v>
      </c>
      <c r="F23" s="141"/>
      <c r="G23" s="141"/>
      <c r="H23" s="142"/>
      <c r="I23" s="142"/>
      <c r="J23" s="17"/>
    </row>
    <row r="24" spans="1:10" ht="13" customHeight="1" x14ac:dyDescent="0.35">
      <c r="A24" s="779" t="s">
        <v>487</v>
      </c>
      <c r="B24" s="78"/>
      <c r="C24" s="75"/>
      <c r="D24" s="777"/>
      <c r="E24" s="777"/>
      <c r="F24" s="73"/>
      <c r="G24" s="73"/>
      <c r="H24" s="73"/>
      <c r="I24" s="73"/>
      <c r="J24" s="17"/>
    </row>
    <row r="25" spans="1:10" ht="13" customHeight="1" x14ac:dyDescent="0.35">
      <c r="A25" s="778" t="s">
        <v>517</v>
      </c>
      <c r="B25" s="84"/>
      <c r="C25" s="74">
        <v>100</v>
      </c>
      <c r="D25" s="777"/>
      <c r="E25" s="777"/>
      <c r="F25" s="69">
        <v>95000</v>
      </c>
      <c r="G25" s="69"/>
      <c r="H25" s="69"/>
      <c r="I25" s="69"/>
      <c r="J25" s="17"/>
    </row>
    <row r="26" spans="1:10" ht="13" customHeight="1" x14ac:dyDescent="0.35">
      <c r="A26" s="778" t="s">
        <v>530</v>
      </c>
      <c r="B26" s="78"/>
      <c r="C26" s="75">
        <v>200</v>
      </c>
      <c r="D26" s="777"/>
      <c r="E26" s="777"/>
      <c r="F26" s="73">
        <v>5900</v>
      </c>
      <c r="G26" s="73"/>
      <c r="H26" s="73"/>
      <c r="I26" s="73"/>
      <c r="J26" s="17"/>
    </row>
    <row r="27" spans="1:10" ht="13" customHeight="1" x14ac:dyDescent="0.35">
      <c r="A27" s="778" t="s">
        <v>588</v>
      </c>
      <c r="B27" s="84"/>
      <c r="C27" s="74">
        <v>100</v>
      </c>
      <c r="D27" s="777"/>
      <c r="E27" s="777">
        <v>20305</v>
      </c>
      <c r="F27" s="69"/>
      <c r="G27" s="69"/>
      <c r="H27" s="69"/>
      <c r="I27" s="69"/>
      <c r="J27" s="17"/>
    </row>
    <row r="28" spans="1:10" ht="13" customHeight="1" x14ac:dyDescent="0.35">
      <c r="A28" s="778" t="s">
        <v>596</v>
      </c>
      <c r="B28" s="78"/>
      <c r="C28" s="75"/>
      <c r="D28" s="777"/>
      <c r="E28" s="777"/>
      <c r="F28" s="73"/>
      <c r="G28" s="73"/>
      <c r="H28" s="73"/>
      <c r="I28" s="73"/>
      <c r="J28" s="17"/>
    </row>
    <row r="29" spans="1:10" ht="13" customHeight="1" x14ac:dyDescent="0.35">
      <c r="A29" s="778" t="s">
        <v>613</v>
      </c>
      <c r="B29" s="84"/>
      <c r="C29" s="74">
        <v>100</v>
      </c>
      <c r="D29" s="777"/>
      <c r="E29" s="777"/>
      <c r="F29" s="69">
        <v>-95000</v>
      </c>
      <c r="G29" s="69">
        <v>95000</v>
      </c>
      <c r="H29" s="69"/>
      <c r="I29" s="69"/>
      <c r="J29" s="17"/>
    </row>
    <row r="30" spans="1:10" ht="13" customHeight="1" x14ac:dyDescent="0.35">
      <c r="A30" s="778"/>
      <c r="B30" s="78"/>
      <c r="C30" s="75">
        <v>200</v>
      </c>
      <c r="D30" s="777"/>
      <c r="E30" s="777"/>
      <c r="F30" s="73">
        <v>-5900</v>
      </c>
      <c r="G30" s="73">
        <v>5900</v>
      </c>
      <c r="H30" s="73"/>
      <c r="I30" s="73"/>
      <c r="J30" s="17"/>
    </row>
    <row r="31" spans="1:10" ht="13" customHeight="1" x14ac:dyDescent="0.35">
      <c r="A31" s="779" t="s">
        <v>648</v>
      </c>
      <c r="B31" s="84"/>
      <c r="C31" s="74"/>
      <c r="D31" s="777"/>
      <c r="E31" s="777"/>
      <c r="F31" s="69"/>
      <c r="G31" s="69"/>
      <c r="H31" s="69"/>
      <c r="I31" s="69"/>
      <c r="J31" s="17"/>
    </row>
    <row r="32" spans="1:10" ht="13" customHeight="1" x14ac:dyDescent="0.35">
      <c r="A32" s="778" t="s">
        <v>680</v>
      </c>
      <c r="B32" s="78"/>
      <c r="C32" s="75">
        <v>200</v>
      </c>
      <c r="D32" s="777">
        <v>365000</v>
      </c>
      <c r="E32" s="777">
        <v>-365000</v>
      </c>
      <c r="F32" s="73"/>
      <c r="G32" s="73"/>
      <c r="H32" s="73"/>
      <c r="I32" s="73"/>
      <c r="J32" s="17"/>
    </row>
    <row r="33" spans="1:10" ht="13" customHeight="1" x14ac:dyDescent="0.35">
      <c r="A33" s="779" t="s">
        <v>748</v>
      </c>
      <c r="B33" s="84"/>
      <c r="C33" s="74"/>
      <c r="D33" s="777"/>
      <c r="E33" s="777"/>
      <c r="F33" s="69"/>
      <c r="G33" s="69"/>
      <c r="H33" s="69"/>
      <c r="I33" s="69"/>
      <c r="J33" s="17"/>
    </row>
    <row r="34" spans="1:10" ht="13" customHeight="1" x14ac:dyDescent="0.35">
      <c r="A34" s="778" t="s">
        <v>853</v>
      </c>
      <c r="B34" s="78"/>
      <c r="C34" s="75">
        <v>100</v>
      </c>
      <c r="D34" s="777"/>
      <c r="E34" s="777"/>
      <c r="F34" s="73"/>
      <c r="G34" s="73">
        <v>-95000</v>
      </c>
      <c r="H34" s="73"/>
      <c r="I34" s="73"/>
      <c r="J34" s="17"/>
    </row>
    <row r="35" spans="1:10" ht="12.75" customHeight="1" x14ac:dyDescent="0.35">
      <c r="A35" s="778"/>
      <c r="B35" s="84"/>
      <c r="C35" s="74">
        <v>200</v>
      </c>
      <c r="D35" s="777"/>
      <c r="E35" s="777"/>
      <c r="F35" s="69"/>
      <c r="G35" s="69">
        <v>-5900</v>
      </c>
      <c r="H35" s="69"/>
      <c r="I35" s="69"/>
      <c r="J35" s="17"/>
    </row>
    <row r="36" spans="1:10" ht="13" customHeight="1" x14ac:dyDescent="0.35">
      <c r="A36" s="778"/>
      <c r="B36" s="78"/>
      <c r="C36" s="75"/>
      <c r="D36" s="777"/>
      <c r="E36" s="777"/>
      <c r="F36" s="73"/>
      <c r="G36" s="73"/>
      <c r="H36" s="73"/>
      <c r="I36" s="73"/>
      <c r="J36" s="17"/>
    </row>
    <row r="37" spans="1:10" ht="13" customHeight="1" x14ac:dyDescent="0.35">
      <c r="A37" s="778"/>
      <c r="B37" s="84"/>
      <c r="C37" s="74"/>
      <c r="D37" s="777"/>
      <c r="E37" s="777"/>
      <c r="F37" s="69"/>
      <c r="G37" s="69"/>
      <c r="H37" s="69"/>
      <c r="I37" s="69"/>
      <c r="J37" s="17"/>
    </row>
    <row r="38" spans="1:10" ht="13" customHeight="1" x14ac:dyDescent="0.35">
      <c r="A38" s="778"/>
      <c r="B38" s="78"/>
      <c r="C38" s="75"/>
      <c r="D38" s="777"/>
      <c r="E38" s="777"/>
      <c r="F38" s="73"/>
      <c r="G38" s="73"/>
      <c r="H38" s="73"/>
      <c r="I38" s="73"/>
      <c r="J38" s="17"/>
    </row>
    <row r="39" spans="1:10" ht="13" customHeight="1" x14ac:dyDescent="0.35">
      <c r="A39" s="778"/>
      <c r="B39" s="84"/>
      <c r="C39" s="74"/>
      <c r="D39" s="777"/>
      <c r="E39" s="777"/>
      <c r="F39" s="69"/>
      <c r="G39" s="69"/>
      <c r="H39" s="69"/>
      <c r="I39" s="69"/>
      <c r="J39" s="17"/>
    </row>
    <row r="40" spans="1:10" ht="13" customHeight="1" x14ac:dyDescent="0.35">
      <c r="A40" s="778"/>
      <c r="B40" s="78"/>
      <c r="C40" s="75"/>
      <c r="D40" s="777"/>
      <c r="E40" s="777"/>
      <c r="F40" s="73"/>
      <c r="G40" s="73"/>
      <c r="H40" s="73"/>
      <c r="I40" s="73"/>
      <c r="J40" s="17"/>
    </row>
    <row r="41" spans="1:10" ht="13" customHeight="1" x14ac:dyDescent="0.35">
      <c r="A41" s="778"/>
      <c r="B41" s="84"/>
      <c r="C41" s="74"/>
      <c r="D41" s="777"/>
      <c r="E41" s="777"/>
      <c r="F41" s="69"/>
      <c r="G41" s="69"/>
      <c r="H41" s="69"/>
      <c r="I41" s="69"/>
      <c r="J41" s="17"/>
    </row>
    <row r="42" spans="1:10" ht="13" customHeight="1" x14ac:dyDescent="0.35">
      <c r="A42" s="778"/>
      <c r="B42" s="78"/>
      <c r="C42" s="75"/>
      <c r="D42" s="777"/>
      <c r="E42" s="777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5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5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5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5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5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5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5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5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x14ac:dyDescent="0.35">
      <c r="A57" s="77"/>
      <c r="B57" s="78"/>
      <c r="C57" s="75"/>
      <c r="D57" s="73"/>
      <c r="E57" s="73"/>
      <c r="F57" s="73"/>
      <c r="G57" s="73"/>
      <c r="H57" s="73"/>
      <c r="I57" s="73"/>
    </row>
    <row r="58" spans="1:10" x14ac:dyDescent="0.35">
      <c r="A58" s="81"/>
      <c r="B58" s="81"/>
      <c r="C58" s="81"/>
      <c r="D58" s="81"/>
      <c r="E58" s="81"/>
      <c r="F58" s="81"/>
      <c r="G58" s="81"/>
      <c r="H58" s="81"/>
      <c r="I58" s="81"/>
    </row>
    <row r="59" spans="1:10" x14ac:dyDescent="0.35">
      <c r="A59" s="81"/>
      <c r="B59" s="81"/>
      <c r="C59" s="81"/>
      <c r="D59" s="81"/>
      <c r="E59" s="81"/>
      <c r="F59" s="81"/>
      <c r="G59" s="81"/>
      <c r="H59" s="81"/>
      <c r="I59" s="81"/>
    </row>
    <row r="64" spans="1:10" x14ac:dyDescent="0.35">
      <c r="B64" s="7">
        <v>985689</v>
      </c>
    </row>
    <row r="65" spans="2:2" x14ac:dyDescent="0.35">
      <c r="B65" s="7">
        <v>107442</v>
      </c>
    </row>
    <row r="66" spans="2:2" x14ac:dyDescent="0.35">
      <c r="B66" s="7">
        <v>21825</v>
      </c>
    </row>
    <row r="67" spans="2:2" x14ac:dyDescent="0.35">
      <c r="B67" s="7">
        <v>0</v>
      </c>
    </row>
  </sheetData>
  <mergeCells count="6">
    <mergeCell ref="A1:I1"/>
    <mergeCell ref="A2:I2"/>
    <mergeCell ref="A3:I3"/>
    <mergeCell ref="A4:I4"/>
    <mergeCell ref="C6:I6"/>
    <mergeCell ref="C5:I5"/>
  </mergeCells>
  <conditionalFormatting sqref="A24:A25">
    <cfRule type="expression" dxfId="274" priority="10">
      <formula>MOD(ROW(),2)=1</formula>
    </cfRule>
  </conditionalFormatting>
  <conditionalFormatting sqref="D23:E25">
    <cfRule type="expression" dxfId="273" priority="9">
      <formula>MOD(ROW(),2)=1</formula>
    </cfRule>
  </conditionalFormatting>
  <conditionalFormatting sqref="D27:E27 D29:E29 D31:E31 D33:E33 D35:E35 D37:E37 D39:E39 D41:E41">
    <cfRule type="expression" dxfId="272" priority="4">
      <formula>MOD(ROW(),2)=1</formula>
    </cfRule>
  </conditionalFormatting>
  <conditionalFormatting sqref="A25:A26">
    <cfRule type="expression" dxfId="271" priority="7">
      <formula>MOD(ROW(),2)=1</formula>
    </cfRule>
  </conditionalFormatting>
  <conditionalFormatting sqref="D25:E26">
    <cfRule type="expression" dxfId="270" priority="6">
      <formula>MOD(ROW(),2)=1</formula>
    </cfRule>
  </conditionalFormatting>
  <conditionalFormatting sqref="A27 A29 A31 A33 A35 A37 A39 A41">
    <cfRule type="expression" dxfId="269" priority="5">
      <formula>MOD(ROW(),2)=1</formula>
    </cfRule>
  </conditionalFormatting>
  <conditionalFormatting sqref="A27:A42">
    <cfRule type="expression" dxfId="268" priority="3">
      <formula>MOD(ROW(),2)=1</formula>
    </cfRule>
  </conditionalFormatting>
  <conditionalFormatting sqref="D27:E42">
    <cfRule type="expression" dxfId="267" priority="2">
      <formula>MOD(ROW(),2)=1</formula>
    </cfRule>
  </conditionalFormatting>
  <conditionalFormatting sqref="C9:I15">
    <cfRule type="cellIs" dxfId="266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K56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2">
        <v>55</v>
      </c>
      <c r="C6" s="880" t="s">
        <v>159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160826</v>
      </c>
      <c r="C9" s="33">
        <v>177148</v>
      </c>
      <c r="D9" s="219">
        <f>+C9+SUMIF($C$20:$C$31,K9,$D$20:$D$31)</f>
        <v>177148</v>
      </c>
      <c r="E9" s="114">
        <f>+D9+SUMIF($C$20:$C$51,K9,$E$20:$E$51)</f>
        <v>177148</v>
      </c>
      <c r="F9" s="396">
        <f>+E9+SUMIF($C$20:$C$51,K9,$F$20:$F$51)</f>
        <v>177148</v>
      </c>
      <c r="G9" s="33">
        <f>+F9+SUMIF($C$20:$C$51,K9,$G$20:$G$51)</f>
        <v>177148</v>
      </c>
      <c r="H9" s="219">
        <f>+G9+SUMIF($C$20:$C$51,K9,$H$20:$H$51)</f>
        <v>177148</v>
      </c>
      <c r="I9" s="50">
        <f>+H9+SUMIF($C$20:$C$51,K9,$I$20:$I$51)</f>
        <v>177148</v>
      </c>
      <c r="K9" s="7">
        <v>100</v>
      </c>
    </row>
    <row r="10" spans="1:11" x14ac:dyDescent="0.35">
      <c r="A10" s="10" t="s">
        <v>5</v>
      </c>
      <c r="B10" s="35">
        <v>29500</v>
      </c>
      <c r="C10" s="35">
        <v>29500</v>
      </c>
      <c r="D10" s="222">
        <f>+C10+SUMIF($C$20:$C$31,K10,$D$20:$D$31)</f>
        <v>29500</v>
      </c>
      <c r="E10" s="506">
        <f t="shared" ref="E10:E15" si="0">+D10+SUMIF($C$20:$C$51,K10,$E$20:$E$51)</f>
        <v>29500</v>
      </c>
      <c r="F10" s="504">
        <f t="shared" ref="F10:F15" si="1">+E10+SUMIF($C$20:$C$51,K10,$F$20:$F$51)</f>
        <v>29500</v>
      </c>
      <c r="G10" s="35">
        <f t="shared" ref="G10:G15" si="2">+F10+SUMIF($C$20:$C$51,K10,$G$20:$G$51)</f>
        <v>29500</v>
      </c>
      <c r="H10" s="222">
        <f t="shared" ref="H10:H15" si="3">+G10+SUMIF($C$20:$C$51,K10,$H$20:$H$51)</f>
        <v>29500</v>
      </c>
      <c r="I10" s="36">
        <f t="shared" ref="I10:I15" si="4">+H10+SUMIF($C$20:$C$51,K10,$I$20:$I$51)</f>
        <v>29500</v>
      </c>
      <c r="K10" s="7">
        <v>200</v>
      </c>
    </row>
    <row r="11" spans="1:11" x14ac:dyDescent="0.35">
      <c r="A11" s="9" t="s">
        <v>6</v>
      </c>
      <c r="B11" s="33">
        <v>500</v>
      </c>
      <c r="C11" s="33">
        <v>1094</v>
      </c>
      <c r="D11" s="219">
        <f>+C11+D24</f>
        <v>1094</v>
      </c>
      <c r="E11" s="114">
        <f t="shared" si="0"/>
        <v>1094</v>
      </c>
      <c r="F11" s="396">
        <f t="shared" si="1"/>
        <v>1094</v>
      </c>
      <c r="G11" s="33">
        <f t="shared" si="2"/>
        <v>1094</v>
      </c>
      <c r="H11" s="219">
        <f t="shared" si="3"/>
        <v>1094</v>
      </c>
      <c r="I11" s="34">
        <f t="shared" si="4"/>
        <v>1094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ref="D12" si="5">+C12</f>
        <v>0</v>
      </c>
      <c r="E12" s="506">
        <f t="shared" si="0"/>
        <v>0</v>
      </c>
      <c r="F12" s="504">
        <f t="shared" si="1"/>
        <v>0</v>
      </c>
      <c r="G12" s="35">
        <f t="shared" si="2"/>
        <v>0</v>
      </c>
      <c r="H12" s="222">
        <f t="shared" si="3"/>
        <v>0</v>
      </c>
      <c r="I12" s="36">
        <f t="shared" si="4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>+C13</f>
        <v>0</v>
      </c>
      <c r="E13" s="114">
        <f t="shared" si="0"/>
        <v>0</v>
      </c>
      <c r="F13" s="396">
        <f t="shared" si="1"/>
        <v>0</v>
      </c>
      <c r="G13" s="33">
        <f t="shared" si="2"/>
        <v>0</v>
      </c>
      <c r="H13" s="219">
        <f t="shared" si="3"/>
        <v>0</v>
      </c>
      <c r="I13" s="34">
        <f t="shared" si="4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>+C14</f>
        <v>0</v>
      </c>
      <c r="E14" s="506">
        <f t="shared" si="0"/>
        <v>0</v>
      </c>
      <c r="F14" s="504">
        <f t="shared" si="1"/>
        <v>0</v>
      </c>
      <c r="G14" s="35">
        <f t="shared" si="2"/>
        <v>0</v>
      </c>
      <c r="H14" s="222">
        <f t="shared" si="3"/>
        <v>0</v>
      </c>
      <c r="I14" s="36">
        <f t="shared" si="4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>+C15</f>
        <v>0</v>
      </c>
      <c r="E15" s="507">
        <f t="shared" si="0"/>
        <v>0</v>
      </c>
      <c r="F15" s="505">
        <f t="shared" si="1"/>
        <v>0</v>
      </c>
      <c r="G15" s="37">
        <f t="shared" si="2"/>
        <v>0</v>
      </c>
      <c r="H15" s="223">
        <f t="shared" si="3"/>
        <v>0</v>
      </c>
      <c r="I15" s="38">
        <f t="shared" si="4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190826</v>
      </c>
      <c r="C16" s="39">
        <f t="shared" ref="C16:H16" si="6">SUM(C9:C15)</f>
        <v>207742</v>
      </c>
      <c r="D16" s="39">
        <f t="shared" si="6"/>
        <v>207742</v>
      </c>
      <c r="E16" s="529">
        <f t="shared" si="6"/>
        <v>207742</v>
      </c>
      <c r="F16" s="39">
        <f t="shared" si="6"/>
        <v>207742</v>
      </c>
      <c r="G16" s="39">
        <f t="shared" si="6"/>
        <v>207742</v>
      </c>
      <c r="H16" s="39">
        <f t="shared" si="6"/>
        <v>207742</v>
      </c>
      <c r="I16" s="39">
        <f>SUM(I9:I15)</f>
        <v>207742</v>
      </c>
    </row>
    <row r="17" spans="1:10" x14ac:dyDescent="0.35">
      <c r="B17" s="205"/>
    </row>
    <row r="18" spans="1:10" x14ac:dyDescent="0.35">
      <c r="E18" s="39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370</v>
      </c>
      <c r="B20" s="78"/>
      <c r="C20" s="75"/>
      <c r="D20" s="72"/>
      <c r="E20" s="72"/>
      <c r="F20" s="72"/>
      <c r="G20" s="72"/>
      <c r="H20" s="72"/>
      <c r="I20" s="73"/>
    </row>
    <row r="21" spans="1:10" ht="13" customHeight="1" x14ac:dyDescent="0.35">
      <c r="A21" s="226"/>
      <c r="B21" s="137"/>
      <c r="C21" s="138"/>
      <c r="D21" s="777"/>
      <c r="E21" s="783"/>
      <c r="F21" s="135"/>
      <c r="G21" s="135"/>
      <c r="H21" s="136"/>
      <c r="I21" s="136"/>
      <c r="J21" s="17"/>
    </row>
    <row r="22" spans="1:10" ht="13" customHeight="1" x14ac:dyDescent="0.35">
      <c r="A22" s="436"/>
      <c r="B22" s="329"/>
      <c r="C22" s="329"/>
      <c r="D22" s="329"/>
      <c r="E22" s="82"/>
      <c r="F22" s="72"/>
      <c r="G22" s="72"/>
      <c r="H22" s="73"/>
      <c r="I22" s="73"/>
      <c r="J22" s="17"/>
    </row>
    <row r="23" spans="1:10" ht="13" customHeight="1" x14ac:dyDescent="0.35">
      <c r="A23" s="298"/>
      <c r="B23" s="84"/>
      <c r="C23" s="74"/>
      <c r="D23" s="68"/>
      <c r="E23" s="128"/>
      <c r="F23" s="68"/>
      <c r="G23" s="68"/>
      <c r="H23" s="69"/>
      <c r="I23" s="69"/>
      <c r="J23" s="17"/>
    </row>
    <row r="24" spans="1:10" ht="13" customHeight="1" x14ac:dyDescent="0.35">
      <c r="A24" s="104"/>
      <c r="B24" s="92"/>
      <c r="C24" s="93"/>
      <c r="D24" s="103"/>
      <c r="E24" s="105"/>
      <c r="F24" s="103"/>
      <c r="G24" s="103"/>
      <c r="H24" s="94"/>
      <c r="I24" s="94"/>
      <c r="J24" s="17"/>
    </row>
    <row r="25" spans="1:10" ht="13" customHeight="1" x14ac:dyDescent="0.35">
      <c r="A25" s="81"/>
      <c r="B25" s="78"/>
      <c r="C25" s="75"/>
      <c r="D25" s="72"/>
      <c r="E25" s="72"/>
      <c r="F25" s="72"/>
      <c r="G25" s="72"/>
      <c r="H25" s="73"/>
      <c r="I25" s="73"/>
      <c r="J25" s="17"/>
    </row>
    <row r="26" spans="1:10" ht="13" customHeight="1" x14ac:dyDescent="0.35">
      <c r="A26" s="77"/>
      <c r="B26" s="78"/>
      <c r="C26" s="75"/>
      <c r="D26" s="72"/>
      <c r="E26" s="72"/>
      <c r="F26" s="72"/>
      <c r="G26" s="72"/>
      <c r="H26" s="73"/>
      <c r="I26" s="73"/>
      <c r="J26" s="17"/>
    </row>
    <row r="27" spans="1:10" ht="13" customHeight="1" x14ac:dyDescent="0.35">
      <c r="A27" s="77"/>
      <c r="B27" s="78"/>
      <c r="C27" s="75"/>
      <c r="D27" s="72"/>
      <c r="E27" s="72"/>
      <c r="F27" s="72"/>
      <c r="G27" s="72"/>
      <c r="H27" s="73"/>
      <c r="I27" s="73"/>
      <c r="J27" s="17"/>
    </row>
    <row r="28" spans="1:10" ht="13" customHeight="1" x14ac:dyDescent="0.35">
      <c r="A28" s="77"/>
      <c r="B28" s="78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77"/>
      <c r="B29" s="78"/>
      <c r="C29" s="75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77"/>
      <c r="B30" s="78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7"/>
      <c r="B31" s="78"/>
      <c r="C31" s="75"/>
      <c r="D31" s="73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8"/>
      <c r="C33" s="75"/>
      <c r="D33" s="73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9"/>
      <c r="B37" s="78"/>
      <c r="C37" s="75"/>
      <c r="D37" s="72"/>
      <c r="E37" s="72"/>
      <c r="F37" s="72"/>
      <c r="G37" s="72"/>
      <c r="H37" s="73"/>
      <c r="I37" s="73"/>
      <c r="J37" s="17"/>
    </row>
    <row r="38" spans="1:10" ht="13" customHeight="1" x14ac:dyDescent="0.35">
      <c r="A38" s="80"/>
      <c r="B38" s="78"/>
      <c r="C38" s="75"/>
      <c r="D38" s="72"/>
      <c r="E38" s="72"/>
      <c r="F38" s="72"/>
      <c r="G38" s="72"/>
      <c r="H38" s="73"/>
      <c r="I38" s="73"/>
      <c r="J38" s="17"/>
    </row>
    <row r="39" spans="1:10" ht="13" customHeight="1" x14ac:dyDescent="0.35">
      <c r="A39" s="77"/>
      <c r="B39" s="78"/>
      <c r="C39" s="75"/>
      <c r="D39" s="72"/>
      <c r="E39" s="72"/>
      <c r="F39" s="72"/>
      <c r="G39" s="72"/>
      <c r="H39" s="73"/>
      <c r="I39" s="73"/>
      <c r="J39" s="17"/>
    </row>
    <row r="40" spans="1:10" ht="13" customHeight="1" x14ac:dyDescent="0.35">
      <c r="A40" s="77"/>
      <c r="B40" s="78"/>
      <c r="C40" s="75"/>
      <c r="D40" s="72"/>
      <c r="E40" s="72"/>
      <c r="F40" s="72"/>
      <c r="G40" s="72"/>
      <c r="H40" s="73"/>
      <c r="I40" s="73"/>
      <c r="J40" s="17"/>
    </row>
    <row r="41" spans="1:10" ht="13" customHeight="1" x14ac:dyDescent="0.35">
      <c r="A41" s="77"/>
      <c r="B41" s="78"/>
      <c r="C41" s="75"/>
      <c r="D41" s="72"/>
      <c r="E41" s="72"/>
      <c r="F41" s="72"/>
      <c r="G41" s="72"/>
      <c r="H41" s="73"/>
      <c r="I41" s="73"/>
      <c r="J41" s="17"/>
    </row>
    <row r="42" spans="1:10" ht="13" customHeight="1" x14ac:dyDescent="0.35">
      <c r="A42" s="77"/>
      <c r="B42" s="78"/>
      <c r="C42" s="75"/>
      <c r="D42" s="72"/>
      <c r="E42" s="72"/>
      <c r="F42" s="72"/>
      <c r="G42" s="72"/>
      <c r="H42" s="73"/>
      <c r="I42" s="73"/>
      <c r="J42" s="17"/>
    </row>
    <row r="43" spans="1:10" ht="13" customHeight="1" x14ac:dyDescent="0.35">
      <c r="A43" s="77"/>
      <c r="B43" s="78"/>
      <c r="C43" s="75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5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5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5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5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5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5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81"/>
      <c r="B55" s="81"/>
      <c r="C55" s="81"/>
      <c r="D55" s="81"/>
      <c r="E55" s="81"/>
      <c r="F55" s="81"/>
      <c r="G55" s="81"/>
      <c r="H55" s="81"/>
      <c r="I55" s="81"/>
      <c r="J55" s="17"/>
    </row>
    <row r="56" spans="1:10" ht="13" customHeight="1" x14ac:dyDescent="0.35">
      <c r="A56" s="81"/>
      <c r="B56" s="81"/>
      <c r="C56" s="81"/>
      <c r="D56" s="81"/>
      <c r="E56" s="81"/>
      <c r="F56" s="81"/>
      <c r="G56" s="81"/>
      <c r="H56" s="81"/>
      <c r="I56" s="81"/>
      <c r="J56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D21:E21">
    <cfRule type="expression" dxfId="265" priority="2">
      <formula>MOD(ROW(),2)=1</formula>
    </cfRule>
  </conditionalFormatting>
  <conditionalFormatting sqref="C9:I15">
    <cfRule type="cellIs" dxfId="26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1"/>
  <sheetViews>
    <sheetView topLeftCell="A11" zoomScaleNormal="100" zoomScaleSheetLayoutView="90" workbookViewId="0">
      <selection activeCell="C15" sqref="C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5.54296875" style="7" customWidth="1"/>
    <col min="11" max="11" width="12.54296875" style="7" bestFit="1" customWidth="1"/>
    <col min="12" max="12" width="9.1796875" style="7"/>
    <col min="13" max="13" width="19.453125" style="7" customWidth="1"/>
    <col min="14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A5" s="197" t="s">
        <v>208</v>
      </c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1" t="s">
        <v>28</v>
      </c>
      <c r="C6" s="880" t="s">
        <v>158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537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533" t="s">
        <v>223</v>
      </c>
      <c r="F8" s="340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4" si="0">+C9</f>
        <v>0</v>
      </c>
      <c r="E9" s="534">
        <f>+D9</f>
        <v>0</v>
      </c>
      <c r="F9" s="341">
        <f t="shared" ref="E9:I14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476">
        <f t="shared" si="1"/>
        <v>0</v>
      </c>
      <c r="F10" s="343">
        <f t="shared" si="1"/>
        <v>0</v>
      </c>
      <c r="G10" s="35">
        <f t="shared" si="1"/>
        <v>0</v>
      </c>
      <c r="H10" s="222">
        <f t="shared" si="1"/>
        <v>0</v>
      </c>
      <c r="I10" s="36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534">
        <f t="shared" si="1"/>
        <v>0</v>
      </c>
      <c r="F11" s="341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476">
        <f t="shared" si="1"/>
        <v>0</v>
      </c>
      <c r="F12" s="343">
        <f t="shared" si="1"/>
        <v>0</v>
      </c>
      <c r="G12" s="35">
        <f t="shared" si="1"/>
        <v>0</v>
      </c>
      <c r="H12" s="222">
        <f t="shared" si="1"/>
        <v>0</v>
      </c>
      <c r="I12" s="36">
        <f t="shared" si="1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534">
        <f t="shared" si="1"/>
        <v>0</v>
      </c>
      <c r="F13" s="341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476">
        <f t="shared" si="1"/>
        <v>0</v>
      </c>
      <c r="F14" s="343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>+C15</f>
        <v>0</v>
      </c>
      <c r="E15" s="535">
        <f>30000000+E22+E25+E26+E28</f>
        <v>25000000</v>
      </c>
      <c r="F15" s="344">
        <f>40000000+F22+F25+F26+F28</f>
        <v>35000000</v>
      </c>
      <c r="G15" s="37">
        <f>50000000+G22+G25+G26+G28</f>
        <v>40000000</v>
      </c>
      <c r="H15" s="223">
        <f>50000000+H22+H25+H26+H28</f>
        <v>50000000</v>
      </c>
      <c r="I15" s="38">
        <f>50000000+I22+I25+I26+I28</f>
        <v>50000000</v>
      </c>
      <c r="J15" s="206">
        <f>SUM(D15:I15)</f>
        <v>200000000</v>
      </c>
      <c r="K15" s="7">
        <v>900</v>
      </c>
    </row>
    <row r="16" spans="1:11" ht="15" thickBot="1" x14ac:dyDescent="0.4">
      <c r="A16" s="4" t="s">
        <v>11</v>
      </c>
      <c r="B16" s="39">
        <f>SUM(B9:B15)</f>
        <v>0</v>
      </c>
      <c r="C16" s="39">
        <f>SUM(C9:C15)</f>
        <v>0</v>
      </c>
      <c r="D16" s="39">
        <f t="shared" ref="D16:I16" si="2">SUM(D9:D15)</f>
        <v>0</v>
      </c>
      <c r="E16" s="536">
        <f t="shared" si="2"/>
        <v>25000000</v>
      </c>
      <c r="F16" s="476">
        <f t="shared" si="2"/>
        <v>35000000</v>
      </c>
      <c r="G16" s="39">
        <f t="shared" si="2"/>
        <v>40000000</v>
      </c>
      <c r="H16" s="39">
        <f t="shared" si="2"/>
        <v>50000000</v>
      </c>
      <c r="I16" s="39">
        <f t="shared" si="2"/>
        <v>50000000</v>
      </c>
      <c r="J16" s="7">
        <v>265000000</v>
      </c>
    </row>
    <row r="17" spans="1:11" x14ac:dyDescent="0.35">
      <c r="F17" s="52"/>
    </row>
    <row r="18" spans="1:11" x14ac:dyDescent="0.35">
      <c r="E18" s="401">
        <f>+E16-D16</f>
        <v>25000000</v>
      </c>
      <c r="F18" s="52"/>
    </row>
    <row r="19" spans="1:11" ht="15" thickBot="1" x14ac:dyDescent="0.4">
      <c r="A19" s="204" t="s">
        <v>12</v>
      </c>
      <c r="B19" s="204"/>
      <c r="C19" s="20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  <c r="J19" s="204" t="s">
        <v>11</v>
      </c>
    </row>
    <row r="20" spans="1:11" ht="15" thickTop="1" x14ac:dyDescent="0.35">
      <c r="A20" s="438" t="s">
        <v>636</v>
      </c>
      <c r="B20" s="439"/>
      <c r="C20" s="330">
        <v>900</v>
      </c>
      <c r="D20" s="440">
        <v>0</v>
      </c>
      <c r="E20" s="440">
        <v>25000000</v>
      </c>
      <c r="F20" s="440">
        <v>45000000</v>
      </c>
      <c r="G20" s="440">
        <v>65000000</v>
      </c>
      <c r="H20" s="440">
        <v>65000000</v>
      </c>
      <c r="I20" s="440">
        <v>65000000</v>
      </c>
      <c r="J20" s="441">
        <f>SUM(D20:I20)</f>
        <v>265000000</v>
      </c>
    </row>
    <row r="21" spans="1:11" x14ac:dyDescent="0.35">
      <c r="A21" s="740" t="s">
        <v>387</v>
      </c>
      <c r="B21" s="52"/>
      <c r="C21" s="52"/>
      <c r="D21" s="52"/>
      <c r="E21" s="52"/>
      <c r="F21" s="52"/>
      <c r="G21" s="52"/>
      <c r="H21" s="52"/>
      <c r="I21" s="52"/>
      <c r="J21" s="52"/>
    </row>
    <row r="22" spans="1:11" ht="12.75" customHeight="1" x14ac:dyDescent="0.35">
      <c r="A22" s="742" t="s">
        <v>419</v>
      </c>
      <c r="B22" s="140"/>
      <c r="C22" s="140">
        <v>900</v>
      </c>
      <c r="D22" s="132"/>
      <c r="E22" s="132">
        <v>30000000</v>
      </c>
      <c r="F22" s="132">
        <v>40000000</v>
      </c>
      <c r="G22" s="132">
        <v>50000000</v>
      </c>
      <c r="H22" s="132">
        <v>50000000</v>
      </c>
      <c r="I22" s="132">
        <v>50000000</v>
      </c>
      <c r="J22" s="417">
        <f>SUM(D22:I22)</f>
        <v>220000000</v>
      </c>
    </row>
    <row r="23" spans="1:11" ht="12.75" customHeight="1" x14ac:dyDescent="0.35">
      <c r="A23" s="314" t="s">
        <v>549</v>
      </c>
      <c r="B23" s="211"/>
      <c r="C23" s="211">
        <v>900</v>
      </c>
      <c r="D23" s="417"/>
      <c r="E23" s="417"/>
      <c r="F23" s="417"/>
      <c r="G23" s="417"/>
      <c r="H23" s="417"/>
      <c r="I23" s="417"/>
      <c r="J23" s="417">
        <f t="shared" ref="J23:J28" si="3">SUM(D23:I23)</f>
        <v>0</v>
      </c>
    </row>
    <row r="24" spans="1:11" ht="12.75" customHeight="1" x14ac:dyDescent="0.35">
      <c r="A24" s="781" t="s">
        <v>550</v>
      </c>
      <c r="B24" s="140"/>
      <c r="C24" s="140"/>
      <c r="D24" s="132"/>
      <c r="E24" s="132"/>
      <c r="F24" s="132"/>
      <c r="G24" s="132"/>
      <c r="H24" s="132"/>
      <c r="I24" s="132"/>
      <c r="J24" s="417">
        <f t="shared" si="3"/>
        <v>0</v>
      </c>
    </row>
    <row r="25" spans="1:11" ht="12.75" customHeight="1" x14ac:dyDescent="0.35">
      <c r="A25" s="314" t="s">
        <v>551</v>
      </c>
      <c r="B25" s="20"/>
      <c r="C25" s="20">
        <v>900</v>
      </c>
      <c r="D25" s="418"/>
      <c r="E25" s="486">
        <f>-28122000-161051</f>
        <v>-28283051</v>
      </c>
      <c r="F25" s="486">
        <f>-28122000-161051</f>
        <v>-28283051</v>
      </c>
      <c r="G25" s="486">
        <f>-28122000-161051</f>
        <v>-28283051</v>
      </c>
      <c r="H25" s="486">
        <f>-28122000-161051</f>
        <v>-28283051</v>
      </c>
      <c r="I25" s="486">
        <f>-28122000-161051</f>
        <v>-28283051</v>
      </c>
      <c r="J25" s="417">
        <f t="shared" si="3"/>
        <v>-141415255</v>
      </c>
    </row>
    <row r="26" spans="1:11" ht="12.75" customHeight="1" x14ac:dyDescent="0.35">
      <c r="A26" s="795" t="s">
        <v>602</v>
      </c>
      <c r="B26" s="140"/>
      <c r="C26" s="140">
        <v>900</v>
      </c>
      <c r="D26" s="132"/>
      <c r="E26" s="132">
        <v>-6716949</v>
      </c>
      <c r="F26" s="132">
        <v>-6716949</v>
      </c>
      <c r="G26" s="132">
        <v>-6716949</v>
      </c>
      <c r="H26" s="132">
        <v>-6716949</v>
      </c>
      <c r="I26" s="132">
        <v>-6716949</v>
      </c>
      <c r="J26" s="417">
        <f t="shared" si="3"/>
        <v>-33584745</v>
      </c>
    </row>
    <row r="27" spans="1:11" ht="12.75" customHeight="1" x14ac:dyDescent="0.35">
      <c r="A27" s="740" t="s">
        <v>893</v>
      </c>
      <c r="B27" s="211"/>
      <c r="C27" s="211"/>
      <c r="D27" s="417"/>
      <c r="E27" s="417"/>
      <c r="F27" s="417"/>
      <c r="G27" s="417"/>
      <c r="H27" s="417"/>
      <c r="I27" s="417"/>
      <c r="J27" s="417">
        <f t="shared" si="3"/>
        <v>0</v>
      </c>
    </row>
    <row r="28" spans="1:11" ht="12.75" customHeight="1" x14ac:dyDescent="0.35">
      <c r="A28" s="795" t="s">
        <v>894</v>
      </c>
      <c r="B28" s="140"/>
      <c r="C28" s="140">
        <v>900</v>
      </c>
      <c r="D28" s="132"/>
      <c r="E28" s="132"/>
      <c r="F28" s="132">
        <v>-10000000</v>
      </c>
      <c r="G28" s="132">
        <v>-25000000</v>
      </c>
      <c r="H28" s="132">
        <v>-15000000</v>
      </c>
      <c r="I28" s="132">
        <v>-15000000</v>
      </c>
      <c r="J28" s="417">
        <f t="shared" si="3"/>
        <v>-65000000</v>
      </c>
    </row>
    <row r="29" spans="1:11" ht="12.75" customHeight="1" x14ac:dyDescent="0.35">
      <c r="A29" s="320"/>
      <c r="B29" s="20"/>
      <c r="C29" s="20"/>
      <c r="D29" s="418"/>
      <c r="E29" s="418"/>
      <c r="F29" s="418"/>
      <c r="G29" s="418"/>
      <c r="H29" s="418"/>
      <c r="I29" s="418"/>
      <c r="J29" s="418"/>
    </row>
    <row r="30" spans="1:11" ht="12.75" customHeight="1" x14ac:dyDescent="0.35">
      <c r="A30" s="320"/>
      <c r="B30" s="20"/>
      <c r="C30" s="20"/>
      <c r="D30" s="418"/>
      <c r="E30" s="418"/>
      <c r="F30" s="418"/>
      <c r="G30" s="418"/>
      <c r="H30" s="418"/>
      <c r="I30" s="418"/>
      <c r="J30" s="418"/>
      <c r="K30" s="419"/>
    </row>
    <row r="31" spans="1:11" ht="12.75" customHeight="1" x14ac:dyDescent="0.35">
      <c r="A31" s="442"/>
      <c r="B31" s="20"/>
      <c r="C31" s="20"/>
      <c r="D31" s="418"/>
      <c r="E31" s="418"/>
      <c r="F31" s="418"/>
      <c r="G31" s="418"/>
      <c r="H31" s="418"/>
      <c r="I31" s="418"/>
      <c r="J31" s="418"/>
    </row>
    <row r="32" spans="1:11" ht="12.75" customHeight="1" x14ac:dyDescent="0.35">
      <c r="A32" s="320"/>
      <c r="B32" s="20"/>
      <c r="C32" s="20"/>
      <c r="D32" s="418"/>
      <c r="E32" s="418"/>
      <c r="F32" s="418"/>
      <c r="G32" s="418"/>
      <c r="H32" s="418"/>
      <c r="I32" s="418"/>
      <c r="J32" s="418"/>
    </row>
    <row r="33" spans="1:10" ht="12.75" customHeight="1" x14ac:dyDescent="0.35">
      <c r="A33" s="211"/>
      <c r="B33" s="211"/>
      <c r="C33" s="211"/>
      <c r="D33" s="417"/>
      <c r="E33" s="417"/>
      <c r="F33" s="417"/>
      <c r="G33" s="417"/>
      <c r="H33" s="417"/>
      <c r="I33" s="417"/>
      <c r="J33" s="418"/>
    </row>
    <row r="34" spans="1:10" ht="12.75" customHeight="1" x14ac:dyDescent="0.35">
      <c r="D34" s="321"/>
      <c r="E34" s="321"/>
      <c r="F34" s="321"/>
      <c r="G34" s="321"/>
      <c r="H34" s="321"/>
      <c r="I34" s="321"/>
      <c r="J34" s="321"/>
    </row>
    <row r="35" spans="1:10" ht="12.75" customHeight="1" x14ac:dyDescent="0.35">
      <c r="D35" s="321"/>
      <c r="E35" s="321"/>
      <c r="F35" s="321"/>
      <c r="G35" s="321"/>
      <c r="H35" s="321"/>
      <c r="I35" s="321"/>
      <c r="J35" s="321"/>
    </row>
    <row r="36" spans="1:10" ht="12.75" customHeight="1" x14ac:dyDescent="0.35"/>
    <row r="37" spans="1:10" ht="12.75" customHeight="1" x14ac:dyDescent="0.35"/>
    <row r="38" spans="1:10" ht="12.75" customHeight="1" x14ac:dyDescent="0.35"/>
    <row r="39" spans="1:10" ht="12.75" customHeight="1" x14ac:dyDescent="0.35"/>
    <row r="40" spans="1:10" ht="12.75" customHeight="1" x14ac:dyDescent="0.35"/>
    <row r="41" spans="1:10" ht="12.75" customHeight="1" x14ac:dyDescent="0.35"/>
    <row r="42" spans="1:10" ht="12.75" customHeight="1" x14ac:dyDescent="0.35"/>
    <row r="43" spans="1:10" ht="12.75" customHeight="1" x14ac:dyDescent="0.35"/>
    <row r="44" spans="1:10" ht="12.75" customHeight="1" x14ac:dyDescent="0.35"/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  <row r="51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63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3"/>
  </sheetPr>
  <dimension ref="A1:K52"/>
  <sheetViews>
    <sheetView topLeftCell="A18" zoomScaleNormal="100" zoomScaleSheetLayoutView="90" workbookViewId="0">
      <selection activeCell="I28" sqref="I28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42</v>
      </c>
      <c r="C6" s="880" t="s">
        <v>157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3453180</v>
      </c>
      <c r="C9" s="33">
        <v>2394341</v>
      </c>
      <c r="D9" s="219">
        <f t="shared" ref="D9:D15" si="0">+C9+SUMIF($C$20:$C$51,K9,$D$20:$D$51)</f>
        <v>2499341</v>
      </c>
      <c r="E9" s="114">
        <f t="shared" ref="E9:E15" si="1">+D9+SUMIF($C$20:$C$51,K9,$E$20:$E$51)</f>
        <v>2714341</v>
      </c>
      <c r="F9" s="396">
        <f t="shared" ref="F9:F15" si="2">+E9+SUMIF($C$20:$C$51,K9,$F$20:$F$51)</f>
        <v>2714341</v>
      </c>
      <c r="G9" s="33">
        <f t="shared" ref="G9:G15" si="3">+F9+SUMIF($C$20:$C$51,K9,$G$20:$G$51)</f>
        <v>2714341</v>
      </c>
      <c r="H9" s="219">
        <f t="shared" ref="H9:H15" si="4">+G9+SUMIF($C$20:$C$51,K9,$H$20:$H$51)</f>
        <v>2714341</v>
      </c>
      <c r="I9" s="50">
        <f t="shared" ref="I9:I15" si="5">+H9+SUMIF($C$20:$C$51,K9,$I$20:$I$51)</f>
        <v>2714341</v>
      </c>
      <c r="K9" s="7">
        <v>100</v>
      </c>
    </row>
    <row r="10" spans="1:11" x14ac:dyDescent="0.35">
      <c r="A10" s="10" t="s">
        <v>5</v>
      </c>
      <c r="B10" s="35">
        <f>26906745-'42CC-Commerce Convention Ctr'!B10-'42ES-Commerce Econ Stimulus'!B10</f>
        <v>6252079</v>
      </c>
      <c r="C10" s="35">
        <v>1216153</v>
      </c>
      <c r="D10" s="222">
        <f t="shared" si="0"/>
        <v>808831</v>
      </c>
      <c r="E10" s="506">
        <f t="shared" si="1"/>
        <v>4657989</v>
      </c>
      <c r="F10" s="504">
        <f t="shared" si="2"/>
        <v>5057989</v>
      </c>
      <c r="G10" s="35">
        <f t="shared" si="3"/>
        <v>5057989</v>
      </c>
      <c r="H10" s="222">
        <f t="shared" si="4"/>
        <v>2061153</v>
      </c>
      <c r="I10" s="36">
        <f t="shared" si="5"/>
        <v>2061153</v>
      </c>
      <c r="K10" s="7">
        <v>200</v>
      </c>
    </row>
    <row r="11" spans="1:11" x14ac:dyDescent="0.35">
      <c r="A11" s="9" t="s">
        <v>6</v>
      </c>
      <c r="B11" s="33">
        <f>17956+3915</f>
        <v>21871</v>
      </c>
      <c r="C11" s="33">
        <v>26654</v>
      </c>
      <c r="D11" s="219">
        <f t="shared" si="0"/>
        <v>26654</v>
      </c>
      <c r="E11" s="114">
        <f t="shared" si="1"/>
        <v>26654</v>
      </c>
      <c r="F11" s="396">
        <f t="shared" si="2"/>
        <v>26654</v>
      </c>
      <c r="G11" s="33">
        <f t="shared" si="3"/>
        <v>26654</v>
      </c>
      <c r="H11" s="219">
        <f t="shared" si="4"/>
        <v>26654</v>
      </c>
      <c r="I11" s="34">
        <f t="shared" si="5"/>
        <v>26654</v>
      </c>
      <c r="K11" s="7" t="s">
        <v>167</v>
      </c>
    </row>
    <row r="12" spans="1:11" x14ac:dyDescent="0.35">
      <c r="A12" s="10" t="s">
        <v>7</v>
      </c>
      <c r="B12" s="35">
        <v>500000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10227130</v>
      </c>
      <c r="C16" s="39">
        <f t="shared" ref="C16:H16" si="6">SUM(C9:C15)</f>
        <v>3637148</v>
      </c>
      <c r="D16" s="39">
        <f t="shared" si="6"/>
        <v>3334826</v>
      </c>
      <c r="E16" s="529">
        <f t="shared" si="6"/>
        <v>7398984</v>
      </c>
      <c r="F16" s="39">
        <f t="shared" si="6"/>
        <v>7798984</v>
      </c>
      <c r="G16" s="39">
        <f t="shared" si="6"/>
        <v>7798984</v>
      </c>
      <c r="H16" s="39">
        <f t="shared" si="6"/>
        <v>4802148</v>
      </c>
      <c r="I16" s="39">
        <f>SUM(I9:I15)</f>
        <v>4802148</v>
      </c>
    </row>
    <row r="17" spans="1:10" x14ac:dyDescent="0.35">
      <c r="B17" s="717">
        <f>+'42CC-Commerce Convention Ctr'!B16+'42ES-Commerce Econ Stimulus'!B16</f>
        <v>20654666</v>
      </c>
    </row>
    <row r="18" spans="1:10" x14ac:dyDescent="0.35">
      <c r="B18" s="717">
        <f>+B17+B16</f>
        <v>30881796</v>
      </c>
      <c r="E18" s="401">
        <f>+E16-D16</f>
        <v>4064158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121" t="s">
        <v>366</v>
      </c>
      <c r="B20" s="78"/>
      <c r="C20" s="75"/>
      <c r="D20" s="72"/>
      <c r="E20" s="72"/>
      <c r="F20" s="72"/>
      <c r="G20" s="72"/>
      <c r="H20" s="72"/>
      <c r="I20" s="73"/>
    </row>
    <row r="21" spans="1:10" ht="13" customHeight="1" x14ac:dyDescent="0.35">
      <c r="A21" s="203" t="s">
        <v>294</v>
      </c>
      <c r="B21" s="66"/>
      <c r="C21" s="67"/>
      <c r="D21" s="68"/>
      <c r="E21" s="68"/>
      <c r="F21" s="69"/>
      <c r="G21" s="69"/>
      <c r="H21" s="69"/>
      <c r="I21" s="69"/>
      <c r="J21" s="17"/>
    </row>
    <row r="22" spans="1:10" ht="13" customHeight="1" x14ac:dyDescent="0.35">
      <c r="A22" s="296" t="s">
        <v>331</v>
      </c>
      <c r="B22" s="58"/>
      <c r="C22" s="578">
        <v>200</v>
      </c>
      <c r="D22" s="579"/>
      <c r="E22" s="579">
        <v>8616</v>
      </c>
      <c r="F22" s="72">
        <v>8831</v>
      </c>
      <c r="G22" s="72">
        <v>9053</v>
      </c>
      <c r="H22" s="73">
        <v>0</v>
      </c>
      <c r="I22" s="73"/>
      <c r="J22" s="17"/>
    </row>
    <row r="23" spans="1:10" ht="13" customHeight="1" x14ac:dyDescent="0.35">
      <c r="A23" s="704" t="s">
        <v>387</v>
      </c>
      <c r="B23" s="538"/>
      <c r="C23" s="705"/>
      <c r="D23" s="194"/>
      <c r="E23" s="141"/>
      <c r="F23" s="142"/>
      <c r="G23" s="142"/>
      <c r="H23" s="142"/>
      <c r="I23" s="142"/>
      <c r="J23" s="17"/>
    </row>
    <row r="24" spans="1:10" ht="13" customHeight="1" x14ac:dyDescent="0.35">
      <c r="A24" s="701" t="s">
        <v>428</v>
      </c>
      <c r="B24" s="200"/>
      <c r="C24" s="628"/>
      <c r="D24" s="94"/>
      <c r="E24" s="94"/>
      <c r="F24" s="103"/>
      <c r="G24" s="103"/>
      <c r="H24" s="94"/>
      <c r="I24" s="94"/>
      <c r="J24" s="17"/>
    </row>
    <row r="25" spans="1:10" ht="13" customHeight="1" x14ac:dyDescent="0.35">
      <c r="A25" s="474" t="s">
        <v>531</v>
      </c>
      <c r="B25" s="196"/>
      <c r="C25" s="181">
        <v>100</v>
      </c>
      <c r="D25" s="142"/>
      <c r="E25" s="142">
        <v>72500</v>
      </c>
      <c r="F25" s="141"/>
      <c r="G25" s="141"/>
      <c r="H25" s="142"/>
      <c r="I25" s="142"/>
      <c r="J25" s="17"/>
    </row>
    <row r="26" spans="1:10" ht="13" customHeight="1" x14ac:dyDescent="0.35">
      <c r="A26" s="740"/>
      <c r="B26" s="295"/>
      <c r="C26" s="755">
        <v>200</v>
      </c>
      <c r="D26" s="242"/>
      <c r="E26" s="94">
        <v>-65000</v>
      </c>
      <c r="F26" s="94">
        <v>-10000</v>
      </c>
      <c r="G26" s="94"/>
      <c r="H26" s="94"/>
      <c r="I26" s="94"/>
      <c r="J26" s="17"/>
    </row>
    <row r="27" spans="1:10" ht="13" customHeight="1" x14ac:dyDescent="0.35">
      <c r="A27" s="474" t="s">
        <v>457</v>
      </c>
      <c r="B27" s="196"/>
      <c r="C27" s="181">
        <v>200</v>
      </c>
      <c r="D27" s="142"/>
      <c r="E27" s="142">
        <v>-760000</v>
      </c>
      <c r="F27" s="141"/>
      <c r="G27" s="141"/>
      <c r="H27" s="142"/>
      <c r="I27" s="142"/>
      <c r="J27" s="17"/>
    </row>
    <row r="28" spans="1:10" ht="13" customHeight="1" x14ac:dyDescent="0.35">
      <c r="A28" s="296" t="s">
        <v>459</v>
      </c>
      <c r="B28" s="295"/>
      <c r="C28" s="755">
        <v>200</v>
      </c>
      <c r="D28" s="242"/>
      <c r="E28" s="94">
        <v>-100000</v>
      </c>
      <c r="F28" s="94"/>
      <c r="G28" s="94"/>
      <c r="H28" s="94"/>
      <c r="I28" s="94"/>
      <c r="J28" s="17"/>
    </row>
    <row r="29" spans="1:10" ht="13" customHeight="1" x14ac:dyDescent="0.35">
      <c r="A29" s="774" t="s">
        <v>487</v>
      </c>
      <c r="B29" s="196"/>
      <c r="C29" s="181"/>
      <c r="D29" s="142"/>
      <c r="E29" s="142"/>
      <c r="F29" s="141"/>
      <c r="G29" s="141"/>
      <c r="H29" s="142"/>
      <c r="I29" s="142"/>
      <c r="J29" s="17"/>
    </row>
    <row r="30" spans="1:10" ht="13" customHeight="1" x14ac:dyDescent="0.35">
      <c r="A30" s="296" t="s">
        <v>532</v>
      </c>
      <c r="B30" s="295"/>
      <c r="C30" s="755">
        <v>200</v>
      </c>
      <c r="D30" s="242"/>
      <c r="E30" s="94">
        <v>-8616</v>
      </c>
      <c r="F30" s="94">
        <v>-8831</v>
      </c>
      <c r="G30" s="94">
        <v>-9053</v>
      </c>
      <c r="H30" s="94"/>
      <c r="I30" s="94"/>
      <c r="J30" s="73"/>
    </row>
    <row r="31" spans="1:10" ht="13" customHeight="1" x14ac:dyDescent="0.35">
      <c r="A31" s="474" t="s">
        <v>681</v>
      </c>
      <c r="B31" s="196"/>
      <c r="C31" s="181">
        <v>100</v>
      </c>
      <c r="D31" s="142"/>
      <c r="E31" s="142">
        <v>-72500</v>
      </c>
      <c r="F31" s="141"/>
      <c r="G31" s="141"/>
      <c r="H31" s="142"/>
      <c r="I31" s="142"/>
      <c r="J31" s="17"/>
    </row>
    <row r="32" spans="1:10" ht="12.75" customHeight="1" x14ac:dyDescent="0.35">
      <c r="A32" s="740"/>
      <c r="B32" s="295"/>
      <c r="C32" s="755">
        <v>200</v>
      </c>
      <c r="D32" s="242"/>
      <c r="E32" s="94">
        <v>65000</v>
      </c>
      <c r="F32" s="94">
        <v>10000</v>
      </c>
      <c r="G32" s="94"/>
      <c r="H32" s="94"/>
      <c r="I32" s="94"/>
      <c r="J32" s="17"/>
    </row>
    <row r="33" spans="1:10" ht="13" customHeight="1" x14ac:dyDescent="0.35">
      <c r="A33" s="474" t="s">
        <v>533</v>
      </c>
      <c r="B33" s="196"/>
      <c r="C33" s="181">
        <v>200</v>
      </c>
      <c r="D33" s="142"/>
      <c r="E33" s="142">
        <v>760000</v>
      </c>
      <c r="F33" s="141"/>
      <c r="G33" s="141"/>
      <c r="H33" s="142"/>
      <c r="I33" s="142"/>
      <c r="J33" s="17"/>
    </row>
    <row r="34" spans="1:10" ht="13" customHeight="1" x14ac:dyDescent="0.35">
      <c r="A34" s="296" t="s">
        <v>534</v>
      </c>
      <c r="B34" s="295"/>
      <c r="C34" s="755">
        <v>200</v>
      </c>
      <c r="D34" s="242"/>
      <c r="E34" s="94">
        <v>100000</v>
      </c>
      <c r="F34" s="94"/>
      <c r="G34" s="94"/>
      <c r="H34" s="94"/>
      <c r="I34" s="94"/>
      <c r="J34" s="17"/>
    </row>
    <row r="35" spans="1:10" ht="13" customHeight="1" x14ac:dyDescent="0.35">
      <c r="A35" s="774" t="s">
        <v>648</v>
      </c>
      <c r="B35" s="196"/>
      <c r="C35" s="181"/>
      <c r="D35" s="142"/>
      <c r="E35" s="142"/>
      <c r="F35" s="141"/>
      <c r="G35" s="141"/>
      <c r="H35" s="142"/>
      <c r="I35" s="142"/>
      <c r="J35" s="17"/>
    </row>
    <row r="36" spans="1:10" ht="13" customHeight="1" x14ac:dyDescent="0.35">
      <c r="A36" s="296" t="s">
        <v>682</v>
      </c>
      <c r="B36" s="295"/>
      <c r="C36" s="755">
        <v>200</v>
      </c>
      <c r="D36" s="242">
        <v>-105000</v>
      </c>
      <c r="E36" s="94"/>
      <c r="F36" s="94"/>
      <c r="G36" s="94"/>
      <c r="H36" s="94"/>
      <c r="I36" s="94"/>
      <c r="J36" s="17"/>
    </row>
    <row r="37" spans="1:10" ht="13" customHeight="1" x14ac:dyDescent="0.35">
      <c r="A37" s="474"/>
      <c r="B37" s="196"/>
      <c r="C37" s="181">
        <v>100</v>
      </c>
      <c r="D37" s="142">
        <v>105000</v>
      </c>
      <c r="E37" s="142"/>
      <c r="F37" s="141"/>
      <c r="G37" s="141"/>
      <c r="H37" s="142"/>
      <c r="I37" s="142"/>
      <c r="J37" s="17"/>
    </row>
    <row r="38" spans="1:10" ht="13" customHeight="1" x14ac:dyDescent="0.35">
      <c r="A38" s="296" t="s">
        <v>683</v>
      </c>
      <c r="B38" s="295"/>
      <c r="C38" s="755">
        <v>200</v>
      </c>
      <c r="D38" s="242">
        <v>-452322</v>
      </c>
      <c r="E38" s="94">
        <v>452322</v>
      </c>
      <c r="F38" s="94"/>
      <c r="G38" s="94"/>
      <c r="H38" s="94"/>
      <c r="I38" s="94"/>
      <c r="J38" s="17"/>
    </row>
    <row r="39" spans="1:10" ht="13" customHeight="1" x14ac:dyDescent="0.35">
      <c r="A39" s="474" t="s">
        <v>709</v>
      </c>
      <c r="B39" s="196"/>
      <c r="C39" s="181">
        <v>200</v>
      </c>
      <c r="D39" s="142">
        <v>150000</v>
      </c>
      <c r="E39" s="142">
        <v>-150000</v>
      </c>
      <c r="F39" s="141"/>
      <c r="G39" s="141"/>
      <c r="H39" s="142"/>
      <c r="I39" s="142"/>
      <c r="J39" s="17"/>
    </row>
    <row r="40" spans="1:10" ht="13" customHeight="1" x14ac:dyDescent="0.35">
      <c r="A40" s="740" t="s">
        <v>748</v>
      </c>
      <c r="B40" s="295"/>
      <c r="C40" s="755"/>
      <c r="D40" s="242"/>
      <c r="E40" s="94"/>
      <c r="F40" s="94"/>
      <c r="G40" s="94"/>
      <c r="H40" s="94"/>
      <c r="I40" s="94"/>
      <c r="J40" s="17"/>
    </row>
    <row r="41" spans="1:10" ht="13" customHeight="1" x14ac:dyDescent="0.35">
      <c r="A41" s="474" t="s">
        <v>740</v>
      </c>
      <c r="B41" s="196"/>
      <c r="C41" s="181">
        <v>200</v>
      </c>
      <c r="D41" s="142"/>
      <c r="E41" s="142">
        <v>150000</v>
      </c>
      <c r="F41" s="141"/>
      <c r="G41" s="141"/>
      <c r="H41" s="142"/>
      <c r="I41" s="142"/>
      <c r="J41" s="17"/>
    </row>
    <row r="42" spans="1:10" ht="13" customHeight="1" x14ac:dyDescent="0.35">
      <c r="A42" s="296" t="s">
        <v>741</v>
      </c>
      <c r="B42" s="295"/>
      <c r="C42" s="755">
        <v>100</v>
      </c>
      <c r="D42" s="242"/>
      <c r="E42" s="94">
        <v>75000</v>
      </c>
      <c r="F42" s="94"/>
      <c r="G42" s="94"/>
      <c r="H42" s="94"/>
      <c r="I42" s="94"/>
      <c r="J42" s="17"/>
    </row>
    <row r="43" spans="1:10" ht="13" customHeight="1" x14ac:dyDescent="0.35">
      <c r="A43" s="474" t="s">
        <v>742</v>
      </c>
      <c r="B43" s="196"/>
      <c r="C43" s="181">
        <v>100</v>
      </c>
      <c r="D43" s="142"/>
      <c r="E43" s="142">
        <v>140000</v>
      </c>
      <c r="F43" s="141"/>
      <c r="G43" s="141"/>
      <c r="H43" s="142"/>
      <c r="I43" s="142"/>
      <c r="J43" s="17"/>
    </row>
    <row r="44" spans="1:10" ht="13" customHeight="1" x14ac:dyDescent="0.35">
      <c r="A44" s="740"/>
      <c r="B44" s="295"/>
      <c r="C44" s="755">
        <v>200</v>
      </c>
      <c r="D44" s="242"/>
      <c r="E44" s="94">
        <v>100000</v>
      </c>
      <c r="F44" s="94"/>
      <c r="G44" s="94"/>
      <c r="H44" s="94"/>
      <c r="I44" s="94"/>
      <c r="J44" s="17"/>
    </row>
    <row r="45" spans="1:10" ht="13" customHeight="1" x14ac:dyDescent="0.35">
      <c r="A45" s="474" t="s">
        <v>743</v>
      </c>
      <c r="B45" s="196"/>
      <c r="C45" s="181">
        <v>200</v>
      </c>
      <c r="D45" s="142"/>
      <c r="E45" s="142">
        <v>300000</v>
      </c>
      <c r="F45" s="141">
        <f>700000-300000</f>
        <v>400000</v>
      </c>
      <c r="G45" s="141"/>
      <c r="H45" s="142"/>
      <c r="I45" s="142"/>
      <c r="J45" s="17"/>
    </row>
    <row r="46" spans="1:10" ht="13" customHeight="1" x14ac:dyDescent="0.35">
      <c r="A46" s="296" t="s">
        <v>744</v>
      </c>
      <c r="B46" s="295"/>
      <c r="C46" s="755">
        <v>200</v>
      </c>
      <c r="D46" s="242"/>
      <c r="E46" s="94">
        <v>2996836</v>
      </c>
      <c r="F46" s="94"/>
      <c r="G46" s="94"/>
      <c r="H46" s="94">
        <v>-2996836</v>
      </c>
      <c r="I46" s="94"/>
      <c r="J46" s="17"/>
    </row>
    <row r="47" spans="1:10" ht="13" customHeight="1" x14ac:dyDescent="0.35">
      <c r="A47" s="474"/>
      <c r="B47" s="196"/>
      <c r="C47" s="181"/>
      <c r="D47" s="142"/>
      <c r="E47" s="142"/>
      <c r="F47" s="141"/>
      <c r="G47" s="141"/>
      <c r="H47" s="142"/>
      <c r="I47" s="142"/>
      <c r="J47" s="17"/>
    </row>
    <row r="48" spans="1:10" ht="13" customHeight="1" x14ac:dyDescent="0.35">
      <c r="A48" s="740"/>
      <c r="B48" s="295"/>
      <c r="C48" s="755"/>
      <c r="D48" s="242"/>
      <c r="E48" s="94"/>
      <c r="F48" s="94"/>
      <c r="G48" s="94"/>
      <c r="H48" s="94"/>
      <c r="I48" s="94"/>
      <c r="J48" s="17"/>
    </row>
    <row r="49" spans="1:10" ht="13" customHeight="1" x14ac:dyDescent="0.35">
      <c r="A49" s="474"/>
      <c r="B49" s="196"/>
      <c r="C49" s="181"/>
      <c r="D49" s="142"/>
      <c r="E49" s="142"/>
      <c r="F49" s="141"/>
      <c r="G49" s="141"/>
      <c r="H49" s="142"/>
      <c r="I49" s="142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81"/>
      <c r="B51" s="81"/>
      <c r="C51" s="81"/>
      <c r="D51" s="82"/>
      <c r="E51" s="82"/>
      <c r="F51" s="82"/>
      <c r="G51" s="82"/>
      <c r="H51" s="82"/>
      <c r="I51" s="82"/>
      <c r="J51" s="17"/>
    </row>
    <row r="52" spans="1:10" ht="13" customHeight="1" x14ac:dyDescent="0.35">
      <c r="A52" s="81"/>
      <c r="B52" s="81"/>
      <c r="C52" s="81"/>
      <c r="D52" s="82"/>
      <c r="E52" s="82"/>
      <c r="F52" s="82"/>
      <c r="G52" s="82"/>
      <c r="H52" s="82"/>
      <c r="I52" s="82"/>
      <c r="J52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6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theme="3"/>
  </sheetPr>
  <dimension ref="A1:K60"/>
  <sheetViews>
    <sheetView topLeftCell="A3" zoomScaleNormal="100" zoomScaleSheetLayoutView="90" workbookViewId="0">
      <selection activeCell="C14" sqref="C13: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30</v>
      </c>
      <c r="C6" s="880" t="s">
        <v>156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400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+D9+E21+E25+E27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15000000</v>
      </c>
      <c r="C10" s="35">
        <v>15000000</v>
      </c>
      <c r="D10" s="222">
        <f t="shared" si="0"/>
        <v>15000000</v>
      </c>
      <c r="E10" s="506">
        <f t="shared" si="1"/>
        <v>15000000</v>
      </c>
      <c r="F10" s="504">
        <f t="shared" si="1"/>
        <v>15000000</v>
      </c>
      <c r="G10" s="35">
        <f t="shared" si="1"/>
        <v>15000000</v>
      </c>
      <c r="H10" s="222">
        <f t="shared" si="1"/>
        <v>15000000</v>
      </c>
      <c r="I10" s="36">
        <f t="shared" si="1"/>
        <v>15000000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1"/>
        <v>0</v>
      </c>
      <c r="G12" s="35">
        <f t="shared" si="1"/>
        <v>0</v>
      </c>
      <c r="H12" s="222">
        <f t="shared" si="1"/>
        <v>0</v>
      </c>
      <c r="I12" s="36">
        <f t="shared" si="1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15000000</v>
      </c>
      <c r="C16" s="39">
        <f t="shared" ref="C16:I16" si="2">SUM(C9:C15)</f>
        <v>15000000</v>
      </c>
      <c r="D16" s="39">
        <f t="shared" si="2"/>
        <v>15000000</v>
      </c>
      <c r="E16" s="529">
        <f t="shared" si="2"/>
        <v>15000000</v>
      </c>
      <c r="F16" s="39">
        <f t="shared" si="2"/>
        <v>15000000</v>
      </c>
      <c r="G16" s="39">
        <f t="shared" si="2"/>
        <v>15000000</v>
      </c>
      <c r="H16" s="39">
        <f t="shared" si="2"/>
        <v>15000000</v>
      </c>
      <c r="I16" s="39">
        <f t="shared" si="2"/>
        <v>15000000</v>
      </c>
    </row>
    <row r="18" spans="1:10" x14ac:dyDescent="0.35">
      <c r="E18" s="400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436" t="s">
        <v>370</v>
      </c>
      <c r="B20" s="78"/>
      <c r="C20" s="71"/>
      <c r="D20" s="72"/>
      <c r="E20" s="72"/>
      <c r="F20" s="72"/>
      <c r="G20" s="72"/>
      <c r="H20" s="72"/>
      <c r="I20" s="73"/>
    </row>
    <row r="21" spans="1:10" ht="13" customHeight="1" x14ac:dyDescent="0.35">
      <c r="A21" s="80"/>
      <c r="B21" s="70"/>
      <c r="C21" s="71"/>
      <c r="D21" s="72"/>
      <c r="E21" s="72"/>
      <c r="F21" s="73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3"/>
      <c r="G22" s="73"/>
      <c r="H22" s="73"/>
      <c r="I22" s="73"/>
      <c r="J22" s="81"/>
    </row>
    <row r="23" spans="1:10" ht="13" customHeight="1" x14ac:dyDescent="0.35">
      <c r="A23" s="171"/>
      <c r="B23" s="101"/>
      <c r="C23" s="102"/>
      <c r="D23" s="103"/>
      <c r="E23" s="103"/>
      <c r="F23" s="94"/>
      <c r="G23" s="94"/>
      <c r="H23" s="94"/>
      <c r="I23" s="94"/>
      <c r="J23" s="17"/>
    </row>
    <row r="24" spans="1:10" s="58" customFormat="1" ht="13" customHeight="1" x14ac:dyDescent="0.35">
      <c r="A24" s="77"/>
      <c r="B24" s="70"/>
      <c r="C24" s="71"/>
      <c r="D24" s="72"/>
      <c r="E24" s="72"/>
      <c r="F24" s="73"/>
      <c r="G24" s="73"/>
      <c r="H24" s="73"/>
      <c r="I24" s="73"/>
      <c r="J24" s="81"/>
    </row>
    <row r="25" spans="1:10" ht="13" customHeight="1" x14ac:dyDescent="0.35">
      <c r="A25" s="77"/>
      <c r="B25" s="70"/>
      <c r="C25" s="71"/>
      <c r="D25" s="72"/>
      <c r="E25" s="72"/>
      <c r="F25" s="73"/>
      <c r="G25" s="73"/>
      <c r="H25" s="73"/>
      <c r="I25" s="73"/>
      <c r="J25" s="17"/>
    </row>
    <row r="26" spans="1:10" ht="13" customHeight="1" x14ac:dyDescent="0.35">
      <c r="A26" s="77"/>
      <c r="B26" s="70"/>
      <c r="C26" s="71"/>
      <c r="D26" s="72"/>
      <c r="E26" s="72"/>
      <c r="F26" s="73"/>
      <c r="G26" s="73"/>
      <c r="H26" s="73"/>
      <c r="I26" s="73"/>
      <c r="J26" s="17"/>
    </row>
    <row r="27" spans="1:10" ht="13" customHeight="1" x14ac:dyDescent="0.35">
      <c r="A27" s="77"/>
      <c r="B27" s="70"/>
      <c r="C27" s="71"/>
      <c r="D27" s="72"/>
      <c r="E27" s="72"/>
      <c r="F27" s="73"/>
      <c r="G27" s="73"/>
      <c r="H27" s="73"/>
      <c r="I27" s="73"/>
      <c r="J27" s="17"/>
    </row>
    <row r="28" spans="1:10" ht="13" customHeight="1" x14ac:dyDescent="0.35">
      <c r="A28" s="77"/>
      <c r="B28" s="70"/>
      <c r="C28" s="71"/>
      <c r="D28" s="72"/>
      <c r="E28" s="72"/>
      <c r="F28" s="73"/>
      <c r="G28" s="73"/>
      <c r="H28" s="73"/>
      <c r="I28" s="73"/>
      <c r="J28" s="17"/>
    </row>
    <row r="29" spans="1:10" ht="13" customHeight="1" x14ac:dyDescent="0.35">
      <c r="A29" s="77"/>
      <c r="B29" s="70"/>
      <c r="C29" s="71"/>
      <c r="D29" s="72"/>
      <c r="E29" s="72"/>
      <c r="F29" s="73"/>
      <c r="G29" s="73"/>
      <c r="H29" s="73"/>
      <c r="I29" s="73"/>
      <c r="J29" s="17"/>
    </row>
    <row r="30" spans="1:10" ht="13" customHeight="1" x14ac:dyDescent="0.35">
      <c r="A30" s="77"/>
      <c r="B30" s="70"/>
      <c r="C30" s="71"/>
      <c r="D30" s="72"/>
      <c r="E30" s="72"/>
      <c r="F30" s="73"/>
      <c r="G30" s="73"/>
      <c r="H30" s="73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3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3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80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1"/>
      <c r="D46" s="72"/>
      <c r="E46" s="72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1"/>
      <c r="D47" s="72"/>
      <c r="E47" s="72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1"/>
      <c r="D48" s="72"/>
      <c r="E48" s="72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1"/>
      <c r="D49" s="72"/>
      <c r="E49" s="72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1"/>
      <c r="D50" s="72"/>
      <c r="E50" s="72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1"/>
      <c r="D51" s="72"/>
      <c r="E51" s="72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1"/>
      <c r="D52" s="72"/>
      <c r="E52" s="72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1"/>
      <c r="D53" s="72"/>
      <c r="E53" s="72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6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3"/>
  </sheetPr>
  <dimension ref="A1:K54"/>
  <sheetViews>
    <sheetView topLeftCell="A7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32</v>
      </c>
      <c r="C6" s="880" t="s">
        <v>155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401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>+C9+SUMIF($C$20:$C$31,K9,$D$20:$D$31)</f>
        <v>0</v>
      </c>
      <c r="E9" s="114">
        <f t="shared" ref="E9:E15" si="0">+D9+SUMIF($C$20:$C$51,K9,$E$20:$E$51)</f>
        <v>0</v>
      </c>
      <c r="F9" s="396">
        <f t="shared" ref="F9:F15" si="1">+E9+SUMIF($C$20:$C$51,K9,$F$20:$F$51)</f>
        <v>0</v>
      </c>
      <c r="G9" s="33">
        <f t="shared" ref="G9:G15" si="2">+F9+SUMIF($C$20:$C$51,K9,$G$20:$G$51)</f>
        <v>0</v>
      </c>
      <c r="H9" s="219">
        <f t="shared" ref="H9:H15" si="3">+G9+SUMIF($C$20:$C$51,K9,$H$20:$H$51)</f>
        <v>0</v>
      </c>
      <c r="I9" s="50">
        <f t="shared" ref="I9:I15" si="4">+H9+SUMIF($C$20:$C$51,K9,$I$20:$I$51)</f>
        <v>0</v>
      </c>
      <c r="K9" s="7">
        <v>100</v>
      </c>
    </row>
    <row r="10" spans="1:11" x14ac:dyDescent="0.35">
      <c r="A10" s="10" t="s">
        <v>5</v>
      </c>
      <c r="B10" s="42">
        <f>1654666+4000000</f>
        <v>5654666</v>
      </c>
      <c r="C10" s="35">
        <v>3015000</v>
      </c>
      <c r="D10" s="222">
        <f>+C10+SUMIF($C$20:$C$31,K10,$D$20:$D$31)</f>
        <v>3015000</v>
      </c>
      <c r="E10" s="506">
        <f t="shared" si="0"/>
        <v>3015000</v>
      </c>
      <c r="F10" s="504">
        <f t="shared" si="1"/>
        <v>13015000</v>
      </c>
      <c r="G10" s="35">
        <f t="shared" si="2"/>
        <v>13015000</v>
      </c>
      <c r="H10" s="222">
        <f t="shared" si="3"/>
        <v>13015000</v>
      </c>
      <c r="I10" s="36">
        <f t="shared" si="4"/>
        <v>13015000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ref="D11:D15" si="5">+C11+SUMIF($C$20:$C$31,K11,$D$20:$D$31)</f>
        <v>0</v>
      </c>
      <c r="E11" s="114">
        <f t="shared" si="0"/>
        <v>0</v>
      </c>
      <c r="F11" s="396">
        <f t="shared" si="1"/>
        <v>0</v>
      </c>
      <c r="G11" s="33">
        <f t="shared" si="2"/>
        <v>0</v>
      </c>
      <c r="H11" s="219">
        <f t="shared" si="3"/>
        <v>0</v>
      </c>
      <c r="I11" s="34">
        <f t="shared" si="4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5"/>
        <v>0</v>
      </c>
      <c r="E12" s="506">
        <f t="shared" si="0"/>
        <v>0</v>
      </c>
      <c r="F12" s="504">
        <f t="shared" si="1"/>
        <v>0</v>
      </c>
      <c r="G12" s="35">
        <f t="shared" si="2"/>
        <v>0</v>
      </c>
      <c r="H12" s="222">
        <f t="shared" si="3"/>
        <v>0</v>
      </c>
      <c r="I12" s="36">
        <f t="shared" si="4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5"/>
        <v>0</v>
      </c>
      <c r="E13" s="114">
        <f t="shared" si="0"/>
        <v>0</v>
      </c>
      <c r="F13" s="396">
        <f t="shared" si="1"/>
        <v>0</v>
      </c>
      <c r="G13" s="33">
        <f t="shared" si="2"/>
        <v>0</v>
      </c>
      <c r="H13" s="219">
        <f t="shared" si="3"/>
        <v>0</v>
      </c>
      <c r="I13" s="34">
        <f t="shared" si="4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5"/>
        <v>0</v>
      </c>
      <c r="E14" s="506">
        <f t="shared" si="0"/>
        <v>0</v>
      </c>
      <c r="F14" s="504">
        <f t="shared" si="1"/>
        <v>0</v>
      </c>
      <c r="G14" s="35">
        <f t="shared" si="2"/>
        <v>0</v>
      </c>
      <c r="H14" s="222">
        <f t="shared" si="3"/>
        <v>0</v>
      </c>
      <c r="I14" s="36">
        <f t="shared" si="4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5"/>
        <v>0</v>
      </c>
      <c r="E15" s="507">
        <f t="shared" si="0"/>
        <v>0</v>
      </c>
      <c r="F15" s="505">
        <f t="shared" si="1"/>
        <v>0</v>
      </c>
      <c r="G15" s="37">
        <f t="shared" si="2"/>
        <v>0</v>
      </c>
      <c r="H15" s="223">
        <f t="shared" si="3"/>
        <v>0</v>
      </c>
      <c r="I15" s="38">
        <f t="shared" si="4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5654666</v>
      </c>
      <c r="C16" s="39">
        <f t="shared" ref="C16:I16" si="6">SUM(C9:C15)</f>
        <v>3015000</v>
      </c>
      <c r="D16" s="39">
        <f t="shared" si="6"/>
        <v>3015000</v>
      </c>
      <c r="E16" s="529">
        <f t="shared" si="6"/>
        <v>3015000</v>
      </c>
      <c r="F16" s="39">
        <f t="shared" si="6"/>
        <v>13015000</v>
      </c>
      <c r="G16" s="39">
        <f t="shared" si="6"/>
        <v>13015000</v>
      </c>
      <c r="H16" s="39">
        <f t="shared" si="6"/>
        <v>13015000</v>
      </c>
      <c r="I16" s="39">
        <f t="shared" si="6"/>
        <v>13015000</v>
      </c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8"/>
      <c r="C20" s="71"/>
      <c r="D20" s="72"/>
      <c r="E20" s="72"/>
      <c r="F20" s="72"/>
      <c r="G20" s="72"/>
      <c r="H20" s="72"/>
      <c r="I20" s="73"/>
    </row>
    <row r="21" spans="1:10" ht="13" customHeight="1" x14ac:dyDescent="0.35">
      <c r="A21" s="580" t="s">
        <v>428</v>
      </c>
      <c r="B21" s="84"/>
      <c r="C21" s="67"/>
      <c r="D21" s="68"/>
      <c r="E21" s="68"/>
      <c r="F21" s="68"/>
      <c r="G21" s="69"/>
      <c r="H21" s="69"/>
      <c r="I21" s="69"/>
      <c r="J21" s="17"/>
    </row>
    <row r="22" spans="1:10" ht="13" customHeight="1" x14ac:dyDescent="0.35">
      <c r="A22" s="314" t="s">
        <v>576</v>
      </c>
      <c r="B22" s="78"/>
      <c r="C22" s="71">
        <v>200</v>
      </c>
      <c r="D22" s="72"/>
      <c r="E22" s="72"/>
      <c r="F22" s="72">
        <v>5000000</v>
      </c>
      <c r="G22" s="73"/>
      <c r="H22" s="73"/>
      <c r="I22" s="73"/>
      <c r="J22" s="17"/>
    </row>
    <row r="23" spans="1:10" ht="13" customHeight="1" x14ac:dyDescent="0.35">
      <c r="A23" s="745" t="s">
        <v>466</v>
      </c>
      <c r="B23" s="143"/>
      <c r="C23" s="745">
        <v>200</v>
      </c>
      <c r="D23" s="143"/>
      <c r="E23" s="69"/>
      <c r="F23" s="69">
        <v>5000000</v>
      </c>
      <c r="G23" s="69"/>
      <c r="H23" s="69"/>
      <c r="I23" s="69"/>
      <c r="J23" s="17"/>
    </row>
    <row r="24" spans="1:10" ht="12.75" customHeight="1" x14ac:dyDescent="0.35">
      <c r="A24" s="314"/>
      <c r="B24" s="78"/>
      <c r="C24" s="71"/>
      <c r="D24" s="72"/>
      <c r="E24" s="94"/>
      <c r="F24" s="94"/>
      <c r="G24" s="94"/>
      <c r="H24" s="94"/>
      <c r="I24" s="94"/>
      <c r="J24" s="17"/>
    </row>
    <row r="25" spans="1:10" ht="12.75" customHeight="1" x14ac:dyDescent="0.35">
      <c r="A25" s="745"/>
      <c r="B25" s="143"/>
      <c r="C25" s="745"/>
      <c r="D25" s="143"/>
      <c r="E25" s="69"/>
      <c r="F25" s="69"/>
      <c r="G25" s="69"/>
      <c r="H25" s="69"/>
      <c r="I25" s="69"/>
      <c r="J25" s="17"/>
    </row>
    <row r="26" spans="1:10" ht="12.75" customHeight="1" x14ac:dyDescent="0.35">
      <c r="A26" s="768"/>
      <c r="B26" s="78"/>
      <c r="C26" s="793"/>
      <c r="D26" s="72"/>
      <c r="E26" s="72"/>
      <c r="F26" s="72"/>
      <c r="G26" s="73"/>
      <c r="H26" s="73"/>
      <c r="I26" s="73"/>
      <c r="J26" s="17"/>
    </row>
    <row r="27" spans="1:10" ht="12.75" customHeight="1" x14ac:dyDescent="0.35">
      <c r="A27" s="745"/>
      <c r="B27" s="143"/>
      <c r="C27" s="745"/>
      <c r="D27" s="143"/>
      <c r="E27" s="69"/>
      <c r="F27" s="69"/>
      <c r="G27" s="69"/>
      <c r="H27" s="69"/>
      <c r="I27" s="69"/>
      <c r="J27" s="17"/>
    </row>
    <row r="28" spans="1:10" ht="12.75" customHeight="1" x14ac:dyDescent="0.35">
      <c r="A28" s="768"/>
      <c r="B28" s="78"/>
      <c r="C28" s="793"/>
      <c r="D28" s="72"/>
      <c r="E28" s="72"/>
      <c r="F28" s="72"/>
      <c r="G28" s="73"/>
      <c r="H28" s="73"/>
      <c r="I28" s="73"/>
      <c r="J28" s="17"/>
    </row>
    <row r="29" spans="1:10" ht="12.75" customHeight="1" x14ac:dyDescent="0.35">
      <c r="A29" s="745"/>
      <c r="B29" s="143"/>
      <c r="C29" s="745"/>
      <c r="D29" s="143"/>
      <c r="E29" s="69"/>
      <c r="F29" s="69"/>
      <c r="G29" s="69"/>
      <c r="H29" s="69"/>
      <c r="I29" s="69"/>
      <c r="J29" s="17"/>
    </row>
    <row r="30" spans="1:10" ht="12.5" customHeight="1" x14ac:dyDescent="0.35">
      <c r="A30" s="768"/>
      <c r="B30" s="78"/>
      <c r="C30" s="793"/>
      <c r="D30" s="72"/>
      <c r="E30" s="72"/>
      <c r="F30" s="72"/>
      <c r="G30" s="73"/>
      <c r="H30" s="73"/>
      <c r="I30" s="73"/>
      <c r="J30" s="17"/>
    </row>
    <row r="31" spans="1:10" ht="12.75" customHeight="1" x14ac:dyDescent="0.35">
      <c r="A31" s="745"/>
      <c r="B31" s="143"/>
      <c r="C31" s="745"/>
      <c r="D31" s="143"/>
      <c r="E31" s="69"/>
      <c r="F31" s="69"/>
      <c r="G31" s="69"/>
      <c r="H31" s="69"/>
      <c r="I31" s="69"/>
      <c r="J31" s="17"/>
    </row>
    <row r="32" spans="1:10" ht="12.75" customHeight="1" x14ac:dyDescent="0.35">
      <c r="A32" s="768"/>
      <c r="B32" s="78"/>
      <c r="C32" s="71"/>
      <c r="D32" s="72"/>
      <c r="E32" s="72"/>
      <c r="F32" s="72"/>
      <c r="G32" s="73"/>
      <c r="H32" s="73"/>
      <c r="I32" s="73"/>
      <c r="J32" s="17"/>
    </row>
    <row r="33" spans="1:10" ht="12.75" customHeight="1" x14ac:dyDescent="0.35">
      <c r="A33" s="474"/>
      <c r="B33" s="143"/>
      <c r="C33" s="745"/>
      <c r="D33" s="143"/>
      <c r="E33" s="69"/>
      <c r="F33" s="69"/>
      <c r="G33" s="69"/>
      <c r="H33" s="69"/>
      <c r="I33" s="69"/>
      <c r="J33" s="17"/>
    </row>
    <row r="34" spans="1:10" ht="12.75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2.75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2.75" customHeight="1" x14ac:dyDescent="0.35">
      <c r="A37" s="79"/>
      <c r="B37" s="78"/>
      <c r="C37" s="71"/>
      <c r="D37" s="72"/>
      <c r="E37" s="72"/>
      <c r="F37" s="72"/>
      <c r="G37" s="72"/>
      <c r="H37" s="73"/>
      <c r="I37" s="73"/>
      <c r="J37" s="17"/>
    </row>
    <row r="38" spans="1:10" ht="12.75" customHeight="1" x14ac:dyDescent="0.35">
      <c r="A38" s="80"/>
      <c r="B38" s="70"/>
      <c r="C38" s="71"/>
      <c r="D38" s="72"/>
      <c r="E38" s="72"/>
      <c r="F38" s="73"/>
      <c r="G38" s="73"/>
      <c r="H38" s="73"/>
      <c r="I38" s="73"/>
      <c r="J38" s="17"/>
    </row>
    <row r="39" spans="1:10" ht="12.75" customHeight="1" x14ac:dyDescent="0.35">
      <c r="A39" s="77"/>
      <c r="B39" s="70"/>
      <c r="C39" s="71"/>
      <c r="D39" s="72"/>
      <c r="E39" s="72"/>
      <c r="F39" s="73"/>
      <c r="G39" s="73"/>
      <c r="H39" s="73"/>
      <c r="I39" s="73"/>
      <c r="J39" s="17"/>
    </row>
    <row r="40" spans="1:10" ht="12.75" customHeight="1" x14ac:dyDescent="0.35">
      <c r="A40" s="77"/>
      <c r="B40" s="70"/>
      <c r="C40" s="71"/>
      <c r="D40" s="72"/>
      <c r="E40" s="72"/>
      <c r="F40" s="73"/>
      <c r="G40" s="73"/>
      <c r="H40" s="73"/>
      <c r="I40" s="73"/>
      <c r="J40" s="17"/>
    </row>
    <row r="41" spans="1:10" ht="12.75" customHeight="1" x14ac:dyDescent="0.35">
      <c r="A41" s="77"/>
      <c r="B41" s="70"/>
      <c r="C41" s="71"/>
      <c r="D41" s="72"/>
      <c r="E41" s="72"/>
      <c r="F41" s="73"/>
      <c r="G41" s="73"/>
      <c r="H41" s="73"/>
      <c r="I41" s="73"/>
      <c r="J41" s="17"/>
    </row>
    <row r="42" spans="1:10" ht="12.75" customHeight="1" x14ac:dyDescent="0.35">
      <c r="A42" s="77"/>
      <c r="B42" s="70"/>
      <c r="C42" s="71"/>
      <c r="D42" s="72"/>
      <c r="E42" s="72"/>
      <c r="F42" s="73"/>
      <c r="G42" s="73"/>
      <c r="H42" s="73"/>
      <c r="I42" s="73"/>
      <c r="J42" s="17"/>
    </row>
    <row r="43" spans="1:10" ht="12.75" customHeight="1" x14ac:dyDescent="0.35">
      <c r="A43" s="77"/>
      <c r="B43" s="70"/>
      <c r="C43" s="71"/>
      <c r="D43" s="72"/>
      <c r="E43" s="72"/>
      <c r="F43" s="73"/>
      <c r="G43" s="73"/>
      <c r="H43" s="73"/>
      <c r="I43" s="73"/>
      <c r="J43" s="17"/>
    </row>
    <row r="44" spans="1:10" ht="12.75" customHeight="1" x14ac:dyDescent="0.35">
      <c r="A44" s="77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2.75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2.75" customHeight="1" x14ac:dyDescent="0.35">
      <c r="A46" s="77"/>
      <c r="B46" s="70"/>
      <c r="C46" s="71"/>
      <c r="D46" s="72"/>
      <c r="E46" s="72"/>
      <c r="F46" s="73"/>
      <c r="G46" s="73"/>
      <c r="H46" s="73"/>
      <c r="I46" s="73"/>
      <c r="J46" s="17"/>
    </row>
    <row r="47" spans="1:10" ht="12.75" customHeight="1" x14ac:dyDescent="0.35">
      <c r="A47" s="77"/>
      <c r="B47" s="70"/>
      <c r="C47" s="71"/>
      <c r="D47" s="72"/>
      <c r="E47" s="72"/>
      <c r="F47" s="73"/>
      <c r="G47" s="73"/>
      <c r="H47" s="73"/>
      <c r="I47" s="73"/>
      <c r="J47" s="17"/>
    </row>
    <row r="48" spans="1:10" ht="12.75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2.75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2.75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6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K55"/>
  <sheetViews>
    <sheetView topLeftCell="A5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1">
        <v>69</v>
      </c>
      <c r="C6" s="880" t="s">
        <v>154</v>
      </c>
      <c r="D6" s="880"/>
      <c r="E6" s="880"/>
      <c r="F6" s="880"/>
      <c r="G6" s="880"/>
      <c r="H6" s="880"/>
      <c r="I6" s="880"/>
    </row>
    <row r="7" spans="1:11" ht="15" thickBot="1" x14ac:dyDescent="0.4">
      <c r="E7" s="429"/>
      <c r="F7" s="429"/>
      <c r="G7" s="429"/>
      <c r="H7" s="429"/>
      <c r="I7" s="429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38029618</v>
      </c>
      <c r="C9" s="33">
        <v>30262904</v>
      </c>
      <c r="D9" s="219">
        <f>+C9+SUMIF($C$20:$C$43,K9,$D$20:$D$43)</f>
        <v>36562904</v>
      </c>
      <c r="E9" s="114">
        <f t="shared" ref="E9:E15" si="0">+D9+SUMIF($C$20:$C$51,K9,$E$20:$E$51)</f>
        <v>36562904</v>
      </c>
      <c r="F9" s="396">
        <f t="shared" ref="F9:F15" si="1">+E9+SUMIF($C$20:$C$51,K9,$F$20:$F$51)</f>
        <v>36562904</v>
      </c>
      <c r="G9" s="33">
        <f t="shared" ref="G9:G15" si="2">+F9+SUMIF($C$20:$C$51,K9,$G$20:$G$51)</f>
        <v>36562904</v>
      </c>
      <c r="H9" s="219">
        <f t="shared" ref="H9:H15" si="3">+G9+SUMIF($C$20:$C$51,K9,$H$20:$H$51)</f>
        <v>36562904</v>
      </c>
      <c r="I9" s="50">
        <f t="shared" ref="I9:I15" si="4">+H9+SUMIF($C$20:$C$51,K9,$I$20:$I$51)</f>
        <v>36562904</v>
      </c>
      <c r="K9" s="7">
        <v>100</v>
      </c>
    </row>
    <row r="10" spans="1:11" x14ac:dyDescent="0.35">
      <c r="A10" s="10" t="s">
        <v>5</v>
      </c>
      <c r="B10" s="35">
        <v>3702006</v>
      </c>
      <c r="C10" s="35">
        <v>2693738</v>
      </c>
      <c r="D10" s="222">
        <f ca="1">+C10+SUMIF($C$20:$C$43,K10,$D$20:$D$42)</f>
        <v>3343738</v>
      </c>
      <c r="E10" s="506">
        <f t="shared" ca="1" si="0"/>
        <v>3343738</v>
      </c>
      <c r="F10" s="504">
        <f t="shared" ca="1" si="1"/>
        <v>3343738</v>
      </c>
      <c r="G10" s="35">
        <f t="shared" ca="1" si="2"/>
        <v>3343738</v>
      </c>
      <c r="H10" s="222">
        <f t="shared" ca="1" si="3"/>
        <v>3343738</v>
      </c>
      <c r="I10" s="36">
        <f t="shared" ca="1" si="4"/>
        <v>3343738</v>
      </c>
      <c r="K10" s="7">
        <v>200</v>
      </c>
    </row>
    <row r="11" spans="1:11" x14ac:dyDescent="0.35">
      <c r="A11" s="9" t="s">
        <v>6</v>
      </c>
      <c r="B11" s="33">
        <f>472826+163451</f>
        <v>636277</v>
      </c>
      <c r="C11" s="33">
        <v>420017</v>
      </c>
      <c r="D11" s="219">
        <f>+C11+SUMIF($C$20:$C$43,K11,$D$20:$D$43)</f>
        <v>525017</v>
      </c>
      <c r="E11" s="114">
        <f t="shared" si="0"/>
        <v>525017</v>
      </c>
      <c r="F11" s="396">
        <f t="shared" si="1"/>
        <v>525017</v>
      </c>
      <c r="G11" s="33">
        <f t="shared" si="2"/>
        <v>525017</v>
      </c>
      <c r="H11" s="219">
        <f t="shared" si="3"/>
        <v>525017</v>
      </c>
      <c r="I11" s="34">
        <f t="shared" si="4"/>
        <v>525017</v>
      </c>
      <c r="K11" s="7" t="s">
        <v>167</v>
      </c>
    </row>
    <row r="12" spans="1:11" x14ac:dyDescent="0.35">
      <c r="A12" s="10" t="s">
        <v>7</v>
      </c>
      <c r="B12" s="35">
        <v>2913759</v>
      </c>
      <c r="C12" s="35">
        <v>0</v>
      </c>
      <c r="D12" s="222">
        <f t="shared" ref="D12:D15" si="5">+C12+SUMIF($C$20:$C$31,K12,$D$20:$D$31)</f>
        <v>0</v>
      </c>
      <c r="E12" s="506">
        <f t="shared" si="0"/>
        <v>0</v>
      </c>
      <c r="F12" s="504">
        <f t="shared" si="1"/>
        <v>0</v>
      </c>
      <c r="G12" s="35">
        <f t="shared" si="2"/>
        <v>0</v>
      </c>
      <c r="H12" s="222">
        <f t="shared" si="3"/>
        <v>0</v>
      </c>
      <c r="I12" s="36">
        <f t="shared" si="4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5"/>
        <v>0</v>
      </c>
      <c r="E13" s="114">
        <f t="shared" si="0"/>
        <v>0</v>
      </c>
      <c r="F13" s="396">
        <f t="shared" si="1"/>
        <v>0</v>
      </c>
      <c r="G13" s="33">
        <f t="shared" si="2"/>
        <v>0</v>
      </c>
      <c r="H13" s="219">
        <f t="shared" si="3"/>
        <v>0</v>
      </c>
      <c r="I13" s="34">
        <f t="shared" si="4"/>
        <v>0</v>
      </c>
      <c r="K13" s="7">
        <v>700</v>
      </c>
    </row>
    <row r="14" spans="1:11" x14ac:dyDescent="0.35">
      <c r="A14" s="10" t="s">
        <v>9</v>
      </c>
      <c r="B14" s="48">
        <v>0</v>
      </c>
      <c r="C14" s="35">
        <v>0</v>
      </c>
      <c r="D14" s="222">
        <f t="shared" si="5"/>
        <v>0</v>
      </c>
      <c r="E14" s="506">
        <f t="shared" si="0"/>
        <v>0</v>
      </c>
      <c r="F14" s="504">
        <f t="shared" si="1"/>
        <v>0</v>
      </c>
      <c r="G14" s="35">
        <f t="shared" si="2"/>
        <v>0</v>
      </c>
      <c r="H14" s="222">
        <f t="shared" si="3"/>
        <v>0</v>
      </c>
      <c r="I14" s="36">
        <f t="shared" si="4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5"/>
        <v>0</v>
      </c>
      <c r="E15" s="507">
        <f t="shared" si="0"/>
        <v>0</v>
      </c>
      <c r="F15" s="505">
        <f t="shared" si="1"/>
        <v>0</v>
      </c>
      <c r="G15" s="37">
        <f t="shared" si="2"/>
        <v>0</v>
      </c>
      <c r="H15" s="223">
        <f t="shared" si="3"/>
        <v>0</v>
      </c>
      <c r="I15" s="38">
        <f t="shared" si="4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45281660</v>
      </c>
      <c r="C16" s="39">
        <f t="shared" ref="C16:I16" si="6">SUM(C9:C15)</f>
        <v>33376659</v>
      </c>
      <c r="D16" s="39">
        <f t="shared" ca="1" si="6"/>
        <v>40431659</v>
      </c>
      <c r="E16" s="530">
        <f t="shared" ca="1" si="6"/>
        <v>40431659</v>
      </c>
      <c r="F16" s="327">
        <f t="shared" ca="1" si="6"/>
        <v>40431659</v>
      </c>
      <c r="G16" s="327">
        <f t="shared" ca="1" si="6"/>
        <v>40431659</v>
      </c>
      <c r="H16" s="327">
        <f t="shared" ca="1" si="6"/>
        <v>40431659</v>
      </c>
      <c r="I16" s="327">
        <f t="shared" ca="1" si="6"/>
        <v>40431659</v>
      </c>
    </row>
    <row r="17" spans="1:10" x14ac:dyDescent="0.35">
      <c r="B17" s="17"/>
      <c r="D17" s="444"/>
      <c r="E17" s="445"/>
      <c r="F17" s="52"/>
      <c r="G17" s="52"/>
      <c r="H17" s="52"/>
      <c r="I17" s="52"/>
    </row>
    <row r="18" spans="1:10" x14ac:dyDescent="0.35">
      <c r="D18" s="444"/>
      <c r="E18" s="445">
        <f ca="1">+E16-D16</f>
        <v>0</v>
      </c>
      <c r="F18" s="52"/>
      <c r="G18" s="52"/>
      <c r="H18" s="52"/>
      <c r="I18" s="52"/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387</v>
      </c>
      <c r="B20" s="70"/>
      <c r="C20" s="71"/>
      <c r="D20" s="72"/>
      <c r="E20" s="103"/>
      <c r="F20" s="103"/>
      <c r="G20" s="94"/>
      <c r="H20" s="94"/>
      <c r="I20" s="94"/>
    </row>
    <row r="21" spans="1:10" ht="13" customHeight="1" x14ac:dyDescent="0.35">
      <c r="A21" s="387" t="s">
        <v>487</v>
      </c>
      <c r="B21" s="66"/>
      <c r="C21" s="67"/>
      <c r="D21" s="68"/>
      <c r="E21" s="142"/>
      <c r="F21" s="142"/>
      <c r="G21" s="142"/>
      <c r="H21" s="142"/>
      <c r="I21" s="142"/>
      <c r="J21" s="17"/>
    </row>
    <row r="22" spans="1:10" s="58" customFormat="1" ht="13" customHeight="1" x14ac:dyDescent="0.35">
      <c r="A22" s="699" t="s">
        <v>556</v>
      </c>
      <c r="B22" s="167"/>
      <c r="C22" s="71">
        <v>100</v>
      </c>
      <c r="D22" s="72"/>
      <c r="E22" s="94"/>
      <c r="F22" s="94">
        <v>7503269</v>
      </c>
      <c r="G22" s="200"/>
      <c r="H22" s="94"/>
      <c r="I22" s="94"/>
      <c r="J22" s="81"/>
    </row>
    <row r="23" spans="1:10" ht="13" customHeight="1" x14ac:dyDescent="0.35">
      <c r="A23" s="193" t="s">
        <v>557</v>
      </c>
      <c r="B23" s="66"/>
      <c r="C23" s="711">
        <v>200</v>
      </c>
      <c r="D23" s="68"/>
      <c r="E23" s="142"/>
      <c r="F23" s="142">
        <v>673434</v>
      </c>
      <c r="G23" s="196"/>
      <c r="H23" s="142"/>
      <c r="I23" s="142"/>
      <c r="J23" s="17"/>
    </row>
    <row r="24" spans="1:10" ht="13" customHeight="1" x14ac:dyDescent="0.35">
      <c r="A24" s="746" t="s">
        <v>558</v>
      </c>
      <c r="B24" s="70"/>
      <c r="C24" s="71" t="s">
        <v>167</v>
      </c>
      <c r="D24" s="72"/>
      <c r="E24" s="94"/>
      <c r="F24" s="94">
        <v>105004</v>
      </c>
      <c r="G24" s="94"/>
      <c r="H24" s="94"/>
      <c r="I24" s="94"/>
      <c r="J24" s="17"/>
    </row>
    <row r="25" spans="1:10" ht="13" customHeight="1" x14ac:dyDescent="0.35">
      <c r="A25" s="474" t="s">
        <v>596</v>
      </c>
      <c r="B25" s="66"/>
      <c r="C25" s="67"/>
      <c r="D25" s="68"/>
      <c r="E25" s="68"/>
      <c r="F25" s="142"/>
      <c r="G25" s="142"/>
      <c r="H25" s="142"/>
      <c r="I25" s="142"/>
      <c r="J25" s="17"/>
    </row>
    <row r="26" spans="1:10" ht="13" customHeight="1" x14ac:dyDescent="0.35">
      <c r="A26" s="778" t="s">
        <v>613</v>
      </c>
      <c r="B26" s="70"/>
      <c r="C26" s="71">
        <v>100</v>
      </c>
      <c r="D26" s="777"/>
      <c r="E26" s="777"/>
      <c r="F26" s="94">
        <v>-7503269</v>
      </c>
      <c r="G26" s="94">
        <v>7503269</v>
      </c>
      <c r="H26" s="94"/>
      <c r="I26" s="94"/>
      <c r="J26" s="17"/>
    </row>
    <row r="27" spans="1:10" ht="13" customHeight="1" x14ac:dyDescent="0.35">
      <c r="A27" s="778"/>
      <c r="B27" s="84"/>
      <c r="C27" s="74">
        <v>200</v>
      </c>
      <c r="D27" s="777"/>
      <c r="E27" s="777"/>
      <c r="F27" s="142">
        <v>-673434</v>
      </c>
      <c r="G27" s="142">
        <v>673434</v>
      </c>
      <c r="H27" s="142"/>
      <c r="I27" s="142"/>
      <c r="J27" s="17"/>
    </row>
    <row r="28" spans="1:10" ht="13" customHeight="1" x14ac:dyDescent="0.35">
      <c r="A28" s="778"/>
      <c r="B28" s="70"/>
      <c r="C28" s="71" t="s">
        <v>167</v>
      </c>
      <c r="D28" s="777"/>
      <c r="E28" s="777"/>
      <c r="F28" s="94">
        <v>-105004</v>
      </c>
      <c r="G28" s="94">
        <v>105004</v>
      </c>
      <c r="H28" s="94"/>
      <c r="I28" s="94"/>
      <c r="J28" s="17"/>
    </row>
    <row r="29" spans="1:10" ht="13" customHeight="1" x14ac:dyDescent="0.35">
      <c r="A29" s="774" t="s">
        <v>648</v>
      </c>
      <c r="B29" s="66"/>
      <c r="C29" s="67"/>
      <c r="D29" s="68"/>
      <c r="E29" s="68"/>
      <c r="F29" s="142"/>
      <c r="G29" s="142"/>
      <c r="H29" s="142"/>
      <c r="I29" s="142"/>
      <c r="J29" s="17"/>
    </row>
    <row r="30" spans="1:10" ht="13" customHeight="1" x14ac:dyDescent="0.35">
      <c r="A30" s="778" t="s">
        <v>686</v>
      </c>
      <c r="B30" s="70"/>
      <c r="C30" s="71">
        <v>100</v>
      </c>
      <c r="D30" s="777">
        <v>3500000</v>
      </c>
      <c r="E30" s="777"/>
      <c r="F30" s="94"/>
      <c r="G30" s="94"/>
      <c r="H30" s="94"/>
      <c r="I30" s="94"/>
      <c r="J30" s="17"/>
    </row>
    <row r="31" spans="1:10" ht="13" customHeight="1" x14ac:dyDescent="0.35">
      <c r="A31" s="778" t="s">
        <v>688</v>
      </c>
      <c r="B31" s="84"/>
      <c r="C31" s="74">
        <v>200</v>
      </c>
      <c r="D31" s="777">
        <v>650000</v>
      </c>
      <c r="E31" s="777"/>
      <c r="F31" s="142"/>
      <c r="G31" s="142"/>
      <c r="H31" s="142"/>
      <c r="I31" s="142"/>
      <c r="J31" s="17"/>
    </row>
    <row r="32" spans="1:10" ht="13" customHeight="1" x14ac:dyDescent="0.35">
      <c r="A32" s="778" t="s">
        <v>687</v>
      </c>
      <c r="B32" s="70"/>
      <c r="C32" s="71" t="s">
        <v>167</v>
      </c>
      <c r="D32" s="777">
        <v>105000</v>
      </c>
      <c r="E32" s="777"/>
      <c r="F32" s="94"/>
      <c r="G32" s="94"/>
      <c r="H32" s="94"/>
      <c r="I32" s="94"/>
      <c r="J32" s="17"/>
    </row>
    <row r="33" spans="1:10" ht="13" customHeight="1" x14ac:dyDescent="0.35">
      <c r="A33" s="778" t="s">
        <v>747</v>
      </c>
      <c r="B33" s="84"/>
      <c r="C33" s="74">
        <v>100</v>
      </c>
      <c r="D33" s="777">
        <v>2800000</v>
      </c>
      <c r="E33" s="777"/>
      <c r="F33" s="142"/>
      <c r="G33" s="142"/>
      <c r="H33" s="142"/>
      <c r="I33" s="142"/>
      <c r="J33" s="17"/>
    </row>
    <row r="34" spans="1:10" ht="13" customHeight="1" x14ac:dyDescent="0.35">
      <c r="A34" s="779" t="s">
        <v>748</v>
      </c>
      <c r="B34" s="70"/>
      <c r="C34" s="71"/>
      <c r="D34" s="777"/>
      <c r="E34" s="777"/>
      <c r="F34" s="94"/>
      <c r="G34" s="94"/>
      <c r="H34" s="94"/>
      <c r="I34" s="94"/>
      <c r="J34" s="17"/>
    </row>
    <row r="35" spans="1:10" ht="13" customHeight="1" x14ac:dyDescent="0.35">
      <c r="A35" s="778" t="s">
        <v>853</v>
      </c>
      <c r="B35" s="84"/>
      <c r="C35" s="74">
        <v>100</v>
      </c>
      <c r="D35" s="777"/>
      <c r="E35" s="777"/>
      <c r="F35" s="142"/>
      <c r="G35" s="142">
        <v>-7503269</v>
      </c>
      <c r="H35" s="142"/>
      <c r="I35" s="142"/>
      <c r="J35" s="17"/>
    </row>
    <row r="36" spans="1:10" ht="12.75" customHeight="1" x14ac:dyDescent="0.35">
      <c r="A36" s="778"/>
      <c r="B36" s="70"/>
      <c r="C36" s="71">
        <v>200</v>
      </c>
      <c r="D36" s="777"/>
      <c r="E36" s="777"/>
      <c r="F36" s="94"/>
      <c r="G36" s="777">
        <v>-673434</v>
      </c>
      <c r="H36" s="94"/>
      <c r="I36" s="94"/>
      <c r="J36" s="17"/>
    </row>
    <row r="37" spans="1:10" ht="12.75" customHeight="1" x14ac:dyDescent="0.35">
      <c r="A37" s="778"/>
      <c r="B37" s="84"/>
      <c r="C37" s="751" t="s">
        <v>167</v>
      </c>
      <c r="D37" s="777"/>
      <c r="E37" s="777"/>
      <c r="F37" s="142"/>
      <c r="G37" s="777">
        <v>-105004</v>
      </c>
      <c r="H37" s="142"/>
      <c r="I37" s="142"/>
      <c r="J37" s="17"/>
    </row>
    <row r="38" spans="1:10" ht="12.75" customHeight="1" x14ac:dyDescent="0.35">
      <c r="A38" s="778"/>
      <c r="B38" s="70"/>
      <c r="C38" s="71"/>
      <c r="D38" s="777"/>
      <c r="E38" s="777"/>
      <c r="F38" s="94"/>
      <c r="G38" s="777"/>
      <c r="H38" s="94"/>
      <c r="I38" s="94"/>
      <c r="J38" s="17"/>
    </row>
    <row r="39" spans="1:10" ht="12.75" customHeight="1" x14ac:dyDescent="0.35">
      <c r="A39" s="778"/>
      <c r="B39" s="84"/>
      <c r="C39" s="74"/>
      <c r="D39" s="777"/>
      <c r="E39" s="777"/>
      <c r="F39" s="142"/>
      <c r="G39" s="142"/>
      <c r="H39" s="142"/>
      <c r="I39" s="142"/>
      <c r="J39" s="17"/>
    </row>
    <row r="40" spans="1:10" ht="12.75" customHeight="1" x14ac:dyDescent="0.35">
      <c r="A40" s="778"/>
      <c r="B40" s="70"/>
      <c r="C40" s="71"/>
      <c r="D40" s="777"/>
      <c r="E40" s="777"/>
      <c r="F40" s="94"/>
      <c r="G40" s="94"/>
      <c r="H40" s="94"/>
      <c r="I40" s="94"/>
      <c r="J40" s="17"/>
    </row>
    <row r="41" spans="1:10" ht="12.75" customHeight="1" x14ac:dyDescent="0.35">
      <c r="A41" s="778"/>
      <c r="B41" s="84"/>
      <c r="C41" s="74"/>
      <c r="D41" s="777"/>
      <c r="E41" s="777"/>
      <c r="F41" s="142"/>
      <c r="G41" s="142"/>
      <c r="H41" s="142"/>
      <c r="I41" s="142"/>
      <c r="J41" s="17"/>
    </row>
    <row r="42" spans="1:10" ht="12.75" customHeight="1" x14ac:dyDescent="0.35">
      <c r="A42" s="778"/>
      <c r="B42" s="70"/>
      <c r="C42" s="71"/>
      <c r="D42" s="777"/>
      <c r="E42" s="777"/>
      <c r="F42" s="94"/>
      <c r="G42" s="94"/>
      <c r="H42" s="94"/>
      <c r="I42" s="94"/>
      <c r="J42" s="17"/>
    </row>
    <row r="43" spans="1:10" ht="12.75" customHeight="1" x14ac:dyDescent="0.35">
      <c r="A43" s="778"/>
      <c r="B43" s="84"/>
      <c r="C43" s="74"/>
      <c r="D43" s="777"/>
      <c r="E43" s="777"/>
      <c r="F43" s="142"/>
      <c r="G43" s="142"/>
      <c r="H43" s="142"/>
      <c r="I43" s="142"/>
      <c r="J43" s="17"/>
    </row>
    <row r="44" spans="1:10" ht="12.75" customHeight="1" x14ac:dyDescent="0.35">
      <c r="A44" s="778"/>
      <c r="B44" s="70"/>
      <c r="C44" s="71"/>
      <c r="D44" s="777"/>
      <c r="E44" s="777"/>
      <c r="F44" s="94"/>
      <c r="G44" s="94"/>
      <c r="H44" s="94"/>
      <c r="I44" s="94"/>
      <c r="J44" s="17"/>
    </row>
    <row r="45" spans="1:10" ht="12.75" customHeight="1" x14ac:dyDescent="0.35">
      <c r="A45" s="448"/>
      <c r="B45" s="448"/>
      <c r="C45" s="448"/>
      <c r="D45" s="448"/>
      <c r="E45" s="448"/>
      <c r="F45" s="447"/>
      <c r="G45" s="447"/>
      <c r="H45" s="447"/>
      <c r="I45" s="73"/>
      <c r="J45" s="17"/>
    </row>
    <row r="46" spans="1:10" ht="12.75" customHeight="1" x14ac:dyDescent="0.35">
      <c r="A46" s="443"/>
      <c r="B46" s="449"/>
      <c r="C46" s="450"/>
      <c r="D46" s="447"/>
      <c r="E46" s="447"/>
      <c r="F46" s="447"/>
      <c r="G46" s="447"/>
      <c r="H46" s="447"/>
      <c r="I46" s="73"/>
      <c r="J46" s="17"/>
    </row>
    <row r="47" spans="1:10" ht="12.75" customHeight="1" x14ac:dyDescent="0.35">
      <c r="A47" s="443"/>
      <c r="B47" s="449"/>
      <c r="C47" s="450"/>
      <c r="D47" s="447"/>
      <c r="E47" s="447"/>
      <c r="F47" s="447"/>
      <c r="G47" s="447"/>
      <c r="H47" s="447"/>
      <c r="I47" s="73"/>
    </row>
    <row r="48" spans="1:10" ht="12.75" customHeight="1" x14ac:dyDescent="0.35">
      <c r="A48" s="448"/>
      <c r="B48" s="448"/>
      <c r="C48" s="448"/>
      <c r="D48" s="451"/>
      <c r="E48" s="451"/>
      <c r="F48" s="451"/>
      <c r="G48" s="451"/>
      <c r="H48" s="451"/>
      <c r="I48" s="82"/>
    </row>
    <row r="49" spans="1:9" ht="12.75" customHeight="1" x14ac:dyDescent="0.35">
      <c r="A49" s="448"/>
      <c r="B49" s="448"/>
      <c r="C49" s="448"/>
      <c r="D49" s="448"/>
      <c r="E49" s="448"/>
      <c r="F49" s="448"/>
      <c r="G49" s="448"/>
      <c r="H49" s="448"/>
      <c r="I49" s="58"/>
    </row>
    <row r="50" spans="1:9" ht="12.75" customHeight="1" x14ac:dyDescent="0.35">
      <c r="A50" s="448"/>
      <c r="B50" s="448"/>
      <c r="C50" s="448"/>
      <c r="D50" s="448"/>
      <c r="E50" s="448"/>
      <c r="F50" s="448"/>
      <c r="G50" s="448"/>
      <c r="H50" s="448"/>
      <c r="I50" s="58"/>
    </row>
    <row r="51" spans="1:9" x14ac:dyDescent="0.35">
      <c r="A51" s="448"/>
      <c r="B51" s="448"/>
      <c r="C51" s="448"/>
      <c r="D51" s="448"/>
      <c r="E51" s="448"/>
      <c r="F51" s="448"/>
      <c r="G51" s="448"/>
      <c r="H51" s="448"/>
      <c r="I51" s="58"/>
    </row>
    <row r="52" spans="1:9" x14ac:dyDescent="0.35">
      <c r="A52" s="435"/>
      <c r="B52" s="435"/>
      <c r="C52" s="435"/>
      <c r="D52" s="435"/>
      <c r="E52" s="435"/>
      <c r="F52" s="435"/>
      <c r="G52" s="435"/>
      <c r="H52" s="435"/>
    </row>
    <row r="53" spans="1:9" x14ac:dyDescent="0.35">
      <c r="A53" s="435"/>
      <c r="B53" s="435"/>
      <c r="C53" s="435"/>
      <c r="D53" s="435"/>
      <c r="E53" s="435"/>
      <c r="F53" s="435"/>
      <c r="G53" s="435"/>
      <c r="H53" s="435"/>
    </row>
    <row r="54" spans="1:9" x14ac:dyDescent="0.35">
      <c r="A54" s="435"/>
      <c r="B54" s="435"/>
      <c r="C54" s="435"/>
      <c r="D54" s="435"/>
      <c r="E54" s="435"/>
      <c r="F54" s="435"/>
      <c r="G54" s="435"/>
      <c r="H54" s="435"/>
    </row>
    <row r="55" spans="1:9" x14ac:dyDescent="0.35">
      <c r="A55" s="435"/>
      <c r="B55" s="435"/>
      <c r="C55" s="435"/>
      <c r="D55" s="435"/>
      <c r="E55" s="435"/>
      <c r="F55" s="435"/>
      <c r="G55" s="435"/>
      <c r="H55" s="435"/>
    </row>
  </sheetData>
  <mergeCells count="6">
    <mergeCell ref="A1:I1"/>
    <mergeCell ref="A2:I2"/>
    <mergeCell ref="A3:I3"/>
    <mergeCell ref="A4:I4"/>
    <mergeCell ref="C6:I6"/>
    <mergeCell ref="C5:I5"/>
  </mergeCells>
  <conditionalFormatting sqref="A26:A27">
    <cfRule type="expression" dxfId="259" priority="10">
      <formula>MOD(ROW(),2)=1</formula>
    </cfRule>
  </conditionalFormatting>
  <conditionalFormatting sqref="D26:E27">
    <cfRule type="expression" dxfId="258" priority="9">
      <formula>MOD(ROW(),2)=1</formula>
    </cfRule>
  </conditionalFormatting>
  <conditionalFormatting sqref="A28 A31:A44">
    <cfRule type="expression" dxfId="257" priority="6">
      <formula>MOD(ROW(),2)=1</formula>
    </cfRule>
  </conditionalFormatting>
  <conditionalFormatting sqref="D28:E28 D31:E44">
    <cfRule type="expression" dxfId="256" priority="5">
      <formula>MOD(ROW(),2)=1</formula>
    </cfRule>
  </conditionalFormatting>
  <conditionalFormatting sqref="A30">
    <cfRule type="expression" dxfId="255" priority="4">
      <formula>MOD(ROW(),2)=1</formula>
    </cfRule>
  </conditionalFormatting>
  <conditionalFormatting sqref="D30:E30">
    <cfRule type="expression" dxfId="254" priority="3">
      <formula>MOD(ROW(),2)=1</formula>
    </cfRule>
  </conditionalFormatting>
  <conditionalFormatting sqref="G36:G38">
    <cfRule type="expression" dxfId="253" priority="2">
      <formula>MOD(ROW(),2)=1</formula>
    </cfRule>
  </conditionalFormatting>
  <conditionalFormatting sqref="C9:I15">
    <cfRule type="cellIs" dxfId="25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theme="3"/>
  </sheetPr>
  <dimension ref="A1:Q106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7.453125" style="7" customWidth="1"/>
    <col min="2" max="9" width="14.54296875" style="7" customWidth="1"/>
    <col min="10" max="11" width="9.1796875" style="7"/>
    <col min="12" max="12" width="39.453125" style="7" bestFit="1" customWidth="1"/>
    <col min="13" max="17" width="9.1796875" style="7"/>
    <col min="18" max="18" width="10.54296875" style="7" bestFit="1" customWidth="1"/>
    <col min="19" max="20" width="9.1796875" style="7"/>
    <col min="21" max="21" width="10.54296875" style="7" bestFit="1" customWidth="1"/>
    <col min="22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35</v>
      </c>
      <c r="C6" s="880" t="s">
        <v>153</v>
      </c>
      <c r="D6" s="880"/>
      <c r="E6" s="880"/>
      <c r="F6" s="880"/>
      <c r="G6" s="880"/>
      <c r="H6" s="880"/>
      <c r="I6" s="880"/>
    </row>
    <row r="7" spans="1:11" ht="15" thickBot="1" x14ac:dyDescent="0.4">
      <c r="B7" s="479"/>
      <c r="C7" s="7" t="s">
        <v>575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1370163060-'35EB-Finance - Benefits'!N22-'35D-Finance Reg32'!B16+2038765-980784-513601+567023+966426+2053396-600000</f>
        <v>9222201</v>
      </c>
      <c r="C9" s="33">
        <v>10312396</v>
      </c>
      <c r="D9" s="219">
        <f t="shared" ref="D9:D15" si="0">+C9+SUMIF($C$20:$C$70,K9,$D$20:$D$70)</f>
        <v>8917135</v>
      </c>
      <c r="E9" s="114">
        <f t="shared" ref="E9:E15" si="1">+D9+SUMIF($C$20:$C$70,K9,$E$20:$E$70)</f>
        <v>9869056</v>
      </c>
      <c r="F9" s="396">
        <f t="shared" ref="F9:F15" si="2">+E9+SUMIF($C$20:$C$70,K9,$F$20:$F$70)</f>
        <v>9843256</v>
      </c>
      <c r="G9" s="33">
        <f t="shared" ref="G9:G15" si="3">+F9+SUMIF($C$20:$C$70,K9,$G$20:$G$70)</f>
        <v>9942398</v>
      </c>
      <c r="H9" s="219">
        <f t="shared" ref="H9:H15" si="4">+G9+SUMIF($C$20:$C$70,K9,$H$20:$H$70)</f>
        <v>10044514</v>
      </c>
      <c r="I9" s="50">
        <f t="shared" ref="I9:I15" si="5">+H9+SUMIF($C$20:$C$70,K9,$I$20:$I$70)</f>
        <v>10044514</v>
      </c>
      <c r="K9" s="7">
        <v>100</v>
      </c>
    </row>
    <row r="10" spans="1:11" x14ac:dyDescent="0.35">
      <c r="A10" s="10" t="s">
        <v>5</v>
      </c>
      <c r="B10" s="35">
        <f>3129535-'35W-Finance - Witness Fees'!B10+9438</f>
        <v>3044069</v>
      </c>
      <c r="C10" s="35">
        <v>2626660</v>
      </c>
      <c r="D10" s="222">
        <f t="shared" si="0"/>
        <v>3021921</v>
      </c>
      <c r="E10" s="506">
        <f t="shared" si="1"/>
        <v>3439267</v>
      </c>
      <c r="F10" s="504">
        <f t="shared" si="2"/>
        <v>3532304</v>
      </c>
      <c r="G10" s="35">
        <f t="shared" si="3"/>
        <v>3777536</v>
      </c>
      <c r="H10" s="222">
        <f t="shared" si="4"/>
        <v>4103713</v>
      </c>
      <c r="I10" s="36">
        <f t="shared" si="5"/>
        <v>4478817</v>
      </c>
      <c r="K10" s="7">
        <v>200</v>
      </c>
    </row>
    <row r="11" spans="1:11" x14ac:dyDescent="0.35">
      <c r="A11" s="9" t="s">
        <v>6</v>
      </c>
      <c r="B11" s="33">
        <f>40489+5752</f>
        <v>46241</v>
      </c>
      <c r="C11" s="33">
        <v>35616</v>
      </c>
      <c r="D11" s="219">
        <f t="shared" si="0"/>
        <v>35616</v>
      </c>
      <c r="E11" s="114">
        <f t="shared" si="1"/>
        <v>35616</v>
      </c>
      <c r="F11" s="396">
        <f t="shared" si="2"/>
        <v>35616</v>
      </c>
      <c r="G11" s="33">
        <f t="shared" si="3"/>
        <v>35616</v>
      </c>
      <c r="H11" s="219">
        <f t="shared" si="4"/>
        <v>35616</v>
      </c>
      <c r="I11" s="34">
        <f t="shared" si="5"/>
        <v>35616</v>
      </c>
      <c r="K11" s="7" t="s">
        <v>167</v>
      </c>
    </row>
    <row r="12" spans="1:11" x14ac:dyDescent="0.35">
      <c r="A12" s="10" t="s">
        <v>7</v>
      </c>
      <c r="B12" s="35">
        <f>268258137-'35CC-Finance - CCP'!B12-'35H-Finance - Hero'!B12-'35I-Finance - Indemnities'!B12-'35R-Finance - Refunds'!B12-'35SD-Finance-School District'!B12+609607+7238981-1</f>
        <v>5690466</v>
      </c>
      <c r="C12" s="35">
        <v>1250000</v>
      </c>
      <c r="D12" s="222">
        <f t="shared" si="0"/>
        <v>16495357</v>
      </c>
      <c r="E12" s="506">
        <f t="shared" si="1"/>
        <v>1415700</v>
      </c>
      <c r="F12" s="504">
        <f t="shared" si="2"/>
        <v>1900000</v>
      </c>
      <c r="G12" s="35">
        <f t="shared" si="3"/>
        <v>2400000</v>
      </c>
      <c r="H12" s="220">
        <f t="shared" si="4"/>
        <v>2700000</v>
      </c>
      <c r="I12" s="49">
        <f t="shared" si="5"/>
        <v>2400000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f>115561000-'35R-Finance - Pandemic Reserve'!B14-'35D-Finance Reg32'!B14-'35CC-Finance - CCP'!B14-'35BS-Finance-BudgetStabilizat''n'!B14-'35H-Finance - Hero'!B14-'35I-Finance - Indemnities'!B14-'35R-Finance - Refunds'!B14-'35SD-Finance-School District'!B14-'35W-Finance - Witness Fees'!B14</f>
        <v>81285000</v>
      </c>
      <c r="C14" s="35">
        <v>24500000</v>
      </c>
      <c r="D14" s="222">
        <f t="shared" si="0"/>
        <v>24500000</v>
      </c>
      <c r="E14" s="506">
        <f t="shared" si="1"/>
        <v>11360000</v>
      </c>
      <c r="F14" s="504">
        <f t="shared" si="2"/>
        <v>7730925</v>
      </c>
      <c r="G14" s="35">
        <f t="shared" si="3"/>
        <v>14174037</v>
      </c>
      <c r="H14" s="222">
        <f t="shared" si="4"/>
        <v>11665950</v>
      </c>
      <c r="I14" s="36">
        <f t="shared" si="5"/>
        <v>15352212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99287977</v>
      </c>
      <c r="C16" s="39">
        <f t="shared" ref="C16:I16" si="6">SUM(C9:C15)</f>
        <v>38724672</v>
      </c>
      <c r="D16" s="39">
        <f t="shared" si="6"/>
        <v>52970029</v>
      </c>
      <c r="E16" s="529">
        <f t="shared" si="6"/>
        <v>26119639</v>
      </c>
      <c r="F16" s="39">
        <f t="shared" si="6"/>
        <v>23042101</v>
      </c>
      <c r="G16" s="39">
        <f t="shared" si="6"/>
        <v>30329587</v>
      </c>
      <c r="H16" s="39">
        <f t="shared" si="6"/>
        <v>28549793</v>
      </c>
      <c r="I16" s="39">
        <f t="shared" si="6"/>
        <v>32311159</v>
      </c>
    </row>
    <row r="17" spans="1:10" x14ac:dyDescent="0.35">
      <c r="A17" s="96" t="s">
        <v>289</v>
      </c>
      <c r="F17" s="206"/>
      <c r="G17" s="206"/>
      <c r="H17" s="206"/>
      <c r="I17" s="206"/>
    </row>
    <row r="18" spans="1:10" x14ac:dyDescent="0.35">
      <c r="E18" s="400">
        <f>+E16-D16</f>
        <v>-26850390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366</v>
      </c>
      <c r="B20" s="70"/>
      <c r="C20" s="71"/>
      <c r="D20" s="72"/>
      <c r="E20" s="73"/>
      <c r="F20" s="73"/>
      <c r="G20" s="73"/>
      <c r="H20" s="73"/>
      <c r="I20" s="73"/>
    </row>
    <row r="21" spans="1:10" ht="13" customHeight="1" x14ac:dyDescent="0.35">
      <c r="A21" s="774" t="s">
        <v>244</v>
      </c>
      <c r="B21" s="474"/>
      <c r="C21" s="474"/>
      <c r="D21" s="473"/>
      <c r="E21" s="473"/>
      <c r="F21" s="473"/>
      <c r="G21" s="473"/>
      <c r="H21" s="473"/>
      <c r="I21" s="473"/>
      <c r="J21" s="17"/>
    </row>
    <row r="22" spans="1:10" ht="13" customHeight="1" x14ac:dyDescent="0.35">
      <c r="A22" s="123" t="s">
        <v>270</v>
      </c>
      <c r="B22" s="316"/>
      <c r="C22" s="316">
        <v>500</v>
      </c>
      <c r="D22" s="315"/>
      <c r="E22" s="315">
        <v>-1250000</v>
      </c>
      <c r="F22" s="315">
        <v>1250000</v>
      </c>
      <c r="G22" s="315"/>
      <c r="H22" s="94"/>
      <c r="I22" s="94"/>
      <c r="J22" s="17"/>
    </row>
    <row r="23" spans="1:10" ht="13" customHeight="1" x14ac:dyDescent="0.35">
      <c r="A23" s="474" t="s">
        <v>252</v>
      </c>
      <c r="B23" s="474"/>
      <c r="C23" s="474">
        <v>500</v>
      </c>
      <c r="D23" s="473"/>
      <c r="E23" s="473">
        <v>300000</v>
      </c>
      <c r="F23" s="473">
        <v>-300000</v>
      </c>
      <c r="G23" s="473"/>
      <c r="H23" s="473"/>
      <c r="I23" s="473"/>
      <c r="J23" s="17"/>
    </row>
    <row r="24" spans="1:10" ht="12.75" customHeight="1" x14ac:dyDescent="0.35">
      <c r="A24" s="316" t="s">
        <v>341</v>
      </c>
      <c r="B24" s="316"/>
      <c r="C24" s="316">
        <v>500</v>
      </c>
      <c r="D24" s="315"/>
      <c r="E24" s="315"/>
      <c r="F24" s="315"/>
      <c r="G24" s="315">
        <v>500000</v>
      </c>
      <c r="H24" s="94"/>
      <c r="I24" s="94"/>
    </row>
    <row r="25" spans="1:10" ht="12.75" customHeight="1" x14ac:dyDescent="0.35">
      <c r="A25" s="474" t="s">
        <v>373</v>
      </c>
      <c r="B25" s="474"/>
      <c r="C25" s="474">
        <v>800</v>
      </c>
      <c r="D25" s="473"/>
      <c r="E25" s="473">
        <v>-7033000</v>
      </c>
      <c r="F25" s="473">
        <v>1912000</v>
      </c>
      <c r="G25" s="473">
        <v>6436000</v>
      </c>
      <c r="H25" s="473"/>
      <c r="I25" s="473"/>
    </row>
    <row r="26" spans="1:10" ht="12.75" customHeight="1" x14ac:dyDescent="0.35">
      <c r="A26" s="355" t="s">
        <v>428</v>
      </c>
      <c r="B26" s="316"/>
      <c r="C26" s="316"/>
      <c r="D26" s="315"/>
      <c r="E26" s="315"/>
      <c r="F26" s="315"/>
      <c r="G26" s="315"/>
      <c r="H26" s="94"/>
      <c r="I26" s="94"/>
    </row>
    <row r="27" spans="1:10" ht="12.75" customHeight="1" x14ac:dyDescent="0.35">
      <c r="A27" s="474" t="s">
        <v>417</v>
      </c>
      <c r="B27" s="474"/>
      <c r="C27" s="474">
        <v>800</v>
      </c>
      <c r="D27" s="473"/>
      <c r="E27" s="473"/>
      <c r="F27" s="473"/>
      <c r="G27" s="473"/>
      <c r="H27" s="473">
        <v>-1257000</v>
      </c>
      <c r="I27" s="473"/>
    </row>
    <row r="28" spans="1:10" ht="12.75" customHeight="1" x14ac:dyDescent="0.35">
      <c r="A28" s="316" t="s">
        <v>460</v>
      </c>
      <c r="B28" s="316"/>
      <c r="C28" s="316">
        <v>100</v>
      </c>
      <c r="D28" s="315"/>
      <c r="E28" s="315">
        <v>-76024</v>
      </c>
      <c r="F28" s="315">
        <v>-25800</v>
      </c>
      <c r="G28" s="315">
        <v>99142</v>
      </c>
      <c r="H28" s="94">
        <v>102116</v>
      </c>
      <c r="I28" s="94"/>
    </row>
    <row r="29" spans="1:10" ht="12.75" customHeight="1" x14ac:dyDescent="0.35">
      <c r="A29" s="474" t="s">
        <v>439</v>
      </c>
      <c r="B29" s="474"/>
      <c r="C29" s="474">
        <v>200</v>
      </c>
      <c r="D29" s="473"/>
      <c r="E29" s="473"/>
      <c r="F29" s="473">
        <v>-153600</v>
      </c>
      <c r="G29" s="473">
        <v>-38400</v>
      </c>
      <c r="H29" s="473"/>
      <c r="I29" s="473"/>
    </row>
    <row r="30" spans="1:10" ht="12.75" customHeight="1" x14ac:dyDescent="0.35">
      <c r="A30" s="355" t="s">
        <v>487</v>
      </c>
      <c r="B30" s="316"/>
      <c r="C30" s="316"/>
      <c r="D30" s="315"/>
      <c r="E30" s="315"/>
      <c r="F30" s="315"/>
      <c r="G30" s="315"/>
      <c r="H30" s="94"/>
      <c r="I30" s="94"/>
    </row>
    <row r="31" spans="1:10" ht="12.75" customHeight="1" x14ac:dyDescent="0.35">
      <c r="A31" s="474" t="s">
        <v>521</v>
      </c>
      <c r="B31" s="474"/>
      <c r="C31" s="474">
        <v>100</v>
      </c>
      <c r="D31" s="473"/>
      <c r="E31" s="473"/>
      <c r="F31" s="473">
        <v>1563931</v>
      </c>
      <c r="G31" s="473"/>
      <c r="H31" s="473"/>
      <c r="I31" s="473"/>
    </row>
    <row r="32" spans="1:10" ht="12.75" customHeight="1" x14ac:dyDescent="0.35">
      <c r="A32" s="316" t="s">
        <v>520</v>
      </c>
      <c r="B32" s="316"/>
      <c r="C32" s="316">
        <v>200</v>
      </c>
      <c r="D32" s="315"/>
      <c r="E32" s="315"/>
      <c r="F32" s="315">
        <v>735252</v>
      </c>
      <c r="G32" s="315"/>
      <c r="H32" s="94"/>
      <c r="I32" s="94"/>
    </row>
    <row r="33" spans="1:9" ht="12.75" customHeight="1" x14ac:dyDescent="0.35">
      <c r="A33" s="474" t="s">
        <v>522</v>
      </c>
      <c r="B33" s="474"/>
      <c r="C33" s="474" t="s">
        <v>167</v>
      </c>
      <c r="D33" s="473"/>
      <c r="E33" s="473"/>
      <c r="F33" s="473">
        <v>57493</v>
      </c>
      <c r="G33" s="473"/>
      <c r="H33" s="473"/>
      <c r="I33" s="473"/>
    </row>
    <row r="34" spans="1:9" ht="12.75" customHeight="1" x14ac:dyDescent="0.35">
      <c r="A34" s="316" t="s">
        <v>523</v>
      </c>
      <c r="B34" s="316"/>
      <c r="C34" s="316" t="s">
        <v>167</v>
      </c>
      <c r="D34" s="315"/>
      <c r="E34" s="315"/>
      <c r="F34" s="315">
        <v>10000</v>
      </c>
      <c r="G34" s="315"/>
      <c r="H34" s="94"/>
      <c r="I34" s="94"/>
    </row>
    <row r="35" spans="1:9" ht="12.75" customHeight="1" x14ac:dyDescent="0.35">
      <c r="A35" s="474" t="s">
        <v>524</v>
      </c>
      <c r="B35" s="474"/>
      <c r="C35" s="474">
        <v>800</v>
      </c>
      <c r="D35" s="473"/>
      <c r="E35" s="473">
        <v>16643000</v>
      </c>
      <c r="F35" s="473"/>
      <c r="G35" s="473"/>
      <c r="H35" s="473"/>
      <c r="I35" s="473"/>
    </row>
    <row r="36" spans="1:9" ht="12.75" customHeight="1" x14ac:dyDescent="0.35">
      <c r="A36" s="316" t="s">
        <v>589</v>
      </c>
      <c r="B36" s="316"/>
      <c r="C36" s="316">
        <v>100</v>
      </c>
      <c r="D36" s="315"/>
      <c r="E36" s="315">
        <v>114903</v>
      </c>
      <c r="F36" s="315"/>
      <c r="G36" s="315"/>
      <c r="H36" s="94"/>
      <c r="I36" s="94"/>
    </row>
    <row r="37" spans="1:9" ht="12.75" customHeight="1" x14ac:dyDescent="0.35">
      <c r="A37" s="474" t="s">
        <v>559</v>
      </c>
      <c r="B37" s="474"/>
      <c r="C37" s="474">
        <v>500</v>
      </c>
      <c r="D37" s="473"/>
      <c r="E37" s="473">
        <v>650000</v>
      </c>
      <c r="F37" s="473"/>
      <c r="G37" s="473"/>
      <c r="H37" s="473"/>
      <c r="I37" s="473"/>
    </row>
    <row r="38" spans="1:9" ht="12.75" customHeight="1" x14ac:dyDescent="0.35">
      <c r="A38" s="355" t="s">
        <v>596</v>
      </c>
      <c r="B38" s="316"/>
      <c r="C38" s="316"/>
      <c r="D38" s="315"/>
      <c r="E38" s="315"/>
      <c r="F38" s="315"/>
      <c r="G38" s="315"/>
      <c r="H38" s="94"/>
      <c r="I38" s="94"/>
    </row>
    <row r="39" spans="1:9" ht="12.75" customHeight="1" x14ac:dyDescent="0.35">
      <c r="A39" s="474" t="s">
        <v>606</v>
      </c>
      <c r="B39" s="474"/>
      <c r="C39" s="474">
        <v>800</v>
      </c>
      <c r="D39" s="473"/>
      <c r="E39" s="473">
        <v>-20000000</v>
      </c>
      <c r="F39" s="473"/>
      <c r="G39" s="473"/>
      <c r="H39" s="473"/>
      <c r="I39" s="473"/>
    </row>
    <row r="40" spans="1:9" ht="12.75" customHeight="1" x14ac:dyDescent="0.35">
      <c r="A40" s="316" t="s">
        <v>607</v>
      </c>
      <c r="B40" s="316"/>
      <c r="C40" s="316">
        <v>500</v>
      </c>
      <c r="D40" s="315"/>
      <c r="E40" s="315"/>
      <c r="F40" s="315"/>
      <c r="G40" s="315"/>
      <c r="H40" s="94"/>
      <c r="I40" s="94"/>
    </row>
    <row r="41" spans="1:9" ht="12.75" customHeight="1" x14ac:dyDescent="0.35">
      <c r="A41" s="474" t="s">
        <v>614</v>
      </c>
      <c r="B41" s="474"/>
      <c r="C41" s="474">
        <v>100</v>
      </c>
      <c r="D41" s="473"/>
      <c r="E41" s="473"/>
      <c r="F41" s="473">
        <v>-1563931</v>
      </c>
      <c r="G41" s="473">
        <v>1563931</v>
      </c>
      <c r="H41" s="473"/>
      <c r="I41" s="473"/>
    </row>
    <row r="42" spans="1:9" ht="12.75" customHeight="1" x14ac:dyDescent="0.35">
      <c r="A42" s="316"/>
      <c r="B42" s="316"/>
      <c r="C42" s="316">
        <v>200</v>
      </c>
      <c r="D42" s="315"/>
      <c r="E42" s="315"/>
      <c r="F42" s="315">
        <v>-735252</v>
      </c>
      <c r="G42" s="315">
        <v>735252</v>
      </c>
      <c r="H42" s="94"/>
      <c r="I42" s="94"/>
    </row>
    <row r="43" spans="1:9" ht="12.75" customHeight="1" x14ac:dyDescent="0.35">
      <c r="A43" s="474"/>
      <c r="B43" s="474"/>
      <c r="C43" s="139" t="s">
        <v>167</v>
      </c>
      <c r="D43" s="473"/>
      <c r="E43" s="473"/>
      <c r="F43" s="473">
        <v>-57493</v>
      </c>
      <c r="G43" s="473">
        <v>57493</v>
      </c>
      <c r="H43" s="473"/>
      <c r="I43" s="473"/>
    </row>
    <row r="44" spans="1:9" ht="12.75" customHeight="1" x14ac:dyDescent="0.35">
      <c r="A44" s="316"/>
      <c r="B44" s="316"/>
      <c r="C44" s="279" t="s">
        <v>167</v>
      </c>
      <c r="D44" s="315"/>
      <c r="E44" s="315"/>
      <c r="F44" s="315">
        <v>-10000</v>
      </c>
      <c r="G44" s="315">
        <v>10000</v>
      </c>
      <c r="H44" s="94"/>
      <c r="I44" s="94"/>
    </row>
    <row r="45" spans="1:9" ht="12.75" customHeight="1" x14ac:dyDescent="0.35">
      <c r="A45" s="774" t="s">
        <v>648</v>
      </c>
      <c r="B45" s="474"/>
      <c r="C45" s="474"/>
      <c r="D45" s="473"/>
      <c r="E45" s="473"/>
      <c r="F45" s="473"/>
      <c r="G45" s="473"/>
      <c r="H45" s="473"/>
      <c r="I45" s="473"/>
    </row>
    <row r="46" spans="1:9" ht="12.75" customHeight="1" x14ac:dyDescent="0.35">
      <c r="A46" s="316" t="s">
        <v>677</v>
      </c>
      <c r="B46" s="316"/>
      <c r="C46" s="316">
        <v>100</v>
      </c>
      <c r="D46" s="315">
        <f>-390261-5000</f>
        <v>-395261</v>
      </c>
      <c r="E46" s="315"/>
      <c r="F46" s="315"/>
      <c r="G46" s="315"/>
      <c r="H46" s="94"/>
      <c r="I46" s="94"/>
    </row>
    <row r="47" spans="1:9" ht="12.75" customHeight="1" x14ac:dyDescent="0.35">
      <c r="A47" s="474"/>
      <c r="B47" s="474"/>
      <c r="C47" s="474">
        <v>200</v>
      </c>
      <c r="D47" s="473">
        <v>390261</v>
      </c>
      <c r="E47" s="473"/>
      <c r="F47" s="473"/>
      <c r="G47" s="473"/>
      <c r="H47" s="473"/>
      <c r="I47" s="473"/>
    </row>
    <row r="48" spans="1:9" ht="12.75" customHeight="1" x14ac:dyDescent="0.35">
      <c r="A48" s="316" t="s">
        <v>678</v>
      </c>
      <c r="B48" s="316"/>
      <c r="C48" s="316">
        <v>500</v>
      </c>
      <c r="D48" s="315">
        <v>1245357</v>
      </c>
      <c r="E48" s="315">
        <f>-1245357+465700</f>
        <v>-779657</v>
      </c>
      <c r="F48" s="315">
        <v>-465700</v>
      </c>
      <c r="G48" s="315"/>
      <c r="H48" s="94"/>
      <c r="I48" s="94"/>
    </row>
    <row r="49" spans="1:9" ht="12.75" customHeight="1" x14ac:dyDescent="0.35">
      <c r="A49" s="474" t="s">
        <v>693</v>
      </c>
      <c r="B49" s="474"/>
      <c r="C49" s="474">
        <v>200</v>
      </c>
      <c r="D49" s="473">
        <v>5000</v>
      </c>
      <c r="E49" s="473"/>
      <c r="F49" s="473"/>
      <c r="G49" s="473"/>
      <c r="H49" s="473"/>
      <c r="I49" s="473"/>
    </row>
    <row r="50" spans="1:9" ht="12.75" customHeight="1" x14ac:dyDescent="0.35">
      <c r="A50" s="316" t="s">
        <v>710</v>
      </c>
      <c r="B50" s="316"/>
      <c r="C50" s="316">
        <v>500</v>
      </c>
      <c r="D50" s="315">
        <v>13000000</v>
      </c>
      <c r="E50" s="315">
        <v>-13000000</v>
      </c>
      <c r="F50" s="315"/>
      <c r="G50" s="315"/>
      <c r="H50" s="94"/>
      <c r="I50" s="94"/>
    </row>
    <row r="51" spans="1:9" ht="12.75" customHeight="1" x14ac:dyDescent="0.35">
      <c r="A51" s="474" t="s">
        <v>736</v>
      </c>
      <c r="B51" s="474"/>
      <c r="C51" s="474">
        <v>500</v>
      </c>
      <c r="D51" s="473">
        <v>1000000</v>
      </c>
      <c r="E51" s="473">
        <v>-1000000</v>
      </c>
      <c r="F51" s="473"/>
      <c r="G51" s="473"/>
      <c r="H51" s="473"/>
      <c r="I51" s="473"/>
    </row>
    <row r="52" spans="1:9" ht="12.75" customHeight="1" x14ac:dyDescent="0.35">
      <c r="A52" s="316" t="s">
        <v>875</v>
      </c>
      <c r="B52" s="316"/>
      <c r="C52" s="316">
        <v>100</v>
      </c>
      <c r="D52" s="315">
        <v>-1000000</v>
      </c>
      <c r="E52" s="315">
        <v>1000000</v>
      </c>
      <c r="F52" s="315"/>
      <c r="G52" s="315"/>
      <c r="H52" s="94"/>
      <c r="I52" s="94"/>
    </row>
    <row r="53" spans="1:9" ht="12.75" customHeight="1" x14ac:dyDescent="0.35">
      <c r="A53" s="774" t="s">
        <v>748</v>
      </c>
      <c r="B53" s="474"/>
      <c r="C53" s="474"/>
      <c r="D53" s="473"/>
      <c r="E53" s="473"/>
      <c r="F53" s="473"/>
      <c r="G53" s="473"/>
      <c r="H53" s="473"/>
      <c r="I53" s="473"/>
    </row>
    <row r="54" spans="1:9" ht="12.75" customHeight="1" x14ac:dyDescent="0.35">
      <c r="A54" s="316" t="s">
        <v>716</v>
      </c>
      <c r="B54" s="316"/>
      <c r="C54" s="316">
        <v>100</v>
      </c>
      <c r="D54" s="315"/>
      <c r="E54" s="315">
        <v>35616</v>
      </c>
      <c r="F54" s="315"/>
      <c r="G54" s="315"/>
      <c r="H54" s="94"/>
      <c r="I54" s="94"/>
    </row>
    <row r="55" spans="1:9" ht="12.75" customHeight="1" x14ac:dyDescent="0.35">
      <c r="A55" s="474" t="s">
        <v>749</v>
      </c>
      <c r="B55" s="474"/>
      <c r="C55" s="474">
        <v>100</v>
      </c>
      <c r="D55" s="473"/>
      <c r="E55" s="473">
        <v>395261</v>
      </c>
      <c r="F55" s="473"/>
      <c r="G55" s="473"/>
      <c r="H55" s="473"/>
      <c r="I55" s="473"/>
    </row>
    <row r="56" spans="1:9" ht="12.75" customHeight="1" x14ac:dyDescent="0.35">
      <c r="A56" s="316" t="s">
        <v>750</v>
      </c>
      <c r="B56" s="316"/>
      <c r="C56" s="316">
        <v>200</v>
      </c>
      <c r="D56" s="315"/>
      <c r="E56" s="315">
        <v>456189</v>
      </c>
      <c r="F56" s="315">
        <f>702826-E56</f>
        <v>246637</v>
      </c>
      <c r="G56" s="315">
        <f>986458-F56-E56</f>
        <v>283632</v>
      </c>
      <c r="H56" s="94">
        <f>1312635-G56-F56-E56</f>
        <v>326177</v>
      </c>
      <c r="I56" s="94">
        <f>1687739-H56-G56-F56-E56</f>
        <v>375104</v>
      </c>
    </row>
    <row r="57" spans="1:9" ht="12.75" customHeight="1" x14ac:dyDescent="0.35">
      <c r="A57" s="474" t="s">
        <v>751</v>
      </c>
      <c r="B57" s="474"/>
      <c r="C57" s="474">
        <v>100</v>
      </c>
      <c r="D57" s="473"/>
      <c r="E57" s="473">
        <v>65000</v>
      </c>
      <c r="F57" s="473"/>
      <c r="G57" s="473"/>
      <c r="H57" s="473"/>
      <c r="I57" s="473"/>
    </row>
    <row r="58" spans="1:9" ht="12.75" customHeight="1" x14ac:dyDescent="0.35">
      <c r="A58" s="316" t="s">
        <v>891</v>
      </c>
      <c r="B58" s="316"/>
      <c r="C58" s="316">
        <v>500</v>
      </c>
      <c r="D58" s="315"/>
      <c r="E58" s="315"/>
      <c r="F58" s="315"/>
      <c r="G58" s="315"/>
      <c r="H58" s="94">
        <v>300000</v>
      </c>
      <c r="I58" s="94">
        <v>-300000</v>
      </c>
    </row>
    <row r="59" spans="1:9" ht="12.75" customHeight="1" x14ac:dyDescent="0.35">
      <c r="A59" s="474" t="s">
        <v>752</v>
      </c>
      <c r="B59" s="474"/>
      <c r="C59" s="474">
        <v>100</v>
      </c>
      <c r="D59" s="473"/>
      <c r="E59" s="473">
        <v>85000</v>
      </c>
      <c r="F59" s="473"/>
      <c r="G59" s="473"/>
      <c r="H59" s="473"/>
      <c r="I59" s="473"/>
    </row>
    <row r="60" spans="1:9" ht="12.75" customHeight="1" x14ac:dyDescent="0.35">
      <c r="A60" s="316" t="s">
        <v>753</v>
      </c>
      <c r="B60" s="316"/>
      <c r="C60" s="316">
        <v>100</v>
      </c>
      <c r="D60" s="315"/>
      <c r="E60" s="315">
        <v>-556835</v>
      </c>
      <c r="F60" s="315"/>
      <c r="G60" s="315"/>
      <c r="H60" s="94"/>
      <c r="I60" s="94"/>
    </row>
    <row r="61" spans="1:9" ht="12.75" customHeight="1" x14ac:dyDescent="0.35">
      <c r="A61" s="474"/>
      <c r="B61" s="474"/>
      <c r="C61" s="474">
        <v>200</v>
      </c>
      <c r="D61" s="473"/>
      <c r="E61" s="473">
        <v>-38843</v>
      </c>
      <c r="F61" s="473"/>
      <c r="G61" s="473"/>
      <c r="H61" s="473"/>
      <c r="I61" s="473"/>
    </row>
    <row r="62" spans="1:9" ht="12.75" customHeight="1" x14ac:dyDescent="0.35">
      <c r="A62" s="316" t="s">
        <v>768</v>
      </c>
      <c r="B62" s="316"/>
      <c r="C62" s="316">
        <v>800</v>
      </c>
      <c r="D62" s="315"/>
      <c r="E62" s="315"/>
      <c r="F62" s="315"/>
      <c r="G62" s="315"/>
      <c r="H62" s="94">
        <v>-1257000</v>
      </c>
      <c r="I62" s="94">
        <f>2424000-H62</f>
        <v>3681000</v>
      </c>
    </row>
    <row r="63" spans="1:9" ht="12.75" customHeight="1" x14ac:dyDescent="0.35">
      <c r="A63" s="474" t="s">
        <v>856</v>
      </c>
      <c r="B63" s="474"/>
      <c r="C63" s="474">
        <v>100</v>
      </c>
      <c r="D63" s="473"/>
      <c r="E63" s="473"/>
      <c r="F63" s="473"/>
      <c r="G63" s="473">
        <v>-1563931</v>
      </c>
      <c r="H63" s="473"/>
      <c r="I63" s="473"/>
    </row>
    <row r="64" spans="1:9" ht="12.75" customHeight="1" x14ac:dyDescent="0.35">
      <c r="A64" s="316"/>
      <c r="B64" s="316"/>
      <c r="C64" s="316">
        <v>200</v>
      </c>
      <c r="D64" s="315"/>
      <c r="E64" s="315"/>
      <c r="F64" s="315"/>
      <c r="G64" s="315">
        <v>-735252</v>
      </c>
      <c r="H64" s="94"/>
      <c r="I64" s="94"/>
    </row>
    <row r="65" spans="1:17" ht="12.75" customHeight="1" x14ac:dyDescent="0.35">
      <c r="A65" s="474"/>
      <c r="B65" s="474"/>
      <c r="C65" s="139" t="s">
        <v>167</v>
      </c>
      <c r="D65" s="473"/>
      <c r="E65" s="473"/>
      <c r="F65" s="473"/>
      <c r="G65" s="473">
        <v>-57493</v>
      </c>
      <c r="H65" s="473"/>
      <c r="I65" s="473"/>
    </row>
    <row r="66" spans="1:17" ht="12.75" customHeight="1" x14ac:dyDescent="0.35">
      <c r="A66" s="316"/>
      <c r="B66" s="316"/>
      <c r="C66" s="279" t="s">
        <v>167</v>
      </c>
      <c r="D66" s="315"/>
      <c r="E66" s="315"/>
      <c r="F66" s="315"/>
      <c r="G66" s="315">
        <v>-10000</v>
      </c>
      <c r="H66" s="94"/>
      <c r="I66" s="94"/>
    </row>
    <row r="67" spans="1:17" ht="12.75" customHeight="1" x14ac:dyDescent="0.35">
      <c r="A67" s="474" t="s">
        <v>882</v>
      </c>
      <c r="B67" s="474"/>
      <c r="C67" s="474">
        <v>100</v>
      </c>
      <c r="D67" s="473"/>
      <c r="E67" s="473">
        <v>-111000</v>
      </c>
      <c r="F67" s="473"/>
      <c r="G67" s="473"/>
      <c r="H67" s="473"/>
      <c r="I67" s="473"/>
    </row>
    <row r="68" spans="1:17" ht="12.75" customHeight="1" x14ac:dyDescent="0.35">
      <c r="A68" s="316" t="s">
        <v>886</v>
      </c>
      <c r="B68" s="316"/>
      <c r="C68" s="316">
        <v>800</v>
      </c>
      <c r="D68" s="315"/>
      <c r="E68" s="315">
        <v>-2750000</v>
      </c>
      <c r="F68" s="315">
        <f>-8291075-E68</f>
        <v>-5541075</v>
      </c>
      <c r="G68" s="315">
        <f>-8283963-F68-E68</f>
        <v>7112</v>
      </c>
      <c r="H68" s="94">
        <f>-8278050-G68-F68-E68</f>
        <v>5913</v>
      </c>
      <c r="I68" s="94">
        <f>-8272788-H68-G68-F68-E68</f>
        <v>5262</v>
      </c>
    </row>
    <row r="69" spans="1:17" ht="12.75" customHeight="1" thickBot="1" x14ac:dyDescent="0.4">
      <c r="A69" s="474"/>
      <c r="B69" s="474"/>
      <c r="C69" s="474"/>
      <c r="D69" s="473"/>
      <c r="E69" s="473"/>
      <c r="F69" s="473"/>
      <c r="G69" s="473"/>
      <c r="H69" s="473"/>
      <c r="I69" s="473"/>
      <c r="K69" s="200"/>
      <c r="L69" s="24" t="s">
        <v>381</v>
      </c>
      <c r="M69" s="24" t="s">
        <v>89</v>
      </c>
      <c r="N69" s="383" t="s">
        <v>205</v>
      </c>
      <c r="O69" s="24" t="s">
        <v>224</v>
      </c>
      <c r="P69" s="24" t="s">
        <v>243</v>
      </c>
      <c r="Q69" s="24" t="s">
        <v>293</v>
      </c>
    </row>
    <row r="70" spans="1:17" ht="12.75" customHeight="1" thickTop="1" x14ac:dyDescent="0.35">
      <c r="A70" s="316"/>
      <c r="B70" s="200"/>
      <c r="C70" s="316"/>
      <c r="D70" s="200"/>
      <c r="E70" s="315"/>
      <c r="F70" s="315"/>
      <c r="G70" s="200"/>
      <c r="H70" s="200"/>
      <c r="I70" s="200"/>
      <c r="K70" s="200" t="s">
        <v>382</v>
      </c>
      <c r="L70" s="473">
        <v>19131000</v>
      </c>
      <c r="M70" s="473">
        <v>-10012000</v>
      </c>
      <c r="N70" s="677">
        <v>-717000</v>
      </c>
      <c r="O70" s="473">
        <v>-858000</v>
      </c>
      <c r="P70" s="473">
        <v>1226000</v>
      </c>
      <c r="Q70" s="473">
        <v>0</v>
      </c>
    </row>
    <row r="71" spans="1:17" ht="12.75" customHeight="1" thickBot="1" x14ac:dyDescent="0.4">
      <c r="A71" s="316"/>
      <c r="B71" s="200"/>
      <c r="C71" s="200"/>
      <c r="D71" s="24" t="s">
        <v>205</v>
      </c>
      <c r="E71" s="24" t="s">
        <v>224</v>
      </c>
      <c r="F71" s="383" t="s">
        <v>243</v>
      </c>
      <c r="G71" s="24" t="s">
        <v>293</v>
      </c>
      <c r="H71" s="24" t="s">
        <v>361</v>
      </c>
      <c r="I71" s="24" t="s">
        <v>634</v>
      </c>
      <c r="K71" s="200" t="s">
        <v>383</v>
      </c>
      <c r="L71" s="315">
        <v>0</v>
      </c>
      <c r="M71" s="315">
        <v>4166000</v>
      </c>
      <c r="N71" s="678">
        <v>-2445000</v>
      </c>
      <c r="O71" s="315">
        <v>-75000</v>
      </c>
      <c r="P71" s="315">
        <v>415000</v>
      </c>
      <c r="Q71" s="315">
        <v>7037000</v>
      </c>
    </row>
    <row r="72" spans="1:17" ht="15" thickTop="1" x14ac:dyDescent="0.35">
      <c r="A72" s="316"/>
      <c r="B72" s="200"/>
      <c r="C72" s="200" t="s">
        <v>382</v>
      </c>
      <c r="D72" s="473">
        <v>-717000</v>
      </c>
      <c r="E72" s="473">
        <v>-858000</v>
      </c>
      <c r="F72" s="677">
        <v>1226000</v>
      </c>
      <c r="G72" s="473">
        <v>0</v>
      </c>
      <c r="H72" s="473">
        <v>0</v>
      </c>
      <c r="I72" s="473">
        <v>0</v>
      </c>
      <c r="K72" s="200" t="s">
        <v>384</v>
      </c>
      <c r="L72" s="679">
        <f>+L73-L71-L70</f>
        <v>0</v>
      </c>
      <c r="M72" s="679">
        <f>+M73-L73-M71-M70</f>
        <v>0</v>
      </c>
      <c r="N72" s="679">
        <f>+N73-M73-N71-N70</f>
        <v>6520000</v>
      </c>
      <c r="O72" s="679">
        <f>+O73-N73-O71-O70</f>
        <v>-6100000</v>
      </c>
      <c r="P72" s="679">
        <f t="shared" ref="P72" si="7">+P73-O73-P71-P70</f>
        <v>271000</v>
      </c>
      <c r="Q72" s="679">
        <f t="shared" ref="Q72" si="8">+Q73-P73-Q71-Q70</f>
        <v>-601000</v>
      </c>
    </row>
    <row r="73" spans="1:17" x14ac:dyDescent="0.35">
      <c r="A73" s="200"/>
      <c r="B73" s="200"/>
      <c r="C73" s="200" t="s">
        <v>383</v>
      </c>
      <c r="D73" s="315">
        <v>-2445000</v>
      </c>
      <c r="E73" s="315">
        <v>-75000</v>
      </c>
      <c r="F73" s="678">
        <v>415000</v>
      </c>
      <c r="G73" s="315">
        <v>7037000</v>
      </c>
      <c r="H73" s="315">
        <v>7037000</v>
      </c>
      <c r="I73" s="315">
        <v>7037000</v>
      </c>
      <c r="K73" s="680" t="s">
        <v>385</v>
      </c>
      <c r="L73" s="681">
        <v>19131000</v>
      </c>
      <c r="M73" s="681">
        <v>13285000</v>
      </c>
      <c r="N73" s="682">
        <v>16643000</v>
      </c>
      <c r="O73" s="681">
        <v>9610000</v>
      </c>
      <c r="P73" s="681">
        <v>11522000</v>
      </c>
      <c r="Q73" s="681">
        <v>17958000</v>
      </c>
    </row>
    <row r="74" spans="1:17" x14ac:dyDescent="0.35">
      <c r="A74" s="200"/>
      <c r="B74" s="200"/>
      <c r="C74" s="200" t="s">
        <v>384</v>
      </c>
      <c r="D74" s="679">
        <v>6520000</v>
      </c>
      <c r="E74" s="679">
        <v>-6100000</v>
      </c>
      <c r="F74" s="679">
        <v>271000</v>
      </c>
      <c r="G74" s="679">
        <v>-601000</v>
      </c>
      <c r="H74" s="679">
        <v>-601000</v>
      </c>
      <c r="I74" s="679">
        <f t="shared" ref="I74" si="9">+I75-H75-I73-I72</f>
        <v>-4613000</v>
      </c>
    </row>
    <row r="75" spans="1:17" x14ac:dyDescent="0.35">
      <c r="A75" s="200"/>
      <c r="B75" s="680" t="s">
        <v>769</v>
      </c>
      <c r="C75" s="680" t="s">
        <v>385</v>
      </c>
      <c r="D75" s="681">
        <v>16643000</v>
      </c>
      <c r="E75" s="681">
        <v>9610000</v>
      </c>
      <c r="F75" s="682">
        <v>11522000</v>
      </c>
      <c r="G75" s="681">
        <v>17958000</v>
      </c>
      <c r="H75" s="681">
        <v>16701000</v>
      </c>
      <c r="I75" s="681">
        <v>19125000</v>
      </c>
    </row>
    <row r="76" spans="1:17" x14ac:dyDescent="0.35">
      <c r="A76" s="200"/>
      <c r="B76" s="680" t="s">
        <v>770</v>
      </c>
      <c r="C76" s="200"/>
      <c r="D76" s="618"/>
      <c r="E76" s="618"/>
      <c r="F76" s="618"/>
      <c r="G76" s="618"/>
      <c r="H76" s="200"/>
      <c r="I76" s="200"/>
    </row>
    <row r="77" spans="1:17" x14ac:dyDescent="0.35">
      <c r="A77" s="200"/>
      <c r="B77" s="200"/>
      <c r="C77" s="200"/>
      <c r="D77" s="618"/>
      <c r="E77" s="618"/>
      <c r="F77" s="618"/>
      <c r="G77" s="618"/>
      <c r="H77" s="200"/>
      <c r="I77" s="200"/>
    </row>
    <row r="78" spans="1:17" x14ac:dyDescent="0.35">
      <c r="A78" s="200"/>
      <c r="B78" s="200"/>
      <c r="C78" s="200" t="s">
        <v>901</v>
      </c>
      <c r="D78" s="200"/>
      <c r="E78" s="618">
        <v>11360000</v>
      </c>
      <c r="F78" s="618">
        <v>7730925</v>
      </c>
      <c r="G78" s="618">
        <v>14174037</v>
      </c>
      <c r="H78" s="618">
        <v>11665950</v>
      </c>
      <c r="I78" s="618">
        <v>15352212</v>
      </c>
    </row>
    <row r="79" spans="1:17" x14ac:dyDescent="0.35">
      <c r="A79" s="200"/>
      <c r="B79" s="200"/>
      <c r="C79" s="200" t="s">
        <v>902</v>
      </c>
      <c r="D79" s="200"/>
      <c r="E79" s="618">
        <v>4500000</v>
      </c>
      <c r="F79" s="618">
        <v>4500000</v>
      </c>
      <c r="G79" s="618">
        <v>4500000</v>
      </c>
      <c r="H79" s="618">
        <v>4500000</v>
      </c>
      <c r="I79" s="618">
        <v>4500000</v>
      </c>
    </row>
    <row r="80" spans="1:17" x14ac:dyDescent="0.35">
      <c r="A80" s="200"/>
      <c r="B80" s="200"/>
      <c r="C80" s="200" t="s">
        <v>903</v>
      </c>
      <c r="D80" s="200"/>
      <c r="E80" s="679">
        <f>E78-E79</f>
        <v>6860000</v>
      </c>
      <c r="F80" s="679">
        <f t="shared" ref="F80:I80" si="10">F78-F79</f>
        <v>3230925</v>
      </c>
      <c r="G80" s="679">
        <f t="shared" si="10"/>
        <v>9674037</v>
      </c>
      <c r="H80" s="679">
        <f t="shared" si="10"/>
        <v>7165950</v>
      </c>
      <c r="I80" s="679">
        <f t="shared" si="10"/>
        <v>10852212</v>
      </c>
    </row>
    <row r="81" spans="1:9" x14ac:dyDescent="0.35">
      <c r="A81" s="200"/>
      <c r="B81" s="200"/>
      <c r="C81" s="200" t="s">
        <v>904</v>
      </c>
      <c r="D81" s="200"/>
      <c r="E81" s="864">
        <v>2750000</v>
      </c>
      <c r="F81" s="864">
        <v>8291075</v>
      </c>
      <c r="G81" s="864">
        <v>8283962.5</v>
      </c>
      <c r="H81" s="864">
        <v>8278050</v>
      </c>
      <c r="I81" s="864">
        <v>8272787.5</v>
      </c>
    </row>
    <row r="82" spans="1:9" x14ac:dyDescent="0.35">
      <c r="A82" s="200"/>
      <c r="B82" s="200"/>
      <c r="C82" s="200" t="s">
        <v>905</v>
      </c>
      <c r="D82" s="200"/>
      <c r="E82" s="618">
        <f>SUM(E80:E81)</f>
        <v>9610000</v>
      </c>
      <c r="F82" s="618">
        <f t="shared" ref="F82:I82" si="11">SUM(F80:F81)</f>
        <v>11522000</v>
      </c>
      <c r="G82" s="618">
        <f t="shared" si="11"/>
        <v>17957999.5</v>
      </c>
      <c r="H82" s="618">
        <f t="shared" si="11"/>
        <v>15444000</v>
      </c>
      <c r="I82" s="618">
        <f t="shared" si="11"/>
        <v>19124999.5</v>
      </c>
    </row>
    <row r="83" spans="1:9" x14ac:dyDescent="0.35">
      <c r="A83" s="200"/>
      <c r="B83" s="200"/>
      <c r="C83" s="200"/>
      <c r="D83" s="200"/>
      <c r="E83" s="618"/>
      <c r="F83" s="618"/>
      <c r="G83" s="618"/>
      <c r="H83" s="618"/>
      <c r="I83" s="618"/>
    </row>
    <row r="84" spans="1:9" x14ac:dyDescent="0.35">
      <c r="A84" s="200"/>
      <c r="B84" s="200"/>
      <c r="C84" s="200"/>
      <c r="D84" s="200"/>
      <c r="E84" s="200"/>
      <c r="F84" s="200"/>
      <c r="G84" s="200"/>
      <c r="H84" s="200"/>
      <c r="I84" s="200"/>
    </row>
    <row r="85" spans="1:9" x14ac:dyDescent="0.35">
      <c r="A85" s="200"/>
      <c r="B85" s="200"/>
      <c r="C85" s="200"/>
      <c r="D85" s="200"/>
      <c r="E85" s="200"/>
      <c r="F85" s="200"/>
      <c r="G85" s="200"/>
      <c r="H85" s="200"/>
      <c r="I85" s="200"/>
    </row>
    <row r="86" spans="1:9" x14ac:dyDescent="0.35">
      <c r="A86" s="52"/>
      <c r="B86" s="52"/>
      <c r="C86" s="52"/>
      <c r="D86" s="52"/>
      <c r="E86" s="52"/>
      <c r="F86" s="52"/>
      <c r="G86" s="52"/>
      <c r="H86" s="52"/>
      <c r="I86" s="52"/>
    </row>
    <row r="87" spans="1:9" x14ac:dyDescent="0.35">
      <c r="A87" s="52"/>
      <c r="B87" s="52"/>
      <c r="C87" s="52"/>
      <c r="D87" s="52"/>
      <c r="E87" s="52"/>
      <c r="F87" s="52"/>
      <c r="G87" s="52"/>
      <c r="H87" s="52"/>
      <c r="I87" s="52"/>
    </row>
    <row r="88" spans="1:9" x14ac:dyDescent="0.35">
      <c r="A88" s="52"/>
      <c r="B88" s="52"/>
      <c r="C88" s="52"/>
      <c r="D88" s="52"/>
      <c r="E88" s="52"/>
      <c r="F88" s="52"/>
      <c r="G88" s="52"/>
      <c r="H88" s="52"/>
      <c r="I88" s="52"/>
    </row>
    <row r="89" spans="1:9" x14ac:dyDescent="0.35">
      <c r="A89" s="52"/>
      <c r="B89" s="52"/>
      <c r="C89" s="52"/>
      <c r="D89" s="52"/>
      <c r="E89" s="52"/>
      <c r="F89" s="52"/>
      <c r="G89" s="52"/>
      <c r="H89" s="52"/>
      <c r="I89" s="52"/>
    </row>
    <row r="90" spans="1:9" x14ac:dyDescent="0.35">
      <c r="A90" s="52"/>
      <c r="B90" s="52"/>
      <c r="C90" s="52"/>
      <c r="D90" s="52"/>
      <c r="E90" s="52"/>
      <c r="F90" s="52"/>
      <c r="G90" s="52"/>
      <c r="H90" s="52"/>
      <c r="I90" s="52"/>
    </row>
    <row r="91" spans="1:9" x14ac:dyDescent="0.35">
      <c r="A91" s="52"/>
      <c r="B91" s="52"/>
      <c r="C91" s="52"/>
      <c r="D91" s="52"/>
      <c r="E91" s="52"/>
      <c r="F91" s="52"/>
      <c r="G91" s="52"/>
      <c r="H91" s="52"/>
      <c r="I91" s="52"/>
    </row>
    <row r="92" spans="1:9" x14ac:dyDescent="0.35">
      <c r="A92" s="52"/>
      <c r="B92" s="52"/>
      <c r="C92" s="52"/>
      <c r="D92" s="52"/>
      <c r="E92" s="52"/>
      <c r="F92" s="52"/>
      <c r="G92" s="52"/>
      <c r="H92" s="52"/>
      <c r="I92" s="52"/>
    </row>
    <row r="93" spans="1:9" x14ac:dyDescent="0.35">
      <c r="A93" s="52"/>
      <c r="B93" s="52"/>
      <c r="C93" s="52"/>
      <c r="D93" s="52"/>
      <c r="E93" s="52"/>
      <c r="F93" s="52"/>
      <c r="G93" s="52"/>
      <c r="H93" s="52"/>
      <c r="I93" s="52"/>
    </row>
    <row r="94" spans="1:9" x14ac:dyDescent="0.35">
      <c r="A94" s="52"/>
      <c r="B94" s="52"/>
      <c r="C94" s="52"/>
      <c r="D94" s="52"/>
      <c r="E94" s="52"/>
      <c r="F94" s="52"/>
      <c r="G94" s="52"/>
      <c r="H94" s="52"/>
      <c r="I94" s="52"/>
    </row>
    <row r="95" spans="1:9" x14ac:dyDescent="0.35">
      <c r="A95" s="52"/>
      <c r="B95" s="52"/>
      <c r="C95" s="52"/>
      <c r="D95" s="52"/>
      <c r="E95" s="52"/>
      <c r="F95" s="52"/>
      <c r="G95" s="52"/>
      <c r="H95" s="52"/>
      <c r="I95" s="52"/>
    </row>
    <row r="96" spans="1:9" x14ac:dyDescent="0.35">
      <c r="A96" s="52"/>
      <c r="B96" s="52"/>
      <c r="C96" s="52"/>
      <c r="D96" s="52"/>
      <c r="E96" s="52"/>
      <c r="F96" s="52"/>
      <c r="G96" s="52"/>
      <c r="H96" s="52"/>
      <c r="I96" s="52"/>
    </row>
    <row r="97" spans="1:9" x14ac:dyDescent="0.35">
      <c r="A97" s="52"/>
      <c r="B97" s="52"/>
      <c r="C97" s="52"/>
      <c r="D97" s="52"/>
      <c r="E97" s="52"/>
      <c r="F97" s="52"/>
      <c r="G97" s="52"/>
      <c r="H97" s="52"/>
      <c r="I97" s="52"/>
    </row>
    <row r="98" spans="1:9" x14ac:dyDescent="0.35">
      <c r="A98" s="52"/>
      <c r="B98" s="52"/>
      <c r="C98" s="52"/>
      <c r="D98" s="52"/>
      <c r="E98" s="52"/>
      <c r="F98" s="52"/>
      <c r="G98" s="52"/>
      <c r="H98" s="52"/>
      <c r="I98" s="52"/>
    </row>
    <row r="99" spans="1:9" x14ac:dyDescent="0.35">
      <c r="A99" s="52"/>
      <c r="B99" s="52"/>
      <c r="C99" s="52"/>
      <c r="D99" s="52"/>
      <c r="E99" s="52"/>
      <c r="F99" s="52"/>
      <c r="G99" s="52"/>
      <c r="H99" s="52"/>
      <c r="I99" s="52"/>
    </row>
    <row r="100" spans="1:9" x14ac:dyDescent="0.35">
      <c r="A100" s="52"/>
      <c r="B100" s="52"/>
      <c r="C100" s="52"/>
      <c r="D100" s="52"/>
      <c r="E100" s="52"/>
      <c r="F100" s="52"/>
      <c r="G100" s="52"/>
      <c r="H100" s="52"/>
      <c r="I100" s="52"/>
    </row>
    <row r="101" spans="1:9" x14ac:dyDescent="0.35">
      <c r="A101" s="52"/>
      <c r="B101" s="52"/>
      <c r="C101" s="52"/>
      <c r="D101" s="52"/>
      <c r="E101" s="52"/>
      <c r="F101" s="52"/>
      <c r="G101" s="52"/>
      <c r="H101" s="52"/>
      <c r="I101" s="52"/>
    </row>
    <row r="102" spans="1:9" x14ac:dyDescent="0.35">
      <c r="A102" s="52"/>
      <c r="B102" s="52"/>
      <c r="C102" s="52"/>
      <c r="D102" s="52"/>
      <c r="E102" s="52"/>
      <c r="F102" s="52"/>
      <c r="G102" s="52"/>
      <c r="H102" s="52"/>
      <c r="I102" s="52"/>
    </row>
    <row r="103" spans="1:9" x14ac:dyDescent="0.35">
      <c r="A103" s="52"/>
      <c r="B103" s="52"/>
      <c r="C103" s="52"/>
      <c r="D103" s="52"/>
      <c r="E103" s="52"/>
      <c r="F103" s="52"/>
      <c r="G103" s="52"/>
      <c r="H103" s="52"/>
      <c r="I103" s="52"/>
    </row>
    <row r="104" spans="1:9" x14ac:dyDescent="0.35">
      <c r="A104" s="52"/>
      <c r="B104" s="52"/>
      <c r="C104" s="52"/>
      <c r="D104" s="52"/>
      <c r="E104" s="52"/>
      <c r="F104" s="52"/>
      <c r="G104" s="52"/>
      <c r="H104" s="52"/>
      <c r="I104" s="52"/>
    </row>
    <row r="105" spans="1:9" x14ac:dyDescent="0.35">
      <c r="A105" s="52"/>
      <c r="B105" s="52"/>
      <c r="C105" s="52"/>
      <c r="D105" s="52"/>
      <c r="E105" s="52"/>
      <c r="F105" s="52"/>
      <c r="G105" s="52"/>
      <c r="H105" s="52"/>
      <c r="I105" s="52"/>
    </row>
    <row r="106" spans="1:9" x14ac:dyDescent="0.35">
      <c r="A106" s="52"/>
      <c r="B106" s="52"/>
      <c r="C106" s="52"/>
      <c r="D106" s="52"/>
      <c r="E106" s="52"/>
      <c r="F106" s="52"/>
      <c r="G106" s="52"/>
      <c r="H106" s="52"/>
      <c r="I106" s="52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5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K52"/>
  <sheetViews>
    <sheetView zoomScaleNormal="100" zoomScaleSheetLayoutView="90" workbookViewId="0">
      <selection activeCell="C7" sqref="C7"/>
    </sheetView>
  </sheetViews>
  <sheetFormatPr defaultColWidth="9.1796875" defaultRowHeight="14.5" x14ac:dyDescent="0.35"/>
  <cols>
    <col min="1" max="1" width="37.453125" style="7" customWidth="1"/>
    <col min="2" max="9" width="14.54296875" style="7" customWidth="1"/>
    <col min="10" max="11" width="9.1796875" style="7"/>
    <col min="12" max="12" width="39.453125" style="7" customWidth="1"/>
    <col min="13" max="17" width="9.1796875" style="7"/>
    <col min="18" max="18" width="10.54296875" style="7" customWidth="1"/>
    <col min="19" max="20" width="9.1796875" style="7"/>
    <col min="21" max="21" width="10.54296875" style="7" customWidth="1"/>
    <col min="22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A5" s="197" t="s">
        <v>208</v>
      </c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427" t="s">
        <v>14</v>
      </c>
      <c r="B6" s="428" t="s">
        <v>408</v>
      </c>
      <c r="C6" s="880" t="s">
        <v>911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572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/>
      <c r="D9" s="219"/>
      <c r="E9" s="114"/>
      <c r="F9" s="396"/>
      <c r="G9" s="33"/>
      <c r="H9" s="219"/>
      <c r="I9" s="50"/>
      <c r="K9" s="7">
        <v>100</v>
      </c>
    </row>
    <row r="10" spans="1:11" x14ac:dyDescent="0.35">
      <c r="A10" s="10" t="s">
        <v>5</v>
      </c>
      <c r="B10" s="35">
        <v>0</v>
      </c>
      <c r="C10" s="35"/>
      <c r="D10" s="222"/>
      <c r="E10" s="506"/>
      <c r="F10" s="504"/>
      <c r="G10" s="35"/>
      <c r="H10" s="222"/>
      <c r="I10" s="36"/>
      <c r="K10" s="7">
        <v>200</v>
      </c>
    </row>
    <row r="11" spans="1:11" x14ac:dyDescent="0.35">
      <c r="A11" s="9" t="s">
        <v>6</v>
      </c>
      <c r="B11" s="33">
        <v>0</v>
      </c>
      <c r="C11" s="33"/>
      <c r="D11" s="219"/>
      <c r="E11" s="114"/>
      <c r="F11" s="396"/>
      <c r="G11" s="33"/>
      <c r="H11" s="219"/>
      <c r="I11" s="34"/>
      <c r="K11" s="7" t="s">
        <v>167</v>
      </c>
    </row>
    <row r="12" spans="1:11" x14ac:dyDescent="0.35">
      <c r="A12" s="10" t="s">
        <v>7</v>
      </c>
      <c r="B12" s="35">
        <v>0</v>
      </c>
      <c r="C12" s="35"/>
      <c r="D12" s="222"/>
      <c r="E12" s="506"/>
      <c r="F12" s="504"/>
      <c r="G12" s="35"/>
      <c r="H12" s="220"/>
      <c r="I12" s="49"/>
      <c r="K12" s="7">
        <v>500</v>
      </c>
    </row>
    <row r="13" spans="1:11" x14ac:dyDescent="0.35">
      <c r="A13" s="9" t="s">
        <v>8</v>
      </c>
      <c r="B13" s="33">
        <v>0</v>
      </c>
      <c r="C13" s="33"/>
      <c r="D13" s="219"/>
      <c r="E13" s="114"/>
      <c r="F13" s="396"/>
      <c r="G13" s="33"/>
      <c r="H13" s="219"/>
      <c r="I13" s="34"/>
      <c r="K13" s="7">
        <v>700</v>
      </c>
    </row>
    <row r="14" spans="1:11" x14ac:dyDescent="0.35">
      <c r="A14" s="10" t="s">
        <v>9</v>
      </c>
      <c r="B14" s="35">
        <v>0</v>
      </c>
      <c r="C14" s="35"/>
      <c r="D14" s="222"/>
      <c r="E14" s="506"/>
      <c r="F14" s="504"/>
      <c r="G14" s="35"/>
      <c r="H14" s="222"/>
      <c r="I14" s="36"/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25000000</v>
      </c>
      <c r="D15" s="223">
        <v>0</v>
      </c>
      <c r="E15" s="507">
        <f>55000000+20000000</f>
        <v>75000000</v>
      </c>
      <c r="F15" s="505">
        <f>30000000+45000000</f>
        <v>75000000</v>
      </c>
      <c r="G15" s="37">
        <v>25000000</v>
      </c>
      <c r="H15" s="223">
        <v>25000000</v>
      </c>
      <c r="I15" s="38">
        <v>25000000</v>
      </c>
      <c r="K15" s="7">
        <v>900</v>
      </c>
    </row>
    <row r="16" spans="1:11" ht="15" thickBot="1" x14ac:dyDescent="0.4">
      <c r="A16" s="4" t="s">
        <v>11</v>
      </c>
      <c r="B16" s="39">
        <f>SUM(B9:B15)</f>
        <v>0</v>
      </c>
      <c r="C16" s="39">
        <f t="shared" ref="C16:I16" si="0">SUM(C9:C15)</f>
        <v>25000000</v>
      </c>
      <c r="D16" s="39">
        <f t="shared" si="0"/>
        <v>0</v>
      </c>
      <c r="E16" s="529">
        <f t="shared" si="0"/>
        <v>75000000</v>
      </c>
      <c r="F16" s="39">
        <f t="shared" si="0"/>
        <v>75000000</v>
      </c>
      <c r="G16" s="39">
        <f t="shared" si="0"/>
        <v>25000000</v>
      </c>
      <c r="H16" s="39">
        <f t="shared" si="0"/>
        <v>25000000</v>
      </c>
      <c r="I16" s="39">
        <f t="shared" si="0"/>
        <v>25000000</v>
      </c>
    </row>
    <row r="18" spans="1:10" x14ac:dyDescent="0.35">
      <c r="E18" s="391">
        <f>+E16-D16</f>
        <v>75000000</v>
      </c>
    </row>
    <row r="19" spans="1:10" ht="15" thickBot="1" x14ac:dyDescent="0.4">
      <c r="A19" s="24" t="s">
        <v>12</v>
      </c>
      <c r="B19" s="24"/>
      <c r="C19" s="24" t="s">
        <v>205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thickBot="1" x14ac:dyDescent="0.4">
      <c r="A20" s="454" t="s">
        <v>374</v>
      </c>
      <c r="B20" s="455"/>
      <c r="C20" s="452">
        <v>25000000</v>
      </c>
      <c r="D20" s="452">
        <v>25000000</v>
      </c>
      <c r="E20" s="452">
        <v>55000000</v>
      </c>
      <c r="F20" s="452">
        <v>30000000</v>
      </c>
      <c r="G20" s="452">
        <v>25000000</v>
      </c>
      <c r="H20" s="457">
        <f>+G20</f>
        <v>25000000</v>
      </c>
      <c r="I20" s="458">
        <f>+H20</f>
        <v>25000000</v>
      </c>
    </row>
    <row r="21" spans="1:10" ht="13" customHeight="1" x14ac:dyDescent="0.35">
      <c r="A21" s="296"/>
      <c r="B21" s="101"/>
      <c r="C21" s="93"/>
      <c r="D21" s="94"/>
      <c r="E21" s="94"/>
      <c r="F21" s="94"/>
      <c r="G21" s="94"/>
      <c r="H21" s="456"/>
      <c r="I21" s="453"/>
      <c r="J21" s="17"/>
    </row>
    <row r="22" spans="1:10" ht="13" customHeight="1" x14ac:dyDescent="0.35">
      <c r="A22" s="312" t="s">
        <v>479</v>
      </c>
      <c r="B22" s="196"/>
      <c r="C22" s="474"/>
      <c r="D22" s="473"/>
      <c r="E22" s="473"/>
      <c r="F22" s="473"/>
      <c r="G22" s="196"/>
      <c r="H22" s="196"/>
      <c r="I22" s="196"/>
      <c r="J22" s="17"/>
    </row>
    <row r="23" spans="1:10" s="58" customFormat="1" ht="13" customHeight="1" x14ac:dyDescent="0.35">
      <c r="A23" s="296"/>
      <c r="B23" s="200"/>
      <c r="C23" s="315"/>
      <c r="D23" s="315"/>
      <c r="E23" s="315"/>
      <c r="F23" s="315"/>
      <c r="G23" s="315"/>
      <c r="H23" s="315"/>
      <c r="I23" s="315"/>
      <c r="J23" s="81"/>
    </row>
    <row r="24" spans="1:10" s="58" customFormat="1" ht="13" customHeight="1" x14ac:dyDescent="0.35">
      <c r="A24" s="298"/>
      <c r="B24" s="196"/>
      <c r="C24" s="474"/>
      <c r="D24" s="473"/>
      <c r="E24" s="473"/>
      <c r="F24" s="473"/>
      <c r="G24" s="473"/>
      <c r="H24" s="473"/>
      <c r="I24" s="473"/>
      <c r="J24" s="81"/>
    </row>
    <row r="25" spans="1:10" s="58" customFormat="1" ht="13" customHeight="1" x14ac:dyDescent="0.35">
      <c r="A25" s="800"/>
      <c r="B25" s="200"/>
      <c r="C25" s="20"/>
      <c r="D25" s="200"/>
      <c r="E25" s="94"/>
      <c r="F25" s="94"/>
      <c r="G25" s="94"/>
      <c r="H25" s="94"/>
      <c r="I25" s="94"/>
      <c r="J25" s="81"/>
    </row>
    <row r="26" spans="1:10" s="58" customFormat="1" ht="12.75" customHeight="1" x14ac:dyDescent="0.35">
      <c r="A26" s="334"/>
      <c r="B26" s="20"/>
      <c r="C26" s="20"/>
      <c r="D26" s="20"/>
      <c r="E26" s="94"/>
      <c r="F26" s="94"/>
      <c r="G26" s="20"/>
      <c r="H26" s="20"/>
      <c r="I26" s="20"/>
    </row>
    <row r="27" spans="1:10" s="58" customFormat="1" ht="12.75" customHeight="1" x14ac:dyDescent="0.35">
      <c r="A27" s="354"/>
      <c r="B27" s="200"/>
      <c r="C27" s="20"/>
      <c r="D27" s="94"/>
      <c r="E27" s="94"/>
      <c r="F27" s="94"/>
      <c r="G27" s="94"/>
      <c r="H27" s="94"/>
      <c r="I27" s="94"/>
    </row>
    <row r="28" spans="1:10" s="58" customFormat="1" ht="12.75" customHeight="1" x14ac:dyDescent="0.35">
      <c r="A28" s="20"/>
      <c r="B28" s="200"/>
      <c r="C28" s="335"/>
      <c r="D28" s="315"/>
      <c r="E28" s="94"/>
      <c r="F28" s="94"/>
      <c r="G28" s="20"/>
      <c r="H28" s="20"/>
      <c r="I28" s="20"/>
    </row>
    <row r="29" spans="1:10" s="58" customFormat="1" ht="12.75" customHeight="1" x14ac:dyDescent="0.35">
      <c r="A29" s="334"/>
      <c r="B29" s="200"/>
      <c r="C29" s="335"/>
      <c r="D29" s="315"/>
      <c r="E29" s="200"/>
      <c r="F29" s="200"/>
      <c r="G29" s="200"/>
      <c r="H29" s="200"/>
      <c r="I29" s="200"/>
    </row>
    <row r="30" spans="1:10" s="58" customFormat="1" ht="12.75" customHeight="1" x14ac:dyDescent="0.35">
      <c r="A30" s="336"/>
      <c r="B30" s="200"/>
      <c r="C30" s="335"/>
      <c r="D30" s="315"/>
      <c r="E30" s="315"/>
      <c r="F30" s="315"/>
      <c r="G30" s="315"/>
      <c r="H30" s="315"/>
      <c r="I30" s="315"/>
    </row>
    <row r="31" spans="1:10" s="58" customFormat="1" ht="12.75" customHeight="1" x14ac:dyDescent="0.35">
      <c r="A31" s="336"/>
      <c r="B31" s="200"/>
      <c r="C31" s="335"/>
      <c r="D31" s="315"/>
      <c r="E31" s="94"/>
      <c r="F31" s="200"/>
      <c r="G31" s="200"/>
      <c r="H31" s="200"/>
      <c r="I31" s="200"/>
    </row>
    <row r="32" spans="1:10" s="58" customFormat="1" ht="12.75" customHeight="1" x14ac:dyDescent="0.35">
      <c r="A32" s="336"/>
      <c r="B32" s="200"/>
      <c r="C32" s="279"/>
      <c r="D32" s="315"/>
      <c r="E32" s="315"/>
      <c r="F32" s="315"/>
      <c r="G32" s="315"/>
      <c r="H32" s="315"/>
      <c r="I32" s="315"/>
    </row>
    <row r="33" spans="1:9" s="58" customFormat="1" ht="12.75" customHeight="1" x14ac:dyDescent="0.35">
      <c r="A33" s="336"/>
      <c r="B33" s="200"/>
      <c r="C33" s="335"/>
      <c r="D33" s="315"/>
      <c r="E33" s="94"/>
      <c r="F33" s="200"/>
      <c r="G33" s="200"/>
      <c r="H33" s="200"/>
      <c r="I33" s="200"/>
    </row>
    <row r="34" spans="1:9" s="58" customFormat="1" ht="12.75" customHeight="1" x14ac:dyDescent="0.35">
      <c r="A34" s="336"/>
      <c r="B34" s="200"/>
      <c r="C34" s="279"/>
      <c r="D34" s="315"/>
      <c r="E34" s="315"/>
      <c r="F34" s="200"/>
      <c r="G34" s="200"/>
      <c r="H34" s="200"/>
      <c r="I34" s="200"/>
    </row>
    <row r="35" spans="1:9" s="58" customFormat="1" ht="12.75" customHeight="1" x14ac:dyDescent="0.35">
      <c r="A35" s="355"/>
      <c r="B35" s="200"/>
      <c r="C35" s="200"/>
      <c r="D35" s="200"/>
      <c r="E35" s="200"/>
      <c r="F35" s="200"/>
      <c r="G35" s="200"/>
      <c r="H35" s="200"/>
      <c r="I35" s="200"/>
    </row>
    <row r="36" spans="1:9" s="58" customFormat="1" ht="12.75" customHeight="1" x14ac:dyDescent="0.35">
      <c r="A36" s="217"/>
      <c r="B36" s="200"/>
      <c r="C36" s="20"/>
      <c r="D36" s="315"/>
      <c r="E36" s="200"/>
      <c r="F36" s="200"/>
      <c r="G36" s="200"/>
      <c r="H36" s="200"/>
      <c r="I36" s="200"/>
    </row>
    <row r="37" spans="1:9" s="58" customFormat="1" ht="12.75" customHeight="1" x14ac:dyDescent="0.35">
      <c r="A37" s="316"/>
      <c r="B37" s="316"/>
      <c r="C37" s="316"/>
      <c r="D37" s="200"/>
      <c r="E37" s="315"/>
      <c r="F37" s="200"/>
      <c r="G37" s="200"/>
      <c r="H37" s="200"/>
      <c r="I37" s="200"/>
    </row>
    <row r="38" spans="1:9" s="58" customFormat="1" ht="12.75" customHeight="1" x14ac:dyDescent="0.35">
      <c r="A38" s="123"/>
      <c r="B38" s="316"/>
      <c r="C38" s="316"/>
      <c r="D38" s="200"/>
      <c r="E38" s="315"/>
      <c r="F38" s="315"/>
      <c r="G38" s="315"/>
      <c r="H38" s="315"/>
      <c r="I38" s="315"/>
    </row>
    <row r="39" spans="1:9" s="58" customFormat="1" ht="12.75" customHeight="1" x14ac:dyDescent="0.35">
      <c r="A39" s="316"/>
      <c r="B39" s="316"/>
      <c r="C39" s="316"/>
      <c r="D39" s="200"/>
      <c r="E39" s="315"/>
      <c r="F39" s="200"/>
      <c r="G39" s="200"/>
      <c r="H39" s="200"/>
      <c r="I39" s="200"/>
    </row>
    <row r="40" spans="1:9" ht="12.75" customHeight="1" x14ac:dyDescent="0.35">
      <c r="A40" s="337"/>
      <c r="B40" s="337"/>
      <c r="C40" s="337"/>
      <c r="D40" s="315"/>
      <c r="E40" s="52"/>
      <c r="F40" s="52"/>
      <c r="G40" s="52"/>
      <c r="H40" s="52"/>
      <c r="I40" s="52"/>
    </row>
    <row r="41" spans="1:9" ht="12.75" customHeight="1" x14ac:dyDescent="0.35">
      <c r="A41" s="337"/>
      <c r="B41" s="337"/>
      <c r="C41" s="337"/>
      <c r="D41" s="52"/>
      <c r="E41" s="52"/>
      <c r="F41" s="52"/>
      <c r="G41" s="52"/>
      <c r="H41" s="52"/>
      <c r="I41" s="52"/>
    </row>
    <row r="42" spans="1:9" ht="12.75" customHeight="1" x14ac:dyDescent="0.35">
      <c r="A42" s="337"/>
      <c r="B42" s="314"/>
      <c r="C42" s="314"/>
    </row>
    <row r="43" spans="1:9" ht="12.75" customHeight="1" x14ac:dyDescent="0.35">
      <c r="A43" s="337"/>
      <c r="B43" s="314"/>
      <c r="C43" s="314"/>
    </row>
    <row r="44" spans="1:9" ht="12.75" customHeight="1" x14ac:dyDescent="0.35">
      <c r="A44" s="337"/>
      <c r="B44" s="314"/>
      <c r="C44" s="314"/>
    </row>
    <row r="45" spans="1:9" ht="12.75" customHeight="1" x14ac:dyDescent="0.35">
      <c r="A45" s="337"/>
      <c r="B45" s="314"/>
      <c r="C45" s="314"/>
    </row>
    <row r="46" spans="1:9" ht="12.75" customHeight="1" x14ac:dyDescent="0.35">
      <c r="A46" s="337"/>
      <c r="B46" s="314"/>
      <c r="C46" s="314"/>
    </row>
    <row r="47" spans="1:9" ht="12.75" customHeight="1" x14ac:dyDescent="0.35">
      <c r="A47" s="314"/>
      <c r="B47" s="314"/>
      <c r="C47" s="314"/>
    </row>
    <row r="48" spans="1:9" ht="12.75" customHeight="1" x14ac:dyDescent="0.35">
      <c r="A48" s="314"/>
      <c r="B48" s="314"/>
      <c r="C48" s="314"/>
    </row>
    <row r="49" spans="1:3" ht="12.75" customHeight="1" x14ac:dyDescent="0.35">
      <c r="A49" s="314"/>
      <c r="B49" s="314"/>
      <c r="C49" s="314"/>
    </row>
    <row r="50" spans="1:3" ht="12.75" customHeight="1" x14ac:dyDescent="0.35">
      <c r="A50" s="314"/>
      <c r="B50" s="314"/>
      <c r="C50" s="314"/>
    </row>
    <row r="51" spans="1:3" x14ac:dyDescent="0.35">
      <c r="A51" s="314"/>
      <c r="B51" s="314"/>
      <c r="C51" s="314"/>
    </row>
    <row r="52" spans="1:3" x14ac:dyDescent="0.35">
      <c r="A52" s="314"/>
      <c r="B52" s="314"/>
      <c r="C52" s="314"/>
    </row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25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86"/>
  <sheetViews>
    <sheetView topLeftCell="A21" zoomScaleNormal="100" zoomScaleSheetLayoutView="100" workbookViewId="0">
      <selection activeCell="B27" sqref="B27"/>
    </sheetView>
  </sheetViews>
  <sheetFormatPr defaultColWidth="9.1796875" defaultRowHeight="13" x14ac:dyDescent="0.3"/>
  <cols>
    <col min="1" max="1" width="6.81640625" style="18" bestFit="1" customWidth="1"/>
    <col min="2" max="2" width="48.81640625" style="17" customWidth="1"/>
    <col min="3" max="5" width="12.81640625" style="17" hidden="1" customWidth="1"/>
    <col min="6" max="10" width="13.54296875" style="17" bestFit="1" customWidth="1"/>
    <col min="11" max="11" width="13.54296875" style="17" customWidth="1"/>
    <col min="12" max="16384" width="9.1796875" style="17"/>
  </cols>
  <sheetData>
    <row r="1" spans="1:11" x14ac:dyDescent="0.3">
      <c r="A1" s="877" t="s">
        <v>0</v>
      </c>
      <c r="B1" s="877"/>
      <c r="C1" s="877"/>
      <c r="D1" s="877"/>
      <c r="E1" s="877"/>
      <c r="F1" s="877"/>
      <c r="G1" s="877"/>
      <c r="H1" s="877"/>
      <c r="I1" s="877"/>
      <c r="J1" s="877"/>
    </row>
    <row r="2" spans="1:11" x14ac:dyDescent="0.3">
      <c r="A2" s="877" t="s">
        <v>1</v>
      </c>
      <c r="B2" s="877"/>
      <c r="C2" s="877"/>
      <c r="D2" s="877"/>
      <c r="E2" s="877"/>
      <c r="F2" s="877"/>
      <c r="G2" s="877"/>
      <c r="H2" s="877"/>
      <c r="I2" s="877"/>
      <c r="J2" s="877"/>
    </row>
    <row r="3" spans="1:11" x14ac:dyDescent="0.3">
      <c r="A3" s="877" t="s">
        <v>629</v>
      </c>
      <c r="B3" s="877"/>
      <c r="C3" s="877"/>
      <c r="D3" s="877"/>
      <c r="E3" s="877"/>
      <c r="F3" s="877"/>
      <c r="G3" s="877"/>
      <c r="H3" s="877"/>
      <c r="I3" s="877"/>
      <c r="J3" s="877"/>
    </row>
    <row r="4" spans="1:11" x14ac:dyDescent="0.3">
      <c r="A4" s="877" t="s">
        <v>15</v>
      </c>
      <c r="B4" s="877"/>
      <c r="C4" s="877"/>
      <c r="D4" s="877"/>
      <c r="E4" s="877"/>
      <c r="F4" s="877"/>
      <c r="G4" s="877"/>
      <c r="H4" s="877"/>
      <c r="I4" s="877"/>
      <c r="J4" s="877"/>
    </row>
    <row r="5" spans="1:11" ht="13.5" thickBot="1" x14ac:dyDescent="0.35"/>
    <row r="6" spans="1:11" s="19" customFormat="1" ht="25.5" customHeight="1" x14ac:dyDescent="0.3">
      <c r="A6" s="310"/>
      <c r="B6" s="311"/>
      <c r="C6" s="306" t="s">
        <v>236</v>
      </c>
      <c r="D6" s="306" t="s">
        <v>237</v>
      </c>
      <c r="E6" s="306" t="s">
        <v>364</v>
      </c>
      <c r="F6" s="306" t="s">
        <v>238</v>
      </c>
      <c r="G6" s="306" t="s">
        <v>251</v>
      </c>
      <c r="H6" s="306" t="s">
        <v>300</v>
      </c>
      <c r="I6" s="306" t="s">
        <v>363</v>
      </c>
      <c r="J6" s="306" t="s">
        <v>691</v>
      </c>
      <c r="K6" s="878" t="s">
        <v>692</v>
      </c>
    </row>
    <row r="7" spans="1:11" s="19" customFormat="1" x14ac:dyDescent="0.3">
      <c r="A7" s="299" t="s">
        <v>17</v>
      </c>
      <c r="B7" s="304" t="s">
        <v>16</v>
      </c>
      <c r="C7" s="305" t="s">
        <v>303</v>
      </c>
      <c r="D7" s="305" t="s">
        <v>239</v>
      </c>
      <c r="E7" s="305" t="s">
        <v>240</v>
      </c>
      <c r="F7" s="766" t="s">
        <v>240</v>
      </c>
      <c r="G7" s="305" t="s">
        <v>240</v>
      </c>
      <c r="H7" s="305" t="s">
        <v>240</v>
      </c>
      <c r="I7" s="305" t="s">
        <v>240</v>
      </c>
      <c r="J7" s="305" t="s">
        <v>240</v>
      </c>
      <c r="K7" s="879"/>
    </row>
    <row r="8" spans="1:11" s="19" customFormat="1" x14ac:dyDescent="0.3">
      <c r="A8" s="21">
        <v>34</v>
      </c>
      <c r="B8" s="477" t="s">
        <v>301</v>
      </c>
      <c r="C8" s="40">
        <f>+'34-Art Museum Subsidy'!B16</f>
        <v>2550000</v>
      </c>
      <c r="D8" s="40">
        <f>+'34-Art Museum Subsidy'!C16</f>
        <v>2040000</v>
      </c>
      <c r="E8" s="40">
        <f>+'34-Art Museum Subsidy'!D16</f>
        <v>2040000</v>
      </c>
      <c r="F8" s="40">
        <f>+'34-Art Museum Subsidy'!E16</f>
        <v>2040000</v>
      </c>
      <c r="G8" s="40">
        <f>+'34-Art Museum Subsidy'!F16</f>
        <v>2040000</v>
      </c>
      <c r="H8" s="40">
        <f>+'34-Art Museum Subsidy'!G16</f>
        <v>2040000</v>
      </c>
      <c r="I8" s="40">
        <f>+'34-Art Museum Subsidy'!H16</f>
        <v>2040000</v>
      </c>
      <c r="J8" s="40">
        <f>+'34-Art Museum Subsidy'!I16</f>
        <v>2040000</v>
      </c>
      <c r="K8" s="307">
        <f>SUM(E8:J8)</f>
        <v>12240000</v>
      </c>
    </row>
    <row r="9" spans="1:11" s="19" customFormat="1" ht="14.25" customHeight="1" x14ac:dyDescent="0.3">
      <c r="A9" s="22">
        <v>18</v>
      </c>
      <c r="B9" s="301" t="s">
        <v>18</v>
      </c>
      <c r="C9" s="41">
        <f>+'18-Atwater Kent Museum'!B16</f>
        <v>0</v>
      </c>
      <c r="D9" s="41">
        <f>+'18-Atwater Kent Museum'!C16</f>
        <v>0</v>
      </c>
      <c r="E9" s="41">
        <f>+'18-Atwater Kent Museum'!D16</f>
        <v>0</v>
      </c>
      <c r="F9" s="41">
        <f>+'18-Atwater Kent Museum'!E16</f>
        <v>0</v>
      </c>
      <c r="G9" s="41">
        <f>+'18-Atwater Kent Museum'!F16</f>
        <v>0</v>
      </c>
      <c r="H9" s="41">
        <f>+'18-Atwater Kent Museum'!G16</f>
        <v>0</v>
      </c>
      <c r="I9" s="41">
        <f>+'18-Atwater Kent Museum'!H16</f>
        <v>0</v>
      </c>
      <c r="J9" s="41">
        <f>+'18-Atwater Kent Museum'!I16</f>
        <v>0</v>
      </c>
      <c r="K9" s="308">
        <f>SUM(E9:J9)</f>
        <v>0</v>
      </c>
    </row>
    <row r="10" spans="1:11" s="19" customFormat="1" x14ac:dyDescent="0.3">
      <c r="A10" s="21">
        <v>61</v>
      </c>
      <c r="B10" s="300" t="s">
        <v>19</v>
      </c>
      <c r="C10" s="40">
        <f>'61-Auditing'!B16</f>
        <v>9983963</v>
      </c>
      <c r="D10" s="40">
        <f>'61-Auditing'!C16</f>
        <v>9568289</v>
      </c>
      <c r="E10" s="40">
        <f>'61-Auditing'!D16</f>
        <v>9568289</v>
      </c>
      <c r="F10" s="40">
        <f>'61-Auditing'!E16</f>
        <v>9478289</v>
      </c>
      <c r="G10" s="40">
        <f>'61-Auditing'!F16</f>
        <v>9478289</v>
      </c>
      <c r="H10" s="40">
        <f>'61-Auditing'!G16</f>
        <v>9478289</v>
      </c>
      <c r="I10" s="40">
        <f>'61-Auditing'!H16</f>
        <v>9478289</v>
      </c>
      <c r="J10" s="40">
        <f>'61-Auditing'!I16</f>
        <v>9478289</v>
      </c>
      <c r="K10" s="307">
        <f t="shared" ref="K10:K72" si="0">SUM(E10:J10)</f>
        <v>56959734</v>
      </c>
    </row>
    <row r="11" spans="1:11" s="19" customFormat="1" x14ac:dyDescent="0.3">
      <c r="A11" s="22">
        <v>45</v>
      </c>
      <c r="B11" s="301" t="s">
        <v>20</v>
      </c>
      <c r="C11" s="41">
        <f>'45-Board of Ethics'!B16</f>
        <v>968750</v>
      </c>
      <c r="D11" s="41">
        <f>'45-Board of Ethics'!C16</f>
        <v>975196</v>
      </c>
      <c r="E11" s="41">
        <f>'45-Board of Ethics'!D16</f>
        <v>975196</v>
      </c>
      <c r="F11" s="41">
        <f>'45-Board of Ethics'!E16</f>
        <v>975196</v>
      </c>
      <c r="G11" s="41">
        <f>'45-Board of Ethics'!F16</f>
        <v>975196</v>
      </c>
      <c r="H11" s="41">
        <f>'45-Board of Ethics'!G16</f>
        <v>975196</v>
      </c>
      <c r="I11" s="41">
        <f>'45-Board of Ethics'!H16</f>
        <v>975196</v>
      </c>
      <c r="J11" s="41">
        <f>'45-Board of Ethics'!I16</f>
        <v>975196</v>
      </c>
      <c r="K11" s="308">
        <f t="shared" si="0"/>
        <v>5851176</v>
      </c>
    </row>
    <row r="12" spans="1:11" s="19" customFormat="1" x14ac:dyDescent="0.3">
      <c r="A12" s="21">
        <v>63</v>
      </c>
      <c r="B12" s="300" t="s">
        <v>21</v>
      </c>
      <c r="C12" s="40">
        <f>'63-Board of Revision of Taxes'!B16</f>
        <v>1106373</v>
      </c>
      <c r="D12" s="40">
        <f>'63-Board of Revision of Taxes'!C16</f>
        <v>1043214</v>
      </c>
      <c r="E12" s="40">
        <f>'63-Board of Revision of Taxes'!D16</f>
        <v>1043214</v>
      </c>
      <c r="F12" s="40">
        <f>'63-Board of Revision of Taxes'!E16</f>
        <v>1053462</v>
      </c>
      <c r="G12" s="40">
        <f>'63-Board of Revision of Taxes'!F16</f>
        <v>1053462</v>
      </c>
      <c r="H12" s="40">
        <f>'63-Board of Revision of Taxes'!G16</f>
        <v>1053462</v>
      </c>
      <c r="I12" s="40">
        <f>'63-Board of Revision of Taxes'!H16</f>
        <v>1053462</v>
      </c>
      <c r="J12" s="40">
        <f>'63-Board of Revision of Taxes'!I16</f>
        <v>1053462</v>
      </c>
      <c r="K12" s="307">
        <f t="shared" si="0"/>
        <v>6310524</v>
      </c>
    </row>
    <row r="13" spans="1:11" s="19" customFormat="1" x14ac:dyDescent="0.3">
      <c r="A13" s="22">
        <v>73</v>
      </c>
      <c r="B13" s="301" t="s">
        <v>22</v>
      </c>
      <c r="C13" s="41">
        <f>'73-City Commissioners'!B16</f>
        <v>14183398</v>
      </c>
      <c r="D13" s="41">
        <f>'73-City Commissioners'!C16</f>
        <v>12297852</v>
      </c>
      <c r="E13" s="41">
        <f>'73-City Commissioners'!D16</f>
        <v>22044682</v>
      </c>
      <c r="F13" s="41">
        <f>'73-City Commissioners'!E16</f>
        <v>18046852</v>
      </c>
      <c r="G13" s="41">
        <f>'73-City Commissioners'!F16</f>
        <v>18046852</v>
      </c>
      <c r="H13" s="41">
        <f>'73-City Commissioners'!G16</f>
        <v>18182852</v>
      </c>
      <c r="I13" s="41">
        <f>'73-City Commissioners'!H16</f>
        <v>21929682</v>
      </c>
      <c r="J13" s="41">
        <f>'73-City Commissioners'!I16</f>
        <v>18182852</v>
      </c>
      <c r="K13" s="308">
        <f t="shared" si="0"/>
        <v>116433772</v>
      </c>
    </row>
    <row r="14" spans="1:11" s="19" customFormat="1" ht="13.5" customHeight="1" x14ac:dyDescent="0.3">
      <c r="A14" s="21" t="s">
        <v>24</v>
      </c>
      <c r="B14" s="300" t="s">
        <v>23</v>
      </c>
      <c r="C14" s="40">
        <f>'01-City Council'!B16</f>
        <v>17406469</v>
      </c>
      <c r="D14" s="40">
        <f>'01-City Council'!C16</f>
        <v>42282973</v>
      </c>
      <c r="E14" s="40">
        <f>'01-City Council'!D16</f>
        <v>36611973</v>
      </c>
      <c r="F14" s="40">
        <f>'01-City Council'!E16</f>
        <v>18029973</v>
      </c>
      <c r="G14" s="40">
        <f>'01-City Council'!F16</f>
        <v>19029973</v>
      </c>
      <c r="H14" s="40">
        <f>'01-City Council'!G16</f>
        <v>19029973</v>
      </c>
      <c r="I14" s="40">
        <f>'01-City Council'!H16</f>
        <v>19029973</v>
      </c>
      <c r="J14" s="40">
        <f>'01-City Council'!I16</f>
        <v>19029973</v>
      </c>
      <c r="K14" s="307">
        <f t="shared" si="0"/>
        <v>130761838</v>
      </c>
    </row>
    <row r="15" spans="1:11" s="19" customFormat="1" x14ac:dyDescent="0.3">
      <c r="A15" s="22">
        <v>41</v>
      </c>
      <c r="B15" s="301" t="s">
        <v>25</v>
      </c>
      <c r="C15" s="41">
        <f>'41-City Representative'!B16</f>
        <v>1029060</v>
      </c>
      <c r="D15" s="41">
        <f>'41-City Representative'!C16</f>
        <v>0</v>
      </c>
      <c r="E15" s="41">
        <f>'41-City Representative'!D16</f>
        <v>0</v>
      </c>
      <c r="F15" s="41">
        <f>'41-City Representative'!E16</f>
        <v>0</v>
      </c>
      <c r="G15" s="41">
        <f>'41-City Representative'!F16</f>
        <v>0</v>
      </c>
      <c r="H15" s="41">
        <f>'41-City Representative'!G16</f>
        <v>0</v>
      </c>
      <c r="I15" s="41">
        <f>'41-City Representative'!H16</f>
        <v>0</v>
      </c>
      <c r="J15" s="41">
        <f>'41-City Representative'!I16</f>
        <v>0</v>
      </c>
      <c r="K15" s="308">
        <f t="shared" si="0"/>
        <v>0</v>
      </c>
    </row>
    <row r="16" spans="1:11" s="19" customFormat="1" x14ac:dyDescent="0.3">
      <c r="A16" s="21">
        <v>40</v>
      </c>
      <c r="B16" s="300" t="s">
        <v>26</v>
      </c>
      <c r="C16" s="40">
        <f>'40-City Treasurer'!B16</f>
        <v>1456308</v>
      </c>
      <c r="D16" s="40">
        <f>'40-City Treasurer'!C16</f>
        <v>1583938</v>
      </c>
      <c r="E16" s="40">
        <f>'40-City Treasurer'!D16</f>
        <v>1948938</v>
      </c>
      <c r="F16" s="40">
        <f>'40-City Treasurer'!E16</f>
        <v>1610843</v>
      </c>
      <c r="G16" s="40">
        <f>'40-City Treasurer'!F16</f>
        <v>1610843</v>
      </c>
      <c r="H16" s="40">
        <f>'40-City Treasurer'!G16</f>
        <v>1610843</v>
      </c>
      <c r="I16" s="40">
        <f>'40-City Treasurer'!H16</f>
        <v>1610843</v>
      </c>
      <c r="J16" s="40">
        <f>'40-City Treasurer'!I16</f>
        <v>1610843</v>
      </c>
      <c r="K16" s="307">
        <f t="shared" si="0"/>
        <v>10003153</v>
      </c>
    </row>
    <row r="17" spans="1:11" s="19" customFormat="1" x14ac:dyDescent="0.3">
      <c r="A17" s="22">
        <v>55</v>
      </c>
      <c r="B17" s="301" t="s">
        <v>27</v>
      </c>
      <c r="C17" s="41">
        <f>'55-Civil Service Comm'!B16</f>
        <v>190826</v>
      </c>
      <c r="D17" s="41">
        <f>'55-Civil Service Comm'!C16</f>
        <v>207742</v>
      </c>
      <c r="E17" s="41">
        <f>'55-Civil Service Comm'!D16</f>
        <v>207742</v>
      </c>
      <c r="F17" s="41">
        <f>'55-Civil Service Comm'!E16</f>
        <v>207742</v>
      </c>
      <c r="G17" s="41">
        <f>'55-Civil Service Comm'!F16</f>
        <v>207742</v>
      </c>
      <c r="H17" s="41">
        <f>'55-Civil Service Comm'!G16</f>
        <v>207742</v>
      </c>
      <c r="I17" s="41">
        <f>'55-Civil Service Comm'!H16</f>
        <v>207742</v>
      </c>
      <c r="J17" s="41">
        <f>'55-Civil Service Comm'!I16</f>
        <v>207742</v>
      </c>
      <c r="K17" s="308">
        <f t="shared" si="0"/>
        <v>1246452</v>
      </c>
    </row>
    <row r="18" spans="1:11" s="19" customFormat="1" x14ac:dyDescent="0.3">
      <c r="A18" s="21" t="s">
        <v>28</v>
      </c>
      <c r="B18" s="300" t="s">
        <v>194</v>
      </c>
      <c r="C18" s="40">
        <f>'55L-CivServComm-Labor Reserve'!B16</f>
        <v>0</v>
      </c>
      <c r="D18" s="40">
        <f>'55L-CivServComm-Labor Reserve'!C16</f>
        <v>0</v>
      </c>
      <c r="E18" s="40">
        <f>'55L-CivServComm-Labor Reserve'!D16</f>
        <v>0</v>
      </c>
      <c r="F18" s="40">
        <f>'55L-CivServComm-Labor Reserve'!E16</f>
        <v>25000000</v>
      </c>
      <c r="G18" s="40">
        <f>'55L-CivServComm-Labor Reserve'!F16</f>
        <v>35000000</v>
      </c>
      <c r="H18" s="40">
        <f>'55L-CivServComm-Labor Reserve'!G16</f>
        <v>40000000</v>
      </c>
      <c r="I18" s="40">
        <f>'55L-CivServComm-Labor Reserve'!H16</f>
        <v>50000000</v>
      </c>
      <c r="J18" s="40">
        <f>'55L-CivServComm-Labor Reserve'!I16</f>
        <v>50000000</v>
      </c>
      <c r="K18" s="307">
        <f t="shared" si="0"/>
        <v>200000000</v>
      </c>
    </row>
    <row r="19" spans="1:11" s="19" customFormat="1" x14ac:dyDescent="0.3">
      <c r="A19" s="22">
        <v>42</v>
      </c>
      <c r="B19" s="301" t="s">
        <v>29</v>
      </c>
      <c r="C19" s="41">
        <f>'42-Commerce'!B16</f>
        <v>10227130</v>
      </c>
      <c r="D19" s="41">
        <f>'42-Commerce'!C16</f>
        <v>3637148</v>
      </c>
      <c r="E19" s="41">
        <f>'42-Commerce'!D16</f>
        <v>3334826</v>
      </c>
      <c r="F19" s="41">
        <f>'42-Commerce'!E16</f>
        <v>7398984</v>
      </c>
      <c r="G19" s="41">
        <f>'42-Commerce'!F16</f>
        <v>7798984</v>
      </c>
      <c r="H19" s="41">
        <f>'42-Commerce'!G16</f>
        <v>7798984</v>
      </c>
      <c r="I19" s="41">
        <f>'42-Commerce'!H16</f>
        <v>4802148</v>
      </c>
      <c r="J19" s="41">
        <f>'42-Commerce'!I16</f>
        <v>4802148</v>
      </c>
      <c r="K19" s="308">
        <f t="shared" si="0"/>
        <v>35936074</v>
      </c>
    </row>
    <row r="20" spans="1:11" s="19" customFormat="1" x14ac:dyDescent="0.3">
      <c r="A20" s="21" t="s">
        <v>30</v>
      </c>
      <c r="B20" s="300" t="s">
        <v>31</v>
      </c>
      <c r="C20" s="40">
        <f>'42CC-Commerce Convention Ctr'!B16</f>
        <v>15000000</v>
      </c>
      <c r="D20" s="40">
        <f>'42CC-Commerce Convention Ctr'!C16</f>
        <v>15000000</v>
      </c>
      <c r="E20" s="40">
        <f>'42CC-Commerce Convention Ctr'!D16</f>
        <v>15000000</v>
      </c>
      <c r="F20" s="40">
        <f>'42CC-Commerce Convention Ctr'!E16</f>
        <v>15000000</v>
      </c>
      <c r="G20" s="40">
        <f>'42CC-Commerce Convention Ctr'!F16</f>
        <v>15000000</v>
      </c>
      <c r="H20" s="40">
        <f>'42CC-Commerce Convention Ctr'!G16</f>
        <v>15000000</v>
      </c>
      <c r="I20" s="40">
        <f>'42CC-Commerce Convention Ctr'!H16</f>
        <v>15000000</v>
      </c>
      <c r="J20" s="40">
        <f>'42CC-Commerce Convention Ctr'!I16</f>
        <v>15000000</v>
      </c>
      <c r="K20" s="307">
        <f t="shared" si="0"/>
        <v>90000000</v>
      </c>
    </row>
    <row r="21" spans="1:11" s="19" customFormat="1" x14ac:dyDescent="0.3">
      <c r="A21" s="22" t="s">
        <v>32</v>
      </c>
      <c r="B21" s="301" t="s">
        <v>33</v>
      </c>
      <c r="C21" s="41">
        <f>'42ES-Commerce Econ Stimulus'!B16</f>
        <v>5654666</v>
      </c>
      <c r="D21" s="41">
        <f>'42ES-Commerce Econ Stimulus'!C16</f>
        <v>3015000</v>
      </c>
      <c r="E21" s="41">
        <f>'42ES-Commerce Econ Stimulus'!D16</f>
        <v>3015000</v>
      </c>
      <c r="F21" s="41">
        <f>'42ES-Commerce Econ Stimulus'!E16</f>
        <v>3015000</v>
      </c>
      <c r="G21" s="41">
        <f>'42ES-Commerce Econ Stimulus'!F16</f>
        <v>13015000</v>
      </c>
      <c r="H21" s="41">
        <f>'42ES-Commerce Econ Stimulus'!G16</f>
        <v>13015000</v>
      </c>
      <c r="I21" s="41">
        <f>'42ES-Commerce Econ Stimulus'!H16</f>
        <v>13015000</v>
      </c>
      <c r="J21" s="41">
        <f>'42ES-Commerce Econ Stimulus'!I16</f>
        <v>13015000</v>
      </c>
      <c r="K21" s="308">
        <f t="shared" si="0"/>
        <v>58090000</v>
      </c>
    </row>
    <row r="22" spans="1:11" s="19" customFormat="1" x14ac:dyDescent="0.3">
      <c r="A22" s="21">
        <v>69</v>
      </c>
      <c r="B22" s="300" t="s">
        <v>34</v>
      </c>
      <c r="C22" s="40">
        <f>'69-District Attorney'!B16</f>
        <v>45281660</v>
      </c>
      <c r="D22" s="40">
        <f>'69-District Attorney'!C16</f>
        <v>33376659</v>
      </c>
      <c r="E22" s="40">
        <f ca="1">'69-District Attorney'!D16</f>
        <v>40431659</v>
      </c>
      <c r="F22" s="40">
        <f ca="1">'69-District Attorney'!E16</f>
        <v>40431659</v>
      </c>
      <c r="G22" s="40">
        <f ca="1">'69-District Attorney'!F16</f>
        <v>40431659</v>
      </c>
      <c r="H22" s="40">
        <f ca="1">'69-District Attorney'!G16</f>
        <v>40431659</v>
      </c>
      <c r="I22" s="40">
        <f ca="1">'69-District Attorney'!H16</f>
        <v>40431659</v>
      </c>
      <c r="J22" s="40">
        <f ca="1">'69-District Attorney'!I16</f>
        <v>40431659</v>
      </c>
      <c r="K22" s="307">
        <f t="shared" ca="1" si="0"/>
        <v>242589954</v>
      </c>
    </row>
    <row r="23" spans="1:11" s="19" customFormat="1" x14ac:dyDescent="0.3">
      <c r="A23" s="22">
        <v>35</v>
      </c>
      <c r="B23" s="301" t="s">
        <v>35</v>
      </c>
      <c r="C23" s="41">
        <f>'35-Finance'!B16</f>
        <v>99287977</v>
      </c>
      <c r="D23" s="41">
        <f>'35-Finance'!C16</f>
        <v>38724672</v>
      </c>
      <c r="E23" s="41">
        <f>'35-Finance'!D16</f>
        <v>52970029</v>
      </c>
      <c r="F23" s="41">
        <f>'35-Finance'!E16</f>
        <v>26119639</v>
      </c>
      <c r="G23" s="41">
        <f>'35-Finance'!F16</f>
        <v>23042101</v>
      </c>
      <c r="H23" s="41">
        <f>'35-Finance'!G16</f>
        <v>30329587</v>
      </c>
      <c r="I23" s="41">
        <f>'35-Finance'!H16</f>
        <v>28549793</v>
      </c>
      <c r="J23" s="41">
        <f>'35-Finance'!I16</f>
        <v>32311159</v>
      </c>
      <c r="K23" s="308">
        <f t="shared" si="0"/>
        <v>193322308</v>
      </c>
    </row>
    <row r="24" spans="1:11" s="19" customFormat="1" x14ac:dyDescent="0.3">
      <c r="A24" s="21">
        <v>35</v>
      </c>
      <c r="B24" s="300" t="s">
        <v>255</v>
      </c>
      <c r="C24" s="40">
        <f>+'35D-Finance Reg32'!B9</f>
        <v>1092451</v>
      </c>
      <c r="D24" s="40">
        <f>+'35D-Finance Reg32'!C9</f>
        <v>2650000</v>
      </c>
      <c r="E24" s="40">
        <f>+'35D-Finance Reg32'!D9</f>
        <v>2650000</v>
      </c>
      <c r="F24" s="40">
        <f>+'35D-Finance Reg32'!E9</f>
        <v>2650000</v>
      </c>
      <c r="G24" s="40">
        <f>+'35D-Finance Reg32'!F9</f>
        <v>2650000</v>
      </c>
      <c r="H24" s="40">
        <f>+'35D-Finance Reg32'!G9</f>
        <v>2650000</v>
      </c>
      <c r="I24" s="40">
        <f>+'35D-Finance Reg32'!H9</f>
        <v>2650000</v>
      </c>
      <c r="J24" s="40">
        <f>+'35D-Finance Reg32'!I9</f>
        <v>2650000</v>
      </c>
      <c r="K24" s="307">
        <f t="shared" si="0"/>
        <v>15900000</v>
      </c>
    </row>
    <row r="25" spans="1:11" s="19" customFormat="1" x14ac:dyDescent="0.3">
      <c r="A25" s="22" t="s">
        <v>200</v>
      </c>
      <c r="B25" s="301" t="s">
        <v>312</v>
      </c>
      <c r="C25" s="41">
        <f>+'35BS-Finance-BudgetStabilizat''n'!B16</f>
        <v>34276000</v>
      </c>
      <c r="D25" s="41">
        <f>+'35BS-Finance-BudgetStabilizat''n'!C16</f>
        <v>0</v>
      </c>
      <c r="E25" s="41">
        <f>+'35BS-Finance-BudgetStabilizat''n'!D16</f>
        <v>0</v>
      </c>
      <c r="F25" s="41">
        <f>+'35BS-Finance-BudgetStabilizat''n'!E16</f>
        <v>0</v>
      </c>
      <c r="G25" s="41">
        <f>+'35BS-Finance-BudgetStabilizat''n'!F16</f>
        <v>0</v>
      </c>
      <c r="H25" s="41">
        <f>+'35BS-Finance-BudgetStabilizat''n'!G16</f>
        <v>0</v>
      </c>
      <c r="I25" s="41">
        <f>+'35BS-Finance-BudgetStabilizat''n'!H16</f>
        <v>0</v>
      </c>
      <c r="J25" s="41">
        <f>+'35BS-Finance-BudgetStabilizat''n'!I16</f>
        <v>0</v>
      </c>
      <c r="K25" s="308">
        <f t="shared" si="0"/>
        <v>0</v>
      </c>
    </row>
    <row r="26" spans="1:11" s="19" customFormat="1" x14ac:dyDescent="0.3">
      <c r="A26" s="21" t="s">
        <v>302</v>
      </c>
      <c r="B26" s="872" t="s">
        <v>912</v>
      </c>
      <c r="C26" s="40">
        <f>+'35R-Finance - Pandemic Reserve'!B16</f>
        <v>0</v>
      </c>
      <c r="D26" s="40">
        <f>+'35R-Finance - Pandemic Reserve'!C16</f>
        <v>25000000</v>
      </c>
      <c r="E26" s="40">
        <f>+'35R-Finance - Pandemic Reserve'!D16</f>
        <v>0</v>
      </c>
      <c r="F26" s="40">
        <f>+'35R-Finance - Pandemic Reserve'!E16</f>
        <v>75000000</v>
      </c>
      <c r="G26" s="40">
        <f>+'35R-Finance - Pandemic Reserve'!F16</f>
        <v>75000000</v>
      </c>
      <c r="H26" s="40">
        <f>+'35R-Finance - Pandemic Reserve'!G16</f>
        <v>25000000</v>
      </c>
      <c r="I26" s="40">
        <f>+'35R-Finance - Pandemic Reserve'!H16</f>
        <v>25000000</v>
      </c>
      <c r="J26" s="40">
        <f>+'35R-Finance - Pandemic Reserve'!I16</f>
        <v>25000000</v>
      </c>
      <c r="K26" s="307">
        <f t="shared" si="0"/>
        <v>225000000</v>
      </c>
    </row>
    <row r="27" spans="1:11" s="19" customFormat="1" x14ac:dyDescent="0.3">
      <c r="A27" s="22" t="s">
        <v>36</v>
      </c>
      <c r="B27" s="301" t="s">
        <v>37</v>
      </c>
      <c r="C27" s="41">
        <f>'35CC-Finance - CCP'!B16</f>
        <v>36059207</v>
      </c>
      <c r="D27" s="41">
        <f>'35CC-Finance - CCP'!C16</f>
        <v>44110159</v>
      </c>
      <c r="E27" s="41">
        <f>'35CC-Finance - CCP'!D16</f>
        <v>44110159</v>
      </c>
      <c r="F27" s="41">
        <f>'35CC-Finance - CCP'!E16</f>
        <v>48128075</v>
      </c>
      <c r="G27" s="41">
        <f>'35CC-Finance - CCP'!F16</f>
        <v>50106653</v>
      </c>
      <c r="H27" s="41">
        <f>'35CC-Finance - CCP'!G16</f>
        <v>50860996</v>
      </c>
      <c r="I27" s="41">
        <f>'35CC-Finance - CCP'!H16</f>
        <v>50758698</v>
      </c>
      <c r="J27" s="41">
        <f>'35CC-Finance - CCP'!I16</f>
        <v>50758698</v>
      </c>
      <c r="K27" s="308">
        <f t="shared" si="0"/>
        <v>294723279</v>
      </c>
    </row>
    <row r="28" spans="1:11" s="19" customFormat="1" x14ac:dyDescent="0.3">
      <c r="A28" s="21" t="s">
        <v>90</v>
      </c>
      <c r="B28" s="300" t="s">
        <v>94</v>
      </c>
      <c r="C28" s="40">
        <f>'35EB-Finance - Benefits'!B16</f>
        <v>1363379633</v>
      </c>
      <c r="D28" s="40">
        <f>'35EB-Finance - Benefits'!C16</f>
        <v>1287159003</v>
      </c>
      <c r="E28" s="40">
        <f>'35EB-Finance - Benefits'!D16</f>
        <v>1302161016</v>
      </c>
      <c r="F28" s="40">
        <f>'35EB-Finance - Benefits'!E16</f>
        <v>1434553835</v>
      </c>
      <c r="G28" s="40">
        <f>'35EB-Finance - Benefits'!F16</f>
        <v>1501975576</v>
      </c>
      <c r="H28" s="40">
        <f>'35EB-Finance - Benefits'!G16</f>
        <v>1568556052</v>
      </c>
      <c r="I28" s="40">
        <f>'35EB-Finance - Benefits'!H16</f>
        <v>1619677604</v>
      </c>
      <c r="J28" s="40">
        <f>'35EB-Finance - Benefits'!I16</f>
        <v>1675168998</v>
      </c>
      <c r="K28" s="307">
        <f t="shared" si="0"/>
        <v>9102093081</v>
      </c>
    </row>
    <row r="29" spans="1:11" s="19" customFormat="1" x14ac:dyDescent="0.3">
      <c r="A29" s="22" t="s">
        <v>38</v>
      </c>
      <c r="B29" s="301" t="s">
        <v>39</v>
      </c>
      <c r="C29" s="41">
        <f>'35H-Finance - Hero'!B16</f>
        <v>0</v>
      </c>
      <c r="D29" s="41">
        <f>'35H-Finance - Hero'!C16</f>
        <v>25000</v>
      </c>
      <c r="E29" s="41">
        <f>'35H-Finance - Hero'!D16</f>
        <v>25000</v>
      </c>
      <c r="F29" s="41">
        <f>'35H-Finance - Hero'!E16</f>
        <v>25000</v>
      </c>
      <c r="G29" s="41">
        <f>'35H-Finance - Hero'!F16</f>
        <v>25000</v>
      </c>
      <c r="H29" s="41">
        <f>'35H-Finance - Hero'!G16</f>
        <v>25000</v>
      </c>
      <c r="I29" s="41">
        <f>'35H-Finance - Hero'!H16</f>
        <v>25000</v>
      </c>
      <c r="J29" s="41">
        <f>'35H-Finance - Hero'!I16</f>
        <v>25000</v>
      </c>
      <c r="K29" s="308">
        <f t="shared" si="0"/>
        <v>150000</v>
      </c>
    </row>
    <row r="30" spans="1:11" s="19" customFormat="1" x14ac:dyDescent="0.3">
      <c r="A30" s="21" t="s">
        <v>91</v>
      </c>
      <c r="B30" s="300" t="s">
        <v>45</v>
      </c>
      <c r="C30" s="40">
        <f>'35I-Finance - Indemnities'!B16</f>
        <v>7238981</v>
      </c>
      <c r="D30" s="40">
        <f>'35I-Finance - Indemnities'!C16</f>
        <v>49246000</v>
      </c>
      <c r="E30" s="40">
        <f>'35I-Finance - Indemnities'!D16</f>
        <v>49246000</v>
      </c>
      <c r="F30" s="40">
        <f>'35I-Finance - Indemnities'!E16</f>
        <v>49246000</v>
      </c>
      <c r="G30" s="40">
        <f>'35I-Finance - Indemnities'!F16</f>
        <v>49246000</v>
      </c>
      <c r="H30" s="40">
        <f>'35I-Finance - Indemnities'!G16</f>
        <v>49246000</v>
      </c>
      <c r="I30" s="40">
        <f>'35I-Finance - Indemnities'!H16</f>
        <v>49246000</v>
      </c>
      <c r="J30" s="40">
        <f>'35I-Finance - Indemnities'!I16</f>
        <v>49246000</v>
      </c>
      <c r="K30" s="307">
        <f t="shared" si="0"/>
        <v>295476000</v>
      </c>
    </row>
    <row r="31" spans="1:11" s="19" customFormat="1" x14ac:dyDescent="0.3">
      <c r="A31" s="22" t="s">
        <v>42</v>
      </c>
      <c r="B31" s="301" t="s">
        <v>43</v>
      </c>
      <c r="C31" s="41">
        <f>'35R-Finance - Refunds'!B16</f>
        <v>11660</v>
      </c>
      <c r="D31" s="41">
        <f>'35R-Finance - Refunds'!C16</f>
        <v>250000</v>
      </c>
      <c r="E31" s="41">
        <f>'35R-Finance - Refunds'!D16</f>
        <v>250000</v>
      </c>
      <c r="F31" s="41">
        <f>'35R-Finance - Refunds'!E16</f>
        <v>250000</v>
      </c>
      <c r="G31" s="41">
        <f>'35R-Finance - Refunds'!F16</f>
        <v>250000</v>
      </c>
      <c r="H31" s="41">
        <f>'35R-Finance - Refunds'!G16</f>
        <v>250000</v>
      </c>
      <c r="I31" s="41">
        <f>'35R-Finance - Refunds'!H16</f>
        <v>250000</v>
      </c>
      <c r="J31" s="41">
        <f>'35R-Finance - Refunds'!I16</f>
        <v>250000</v>
      </c>
      <c r="K31" s="308">
        <f t="shared" si="0"/>
        <v>1500000</v>
      </c>
    </row>
    <row r="32" spans="1:11" s="19" customFormat="1" x14ac:dyDescent="0.3">
      <c r="A32" s="21" t="s">
        <v>40</v>
      </c>
      <c r="B32" s="300" t="s">
        <v>41</v>
      </c>
      <c r="C32" s="40">
        <f>'35SD-Finance-School District'!B16</f>
        <v>227106410</v>
      </c>
      <c r="D32" s="40">
        <f>'35SD-Finance-School District'!C16</f>
        <v>252578558</v>
      </c>
      <c r="E32" s="40">
        <f>'35SD-Finance-School District'!D16</f>
        <v>252578558</v>
      </c>
      <c r="F32" s="40">
        <f>'35SD-Finance-School District'!E16</f>
        <v>255953201</v>
      </c>
      <c r="G32" s="40">
        <f>'35SD-Finance-School District'!F16</f>
        <v>269953201</v>
      </c>
      <c r="H32" s="40">
        <f>'35SD-Finance-School District'!G16</f>
        <v>282052590</v>
      </c>
      <c r="I32" s="40">
        <f>'35SD-Finance-School District'!H16</f>
        <v>288191821</v>
      </c>
      <c r="J32" s="40">
        <f>'35SD-Finance-School District'!I16</f>
        <v>288191821</v>
      </c>
      <c r="K32" s="307">
        <f t="shared" si="0"/>
        <v>1636921192</v>
      </c>
    </row>
    <row r="33" spans="1:11" s="19" customFormat="1" x14ac:dyDescent="0.3">
      <c r="A33" s="22" t="s">
        <v>46</v>
      </c>
      <c r="B33" s="301" t="s">
        <v>47</v>
      </c>
      <c r="C33" s="41">
        <f>'35W-Finance - Witness Fees'!B16</f>
        <v>94904</v>
      </c>
      <c r="D33" s="41">
        <f>'35W-Finance - Witness Fees'!C16</f>
        <v>171518</v>
      </c>
      <c r="E33" s="41">
        <f>'35W-Finance - Witness Fees'!D16</f>
        <v>171518</v>
      </c>
      <c r="F33" s="41">
        <f>'35W-Finance - Witness Fees'!E16</f>
        <v>171518</v>
      </c>
      <c r="G33" s="41">
        <f>'35W-Finance - Witness Fees'!F16</f>
        <v>171518</v>
      </c>
      <c r="H33" s="41">
        <f>'35W-Finance - Witness Fees'!G16</f>
        <v>171518</v>
      </c>
      <c r="I33" s="41">
        <f>'35W-Finance - Witness Fees'!H16</f>
        <v>171518</v>
      </c>
      <c r="J33" s="41">
        <f>'35W-Finance - Witness Fees'!I16</f>
        <v>171518</v>
      </c>
      <c r="K33" s="308">
        <f t="shared" si="0"/>
        <v>1029108</v>
      </c>
    </row>
    <row r="34" spans="1:11" s="19" customFormat="1" x14ac:dyDescent="0.3">
      <c r="A34" s="21">
        <v>13</v>
      </c>
      <c r="B34" s="300" t="s">
        <v>48</v>
      </c>
      <c r="C34" s="40">
        <f>'13-Fire'!B16</f>
        <v>330899509</v>
      </c>
      <c r="D34" s="40">
        <f>'13-Fire'!C16</f>
        <v>315056258</v>
      </c>
      <c r="E34" s="40">
        <f>'13-Fire'!D16</f>
        <v>339056258</v>
      </c>
      <c r="F34" s="40">
        <f>'13-Fire'!E16</f>
        <v>361066229</v>
      </c>
      <c r="G34" s="40">
        <f>'13-Fire'!F16</f>
        <v>362229966</v>
      </c>
      <c r="H34" s="40">
        <f>'13-Fire'!G16</f>
        <v>361968596</v>
      </c>
      <c r="I34" s="40">
        <f>'13-Fire'!H16</f>
        <v>363133757</v>
      </c>
      <c r="J34" s="40">
        <f>'13-Fire'!I16</f>
        <v>363526319</v>
      </c>
      <c r="K34" s="307">
        <f t="shared" si="0"/>
        <v>2150981125</v>
      </c>
    </row>
    <row r="35" spans="1:11" s="19" customFormat="1" x14ac:dyDescent="0.3">
      <c r="A35" s="22">
        <v>84</v>
      </c>
      <c r="B35" s="301" t="s">
        <v>49</v>
      </c>
      <c r="C35" s="41">
        <f>'84-FJD'!B16</f>
        <v>116576528</v>
      </c>
      <c r="D35" s="41">
        <f>'84-FJD'!C16</f>
        <v>116036029</v>
      </c>
      <c r="E35" s="41">
        <f>'84-FJD'!D16</f>
        <v>116036029</v>
      </c>
      <c r="F35" s="41">
        <f>'84-FJD'!E16</f>
        <v>115743463</v>
      </c>
      <c r="G35" s="41">
        <f>'84-FJD'!F16</f>
        <v>115743463</v>
      </c>
      <c r="H35" s="41">
        <f>'84-FJD'!G16</f>
        <v>115743463</v>
      </c>
      <c r="I35" s="41">
        <f>'84-FJD'!H16</f>
        <v>115743463</v>
      </c>
      <c r="J35" s="41">
        <f>'84-FJD'!I16</f>
        <v>115743463</v>
      </c>
      <c r="K35" s="308">
        <f t="shared" si="0"/>
        <v>694753344</v>
      </c>
    </row>
    <row r="36" spans="1:11" s="19" customFormat="1" x14ac:dyDescent="0.3">
      <c r="A36" s="21">
        <v>25</v>
      </c>
      <c r="B36" s="300" t="s">
        <v>50</v>
      </c>
      <c r="C36" s="40">
        <f>'25-Fleet'!B16</f>
        <v>46073994</v>
      </c>
      <c r="D36" s="40">
        <f>'25-Fleet'!C16</f>
        <v>46803724</v>
      </c>
      <c r="E36" s="40">
        <f>'25-Fleet'!D16</f>
        <v>46803724</v>
      </c>
      <c r="F36" s="40">
        <f>'25-Fleet'!E16</f>
        <v>44781176</v>
      </c>
      <c r="G36" s="40">
        <f>'25-Fleet'!F16</f>
        <v>44999176</v>
      </c>
      <c r="H36" s="40">
        <f>'25-Fleet'!G16</f>
        <v>45169176</v>
      </c>
      <c r="I36" s="40">
        <f>'25-Fleet'!H16</f>
        <v>45169176</v>
      </c>
      <c r="J36" s="40">
        <f>'25-Fleet'!I16</f>
        <v>45169176</v>
      </c>
      <c r="K36" s="307">
        <f t="shared" si="0"/>
        <v>272091604</v>
      </c>
    </row>
    <row r="37" spans="1:11" s="19" customFormat="1" x14ac:dyDescent="0.3">
      <c r="A37" s="22" t="s">
        <v>92</v>
      </c>
      <c r="B37" s="301" t="s">
        <v>95</v>
      </c>
      <c r="C37" s="41">
        <f>'25V-Fleet - Vehicle'!B16</f>
        <v>18274884</v>
      </c>
      <c r="D37" s="41">
        <f>'25V-Fleet - Vehicle'!C16</f>
        <v>9797739</v>
      </c>
      <c r="E37" s="41">
        <f>'25V-Fleet - Vehicle'!D16</f>
        <v>9797739</v>
      </c>
      <c r="F37" s="41">
        <f>'25V-Fleet - Vehicle'!E16</f>
        <v>9307852</v>
      </c>
      <c r="G37" s="41">
        <f>'25V-Fleet - Vehicle'!F16</f>
        <v>9307852</v>
      </c>
      <c r="H37" s="41">
        <f>'25V-Fleet - Vehicle'!G16</f>
        <v>9307852</v>
      </c>
      <c r="I37" s="41">
        <f>'25V-Fleet - Vehicle'!H16</f>
        <v>9307852</v>
      </c>
      <c r="J37" s="41">
        <f>'25V-Fleet - Vehicle'!I16</f>
        <v>9307852</v>
      </c>
      <c r="K37" s="308">
        <f t="shared" si="0"/>
        <v>56336999</v>
      </c>
    </row>
    <row r="38" spans="1:11" x14ac:dyDescent="0.3">
      <c r="A38" s="21">
        <v>52</v>
      </c>
      <c r="B38" s="300" t="s">
        <v>51</v>
      </c>
      <c r="C38" s="40">
        <f>'52-Free Library'!B16</f>
        <v>46268851</v>
      </c>
      <c r="D38" s="40">
        <f>'52-Free Library'!C16</f>
        <v>39650733</v>
      </c>
      <c r="E38" s="40">
        <f>'52-Free Library'!D16</f>
        <v>39650733</v>
      </c>
      <c r="F38" s="40">
        <f>'52-Free Library'!E16</f>
        <v>42629007</v>
      </c>
      <c r="G38" s="40">
        <f>'52-Free Library'!F16</f>
        <v>42740507</v>
      </c>
      <c r="H38" s="40">
        <f>'52-Free Library'!G16</f>
        <v>42985620</v>
      </c>
      <c r="I38" s="40">
        <f>'52-Free Library'!H16</f>
        <v>43063726</v>
      </c>
      <c r="J38" s="40">
        <f>'52-Free Library'!I16</f>
        <v>43155702</v>
      </c>
      <c r="K38" s="307">
        <f t="shared" si="0"/>
        <v>254225295</v>
      </c>
    </row>
    <row r="39" spans="1:11" x14ac:dyDescent="0.3">
      <c r="A39" s="22">
        <v>54</v>
      </c>
      <c r="B39" s="301" t="s">
        <v>52</v>
      </c>
      <c r="C39" s="41">
        <f>'54-Human Relations Comm'!B16</f>
        <v>2332700</v>
      </c>
      <c r="D39" s="41">
        <f>'54-Human Relations Comm'!C16</f>
        <v>2422973</v>
      </c>
      <c r="E39" s="41">
        <f>'54-Human Relations Comm'!D16</f>
        <v>2422973</v>
      </c>
      <c r="F39" s="41">
        <f>'54-Human Relations Comm'!E16</f>
        <v>2387728</v>
      </c>
      <c r="G39" s="41">
        <f>'54-Human Relations Comm'!F16</f>
        <v>2387728</v>
      </c>
      <c r="H39" s="41">
        <f>'54-Human Relations Comm'!G16</f>
        <v>2387728</v>
      </c>
      <c r="I39" s="41">
        <f>'54-Human Relations Comm'!H16</f>
        <v>2387728</v>
      </c>
      <c r="J39" s="41">
        <f>'54-Human Relations Comm'!I16</f>
        <v>2387728</v>
      </c>
      <c r="K39" s="308">
        <f t="shared" si="0"/>
        <v>14361613</v>
      </c>
    </row>
    <row r="40" spans="1:11" x14ac:dyDescent="0.3">
      <c r="A40" s="21">
        <v>22</v>
      </c>
      <c r="B40" s="300" t="s">
        <v>53</v>
      </c>
      <c r="C40" s="40">
        <f>'22-Human Services'!B16</f>
        <v>112543973</v>
      </c>
      <c r="D40" s="40">
        <f>'22-Human Services'!C16</f>
        <v>163090633.42000002</v>
      </c>
      <c r="E40" s="40">
        <f>'22-Human Services'!D16</f>
        <v>164544253.42000002</v>
      </c>
      <c r="F40" s="40">
        <f>'22-Human Services'!E16</f>
        <v>176398808.42000002</v>
      </c>
      <c r="G40" s="40">
        <f>'22-Human Services'!F16</f>
        <v>180600566.42000002</v>
      </c>
      <c r="H40" s="40">
        <f>'22-Human Services'!G16</f>
        <v>179136556.42000002</v>
      </c>
      <c r="I40" s="40">
        <f>'22-Human Services'!H16</f>
        <v>179136556.42000002</v>
      </c>
      <c r="J40" s="40">
        <f>'22-Human Services'!I16</f>
        <v>179136556.42000002</v>
      </c>
      <c r="K40" s="307">
        <f t="shared" si="0"/>
        <v>1058953297.5200002</v>
      </c>
    </row>
    <row r="41" spans="1:11" ht="12.75" customHeight="1" x14ac:dyDescent="0.3">
      <c r="A41" s="22" t="s">
        <v>54</v>
      </c>
      <c r="B41" s="301" t="s">
        <v>259</v>
      </c>
      <c r="C41" s="41">
        <f>'03-Labor'!B16</f>
        <v>2217240</v>
      </c>
      <c r="D41" s="41">
        <f>'03-Labor'!C16</f>
        <v>2839104</v>
      </c>
      <c r="E41" s="41">
        <f>'03-Labor'!D16</f>
        <v>2749104</v>
      </c>
      <c r="F41" s="41">
        <f>'03-Labor'!E16</f>
        <v>3313659</v>
      </c>
      <c r="G41" s="41">
        <f>'03-Labor'!F16</f>
        <v>3332543</v>
      </c>
      <c r="H41" s="41">
        <f>'03-Labor'!G16</f>
        <v>3320568</v>
      </c>
      <c r="I41" s="41">
        <f>'03-Labor'!H16</f>
        <v>3330009</v>
      </c>
      <c r="J41" s="41">
        <f>'03-Labor'!I16</f>
        <v>3325384</v>
      </c>
      <c r="K41" s="308">
        <f t="shared" si="0"/>
        <v>19371267</v>
      </c>
    </row>
    <row r="42" spans="1:11" x14ac:dyDescent="0.3">
      <c r="A42" s="21">
        <v>44</v>
      </c>
      <c r="B42" s="300" t="s">
        <v>55</v>
      </c>
      <c r="C42" s="40">
        <f>'44-Law'!B16</f>
        <v>16572642</v>
      </c>
      <c r="D42" s="40">
        <f>'44-Law'!C16</f>
        <v>15014106</v>
      </c>
      <c r="E42" s="40">
        <f>'44-Law'!D16</f>
        <v>16414106</v>
      </c>
      <c r="F42" s="40">
        <f>'44-Law'!E16</f>
        <v>19304973</v>
      </c>
      <c r="G42" s="40">
        <f>'44-Law'!F16</f>
        <v>19354973</v>
      </c>
      <c r="H42" s="40">
        <f>'44-Law'!G16</f>
        <v>19404973</v>
      </c>
      <c r="I42" s="40">
        <f>'44-Law'!H16</f>
        <v>19404973</v>
      </c>
      <c r="J42" s="40">
        <f>'44-Law'!I16</f>
        <v>19404973</v>
      </c>
      <c r="K42" s="307">
        <f t="shared" si="0"/>
        <v>113288971</v>
      </c>
    </row>
    <row r="43" spans="1:11" x14ac:dyDescent="0.3">
      <c r="A43" s="22">
        <v>26</v>
      </c>
      <c r="B43" s="301" t="s">
        <v>235</v>
      </c>
      <c r="C43" s="41">
        <f>'26-L+I'!B16</f>
        <v>38894319</v>
      </c>
      <c r="D43" s="41">
        <f>'26-L+I'!C16</f>
        <v>38251694</v>
      </c>
      <c r="E43" s="41">
        <f>'26-L+I'!D16</f>
        <v>38251694</v>
      </c>
      <c r="F43" s="41">
        <f>'26-L+I'!E16</f>
        <v>38965283</v>
      </c>
      <c r="G43" s="41">
        <f>'26-L+I'!F16</f>
        <v>38309033</v>
      </c>
      <c r="H43" s="41">
        <f>'26-L+I'!G16</f>
        <v>38309033</v>
      </c>
      <c r="I43" s="41">
        <f>'26-L+I'!H16</f>
        <v>38309033</v>
      </c>
      <c r="J43" s="41">
        <f>'26-L+I'!I16</f>
        <v>38309033</v>
      </c>
      <c r="K43" s="308">
        <f t="shared" si="0"/>
        <v>230453109</v>
      </c>
    </row>
    <row r="44" spans="1:11" x14ac:dyDescent="0.3">
      <c r="A44" s="21">
        <v>29</v>
      </c>
      <c r="B44" s="300" t="s">
        <v>220</v>
      </c>
      <c r="C44" s="40">
        <f>'29-L+I -Bd Bldg Standards'!B16</f>
        <v>79592</v>
      </c>
      <c r="D44" s="40">
        <f>'29-L+I -Bd Bldg Standards'!C16</f>
        <v>82018</v>
      </c>
      <c r="E44" s="40">
        <f>'29-L+I -Bd Bldg Standards'!D16</f>
        <v>82018</v>
      </c>
      <c r="F44" s="40">
        <f>'29-L+I -Bd Bldg Standards'!E16</f>
        <v>82018</v>
      </c>
      <c r="G44" s="40">
        <f>'29-L+I -Bd Bldg Standards'!F16</f>
        <v>82018</v>
      </c>
      <c r="H44" s="40">
        <f>'29-L+I -Bd Bldg Standards'!G16</f>
        <v>82018</v>
      </c>
      <c r="I44" s="40">
        <f>'29-L+I -Bd Bldg Standards'!H16</f>
        <v>82018</v>
      </c>
      <c r="J44" s="40">
        <f>'29-L+I -Bd Bldg Standards'!I16</f>
        <v>82018</v>
      </c>
      <c r="K44" s="307">
        <f t="shared" si="0"/>
        <v>492108</v>
      </c>
    </row>
    <row r="45" spans="1:11" x14ac:dyDescent="0.3">
      <c r="A45" s="22">
        <v>27</v>
      </c>
      <c r="B45" s="301" t="s">
        <v>221</v>
      </c>
      <c r="C45" s="41">
        <f>'27-L+I -Bd LI Rev'!B16</f>
        <v>136765</v>
      </c>
      <c r="D45" s="41">
        <f>'27-L+I -Bd LI Rev'!C16</f>
        <v>176071</v>
      </c>
      <c r="E45" s="41">
        <f>'27-L+I -Bd LI Rev'!D16</f>
        <v>176071</v>
      </c>
      <c r="F45" s="41">
        <f>'27-L+I -Bd LI Rev'!E16</f>
        <v>176071</v>
      </c>
      <c r="G45" s="41">
        <f>'27-L+I -Bd LI Rev'!F16</f>
        <v>176071</v>
      </c>
      <c r="H45" s="41">
        <f>'27-L+I -Bd LI Rev'!G16</f>
        <v>176071</v>
      </c>
      <c r="I45" s="41">
        <f>'27-L+I -Bd LI Rev'!H16</f>
        <v>176071</v>
      </c>
      <c r="J45" s="41">
        <f>'27-L+I -Bd LI Rev'!I16</f>
        <v>176071</v>
      </c>
      <c r="K45" s="308">
        <f t="shared" si="0"/>
        <v>1056426</v>
      </c>
    </row>
    <row r="46" spans="1:11" x14ac:dyDescent="0.3">
      <c r="A46" s="21">
        <v>10</v>
      </c>
      <c r="B46" s="300" t="s">
        <v>56</v>
      </c>
      <c r="C46" s="40">
        <f>'10-MDO'!B16</f>
        <v>106924809</v>
      </c>
      <c r="D46" s="40">
        <f>'10-MDO'!C16</f>
        <v>70615244</v>
      </c>
      <c r="E46" s="40">
        <f>'10-MDO'!D16</f>
        <v>124233063</v>
      </c>
      <c r="F46" s="40">
        <f>'10-MDO'!E16</f>
        <v>93261128</v>
      </c>
      <c r="G46" s="40">
        <f>'10-MDO'!F16</f>
        <v>89348674</v>
      </c>
      <c r="H46" s="40">
        <f>'10-MDO'!G16</f>
        <v>90903942</v>
      </c>
      <c r="I46" s="40">
        <f>'10-MDO'!H16</f>
        <v>88203287</v>
      </c>
      <c r="J46" s="40">
        <f>'10-MDO'!I16</f>
        <v>88304962</v>
      </c>
      <c r="K46" s="307">
        <f t="shared" si="0"/>
        <v>574255056</v>
      </c>
    </row>
    <row r="47" spans="1:11" x14ac:dyDescent="0.3">
      <c r="A47" s="22" t="s">
        <v>57</v>
      </c>
      <c r="B47" s="301" t="s">
        <v>58</v>
      </c>
      <c r="C47" s="41">
        <f>'10LS-MDO-Legal Svcs'!B16</f>
        <v>50938541</v>
      </c>
      <c r="D47" s="41">
        <f>'10LS-MDO-Legal Svcs'!C16</f>
        <v>50104181</v>
      </c>
      <c r="E47" s="41">
        <f>'10LS-MDO-Legal Svcs'!D16</f>
        <v>50104181</v>
      </c>
      <c r="F47" s="41">
        <f>'10LS-MDO-Legal Svcs'!E16</f>
        <v>50938782</v>
      </c>
      <c r="G47" s="41">
        <f>'10LS-MDO-Legal Svcs'!F16</f>
        <v>50938782</v>
      </c>
      <c r="H47" s="41">
        <f>'10LS-MDO-Legal Svcs'!G16</f>
        <v>50938782</v>
      </c>
      <c r="I47" s="41">
        <f>'10LS-MDO-Legal Svcs'!H16</f>
        <v>50938782</v>
      </c>
      <c r="J47" s="41">
        <f>'10LS-MDO-Legal Svcs'!I16</f>
        <v>50938782</v>
      </c>
      <c r="K47" s="308">
        <f t="shared" si="0"/>
        <v>304798091</v>
      </c>
    </row>
    <row r="48" spans="1:11" x14ac:dyDescent="0.3">
      <c r="A48" s="21" t="s">
        <v>59</v>
      </c>
      <c r="B48" s="300" t="s">
        <v>60</v>
      </c>
      <c r="C48" s="40">
        <f>'05-Mayor'!B16</f>
        <v>6137229</v>
      </c>
      <c r="D48" s="40">
        <f>'05-Mayor'!C16</f>
        <v>6463592</v>
      </c>
      <c r="E48" s="40">
        <f>'05-Mayor'!D16</f>
        <v>6780092</v>
      </c>
      <c r="F48" s="40">
        <f>'05-Mayor'!E16</f>
        <v>6714201</v>
      </c>
      <c r="G48" s="40">
        <f>'05-Mayor'!F16</f>
        <v>6664201</v>
      </c>
      <c r="H48" s="40">
        <f>'05-Mayor'!G16</f>
        <v>6614201</v>
      </c>
      <c r="I48" s="40">
        <f>'05-Mayor'!H16</f>
        <v>6614201</v>
      </c>
      <c r="J48" s="40">
        <f>'05-Mayor'!I16</f>
        <v>6614201</v>
      </c>
      <c r="K48" s="307">
        <f t="shared" si="0"/>
        <v>40001097</v>
      </c>
    </row>
    <row r="49" spans="1:11" ht="12.75" customHeight="1" x14ac:dyDescent="0.3">
      <c r="A49" s="22" t="s">
        <v>61</v>
      </c>
      <c r="B49" s="301" t="s">
        <v>62</v>
      </c>
      <c r="C49" s="41">
        <f>'05S-Mayor-Schol'!B16</f>
        <v>200000</v>
      </c>
      <c r="D49" s="41">
        <f>'05S-Mayor-Schol'!C16</f>
        <v>100000</v>
      </c>
      <c r="E49" s="41">
        <f>'05S-Mayor-Schol'!D16</f>
        <v>200000</v>
      </c>
      <c r="F49" s="41">
        <f>'05S-Mayor-Schol'!E16</f>
        <v>100000</v>
      </c>
      <c r="G49" s="41">
        <f>'05S-Mayor-Schol'!F16</f>
        <v>100000</v>
      </c>
      <c r="H49" s="41">
        <f>'05S-Mayor-Schol'!G16</f>
        <v>100000</v>
      </c>
      <c r="I49" s="41">
        <f>'05S-Mayor-Schol'!H16</f>
        <v>100000</v>
      </c>
      <c r="J49" s="41">
        <f>'05S-Mayor-Schol'!I16</f>
        <v>100000</v>
      </c>
      <c r="K49" s="308">
        <f t="shared" si="0"/>
        <v>700000</v>
      </c>
    </row>
    <row r="50" spans="1:11" ht="12.75" customHeight="1" x14ac:dyDescent="0.3">
      <c r="A50" s="21">
        <v>65</v>
      </c>
      <c r="B50" s="300" t="s">
        <v>207</v>
      </c>
      <c r="C50" s="40">
        <f>+'65-CAO'!B16</f>
        <v>6764845</v>
      </c>
      <c r="D50" s="40">
        <f>+'65-CAO'!C16</f>
        <v>6333779</v>
      </c>
      <c r="E50" s="40">
        <f>+'65-CAO'!D16</f>
        <v>6333779</v>
      </c>
      <c r="F50" s="40">
        <f>+'65-CAO'!E16</f>
        <v>10944536</v>
      </c>
      <c r="G50" s="40">
        <f>+'65-CAO'!F16</f>
        <v>10884536</v>
      </c>
      <c r="H50" s="40">
        <f>+'65-CAO'!G16</f>
        <v>8884536</v>
      </c>
      <c r="I50" s="40">
        <f>+'65-CAO'!H16</f>
        <v>8884536</v>
      </c>
      <c r="J50" s="40">
        <f>+'65-CAO'!I16</f>
        <v>8884536</v>
      </c>
      <c r="K50" s="307">
        <f t="shared" si="0"/>
        <v>54816459</v>
      </c>
    </row>
    <row r="51" spans="1:11" ht="12.75" customHeight="1" x14ac:dyDescent="0.3">
      <c r="A51" s="22">
        <v>66</v>
      </c>
      <c r="B51" s="301" t="s">
        <v>462</v>
      </c>
      <c r="C51" s="41">
        <f>+'66-OCF'!B16</f>
        <v>43088830</v>
      </c>
      <c r="D51" s="41">
        <f>+'66-OCF'!C16</f>
        <v>418820</v>
      </c>
      <c r="E51" s="41">
        <f>+'66-OCF'!D16</f>
        <v>418820</v>
      </c>
      <c r="F51" s="41">
        <f>+'66-OCF'!E16</f>
        <v>442000</v>
      </c>
      <c r="G51" s="41">
        <f>+'66-OCF'!F16</f>
        <v>442000</v>
      </c>
      <c r="H51" s="41">
        <f>+'66-OCF'!G16</f>
        <v>442000</v>
      </c>
      <c r="I51" s="41">
        <f>+'66-OCF'!H16</f>
        <v>442000</v>
      </c>
      <c r="J51" s="41">
        <f>+'66-OCF'!I16</f>
        <v>442000</v>
      </c>
      <c r="K51" s="308">
        <f t="shared" si="0"/>
        <v>2628820</v>
      </c>
    </row>
    <row r="52" spans="1:11" ht="15" customHeight="1" x14ac:dyDescent="0.3">
      <c r="A52" s="21" t="s">
        <v>63</v>
      </c>
      <c r="B52" s="300" t="s">
        <v>96</v>
      </c>
      <c r="C52" s="40">
        <f>'08-CEO( MOCS_08)'!B16</f>
        <v>90500</v>
      </c>
      <c r="D52" s="40">
        <f>'08-CEO( MOCS_08)'!C16</f>
        <v>45000</v>
      </c>
      <c r="E52" s="40">
        <f>'08-CEO( MOCS_08)'!D16</f>
        <v>45000</v>
      </c>
      <c r="F52" s="40">
        <f>'08-CEO( MOCS_08)'!E16</f>
        <v>45000</v>
      </c>
      <c r="G52" s="40">
        <f>'08-CEO( MOCS_08)'!F16</f>
        <v>45000</v>
      </c>
      <c r="H52" s="40">
        <f>'08-CEO( MOCS_08)'!G16</f>
        <v>45000</v>
      </c>
      <c r="I52" s="40">
        <f>'08-CEO( MOCS_08)'!H16</f>
        <v>45000</v>
      </c>
      <c r="J52" s="40">
        <f>'08-CEO( MOCS_08)'!I16</f>
        <v>45000</v>
      </c>
      <c r="K52" s="307">
        <f t="shared" si="0"/>
        <v>270000</v>
      </c>
    </row>
    <row r="53" spans="1:11" x14ac:dyDescent="0.3">
      <c r="A53" s="22">
        <v>50</v>
      </c>
      <c r="B53" s="301" t="s">
        <v>64</v>
      </c>
      <c r="C53" s="41">
        <f>'50-Mural Arts'!B16</f>
        <v>2130112</v>
      </c>
      <c r="D53" s="41">
        <f>'50-Mural Arts'!C16</f>
        <v>2124562</v>
      </c>
      <c r="E53" s="41">
        <f>'50-Mural Arts'!D16</f>
        <v>2124562</v>
      </c>
      <c r="F53" s="41">
        <f>'50-Mural Arts'!E16</f>
        <v>2325602</v>
      </c>
      <c r="G53" s="41">
        <f>'50-Mural Arts'!F16</f>
        <v>2325602</v>
      </c>
      <c r="H53" s="41">
        <f>'50-Mural Arts'!G16</f>
        <v>2325602</v>
      </c>
      <c r="I53" s="41">
        <f>'50-Mural Arts'!H16</f>
        <v>2325602</v>
      </c>
      <c r="J53" s="41">
        <f>'50-Mural Arts'!I16</f>
        <v>2325602</v>
      </c>
      <c r="K53" s="308">
        <f t="shared" si="0"/>
        <v>13752572</v>
      </c>
    </row>
    <row r="54" spans="1:11" x14ac:dyDescent="0.3">
      <c r="A54" s="21">
        <v>58</v>
      </c>
      <c r="B54" s="300" t="s">
        <v>65</v>
      </c>
      <c r="C54" s="40">
        <f>'58-Arts&amp;Culture'!B16</f>
        <v>4375429</v>
      </c>
      <c r="D54" s="40">
        <f>'58-Arts&amp;Culture'!C16</f>
        <v>0</v>
      </c>
      <c r="E54" s="40">
        <f>'58-Arts&amp;Culture'!D16</f>
        <v>0</v>
      </c>
      <c r="F54" s="40">
        <f>'58-Arts&amp;Culture'!E16</f>
        <v>0</v>
      </c>
      <c r="G54" s="40">
        <f>'58-Arts&amp;Culture'!F16</f>
        <v>0</v>
      </c>
      <c r="H54" s="40">
        <f>'58-Arts&amp;Culture'!G16</f>
        <v>0</v>
      </c>
      <c r="I54" s="40">
        <f>'58-Arts&amp;Culture'!H16</f>
        <v>0</v>
      </c>
      <c r="J54" s="40">
        <f>'58-Arts&amp;Culture'!I16</f>
        <v>0</v>
      </c>
      <c r="K54" s="307">
        <f t="shared" si="0"/>
        <v>0</v>
      </c>
    </row>
    <row r="55" spans="1:11" x14ac:dyDescent="0.3">
      <c r="A55" s="22">
        <v>15</v>
      </c>
      <c r="B55" s="301" t="s">
        <v>97</v>
      </c>
      <c r="C55" s="41">
        <f>'15-OBH'!B16</f>
        <v>15911407</v>
      </c>
      <c r="D55" s="41">
        <f>'15-OBH'!C16</f>
        <v>15477402</v>
      </c>
      <c r="E55" s="41">
        <f>'15-OBH'!D16</f>
        <v>15477402</v>
      </c>
      <c r="F55" s="41">
        <f>'15-OBH'!E16</f>
        <v>23546932</v>
      </c>
      <c r="G55" s="41">
        <f>'15-OBH'!F16</f>
        <v>20211332</v>
      </c>
      <c r="H55" s="41">
        <f>'15-OBH'!G16</f>
        <v>20211332</v>
      </c>
      <c r="I55" s="41">
        <f>'15-OBH'!H16</f>
        <v>20211332</v>
      </c>
      <c r="J55" s="41">
        <f>'15-OBH'!I16</f>
        <v>20211332</v>
      </c>
      <c r="K55" s="308">
        <f t="shared" si="0"/>
        <v>119869662</v>
      </c>
    </row>
    <row r="56" spans="1:11" x14ac:dyDescent="0.3">
      <c r="A56" s="21">
        <v>24</v>
      </c>
      <c r="B56" s="300" t="s">
        <v>233</v>
      </c>
      <c r="C56" s="40">
        <f>'24-OHS'!B16</f>
        <v>60113037</v>
      </c>
      <c r="D56" s="40">
        <f>'24-OHS'!C16</f>
        <v>44038587</v>
      </c>
      <c r="E56" s="40">
        <f>'24-OHS'!D16</f>
        <v>45038587</v>
      </c>
      <c r="F56" s="40">
        <f>'24-OHS'!E16</f>
        <v>55321342</v>
      </c>
      <c r="G56" s="40">
        <f>'24-OHS'!F16</f>
        <v>55988615</v>
      </c>
      <c r="H56" s="40">
        <f>'24-OHS'!G16</f>
        <v>46705895</v>
      </c>
      <c r="I56" s="40">
        <f>'24-OHS'!H16</f>
        <v>46705895</v>
      </c>
      <c r="J56" s="40">
        <f>'24-OHS'!I16</f>
        <v>46705895</v>
      </c>
      <c r="K56" s="307">
        <f>SUM(E56:J56)</f>
        <v>296466229</v>
      </c>
    </row>
    <row r="57" spans="1:11" x14ac:dyDescent="0.3">
      <c r="A57" s="22">
        <v>56</v>
      </c>
      <c r="B57" s="301" t="s">
        <v>66</v>
      </c>
      <c r="C57" s="41">
        <f>'56-OHR'!B16</f>
        <v>5965201</v>
      </c>
      <c r="D57" s="41">
        <f>'56-OHR'!C16</f>
        <v>6237735</v>
      </c>
      <c r="E57" s="41">
        <f>'56-OHR'!D16</f>
        <v>6237735</v>
      </c>
      <c r="F57" s="41">
        <f>'56-OHR'!E16</f>
        <v>6120804</v>
      </c>
      <c r="G57" s="41">
        <f>'56-OHR'!F16</f>
        <v>5870804</v>
      </c>
      <c r="H57" s="41">
        <f>'56-OHR'!G16</f>
        <v>5950804</v>
      </c>
      <c r="I57" s="41">
        <f>'56-OHR'!H16</f>
        <v>5950804</v>
      </c>
      <c r="J57" s="41">
        <f>'56-OHR'!I16</f>
        <v>5950804</v>
      </c>
      <c r="K57" s="308">
        <f t="shared" si="0"/>
        <v>36081755</v>
      </c>
    </row>
    <row r="58" spans="1:11" x14ac:dyDescent="0.3">
      <c r="A58" s="21" t="s">
        <v>67</v>
      </c>
      <c r="B58" s="300" t="s">
        <v>68</v>
      </c>
      <c r="C58" s="40">
        <f>'04-OIT'!B16</f>
        <v>75977630</v>
      </c>
      <c r="D58" s="40">
        <f>'04-OIT'!C16</f>
        <v>75795173</v>
      </c>
      <c r="E58" s="40">
        <f>'04-OIT'!D16</f>
        <v>77317442</v>
      </c>
      <c r="F58" s="40">
        <f>'04-OIT'!E16</f>
        <v>81156170</v>
      </c>
      <c r="G58" s="40">
        <f>'04-OIT'!F16</f>
        <v>81960033</v>
      </c>
      <c r="H58" s="40">
        <f>'04-OIT'!G16</f>
        <v>82563547</v>
      </c>
      <c r="I58" s="40">
        <f>'04-OIT'!H16</f>
        <v>82591093</v>
      </c>
      <c r="J58" s="40">
        <f>'04-OIT'!I16</f>
        <v>82591093</v>
      </c>
      <c r="K58" s="307">
        <f t="shared" si="0"/>
        <v>488179378</v>
      </c>
    </row>
    <row r="59" spans="1:11" x14ac:dyDescent="0.3">
      <c r="A59" s="22" t="s">
        <v>93</v>
      </c>
      <c r="B59" s="301" t="s">
        <v>70</v>
      </c>
      <c r="C59" s="41">
        <f>'04-OIT-911'!B16</f>
        <v>19916769</v>
      </c>
      <c r="D59" s="41">
        <f>'04-OIT-911'!C16</f>
        <v>53564955</v>
      </c>
      <c r="E59" s="41">
        <f>'04-OIT-911'!D16</f>
        <v>53564955</v>
      </c>
      <c r="F59" s="41">
        <f>'04-OIT-911'!E16</f>
        <v>31334577</v>
      </c>
      <c r="G59" s="41">
        <f>'04-OIT-911'!F16</f>
        <v>27356412</v>
      </c>
      <c r="H59" s="41">
        <f>'04-OIT-911'!G16</f>
        <v>25429250</v>
      </c>
      <c r="I59" s="41">
        <f>'04-OIT-911'!H16</f>
        <v>25452829</v>
      </c>
      <c r="J59" s="41">
        <f>'04-OIT-911'!I16</f>
        <v>24643267</v>
      </c>
      <c r="K59" s="308">
        <f t="shared" si="0"/>
        <v>187781290</v>
      </c>
    </row>
    <row r="60" spans="1:11" x14ac:dyDescent="0.3">
      <c r="A60" s="21">
        <v>48</v>
      </c>
      <c r="B60" s="300" t="s">
        <v>98</v>
      </c>
      <c r="C60" s="40">
        <f>'48-OIG'!B16</f>
        <v>1497267</v>
      </c>
      <c r="D60" s="40">
        <f>'48-OIG'!C16</f>
        <v>1575681</v>
      </c>
      <c r="E60" s="40">
        <f>'48-OIG'!D16</f>
        <v>1575681</v>
      </c>
      <c r="F60" s="40">
        <f>'48-OIG'!E16</f>
        <v>1607423</v>
      </c>
      <c r="G60" s="40">
        <f>'48-OIG'!F16</f>
        <v>1607423</v>
      </c>
      <c r="H60" s="40">
        <f>'48-OIG'!G16</f>
        <v>1607423</v>
      </c>
      <c r="I60" s="40">
        <f>'48-OIG'!H16</f>
        <v>1607423</v>
      </c>
      <c r="J60" s="40">
        <f>'48-OIG'!I16</f>
        <v>1607423</v>
      </c>
      <c r="K60" s="307">
        <f t="shared" si="0"/>
        <v>9612796</v>
      </c>
    </row>
    <row r="61" spans="1:11" x14ac:dyDescent="0.3">
      <c r="A61" s="22">
        <v>59</v>
      </c>
      <c r="B61" s="301" t="s">
        <v>71</v>
      </c>
      <c r="C61" s="41">
        <f>'59-OPA'!B16</f>
        <v>14711421</v>
      </c>
      <c r="D61" s="41">
        <f>'59-OPA'!C16</f>
        <v>16101293</v>
      </c>
      <c r="E61" s="41">
        <f>'59-OPA'!D16</f>
        <v>16101293</v>
      </c>
      <c r="F61" s="41">
        <f>'59-OPA'!E16</f>
        <v>16783833</v>
      </c>
      <c r="G61" s="41">
        <f>'59-OPA'!F16</f>
        <v>16683833</v>
      </c>
      <c r="H61" s="41">
        <f>'59-OPA'!G16</f>
        <v>16683833</v>
      </c>
      <c r="I61" s="41">
        <f>'59-OPA'!H16</f>
        <v>16683833</v>
      </c>
      <c r="J61" s="41">
        <f>'59-OPA'!I16</f>
        <v>16683833</v>
      </c>
      <c r="K61" s="308">
        <f t="shared" si="0"/>
        <v>99620458</v>
      </c>
    </row>
    <row r="62" spans="1:11" x14ac:dyDescent="0.3">
      <c r="A62" s="21">
        <v>49</v>
      </c>
      <c r="B62" s="300" t="s">
        <v>199</v>
      </c>
      <c r="C62" s="40">
        <f>+'49-Off of Sustainability'!B16</f>
        <v>1225513</v>
      </c>
      <c r="D62" s="40">
        <f>+'49-Off of Sustainability'!C16</f>
        <v>1203180</v>
      </c>
      <c r="E62" s="40">
        <f>+'49-Off of Sustainability'!D16</f>
        <v>1279219</v>
      </c>
      <c r="F62" s="40">
        <f>+'49-Off of Sustainability'!E16</f>
        <v>1371987</v>
      </c>
      <c r="G62" s="40">
        <f>+'49-Off of Sustainability'!F16</f>
        <v>1371987</v>
      </c>
      <c r="H62" s="40">
        <f>+'49-Off of Sustainability'!G16</f>
        <v>1371987</v>
      </c>
      <c r="I62" s="40">
        <f>+'49-Off of Sustainability'!H16</f>
        <v>1371987</v>
      </c>
      <c r="J62" s="40">
        <f>+'49-Off of Sustainability'!I16</f>
        <v>1321987</v>
      </c>
      <c r="K62" s="307">
        <f t="shared" si="0"/>
        <v>8089154</v>
      </c>
    </row>
    <row r="63" spans="1:11" x14ac:dyDescent="0.3">
      <c r="A63" s="22">
        <v>16</v>
      </c>
      <c r="B63" s="301" t="s">
        <v>72</v>
      </c>
      <c r="C63" s="41">
        <f>'16-Parks&amp;Rec'!B16</f>
        <v>64969290</v>
      </c>
      <c r="D63" s="41">
        <f>'16-Parks&amp;Rec'!C16</f>
        <v>54926154</v>
      </c>
      <c r="E63" s="41">
        <f>'16-Parks&amp;Rec'!D16</f>
        <v>55271008</v>
      </c>
      <c r="F63" s="41">
        <f>'16-Parks&amp;Rec'!E16</f>
        <v>62064553</v>
      </c>
      <c r="G63" s="41">
        <f>'16-Parks&amp;Rec'!F16</f>
        <v>62667601</v>
      </c>
      <c r="H63" s="41">
        <f>'16-Parks&amp;Rec'!G16</f>
        <v>62564832</v>
      </c>
      <c r="I63" s="41">
        <f>'16-Parks&amp;Rec'!H16</f>
        <v>62601734</v>
      </c>
      <c r="J63" s="41">
        <f>'16-Parks&amp;Rec'!I16</f>
        <v>62638440</v>
      </c>
      <c r="K63" s="308">
        <f t="shared" si="0"/>
        <v>367808168</v>
      </c>
    </row>
    <row r="64" spans="1:11" x14ac:dyDescent="0.3">
      <c r="A64" s="21">
        <v>72</v>
      </c>
      <c r="B64" s="300" t="s">
        <v>241</v>
      </c>
      <c r="C64" s="40">
        <f>'72-Planning &amp; Dev (Incl OHCD)'!B16</f>
        <v>18252409</v>
      </c>
      <c r="D64" s="40">
        <f>'72-Planning &amp; Dev (Incl OHCD)'!C16</f>
        <v>8535183</v>
      </c>
      <c r="E64" s="40">
        <f>'72-Planning &amp; Dev (Incl OHCD)'!D16</f>
        <v>15055183</v>
      </c>
      <c r="F64" s="40">
        <f>'72-Planning &amp; Dev (Incl OHCD)'!E16</f>
        <v>8573828</v>
      </c>
      <c r="G64" s="40">
        <f>'72-Planning &amp; Dev (Incl OHCD)'!F16</f>
        <v>8543828</v>
      </c>
      <c r="H64" s="40">
        <f>'72-Planning &amp; Dev (Incl OHCD)'!G16</f>
        <v>8543828</v>
      </c>
      <c r="I64" s="40">
        <f>'72-Planning &amp; Dev (Incl OHCD)'!H16</f>
        <v>8543828</v>
      </c>
      <c r="J64" s="40">
        <f>'72-Planning &amp; Dev (Incl OHCD)'!I16</f>
        <v>8543828</v>
      </c>
      <c r="K64" s="307">
        <f>SUM(E64:J64)</f>
        <v>57804323</v>
      </c>
    </row>
    <row r="65" spans="1:11" x14ac:dyDescent="0.3">
      <c r="A65" s="22">
        <v>11</v>
      </c>
      <c r="B65" s="301" t="s">
        <v>73</v>
      </c>
      <c r="C65" s="41">
        <f>'11-Police'!B16</f>
        <v>774398600</v>
      </c>
      <c r="D65" s="41">
        <f>'11-Police'!C16</f>
        <v>727007734</v>
      </c>
      <c r="E65" s="41">
        <f>'11-Police'!D16</f>
        <v>727007734</v>
      </c>
      <c r="F65" s="41">
        <f>'11-Police'!E16</f>
        <v>727007734</v>
      </c>
      <c r="G65" s="41">
        <f>'11-Police'!F16</f>
        <v>727007734</v>
      </c>
      <c r="H65" s="41">
        <f>'11-Police'!G16</f>
        <v>727007734</v>
      </c>
      <c r="I65" s="41">
        <f>'11-Police'!H16</f>
        <v>727007734</v>
      </c>
      <c r="J65" s="41">
        <f>'11-Police'!I16</f>
        <v>727007734</v>
      </c>
      <c r="K65" s="308">
        <f t="shared" si="0"/>
        <v>4362046404</v>
      </c>
    </row>
    <row r="66" spans="1:11" x14ac:dyDescent="0.3">
      <c r="A66" s="21">
        <v>23</v>
      </c>
      <c r="B66" s="300" t="s">
        <v>74</v>
      </c>
      <c r="C66" s="40">
        <f>'23-Prisons'!B16</f>
        <v>243998662</v>
      </c>
      <c r="D66" s="40">
        <f>'23-Prisons'!C16</f>
        <v>220169920</v>
      </c>
      <c r="E66" s="40">
        <f>'23-Prisons'!D16</f>
        <v>222163106</v>
      </c>
      <c r="F66" s="40">
        <f>'23-Prisons'!E16</f>
        <v>231297334</v>
      </c>
      <c r="G66" s="40">
        <f>'23-Prisons'!F16</f>
        <v>228571495</v>
      </c>
      <c r="H66" s="40">
        <f>'23-Prisons'!G16</f>
        <v>228439122</v>
      </c>
      <c r="I66" s="40">
        <f>'23-Prisons'!H16</f>
        <v>228454886</v>
      </c>
      <c r="J66" s="40">
        <f>'23-Prisons'!I16</f>
        <v>227913669</v>
      </c>
      <c r="K66" s="307">
        <f t="shared" si="0"/>
        <v>1366839612</v>
      </c>
    </row>
    <row r="67" spans="1:11" x14ac:dyDescent="0.3">
      <c r="A67" s="22">
        <v>38</v>
      </c>
      <c r="B67" s="301" t="s">
        <v>75</v>
      </c>
      <c r="C67" s="41">
        <f>'38-Procurement'!B16</f>
        <v>5084255</v>
      </c>
      <c r="D67" s="41">
        <f>'38-Procurement'!C16</f>
        <v>4760336</v>
      </c>
      <c r="E67" s="41">
        <f>'38-Procurement'!D16</f>
        <v>7055104</v>
      </c>
      <c r="F67" s="41">
        <f>'38-Procurement'!E16</f>
        <v>5456338</v>
      </c>
      <c r="G67" s="41">
        <f>'38-Procurement'!F16</f>
        <v>5465317</v>
      </c>
      <c r="H67" s="41">
        <f>'38-Procurement'!G16</f>
        <v>5472792</v>
      </c>
      <c r="I67" s="41">
        <f>'38-Procurement'!H16</f>
        <v>5472792</v>
      </c>
      <c r="J67" s="41">
        <f>'38-Procurement'!I16</f>
        <v>5472792</v>
      </c>
      <c r="K67" s="308">
        <f t="shared" si="0"/>
        <v>34395135</v>
      </c>
    </row>
    <row r="68" spans="1:11" x14ac:dyDescent="0.3">
      <c r="A68" s="21">
        <v>14</v>
      </c>
      <c r="B68" s="300" t="s">
        <v>76</v>
      </c>
      <c r="C68" s="40">
        <f>'14-Public Health'!B16</f>
        <v>168573781</v>
      </c>
      <c r="D68" s="40">
        <f>'14-Public Health'!C16</f>
        <v>159352985</v>
      </c>
      <c r="E68" s="40">
        <f>'14-Public Health'!D16</f>
        <v>162261794</v>
      </c>
      <c r="F68" s="40">
        <f ca="1">'14-Public Health'!E16</f>
        <v>162489196</v>
      </c>
      <c r="G68" s="40">
        <f ca="1">'14-Public Health'!F16</f>
        <v>115080542</v>
      </c>
      <c r="H68" s="40">
        <f ca="1">'14-Public Health'!G16</f>
        <v>114877295</v>
      </c>
      <c r="I68" s="40">
        <f ca="1">'14-Public Health'!H16</f>
        <v>114925329</v>
      </c>
      <c r="J68" s="40">
        <f ca="1">'14-Public Health'!I16</f>
        <v>114934731</v>
      </c>
      <c r="K68" s="307">
        <f t="shared" ca="1" si="0"/>
        <v>784568887</v>
      </c>
    </row>
    <row r="69" spans="1:11" x14ac:dyDescent="0.3">
      <c r="A69" s="22">
        <v>20</v>
      </c>
      <c r="B69" s="301" t="s">
        <v>77</v>
      </c>
      <c r="C69" s="41">
        <f>'20-Public Property'!B16</f>
        <v>68857821</v>
      </c>
      <c r="D69" s="41">
        <f>'20-Public Property'!C16</f>
        <v>70224341</v>
      </c>
      <c r="E69" s="41">
        <f>'20-Public Property'!D16</f>
        <v>71130878</v>
      </c>
      <c r="F69" s="41">
        <f>'20-Public Property'!E16</f>
        <v>73425346</v>
      </c>
      <c r="G69" s="41">
        <f>'20-Public Property'!F16</f>
        <v>75505298</v>
      </c>
      <c r="H69" s="41">
        <f>'20-Public Property'!G16</f>
        <v>77321123</v>
      </c>
      <c r="I69" s="41">
        <f>'20-Public Property'!H16</f>
        <v>78299892</v>
      </c>
      <c r="J69" s="41">
        <f>'20-Public Property'!I16</f>
        <v>79305700</v>
      </c>
      <c r="K69" s="308">
        <f t="shared" si="0"/>
        <v>454988237</v>
      </c>
    </row>
    <row r="70" spans="1:11" x14ac:dyDescent="0.3">
      <c r="A70" s="21" t="s">
        <v>78</v>
      </c>
      <c r="B70" s="300" t="s">
        <v>79</v>
      </c>
      <c r="C70" s="40">
        <f>'20S-Public Prop-SEPTA'!B16</f>
        <v>86290000</v>
      </c>
      <c r="D70" s="40">
        <f>'20S-Public Prop-SEPTA'!C16</f>
        <v>84608000</v>
      </c>
      <c r="E70" s="40">
        <f>'20S-Public Prop-SEPTA'!D16</f>
        <v>84608000</v>
      </c>
      <c r="F70" s="40">
        <f>'20S-Public Prop-SEPTA'!E16</f>
        <v>91214000</v>
      </c>
      <c r="G70" s="40">
        <f>'20S-Public Prop-SEPTA'!F16</f>
        <v>94323000</v>
      </c>
      <c r="H70" s="40">
        <f>'20S-Public Prop-SEPTA'!G16</f>
        <v>97575000</v>
      </c>
      <c r="I70" s="40">
        <f>'20S-Public Prop-SEPTA'!H16</f>
        <v>100961000</v>
      </c>
      <c r="J70" s="40">
        <f>'20S-Public Prop-SEPTA'!I16</f>
        <v>104475000</v>
      </c>
      <c r="K70" s="307">
        <f t="shared" si="0"/>
        <v>573156000</v>
      </c>
    </row>
    <row r="71" spans="1:11" x14ac:dyDescent="0.3">
      <c r="A71" s="22" t="s">
        <v>80</v>
      </c>
      <c r="B71" s="301" t="s">
        <v>81</v>
      </c>
      <c r="C71" s="41">
        <f>'20SR-Public Prop-Space Rentals'!B16</f>
        <v>26086731</v>
      </c>
      <c r="D71" s="41">
        <f>'20SR-Public Prop-Space Rentals'!C16</f>
        <v>25567715</v>
      </c>
      <c r="E71" s="41">
        <f>'20SR-Public Prop-Space Rentals'!D16</f>
        <v>25567715</v>
      </c>
      <c r="F71" s="41">
        <f>'20SR-Public Prop-Space Rentals'!E16</f>
        <v>30249634</v>
      </c>
      <c r="G71" s="41">
        <f>'20SR-Public Prop-Space Rentals'!F16</f>
        <v>30379922</v>
      </c>
      <c r="H71" s="41">
        <f>'20SR-Public Prop-Space Rentals'!G16</f>
        <v>31322075</v>
      </c>
      <c r="I71" s="41">
        <f>'20SR-Public Prop-Space Rentals'!H16</f>
        <v>32108228</v>
      </c>
      <c r="J71" s="41">
        <f>'20SR-Public Prop-Space Rentals'!I16</f>
        <v>33174820</v>
      </c>
      <c r="K71" s="308">
        <f t="shared" si="0"/>
        <v>182802394</v>
      </c>
    </row>
    <row r="72" spans="1:11" x14ac:dyDescent="0.3">
      <c r="A72" s="21" t="s">
        <v>82</v>
      </c>
      <c r="B72" s="300" t="s">
        <v>83</v>
      </c>
      <c r="C72" s="40">
        <f>'20U-Public Prop-Utilities'!B16</f>
        <v>28681562</v>
      </c>
      <c r="D72" s="40">
        <f>'20U-Public Prop-Utilities'!C16</f>
        <v>25447623</v>
      </c>
      <c r="E72" s="40">
        <f>'20U-Public Prop-Utilities'!D16</f>
        <v>25447623</v>
      </c>
      <c r="F72" s="40">
        <f>'20U-Public Prop-Utilities'!E16</f>
        <v>24875748</v>
      </c>
      <c r="G72" s="40">
        <f>'20U-Public Prop-Utilities'!F16</f>
        <v>25668251</v>
      </c>
      <c r="H72" s="40">
        <f>'20U-Public Prop-Utilities'!G16</f>
        <v>26591054</v>
      </c>
      <c r="I72" s="40">
        <f>'20U-Public Prop-Utilities'!H16</f>
        <v>27491945</v>
      </c>
      <c r="J72" s="40">
        <f>'20U-Public Prop-Utilities'!I16</f>
        <v>28422963</v>
      </c>
      <c r="K72" s="307">
        <f t="shared" si="0"/>
        <v>158497584</v>
      </c>
    </row>
    <row r="73" spans="1:11" x14ac:dyDescent="0.3">
      <c r="A73" s="22">
        <v>31</v>
      </c>
      <c r="B73" s="301" t="s">
        <v>84</v>
      </c>
      <c r="C73" s="41">
        <f>'31-Records'!B16</f>
        <v>4221199</v>
      </c>
      <c r="D73" s="41">
        <f>'31-Records'!C16</f>
        <v>4004335</v>
      </c>
      <c r="E73" s="41">
        <f>'31-Records'!D16</f>
        <v>4004335</v>
      </c>
      <c r="F73" s="41">
        <f>'31-Records'!E16</f>
        <v>3912713</v>
      </c>
      <c r="G73" s="41">
        <f>'31-Records'!F16</f>
        <v>3912713</v>
      </c>
      <c r="H73" s="41">
        <f>'31-Records'!G16</f>
        <v>3912713</v>
      </c>
      <c r="I73" s="41">
        <f>'31-Records'!H16</f>
        <v>3812713</v>
      </c>
      <c r="J73" s="41">
        <f>'31-Records'!I16</f>
        <v>3812713</v>
      </c>
      <c r="K73" s="308">
        <f t="shared" ref="K73:K79" si="1">SUM(E73:J73)</f>
        <v>23367900</v>
      </c>
    </row>
    <row r="74" spans="1:11" x14ac:dyDescent="0.3">
      <c r="A74" s="21">
        <v>68</v>
      </c>
      <c r="B74" s="300" t="s">
        <v>85</v>
      </c>
      <c r="C74" s="40">
        <f>'68-Register of Wills'!B16</f>
        <v>4891630</v>
      </c>
      <c r="D74" s="40">
        <f>'68-Register of Wills'!C16</f>
        <v>4221429</v>
      </c>
      <c r="E74" s="40">
        <f>'68-Register of Wills'!D16</f>
        <v>4358433</v>
      </c>
      <c r="F74" s="40">
        <f>'68-Register of Wills'!E16</f>
        <v>4121429</v>
      </c>
      <c r="G74" s="40">
        <f>'68-Register of Wills'!F16</f>
        <v>4121429</v>
      </c>
      <c r="H74" s="40">
        <f>'68-Register of Wills'!G16</f>
        <v>4121429</v>
      </c>
      <c r="I74" s="40">
        <f>'68-Register of Wills'!H16</f>
        <v>4121429</v>
      </c>
      <c r="J74" s="40">
        <f>'68-Register of Wills'!I16</f>
        <v>4121429</v>
      </c>
      <c r="K74" s="307">
        <f t="shared" si="1"/>
        <v>24965578</v>
      </c>
    </row>
    <row r="75" spans="1:11" x14ac:dyDescent="0.3">
      <c r="A75" s="22">
        <v>36</v>
      </c>
      <c r="B75" s="301" t="s">
        <v>86</v>
      </c>
      <c r="C75" s="41">
        <f>'36-Revenue'!B16</f>
        <v>30321874</v>
      </c>
      <c r="D75" s="41">
        <f>'36-Revenue'!C16</f>
        <v>29211398</v>
      </c>
      <c r="E75" s="41">
        <f>'36-Revenue'!D16</f>
        <v>29649398</v>
      </c>
      <c r="F75" s="41">
        <f>'36-Revenue'!E16</f>
        <v>27243273</v>
      </c>
      <c r="G75" s="41">
        <f>'36-Revenue'!F16</f>
        <v>27243273</v>
      </c>
      <c r="H75" s="41">
        <f>'36-Revenue'!G16</f>
        <v>27243273</v>
      </c>
      <c r="I75" s="41">
        <f>'36-Revenue'!H16</f>
        <v>27243273</v>
      </c>
      <c r="J75" s="41">
        <f>'36-Revenue'!I16</f>
        <v>27243273</v>
      </c>
      <c r="K75" s="308">
        <f t="shared" si="1"/>
        <v>165865763</v>
      </c>
    </row>
    <row r="76" spans="1:11" x14ac:dyDescent="0.3">
      <c r="A76" s="21">
        <v>70</v>
      </c>
      <c r="B76" s="300" t="s">
        <v>87</v>
      </c>
      <c r="C76" s="40">
        <f>'70-Sheriff'!B16</f>
        <v>30280459</v>
      </c>
      <c r="D76" s="40">
        <f>'70-Sheriff'!C16</f>
        <v>26795874</v>
      </c>
      <c r="E76" s="40">
        <f>'70-Sheriff'!D16</f>
        <v>26795874</v>
      </c>
      <c r="F76" s="40">
        <f>'70-Sheriff'!E16</f>
        <v>26795874</v>
      </c>
      <c r="G76" s="40">
        <f>'70-Sheriff'!F16</f>
        <v>26795874</v>
      </c>
      <c r="H76" s="40">
        <f>'70-Sheriff'!G16</f>
        <v>26795874</v>
      </c>
      <c r="I76" s="40">
        <f>'70-Sheriff'!H16</f>
        <v>26795874</v>
      </c>
      <c r="J76" s="40">
        <f>'70-Sheriff'!I16</f>
        <v>26795874</v>
      </c>
      <c r="K76" s="307">
        <f t="shared" si="1"/>
        <v>160775244</v>
      </c>
    </row>
    <row r="77" spans="1:11" x14ac:dyDescent="0.3">
      <c r="A77" s="22">
        <v>37</v>
      </c>
      <c r="B77" s="301" t="s">
        <v>88</v>
      </c>
      <c r="C77" s="41">
        <f>'37-Sinking Fund'!B16</f>
        <v>266354318</v>
      </c>
      <c r="D77" s="41">
        <f>'37-Sinking Fund'!C16</f>
        <v>282632431</v>
      </c>
      <c r="E77" s="41">
        <f>'37-Sinking Fund'!D16</f>
        <v>282632431</v>
      </c>
      <c r="F77" s="41">
        <f>'37-Sinking Fund'!E16</f>
        <v>297227515</v>
      </c>
      <c r="G77" s="41">
        <f>'37-Sinking Fund'!F16</f>
        <v>323611704.25999999</v>
      </c>
      <c r="H77" s="41">
        <f>'37-Sinking Fund'!G16</f>
        <v>362264549</v>
      </c>
      <c r="I77" s="41">
        <f>'37-Sinking Fund'!H16</f>
        <v>375013766</v>
      </c>
      <c r="J77" s="41">
        <f>'37-Sinking Fund'!I16</f>
        <v>387656398</v>
      </c>
      <c r="K77" s="308">
        <f t="shared" si="1"/>
        <v>2028406363.26</v>
      </c>
    </row>
    <row r="78" spans="1:11" x14ac:dyDescent="0.3">
      <c r="A78" s="21" t="s">
        <v>269</v>
      </c>
      <c r="B78" s="300" t="s">
        <v>268</v>
      </c>
      <c r="C78" s="40">
        <f>+'12D-Streets-Disposal'!B16</f>
        <v>49829681</v>
      </c>
      <c r="D78" s="40">
        <f>+'12D-Streets-Disposal'!C16</f>
        <v>51462580</v>
      </c>
      <c r="E78" s="40">
        <f>+'12D-Streets-Disposal'!D16</f>
        <v>59762580</v>
      </c>
      <c r="F78" s="40">
        <f>+'12D-Streets-Disposal'!E16</f>
        <v>59762580.000000007</v>
      </c>
      <c r="G78" s="40">
        <f>+'12D-Streets-Disposal'!F16</f>
        <v>55027802</v>
      </c>
      <c r="H78" s="40">
        <f>+'12D-Streets-Disposal'!G16</f>
        <v>56343783</v>
      </c>
      <c r="I78" s="40">
        <f>+'12D-Streets-Disposal'!H16</f>
        <v>58149172</v>
      </c>
      <c r="J78" s="40">
        <f>+'12D-Streets-Disposal'!I16</f>
        <v>60026719</v>
      </c>
      <c r="K78" s="307">
        <f t="shared" si="1"/>
        <v>349072636</v>
      </c>
    </row>
    <row r="79" spans="1:11" ht="13.5" thickBot="1" x14ac:dyDescent="0.35">
      <c r="A79" s="22" t="s">
        <v>227</v>
      </c>
      <c r="B79" s="301" t="s">
        <v>228</v>
      </c>
      <c r="C79" s="41">
        <f>'12-Streets'!B16</f>
        <v>125015648</v>
      </c>
      <c r="D79" s="41">
        <f>'12-Streets'!C16</f>
        <v>101559775</v>
      </c>
      <c r="E79" s="41">
        <f>'12-Streets'!D16</f>
        <v>103742783</v>
      </c>
      <c r="F79" s="41">
        <f>'12-Streets'!E16</f>
        <v>113672053</v>
      </c>
      <c r="G79" s="41">
        <f>'12-Streets'!F16</f>
        <v>116263749</v>
      </c>
      <c r="H79" s="41">
        <f>'12-Streets'!G16</f>
        <v>118948402</v>
      </c>
      <c r="I79" s="41">
        <f>'12-Streets'!H16</f>
        <v>105578168</v>
      </c>
      <c r="J79" s="41">
        <f>'12-Streets'!I16</f>
        <v>105571846</v>
      </c>
      <c r="K79" s="308">
        <f t="shared" si="1"/>
        <v>663777001</v>
      </c>
    </row>
    <row r="80" spans="1:11" ht="20.25" customHeight="1" thickBot="1" x14ac:dyDescent="0.35">
      <c r="B80" s="303" t="s">
        <v>11</v>
      </c>
      <c r="C80" s="302">
        <f t="shared" ref="C80:K80" si="2">SUM(C8:C79)</f>
        <v>5036533283</v>
      </c>
      <c r="D80" s="302">
        <f t="shared" si="2"/>
        <v>4804851000.4200001</v>
      </c>
      <c r="E80" s="302">
        <f t="shared" ca="1" si="2"/>
        <v>4929714291.4200001</v>
      </c>
      <c r="F80" s="302">
        <f t="shared" ca="1" si="2"/>
        <v>5179945000.4200001</v>
      </c>
      <c r="G80" s="302">
        <f t="shared" ca="1" si="2"/>
        <v>5257360711.6800003</v>
      </c>
      <c r="H80" s="302">
        <f t="shared" ca="1" si="2"/>
        <v>5336080409.4200001</v>
      </c>
      <c r="I80" s="302">
        <f t="shared" ca="1" si="2"/>
        <v>5408049157.4200001</v>
      </c>
      <c r="J80" s="309">
        <f t="shared" ca="1" si="2"/>
        <v>5483813279.4200001</v>
      </c>
      <c r="K80" s="302">
        <f t="shared" ca="1" si="2"/>
        <v>31594962849.779999</v>
      </c>
    </row>
    <row r="81" spans="3:11" ht="13.5" thickTop="1" x14ac:dyDescent="0.3">
      <c r="D81" s="23"/>
    </row>
    <row r="82" spans="3:11" x14ac:dyDescent="0.3">
      <c r="C82" s="40">
        <f>+Summary!B25</f>
        <v>5036533283</v>
      </c>
      <c r="D82" s="40">
        <f>+Summary!C25</f>
        <v>4804851000.4200001</v>
      </c>
      <c r="E82" s="40">
        <f ca="1">+Summary!D25</f>
        <v>4929714291.4200001</v>
      </c>
      <c r="F82" s="40">
        <f ca="1">+Summary!E25</f>
        <v>5179945000.4200001</v>
      </c>
      <c r="G82" s="40">
        <f ca="1">+Summary!F25</f>
        <v>5257360711.6800003</v>
      </c>
      <c r="H82" s="40">
        <f ca="1">+Summary!G25</f>
        <v>5336080409.4200001</v>
      </c>
      <c r="I82" s="40">
        <f ca="1">+Summary!H25</f>
        <v>5408049157.4200001</v>
      </c>
      <c r="J82" s="40">
        <f ca="1">+Summary!I25</f>
        <v>5483813279.4200001</v>
      </c>
      <c r="K82" s="40">
        <f ca="1">+Summary!J25</f>
        <v>31594962849.779999</v>
      </c>
    </row>
    <row r="83" spans="3:11" x14ac:dyDescent="0.3">
      <c r="C83" s="53">
        <f>+C82-C80</f>
        <v>0</v>
      </c>
      <c r="D83" s="53">
        <f>+D82-D80</f>
        <v>0</v>
      </c>
      <c r="E83" s="53">
        <f t="shared" ref="E83:K83" ca="1" si="3">+E82-E80</f>
        <v>0</v>
      </c>
      <c r="F83" s="53">
        <f t="shared" ca="1" si="3"/>
        <v>0</v>
      </c>
      <c r="G83" s="53">
        <f t="shared" ca="1" si="3"/>
        <v>0</v>
      </c>
      <c r="H83" s="53">
        <f t="shared" ca="1" si="3"/>
        <v>0</v>
      </c>
      <c r="I83" s="53">
        <f t="shared" ca="1" si="3"/>
        <v>0</v>
      </c>
      <c r="J83" s="53">
        <f t="shared" ca="1" si="3"/>
        <v>0</v>
      </c>
      <c r="K83" s="53">
        <f t="shared" ca="1" si="3"/>
        <v>0</v>
      </c>
    </row>
    <row r="84" spans="3:11" x14ac:dyDescent="0.3">
      <c r="C84" s="53"/>
    </row>
    <row r="85" spans="3:11" x14ac:dyDescent="0.3">
      <c r="C85" s="53"/>
      <c r="F85" s="23">
        <f ca="1">+F80-E80</f>
        <v>250230709</v>
      </c>
    </row>
    <row r="86" spans="3:11" x14ac:dyDescent="0.3">
      <c r="F86" s="482" t="s">
        <v>305</v>
      </c>
    </row>
  </sheetData>
  <mergeCells count="5">
    <mergeCell ref="A1:J1"/>
    <mergeCell ref="A2:J2"/>
    <mergeCell ref="A3:J3"/>
    <mergeCell ref="A4:J4"/>
    <mergeCell ref="K6:K7"/>
  </mergeCells>
  <conditionalFormatting sqref="A79:K79">
    <cfRule type="expression" dxfId="300" priority="2">
      <formula>MOD(ROW(),2)=0</formula>
    </cfRule>
  </conditionalFormatting>
  <conditionalFormatting sqref="F8:K80">
    <cfRule type="cellIs" dxfId="299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rowBreaks count="1" manualBreakCount="1">
    <brk id="50" min="1" max="9" man="1"/>
  </rowBreaks>
  <colBreaks count="1" manualBreakCount="1">
    <brk id="6" max="81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K52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7.453125" style="7" customWidth="1"/>
    <col min="2" max="9" width="14.54296875" style="7" customWidth="1"/>
    <col min="10" max="11" width="9.1796875" style="7"/>
    <col min="12" max="12" width="39.453125" style="7" customWidth="1"/>
    <col min="13" max="17" width="9.1796875" style="7"/>
    <col min="18" max="18" width="10.54296875" style="7" customWidth="1"/>
    <col min="19" max="20" width="9.1796875" style="7"/>
    <col min="21" max="21" width="10.54296875" style="7" customWidth="1"/>
    <col min="22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331" t="s">
        <v>14</v>
      </c>
      <c r="B6" s="332" t="s">
        <v>42</v>
      </c>
      <c r="C6" s="880" t="s">
        <v>256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574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62182543+1747632-29971316-31118776-1747632</f>
        <v>1092451</v>
      </c>
      <c r="C9" s="33">
        <v>2650000</v>
      </c>
      <c r="D9" s="219">
        <f>+C9+D21</f>
        <v>2650000</v>
      </c>
      <c r="E9" s="114">
        <f>+D9+E21+E25+E27</f>
        <v>2650000</v>
      </c>
      <c r="F9" s="396">
        <f t="shared" ref="F9:I9" si="0">+E9</f>
        <v>2650000</v>
      </c>
      <c r="G9" s="33">
        <f t="shared" si="0"/>
        <v>2650000</v>
      </c>
      <c r="H9" s="219">
        <f t="shared" si="0"/>
        <v>2650000</v>
      </c>
      <c r="I9" s="50">
        <f t="shared" si="0"/>
        <v>2650000</v>
      </c>
      <c r="K9" s="7">
        <v>100</v>
      </c>
    </row>
    <row r="10" spans="1:11" x14ac:dyDescent="0.35">
      <c r="A10" s="10" t="s">
        <v>5</v>
      </c>
      <c r="B10" s="35">
        <v>0</v>
      </c>
      <c r="C10" s="35"/>
      <c r="D10" s="222"/>
      <c r="E10" s="506"/>
      <c r="F10" s="504"/>
      <c r="G10" s="35"/>
      <c r="H10" s="222"/>
      <c r="I10" s="36"/>
      <c r="K10" s="7">
        <v>200</v>
      </c>
    </row>
    <row r="11" spans="1:11" x14ac:dyDescent="0.35">
      <c r="A11" s="9" t="s">
        <v>6</v>
      </c>
      <c r="B11" s="33">
        <v>0</v>
      </c>
      <c r="C11" s="33"/>
      <c r="D11" s="219"/>
      <c r="E11" s="114"/>
      <c r="F11" s="396"/>
      <c r="G11" s="33"/>
      <c r="H11" s="219"/>
      <c r="I11" s="34"/>
      <c r="K11" s="7" t="s">
        <v>167</v>
      </c>
    </row>
    <row r="12" spans="1:11" x14ac:dyDescent="0.35">
      <c r="A12" s="10" t="s">
        <v>7</v>
      </c>
      <c r="B12" s="35">
        <v>0</v>
      </c>
      <c r="C12" s="35"/>
      <c r="D12" s="222"/>
      <c r="E12" s="506"/>
      <c r="F12" s="504"/>
      <c r="G12" s="35"/>
      <c r="H12" s="220"/>
      <c r="I12" s="49"/>
      <c r="K12" s="7">
        <v>500</v>
      </c>
    </row>
    <row r="13" spans="1:11" x14ac:dyDescent="0.35">
      <c r="A13" s="9" t="s">
        <v>8</v>
      </c>
      <c r="B13" s="33">
        <v>0</v>
      </c>
      <c r="C13" s="33"/>
      <c r="D13" s="219"/>
      <c r="E13" s="114"/>
      <c r="F13" s="396"/>
      <c r="G13" s="33"/>
      <c r="H13" s="219"/>
      <c r="I13" s="34"/>
      <c r="K13" s="7">
        <v>700</v>
      </c>
    </row>
    <row r="14" spans="1:11" x14ac:dyDescent="0.35">
      <c r="A14" s="10" t="s">
        <v>9</v>
      </c>
      <c r="B14" s="35">
        <v>0</v>
      </c>
      <c r="C14" s="35"/>
      <c r="D14" s="222"/>
      <c r="E14" s="506"/>
      <c r="F14" s="504"/>
      <c r="G14" s="35"/>
      <c r="H14" s="222"/>
      <c r="I14" s="36"/>
      <c r="K14" s="7">
        <v>800</v>
      </c>
    </row>
    <row r="15" spans="1:11" ht="15" thickBot="1" x14ac:dyDescent="0.4">
      <c r="A15" s="11" t="s">
        <v>10</v>
      </c>
      <c r="B15" s="37">
        <v>0</v>
      </c>
      <c r="C15" s="37"/>
      <c r="D15" s="223"/>
      <c r="E15" s="507"/>
      <c r="F15" s="505"/>
      <c r="G15" s="37"/>
      <c r="H15" s="223"/>
      <c r="I15" s="38"/>
      <c r="K15" s="7">
        <v>900</v>
      </c>
    </row>
    <row r="16" spans="1:11" ht="15" thickBot="1" x14ac:dyDescent="0.4">
      <c r="A16" s="4" t="s">
        <v>11</v>
      </c>
      <c r="B16" s="39">
        <f>SUM(B9:B15)</f>
        <v>1092451</v>
      </c>
      <c r="C16" s="39">
        <f t="shared" ref="C16:I16" si="1">SUM(C9:C15)</f>
        <v>2650000</v>
      </c>
      <c r="D16" s="39">
        <f t="shared" si="1"/>
        <v>2650000</v>
      </c>
      <c r="E16" s="529">
        <f t="shared" si="1"/>
        <v>2650000</v>
      </c>
      <c r="F16" s="39">
        <f t="shared" si="1"/>
        <v>2650000</v>
      </c>
      <c r="G16" s="39">
        <f t="shared" si="1"/>
        <v>2650000</v>
      </c>
      <c r="H16" s="39">
        <f t="shared" si="1"/>
        <v>2650000</v>
      </c>
      <c r="I16" s="39">
        <f t="shared" si="1"/>
        <v>2650000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436"/>
      <c r="B20" s="70"/>
      <c r="C20" s="71"/>
      <c r="D20" s="72"/>
      <c r="E20" s="73"/>
      <c r="F20" s="73"/>
      <c r="G20" s="73"/>
      <c r="H20" s="73"/>
      <c r="I20" s="73"/>
    </row>
    <row r="21" spans="1:10" ht="13" customHeight="1" x14ac:dyDescent="0.35">
      <c r="A21" s="296"/>
      <c r="B21" s="101"/>
      <c r="C21" s="93"/>
      <c r="D21" s="94"/>
      <c r="E21" s="94"/>
      <c r="F21" s="94"/>
      <c r="G21" s="94"/>
      <c r="H21" s="94"/>
      <c r="I21" s="94"/>
      <c r="J21" s="17"/>
    </row>
    <row r="22" spans="1:10" ht="13" customHeight="1" x14ac:dyDescent="0.35">
      <c r="A22" s="338"/>
      <c r="B22" s="101"/>
      <c r="C22" s="93"/>
      <c r="D22" s="94"/>
      <c r="E22" s="94"/>
      <c r="F22" s="94"/>
      <c r="G22" s="94"/>
      <c r="H22" s="20"/>
      <c r="I22" s="20"/>
      <c r="J22" s="17"/>
    </row>
    <row r="23" spans="1:10" s="58" customFormat="1" ht="13" customHeight="1" x14ac:dyDescent="0.35">
      <c r="A23" s="171"/>
      <c r="B23" s="101"/>
      <c r="C23" s="93"/>
      <c r="D23" s="94"/>
      <c r="E23" s="94"/>
      <c r="F23" s="94"/>
      <c r="G23" s="94"/>
      <c r="H23" s="94"/>
      <c r="I23" s="94"/>
      <c r="J23" s="81"/>
    </row>
    <row r="24" spans="1:10" s="58" customFormat="1" ht="13" customHeight="1" x14ac:dyDescent="0.35">
      <c r="A24" s="353"/>
      <c r="B24" s="92"/>
      <c r="C24" s="93"/>
      <c r="D24" s="94"/>
      <c r="E24" s="94"/>
      <c r="F24" s="94"/>
      <c r="G24" s="94"/>
      <c r="H24" s="94"/>
      <c r="I24" s="94"/>
      <c r="J24" s="81"/>
    </row>
    <row r="25" spans="1:10" s="58" customFormat="1" ht="13" customHeight="1" x14ac:dyDescent="0.35">
      <c r="A25" s="20"/>
      <c r="B25" s="200"/>
      <c r="C25" s="20"/>
      <c r="D25" s="200"/>
      <c r="E25" s="94"/>
      <c r="F25" s="94"/>
      <c r="G25" s="94"/>
      <c r="H25" s="94"/>
      <c r="I25" s="94"/>
      <c r="J25" s="81"/>
    </row>
    <row r="26" spans="1:10" s="58" customFormat="1" ht="12.75" customHeight="1" x14ac:dyDescent="0.35">
      <c r="A26" s="334"/>
      <c r="B26" s="20"/>
      <c r="C26" s="20"/>
      <c r="D26" s="20"/>
      <c r="E26" s="94"/>
      <c r="F26" s="94"/>
      <c r="G26" s="20"/>
      <c r="H26" s="20"/>
      <c r="I26" s="20"/>
    </row>
    <row r="27" spans="1:10" s="58" customFormat="1" ht="12.75" customHeight="1" x14ac:dyDescent="0.35">
      <c r="A27" s="354"/>
      <c r="B27" s="200"/>
      <c r="C27" s="20"/>
      <c r="D27" s="94"/>
      <c r="E27" s="94"/>
      <c r="F27" s="94"/>
      <c r="G27" s="94"/>
      <c r="H27" s="94"/>
      <c r="I27" s="94"/>
    </row>
    <row r="28" spans="1:10" s="58" customFormat="1" ht="12.75" customHeight="1" x14ac:dyDescent="0.35">
      <c r="A28" s="20"/>
      <c r="B28" s="200"/>
      <c r="C28" s="335"/>
      <c r="D28" s="315"/>
      <c r="E28" s="94"/>
      <c r="F28" s="94"/>
      <c r="G28" s="20"/>
      <c r="H28" s="20"/>
      <c r="I28" s="20"/>
    </row>
    <row r="29" spans="1:10" s="58" customFormat="1" ht="12.75" customHeight="1" x14ac:dyDescent="0.35">
      <c r="A29" s="334"/>
      <c r="B29" s="200"/>
      <c r="C29" s="335"/>
      <c r="D29" s="315"/>
      <c r="E29" s="200"/>
      <c r="F29" s="200"/>
      <c r="G29" s="200"/>
      <c r="H29" s="200"/>
      <c r="I29" s="200"/>
    </row>
    <row r="30" spans="1:10" s="58" customFormat="1" ht="12.75" customHeight="1" x14ac:dyDescent="0.35">
      <c r="A30" s="336"/>
      <c r="B30" s="200"/>
      <c r="C30" s="335"/>
      <c r="D30" s="315"/>
      <c r="E30" s="315"/>
      <c r="F30" s="315"/>
      <c r="G30" s="315"/>
      <c r="H30" s="315"/>
      <c r="I30" s="315"/>
    </row>
    <row r="31" spans="1:10" s="58" customFormat="1" ht="12.75" customHeight="1" x14ac:dyDescent="0.35">
      <c r="A31" s="336"/>
      <c r="B31" s="200"/>
      <c r="C31" s="335"/>
      <c r="D31" s="315"/>
      <c r="E31" s="94"/>
      <c r="F31" s="200"/>
      <c r="G31" s="200"/>
      <c r="H31" s="200"/>
      <c r="I31" s="200"/>
    </row>
    <row r="32" spans="1:10" s="58" customFormat="1" ht="12.75" customHeight="1" x14ac:dyDescent="0.35">
      <c r="A32" s="336"/>
      <c r="B32" s="200"/>
      <c r="C32" s="279"/>
      <c r="D32" s="315"/>
      <c r="E32" s="315"/>
      <c r="F32" s="315"/>
      <c r="G32" s="315"/>
      <c r="H32" s="315"/>
      <c r="I32" s="315"/>
    </row>
    <row r="33" spans="1:9" s="58" customFormat="1" ht="12.75" customHeight="1" x14ac:dyDescent="0.35">
      <c r="A33" s="336"/>
      <c r="B33" s="200"/>
      <c r="C33" s="335"/>
      <c r="D33" s="315"/>
      <c r="E33" s="94"/>
      <c r="F33" s="200"/>
      <c r="G33" s="200"/>
      <c r="H33" s="200"/>
      <c r="I33" s="200"/>
    </row>
    <row r="34" spans="1:9" s="58" customFormat="1" ht="12.75" customHeight="1" x14ac:dyDescent="0.35">
      <c r="A34" s="336"/>
      <c r="B34" s="200"/>
      <c r="C34" s="279"/>
      <c r="D34" s="315"/>
      <c r="E34" s="315"/>
      <c r="F34" s="200"/>
      <c r="G34" s="200"/>
      <c r="H34" s="200"/>
      <c r="I34" s="200"/>
    </row>
    <row r="35" spans="1:9" s="58" customFormat="1" ht="12.75" customHeight="1" x14ac:dyDescent="0.35">
      <c r="A35" s="355"/>
      <c r="B35" s="200"/>
      <c r="C35" s="200"/>
      <c r="D35" s="200"/>
      <c r="E35" s="200"/>
      <c r="F35" s="200"/>
      <c r="G35" s="200"/>
      <c r="H35" s="200"/>
      <c r="I35" s="200"/>
    </row>
    <row r="36" spans="1:9" s="58" customFormat="1" ht="12.75" customHeight="1" x14ac:dyDescent="0.35">
      <c r="A36" s="217"/>
      <c r="B36" s="200"/>
      <c r="C36" s="20"/>
      <c r="D36" s="315"/>
      <c r="E36" s="200"/>
      <c r="F36" s="200"/>
      <c r="G36" s="200"/>
      <c r="H36" s="200"/>
      <c r="I36" s="200"/>
    </row>
    <row r="37" spans="1:9" s="58" customFormat="1" ht="12.75" customHeight="1" x14ac:dyDescent="0.35">
      <c r="A37" s="316"/>
      <c r="B37" s="316"/>
      <c r="C37" s="316"/>
      <c r="D37" s="200"/>
      <c r="E37" s="315"/>
      <c r="F37" s="200"/>
      <c r="G37" s="200"/>
      <c r="H37" s="200"/>
      <c r="I37" s="200"/>
    </row>
    <row r="38" spans="1:9" s="58" customFormat="1" ht="12.75" customHeight="1" x14ac:dyDescent="0.35">
      <c r="A38" s="123"/>
      <c r="B38" s="316"/>
      <c r="C38" s="316"/>
      <c r="D38" s="200"/>
      <c r="E38" s="315"/>
      <c r="F38" s="315"/>
      <c r="G38" s="315"/>
      <c r="H38" s="315"/>
      <c r="I38" s="315"/>
    </row>
    <row r="39" spans="1:9" s="58" customFormat="1" ht="12.75" customHeight="1" x14ac:dyDescent="0.35">
      <c r="A39" s="316"/>
      <c r="B39" s="316"/>
      <c r="C39" s="316"/>
      <c r="D39" s="200"/>
      <c r="E39" s="315"/>
      <c r="F39" s="200"/>
      <c r="G39" s="200"/>
      <c r="H39" s="200"/>
      <c r="I39" s="200"/>
    </row>
    <row r="40" spans="1:9" ht="12.75" customHeight="1" x14ac:dyDescent="0.35">
      <c r="A40" s="337"/>
      <c r="B40" s="337"/>
      <c r="C40" s="337"/>
      <c r="D40" s="315"/>
      <c r="E40" s="52"/>
      <c r="F40" s="52"/>
      <c r="G40" s="52"/>
      <c r="H40" s="52"/>
      <c r="I40" s="52"/>
    </row>
    <row r="41" spans="1:9" ht="12.75" customHeight="1" x14ac:dyDescent="0.35">
      <c r="A41" s="337"/>
      <c r="B41" s="337"/>
      <c r="C41" s="337"/>
      <c r="D41" s="52"/>
      <c r="E41" s="52"/>
      <c r="F41" s="52"/>
      <c r="G41" s="52"/>
      <c r="H41" s="52"/>
      <c r="I41" s="52"/>
    </row>
    <row r="42" spans="1:9" ht="12.75" customHeight="1" x14ac:dyDescent="0.35">
      <c r="A42" s="337"/>
      <c r="B42" s="314"/>
      <c r="C42" s="314"/>
    </row>
    <row r="43" spans="1:9" ht="12.75" customHeight="1" x14ac:dyDescent="0.35">
      <c r="A43" s="337"/>
      <c r="B43" s="314"/>
      <c r="C43" s="314"/>
    </row>
    <row r="44" spans="1:9" ht="12.75" customHeight="1" x14ac:dyDescent="0.35">
      <c r="A44" s="337"/>
      <c r="B44" s="314"/>
      <c r="C44" s="314"/>
    </row>
    <row r="45" spans="1:9" ht="12.75" customHeight="1" x14ac:dyDescent="0.35">
      <c r="A45" s="337"/>
      <c r="B45" s="314"/>
      <c r="C45" s="314"/>
    </row>
    <row r="46" spans="1:9" ht="12.75" customHeight="1" x14ac:dyDescent="0.35">
      <c r="A46" s="337"/>
      <c r="B46" s="314"/>
      <c r="C46" s="314"/>
    </row>
    <row r="47" spans="1:9" ht="12.75" customHeight="1" x14ac:dyDescent="0.35">
      <c r="A47" s="314"/>
      <c r="B47" s="314"/>
      <c r="C47" s="314"/>
    </row>
    <row r="48" spans="1:9" ht="12.75" customHeight="1" x14ac:dyDescent="0.35">
      <c r="A48" s="314"/>
      <c r="B48" s="314"/>
      <c r="C48" s="314"/>
    </row>
    <row r="49" spans="1:3" ht="12.75" customHeight="1" x14ac:dyDescent="0.35">
      <c r="A49" s="314"/>
      <c r="B49" s="314"/>
      <c r="C49" s="314"/>
    </row>
    <row r="50" spans="1:3" ht="12.75" customHeight="1" x14ac:dyDescent="0.35">
      <c r="A50" s="314"/>
      <c r="B50" s="314"/>
      <c r="C50" s="314"/>
    </row>
    <row r="51" spans="1:3" x14ac:dyDescent="0.35">
      <c r="A51" s="314"/>
      <c r="B51" s="314"/>
      <c r="C51" s="314"/>
    </row>
    <row r="52" spans="1:3" x14ac:dyDescent="0.35">
      <c r="A52" s="314"/>
      <c r="B52" s="314"/>
      <c r="C52" s="314"/>
    </row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249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3"/>
  </sheetPr>
  <dimension ref="A1:K61"/>
  <sheetViews>
    <sheetView topLeftCell="A8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36</v>
      </c>
      <c r="C6" s="880" t="s">
        <v>152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573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1"/>
        <v>0</v>
      </c>
      <c r="G10" s="35">
        <f t="shared" si="1"/>
        <v>0</v>
      </c>
      <c r="H10" s="222">
        <f t="shared" si="1"/>
        <v>0</v>
      </c>
      <c r="I10" s="36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42">
        <v>36059207</v>
      </c>
      <c r="C12" s="35">
        <v>44110159</v>
      </c>
      <c r="D12" s="222">
        <f>+C12+D21</f>
        <v>44110159</v>
      </c>
      <c r="E12" s="506">
        <v>48128075</v>
      </c>
      <c r="F12" s="504">
        <v>50106653</v>
      </c>
      <c r="G12" s="35">
        <v>50860996</v>
      </c>
      <c r="H12" s="222">
        <v>50758698</v>
      </c>
      <c r="I12" s="36">
        <v>50758698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36059207</v>
      </c>
      <c r="C16" s="39">
        <f t="shared" ref="C16:I16" si="2">SUM(C9:C15)</f>
        <v>44110159</v>
      </c>
      <c r="D16" s="39">
        <f t="shared" si="2"/>
        <v>44110159</v>
      </c>
      <c r="E16" s="529">
        <f t="shared" si="2"/>
        <v>48128075</v>
      </c>
      <c r="F16" s="39">
        <f t="shared" si="2"/>
        <v>50106653</v>
      </c>
      <c r="G16" s="39">
        <f t="shared" si="2"/>
        <v>50860996</v>
      </c>
      <c r="H16" s="39">
        <f t="shared" si="2"/>
        <v>50758698</v>
      </c>
      <c r="I16" s="39">
        <f t="shared" si="2"/>
        <v>50758698</v>
      </c>
    </row>
    <row r="18" spans="1:10" x14ac:dyDescent="0.35">
      <c r="E18" s="400">
        <f>+E16-D16</f>
        <v>4017916</v>
      </c>
      <c r="F18" s="400"/>
      <c r="G18" s="400"/>
      <c r="H18" s="400"/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613" t="s">
        <v>392</v>
      </c>
      <c r="B20" s="70"/>
      <c r="C20" s="71"/>
      <c r="D20" s="882"/>
      <c r="E20" s="882"/>
      <c r="F20" s="882"/>
      <c r="G20" s="882"/>
      <c r="H20" s="882"/>
      <c r="I20" s="882"/>
    </row>
    <row r="21" spans="1:10" ht="12.75" customHeight="1" x14ac:dyDescent="0.35">
      <c r="A21" s="691" t="s">
        <v>463</v>
      </c>
      <c r="B21" s="189"/>
      <c r="C21" s="181">
        <v>500</v>
      </c>
      <c r="D21" s="142"/>
      <c r="E21" s="142">
        <v>1039535</v>
      </c>
      <c r="F21" s="142">
        <v>473722</v>
      </c>
      <c r="G21" s="142">
        <v>190943</v>
      </c>
      <c r="H21" s="142">
        <v>-20573</v>
      </c>
      <c r="I21" s="142"/>
    </row>
    <row r="22" spans="1:10" ht="13" customHeight="1" x14ac:dyDescent="0.35">
      <c r="A22" s="763" t="s">
        <v>464</v>
      </c>
      <c r="B22" s="101"/>
      <c r="C22" s="93">
        <v>500</v>
      </c>
      <c r="D22" s="94"/>
      <c r="E22" s="94">
        <v>3201507</v>
      </c>
      <c r="F22" s="94">
        <v>1324012</v>
      </c>
      <c r="G22" s="94">
        <v>552228</v>
      </c>
      <c r="H22" s="94">
        <v>-93232</v>
      </c>
      <c r="I22" s="94"/>
      <c r="J22" s="17"/>
    </row>
    <row r="23" spans="1:10" s="58" customFormat="1" ht="13" customHeight="1" x14ac:dyDescent="0.35">
      <c r="A23" s="764" t="s">
        <v>465</v>
      </c>
      <c r="B23" s="189"/>
      <c r="C23" s="181">
        <v>500</v>
      </c>
      <c r="D23" s="142"/>
      <c r="E23" s="142">
        <v>-223126</v>
      </c>
      <c r="F23" s="142">
        <v>180844</v>
      </c>
      <c r="G23" s="142">
        <v>11172</v>
      </c>
      <c r="H23" s="142">
        <v>11507</v>
      </c>
      <c r="I23" s="142"/>
      <c r="J23" s="81"/>
    </row>
    <row r="24" spans="1:10" ht="13" customHeight="1" x14ac:dyDescent="0.35">
      <c r="A24" s="354"/>
      <c r="B24" s="101"/>
      <c r="C24" s="93"/>
      <c r="D24" s="94"/>
      <c r="E24" s="94"/>
      <c r="F24" s="94"/>
      <c r="G24" s="94"/>
      <c r="H24" s="94"/>
      <c r="I24" s="94"/>
      <c r="J24" s="17"/>
    </row>
    <row r="25" spans="1:10" s="58" customFormat="1" ht="13" customHeight="1" x14ac:dyDescent="0.35">
      <c r="A25" s="753"/>
      <c r="B25" s="66"/>
      <c r="C25" s="74"/>
      <c r="D25" s="69"/>
      <c r="E25" s="69"/>
      <c r="F25" s="69"/>
      <c r="G25" s="69"/>
      <c r="H25" s="765"/>
      <c r="I25" s="69"/>
      <c r="J25" s="81"/>
    </row>
    <row r="26" spans="1:10" ht="13" customHeight="1" x14ac:dyDescent="0.35">
      <c r="A26" s="746"/>
      <c r="B26" s="70"/>
      <c r="C26" s="75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753"/>
      <c r="B27" s="66"/>
      <c r="C27" s="74"/>
      <c r="D27" s="69"/>
      <c r="E27" s="69"/>
      <c r="F27" s="69"/>
      <c r="G27" s="69"/>
      <c r="H27" s="69"/>
      <c r="I27" s="69"/>
      <c r="J27" s="17"/>
    </row>
    <row r="28" spans="1:10" ht="13" customHeight="1" x14ac:dyDescent="0.35">
      <c r="A28" s="746"/>
      <c r="B28" s="70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753"/>
      <c r="B29" s="66"/>
      <c r="C29" s="74"/>
      <c r="D29" s="69"/>
      <c r="E29" s="69"/>
      <c r="F29" s="69"/>
      <c r="G29" s="69"/>
      <c r="H29" s="69"/>
      <c r="I29" s="69"/>
      <c r="J29" s="17"/>
    </row>
    <row r="30" spans="1:10" ht="13" customHeight="1" x14ac:dyDescent="0.35">
      <c r="A30" s="746"/>
      <c r="B30" s="70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53"/>
      <c r="B31" s="66"/>
      <c r="C31" s="74"/>
      <c r="D31" s="69"/>
      <c r="E31" s="69"/>
      <c r="F31" s="69"/>
      <c r="G31" s="69"/>
      <c r="H31" s="69"/>
      <c r="I31" s="69"/>
      <c r="J31" s="17"/>
    </row>
    <row r="32" spans="1:10" ht="13" customHeight="1" x14ac:dyDescent="0.35">
      <c r="A32" s="746"/>
      <c r="B32" s="70"/>
      <c r="C32" s="75"/>
      <c r="D32" s="73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0"/>
      <c r="C33" s="71"/>
      <c r="D33" s="7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0"/>
      <c r="C34" s="71"/>
      <c r="D34" s="72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2.75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9"/>
      <c r="B44" s="70"/>
      <c r="C44" s="71"/>
      <c r="D44" s="72"/>
      <c r="E44" s="73"/>
      <c r="F44" s="73"/>
      <c r="G44" s="73"/>
      <c r="H44" s="73"/>
      <c r="I44" s="73"/>
      <c r="J44" s="17"/>
    </row>
    <row r="45" spans="1:10" ht="13" customHeight="1" x14ac:dyDescent="0.35">
      <c r="A45" s="80"/>
      <c r="B45" s="70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0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0"/>
      <c r="C55" s="71"/>
      <c r="D55" s="72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0"/>
      <c r="C56" s="71"/>
      <c r="D56" s="72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0"/>
      <c r="C57" s="71"/>
      <c r="D57" s="72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  <row r="61" spans="1:10" ht="13" customHeight="1" x14ac:dyDescent="0.35">
      <c r="A61" s="77"/>
      <c r="B61" s="78"/>
      <c r="C61" s="75"/>
      <c r="D61" s="73"/>
      <c r="E61" s="73"/>
      <c r="F61" s="73"/>
      <c r="G61" s="73"/>
      <c r="H61" s="73"/>
      <c r="I61" s="73"/>
      <c r="J61" s="17"/>
    </row>
  </sheetData>
  <mergeCells count="7">
    <mergeCell ref="D20:I20"/>
    <mergeCell ref="A1:I1"/>
    <mergeCell ref="A2:I2"/>
    <mergeCell ref="A3:I3"/>
    <mergeCell ref="A4:I4"/>
    <mergeCell ref="C6:I6"/>
    <mergeCell ref="C5:I5"/>
  </mergeCells>
  <conditionalFormatting sqref="C9:I15">
    <cfRule type="cellIs" dxfId="24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3"/>
  </sheetPr>
  <dimension ref="A1:K61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A5" s="197" t="s">
        <v>208</v>
      </c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174" t="s">
        <v>14</v>
      </c>
      <c r="B6" s="175" t="s">
        <v>200</v>
      </c>
      <c r="C6" s="880" t="s">
        <v>201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572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3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1"/>
        <v>0</v>
      </c>
      <c r="G10" s="35">
        <f t="shared" si="1"/>
        <v>0</v>
      </c>
      <c r="H10" s="222">
        <f t="shared" si="1"/>
        <v>0</v>
      </c>
      <c r="I10" s="36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42">
        <v>0</v>
      </c>
      <c r="C12" s="35">
        <v>0</v>
      </c>
      <c r="D12" s="222">
        <f t="shared" si="0"/>
        <v>0</v>
      </c>
      <c r="E12" s="506">
        <v>0</v>
      </c>
      <c r="F12" s="504">
        <v>0</v>
      </c>
      <c r="G12" s="35">
        <v>0</v>
      </c>
      <c r="H12" s="222">
        <f t="shared" si="1"/>
        <v>0</v>
      </c>
      <c r="I12" s="36">
        <f t="shared" si="1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34276000</v>
      </c>
      <c r="C14" s="35">
        <v>0</v>
      </c>
      <c r="D14" s="222">
        <f>+C14</f>
        <v>0</v>
      </c>
      <c r="E14" s="506">
        <v>0</v>
      </c>
      <c r="F14" s="504">
        <v>0</v>
      </c>
      <c r="G14" s="48">
        <v>0</v>
      </c>
      <c r="H14" s="220">
        <v>0</v>
      </c>
      <c r="I14" s="49"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v>0</v>
      </c>
      <c r="E15" s="507">
        <v>0</v>
      </c>
      <c r="F15" s="505">
        <f t="shared" si="1"/>
        <v>0</v>
      </c>
      <c r="G15" s="37">
        <f t="shared" si="1"/>
        <v>0</v>
      </c>
      <c r="H15" s="223">
        <f>27891000-27891000</f>
        <v>0</v>
      </c>
      <c r="I15" s="38">
        <f>27891000-27891000</f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34276000</v>
      </c>
      <c r="C16" s="39">
        <f t="shared" ref="C16:I16" si="2">SUM(C9:C15)</f>
        <v>0</v>
      </c>
      <c r="D16" s="39">
        <f t="shared" si="2"/>
        <v>0</v>
      </c>
      <c r="E16" s="529">
        <f t="shared" si="2"/>
        <v>0</v>
      </c>
      <c r="F16" s="39">
        <f t="shared" si="2"/>
        <v>0</v>
      </c>
      <c r="G16" s="39">
        <f t="shared" si="2"/>
        <v>0</v>
      </c>
      <c r="H16" s="39">
        <f t="shared" si="2"/>
        <v>0</v>
      </c>
      <c r="I16" s="39">
        <f t="shared" si="2"/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437" t="s">
        <v>370</v>
      </c>
      <c r="B20" s="66"/>
      <c r="C20" s="67"/>
      <c r="D20" s="68"/>
      <c r="E20" s="69"/>
      <c r="F20" s="69"/>
      <c r="G20" s="69"/>
      <c r="H20" s="69"/>
      <c r="I20" s="69"/>
    </row>
    <row r="21" spans="1:10" ht="13" customHeight="1" x14ac:dyDescent="0.35">
      <c r="A21" s="736" t="s">
        <v>420</v>
      </c>
      <c r="B21" s="70"/>
      <c r="C21" s="75"/>
      <c r="D21" s="73"/>
      <c r="E21" s="73"/>
      <c r="F21" s="73"/>
      <c r="G21" s="73"/>
      <c r="H21" s="73">
        <v>2938000</v>
      </c>
      <c r="I21" s="73">
        <f>41126000-38188000</f>
        <v>2938000</v>
      </c>
      <c r="J21" s="17"/>
    </row>
    <row r="22" spans="1:10" s="58" customFormat="1" ht="13" customHeight="1" x14ac:dyDescent="0.35">
      <c r="A22" s="298" t="s">
        <v>482</v>
      </c>
      <c r="B22" s="196"/>
      <c r="C22" s="784"/>
      <c r="D22" s="196"/>
      <c r="E22" s="69"/>
      <c r="F22" s="69"/>
      <c r="G22" s="69"/>
      <c r="H22" s="69">
        <v>-1232000</v>
      </c>
      <c r="I22" s="69">
        <f>-41126000+40585000-40585000+39894000</f>
        <v>-1232000</v>
      </c>
      <c r="J22" s="81"/>
    </row>
    <row r="23" spans="1:10" ht="13" customHeight="1" x14ac:dyDescent="0.35">
      <c r="A23" s="611"/>
      <c r="B23" s="421"/>
      <c r="C23" s="614"/>
      <c r="D23" s="637"/>
      <c r="E23" s="637"/>
      <c r="F23" s="76"/>
      <c r="G23" s="76"/>
      <c r="H23" s="76"/>
      <c r="I23" s="76"/>
      <c r="J23" s="17"/>
    </row>
    <row r="24" spans="1:10" s="58" customFormat="1" ht="13" customHeight="1" x14ac:dyDescent="0.35">
      <c r="A24" s="615"/>
      <c r="B24" s="66"/>
      <c r="C24" s="74"/>
      <c r="D24" s="142"/>
      <c r="E24" s="142"/>
      <c r="F24" s="69"/>
      <c r="G24" s="69"/>
      <c r="H24" s="69"/>
      <c r="I24" s="69"/>
      <c r="J24" s="81"/>
    </row>
    <row r="25" spans="1:10" ht="13" customHeight="1" x14ac:dyDescent="0.35">
      <c r="A25" s="619"/>
      <c r="B25" s="99"/>
      <c r="C25" s="90"/>
      <c r="D25" s="91"/>
      <c r="E25" s="91"/>
      <c r="F25" s="91"/>
      <c r="G25" s="91"/>
      <c r="H25" s="91"/>
      <c r="I25" s="91"/>
      <c r="J25" s="17"/>
    </row>
    <row r="26" spans="1:10" ht="16.5" customHeight="1" x14ac:dyDescent="0.35">
      <c r="A26" s="638"/>
      <c r="B26" s="70"/>
      <c r="C26" s="75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77"/>
      <c r="B27" s="70"/>
      <c r="C27" s="75"/>
      <c r="D27" s="73"/>
      <c r="E27" s="73"/>
      <c r="F27" s="73"/>
      <c r="G27" s="73"/>
      <c r="H27" s="73"/>
      <c r="I27" s="73"/>
      <c r="J27" s="17"/>
    </row>
    <row r="28" spans="1:10" ht="13" customHeight="1" x14ac:dyDescent="0.35">
      <c r="A28" s="77"/>
      <c r="B28" s="70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77"/>
      <c r="B29" s="70"/>
      <c r="C29" s="75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77"/>
      <c r="B30" s="70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7"/>
      <c r="B31" s="70"/>
      <c r="C31" s="71"/>
      <c r="D31" s="72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0"/>
      <c r="C32" s="71"/>
      <c r="D32" s="72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0"/>
      <c r="C33" s="71"/>
      <c r="D33" s="7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80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0"/>
      <c r="C43" s="71"/>
      <c r="D43" s="72"/>
      <c r="E43" s="73"/>
      <c r="F43" s="73"/>
      <c r="G43" s="73"/>
      <c r="H43" s="73"/>
      <c r="I43" s="73"/>
      <c r="J43" s="17"/>
    </row>
    <row r="44" spans="1:10" ht="13" customHeight="1" x14ac:dyDescent="0.35">
      <c r="A44" s="79"/>
      <c r="B44" s="70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80"/>
      <c r="B45" s="70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0"/>
      <c r="C54" s="71"/>
      <c r="D54" s="72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0"/>
      <c r="C55" s="71"/>
      <c r="D55" s="72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0"/>
      <c r="C56" s="71"/>
      <c r="D56" s="72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  <row r="61" spans="1:10" x14ac:dyDescent="0.35">
      <c r="A61" s="77"/>
    </row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24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theme="3"/>
  </sheetPr>
  <dimension ref="A1:AH63"/>
  <sheetViews>
    <sheetView zoomScale="90" zoomScaleNormal="9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9.1796875" style="7"/>
    <col min="11" max="11" width="2.54296875" style="26" customWidth="1"/>
    <col min="12" max="12" width="9.1796875" style="7"/>
    <col min="13" max="13" width="35.54296875" style="7" customWidth="1"/>
    <col min="14" max="20" width="14.54296875" style="7" customWidth="1"/>
    <col min="21" max="21" width="14.81640625" style="7" customWidth="1"/>
    <col min="22" max="22" width="22" style="7" customWidth="1"/>
    <col min="23" max="23" width="9.1796875" style="7"/>
    <col min="24" max="24" width="13.54296875" style="7" customWidth="1"/>
    <col min="25" max="31" width="9.1796875" style="7"/>
    <col min="32" max="32" width="30.453125" style="7" bestFit="1" customWidth="1"/>
    <col min="33" max="33" width="14.453125" style="7" bestFit="1" customWidth="1"/>
    <col min="34" max="16384" width="9.1796875" style="7"/>
  </cols>
  <sheetData>
    <row r="1" spans="1:34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  <c r="M1" s="875" t="s">
        <v>0</v>
      </c>
      <c r="N1" s="875"/>
      <c r="O1" s="875"/>
      <c r="P1" s="875"/>
      <c r="Q1" s="875"/>
      <c r="R1" s="875"/>
      <c r="S1" s="875"/>
      <c r="T1" s="875"/>
      <c r="U1" s="875"/>
    </row>
    <row r="2" spans="1:34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  <c r="M2" s="875" t="s">
        <v>1</v>
      </c>
      <c r="N2" s="875"/>
      <c r="O2" s="875"/>
      <c r="P2" s="875"/>
      <c r="Q2" s="875"/>
      <c r="R2" s="875"/>
      <c r="S2" s="875"/>
      <c r="T2" s="875"/>
      <c r="U2" s="875"/>
    </row>
    <row r="3" spans="1:34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  <c r="M3" s="875" t="s">
        <v>365</v>
      </c>
      <c r="N3" s="875"/>
      <c r="O3" s="875"/>
      <c r="P3" s="875"/>
      <c r="Q3" s="875"/>
      <c r="R3" s="875"/>
      <c r="S3" s="875"/>
      <c r="T3" s="875"/>
      <c r="U3" s="875"/>
    </row>
    <row r="4" spans="1:34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  <c r="M4" s="875" t="s">
        <v>2</v>
      </c>
      <c r="N4" s="875"/>
      <c r="O4" s="875"/>
      <c r="P4" s="875"/>
      <c r="Q4" s="875"/>
      <c r="R4" s="875"/>
      <c r="S4" s="875"/>
      <c r="T4" s="875"/>
      <c r="U4" s="875"/>
    </row>
    <row r="5" spans="1:34" ht="15.5" x14ac:dyDescent="0.35">
      <c r="C5" s="880"/>
      <c r="D5" s="880"/>
      <c r="E5" s="880"/>
      <c r="F5" s="880"/>
      <c r="G5" s="880"/>
      <c r="H5" s="880"/>
      <c r="I5" s="880"/>
      <c r="U5" s="292" t="s">
        <v>230</v>
      </c>
      <c r="V5" s="291"/>
      <c r="W5" s="291"/>
      <c r="X5" s="291"/>
      <c r="Y5" s="291"/>
      <c r="Z5" s="291"/>
      <c r="AA5" s="291"/>
    </row>
    <row r="6" spans="1:34" ht="15.5" x14ac:dyDescent="0.35">
      <c r="A6" s="6" t="s">
        <v>14</v>
      </c>
      <c r="B6" s="31" t="s">
        <v>90</v>
      </c>
      <c r="C6" s="880" t="s">
        <v>151</v>
      </c>
      <c r="D6" s="880"/>
      <c r="E6" s="880"/>
      <c r="F6" s="880"/>
      <c r="G6" s="880"/>
      <c r="H6" s="880"/>
      <c r="I6" s="880"/>
      <c r="M6" s="16" t="s">
        <v>14</v>
      </c>
      <c r="N6" s="16" t="s">
        <v>90</v>
      </c>
      <c r="O6" s="876" t="s">
        <v>94</v>
      </c>
      <c r="P6" s="876"/>
      <c r="Q6" s="876"/>
      <c r="R6" s="876"/>
      <c r="S6" s="876"/>
      <c r="T6" s="876"/>
      <c r="U6" s="876"/>
    </row>
    <row r="7" spans="1:34" ht="15" thickBot="1" x14ac:dyDescent="0.4">
      <c r="E7" s="430"/>
      <c r="F7" s="430"/>
      <c r="G7" s="430"/>
      <c r="H7" s="430"/>
      <c r="I7" s="430"/>
      <c r="M7" s="87" t="s">
        <v>170</v>
      </c>
      <c r="O7" s="7" t="s">
        <v>571</v>
      </c>
    </row>
    <row r="8" spans="1:34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  <c r="K8" s="27"/>
      <c r="L8" s="713" t="s">
        <v>393</v>
      </c>
      <c r="M8" s="1" t="s">
        <v>3</v>
      </c>
      <c r="N8" s="2" t="s">
        <v>630</v>
      </c>
      <c r="O8" s="2" t="s">
        <v>631</v>
      </c>
      <c r="P8" s="2" t="s">
        <v>632</v>
      </c>
      <c r="Q8" s="2" t="s">
        <v>223</v>
      </c>
      <c r="R8" s="2" t="s">
        <v>242</v>
      </c>
      <c r="S8" s="2" t="s">
        <v>291</v>
      </c>
      <c r="T8" s="2" t="s">
        <v>360</v>
      </c>
      <c r="U8" s="3" t="s">
        <v>633</v>
      </c>
      <c r="X8" s="176">
        <v>22</v>
      </c>
      <c r="Y8" s="176">
        <v>23</v>
      </c>
      <c r="Z8" s="176">
        <v>24</v>
      </c>
      <c r="AA8" s="176">
        <v>25</v>
      </c>
      <c r="AB8" s="176">
        <v>26</v>
      </c>
      <c r="AC8" s="176"/>
      <c r="AD8" s="176"/>
      <c r="AE8" s="176"/>
      <c r="AF8" s="1" t="s">
        <v>3</v>
      </c>
      <c r="AG8" s="2" t="s">
        <v>604</v>
      </c>
    </row>
    <row r="9" spans="1:34" x14ac:dyDescent="0.35">
      <c r="A9" s="30" t="s">
        <v>108</v>
      </c>
      <c r="B9" s="33">
        <f>+N22</f>
        <v>1363379633</v>
      </c>
      <c r="C9" s="33">
        <f>O22</f>
        <v>1287159003</v>
      </c>
      <c r="D9" s="219">
        <f>+P22</f>
        <v>1302161016</v>
      </c>
      <c r="E9" s="114">
        <f t="shared" ref="E9:I9" si="0">+Q22</f>
        <v>1434553835</v>
      </c>
      <c r="F9" s="396">
        <f t="shared" si="0"/>
        <v>1501975576</v>
      </c>
      <c r="G9" s="33">
        <f t="shared" si="0"/>
        <v>1568556052</v>
      </c>
      <c r="H9" s="33">
        <f t="shared" si="0"/>
        <v>1619677604</v>
      </c>
      <c r="I9" s="33">
        <f t="shared" si="0"/>
        <v>1675168998</v>
      </c>
      <c r="L9" s="696" t="s">
        <v>63</v>
      </c>
      <c r="M9" s="47" t="s">
        <v>210</v>
      </c>
      <c r="N9" s="12">
        <f>2648551+2038765</f>
        <v>4687316</v>
      </c>
      <c r="O9" s="12">
        <v>4080260</v>
      </c>
      <c r="P9" s="12">
        <f>O9</f>
        <v>4080260</v>
      </c>
      <c r="Q9" s="28">
        <v>5465975</v>
      </c>
      <c r="R9" s="28">
        <f>Q9</f>
        <v>5465975</v>
      </c>
      <c r="S9" s="28">
        <f>R9</f>
        <v>5465975</v>
      </c>
      <c r="T9" s="28">
        <f>S9</f>
        <v>5465975</v>
      </c>
      <c r="U9" s="188">
        <f t="shared" ref="U9:U17" si="1">+T9</f>
        <v>5465975</v>
      </c>
      <c r="V9" s="550" t="s">
        <v>725</v>
      </c>
      <c r="W9" s="498"/>
      <c r="X9" s="177">
        <f>(Q9-P9)/P9</f>
        <v>0.33961438731845522</v>
      </c>
      <c r="Y9" s="177">
        <f>(R9-Q9)/Q9</f>
        <v>0</v>
      </c>
      <c r="Z9" s="177">
        <f>(S9-R9)/R9</f>
        <v>0</v>
      </c>
      <c r="AA9" s="177">
        <f>(T9-S9)/S9</f>
        <v>0</v>
      </c>
      <c r="AB9" s="177">
        <f>(U9-T9)/T9</f>
        <v>0</v>
      </c>
      <c r="AC9" s="176" t="s">
        <v>99</v>
      </c>
      <c r="AD9" s="176"/>
      <c r="AE9" s="176"/>
      <c r="AF9" s="47" t="s">
        <v>210</v>
      </c>
      <c r="AG9" s="12">
        <v>3492886</v>
      </c>
      <c r="AH9" s="798">
        <f t="shared" ref="AH9:AH13" si="2">(N9-AG9)/AG9</f>
        <v>0.34196077398460756</v>
      </c>
    </row>
    <row r="10" spans="1:34" x14ac:dyDescent="0.35">
      <c r="A10" s="10" t="s">
        <v>5</v>
      </c>
      <c r="B10" s="35">
        <v>0</v>
      </c>
      <c r="C10" s="35">
        <v>0</v>
      </c>
      <c r="D10" s="222">
        <f t="shared" ref="D10:D15" si="3">+C10</f>
        <v>0</v>
      </c>
      <c r="E10" s="506">
        <f t="shared" ref="E10:I15" si="4">+D10</f>
        <v>0</v>
      </c>
      <c r="F10" s="504">
        <f t="shared" si="4"/>
        <v>0</v>
      </c>
      <c r="G10" s="35">
        <f t="shared" si="4"/>
        <v>0</v>
      </c>
      <c r="H10" s="222">
        <f t="shared" si="4"/>
        <v>0</v>
      </c>
      <c r="I10" s="36">
        <f t="shared" si="4"/>
        <v>0</v>
      </c>
      <c r="L10" s="7">
        <v>20</v>
      </c>
      <c r="M10" s="379" t="s">
        <v>264</v>
      </c>
      <c r="N10" s="244">
        <f>62837724-980784-513601</f>
        <v>61343339</v>
      </c>
      <c r="O10" s="42">
        <v>74028253</v>
      </c>
      <c r="P10" s="13">
        <f t="shared" ref="P10:P20" si="5">O10</f>
        <v>74028253</v>
      </c>
      <c r="Q10" s="159">
        <v>78457582</v>
      </c>
      <c r="R10" s="159">
        <v>82625399</v>
      </c>
      <c r="S10" s="159">
        <v>87014618</v>
      </c>
      <c r="T10" s="159">
        <v>91637000</v>
      </c>
      <c r="U10" s="195">
        <v>96504933</v>
      </c>
      <c r="V10" s="550" t="s">
        <v>717</v>
      </c>
      <c r="W10" s="498"/>
      <c r="X10" s="177">
        <f t="shared" ref="X10:X18" si="6">(Q10-P10)/P10</f>
        <v>5.9832953237461919E-2</v>
      </c>
      <c r="Y10" s="177">
        <f t="shared" ref="Y10:Y18" si="7">(R10-Q10)/Q10</f>
        <v>5.3121914973112479E-2</v>
      </c>
      <c r="Z10" s="177">
        <f t="shared" ref="Z10:Z18" si="8">(S10-R10)/R10</f>
        <v>5.3121909886329262E-2</v>
      </c>
      <c r="AA10" s="177">
        <f t="shared" ref="AA10:AA18" si="9">(T10-S10)/S10</f>
        <v>5.3121901885496987E-2</v>
      </c>
      <c r="AB10" s="177">
        <f t="shared" ref="AB10:AB18" si="10">(U10-T10)/T10</f>
        <v>5.312191582002903E-2</v>
      </c>
      <c r="AC10" s="176" t="s">
        <v>100</v>
      </c>
      <c r="AD10" s="176"/>
      <c r="AE10" s="176"/>
      <c r="AF10" s="379" t="s">
        <v>264</v>
      </c>
      <c r="AG10" s="244">
        <v>56011219</v>
      </c>
      <c r="AH10" s="798">
        <f t="shared" si="2"/>
        <v>9.519735680096518E-2</v>
      </c>
    </row>
    <row r="11" spans="1:34" x14ac:dyDescent="0.35">
      <c r="A11" s="9" t="s">
        <v>6</v>
      </c>
      <c r="B11" s="33">
        <v>0</v>
      </c>
      <c r="C11" s="33">
        <v>0</v>
      </c>
      <c r="D11" s="219">
        <f t="shared" si="3"/>
        <v>0</v>
      </c>
      <c r="E11" s="114">
        <f t="shared" si="4"/>
        <v>0</v>
      </c>
      <c r="F11" s="396">
        <f t="shared" si="4"/>
        <v>0</v>
      </c>
      <c r="G11" s="33">
        <f t="shared" si="4"/>
        <v>0</v>
      </c>
      <c r="H11" s="219">
        <f t="shared" si="4"/>
        <v>0</v>
      </c>
      <c r="I11" s="34">
        <f t="shared" si="4"/>
        <v>0</v>
      </c>
      <c r="L11" s="7">
        <v>21</v>
      </c>
      <c r="M11" s="47" t="s">
        <v>211</v>
      </c>
      <c r="N11" s="245">
        <v>606363107</v>
      </c>
      <c r="O11" s="12">
        <v>587780712</v>
      </c>
      <c r="P11" s="12">
        <v>591416910</v>
      </c>
      <c r="Q11" s="28">
        <v>634278330</v>
      </c>
      <c r="R11" s="28">
        <v>649016820</v>
      </c>
      <c r="S11" s="28">
        <v>660964590</v>
      </c>
      <c r="T11" s="28">
        <v>673522830</v>
      </c>
      <c r="U11" s="188">
        <v>688522950</v>
      </c>
      <c r="V11" s="550" t="s">
        <v>848</v>
      </c>
      <c r="W11" s="498"/>
      <c r="X11" s="177">
        <f t="shared" si="6"/>
        <v>7.2472428967240723E-2</v>
      </c>
      <c r="Y11" s="177">
        <f t="shared" si="7"/>
        <v>2.323662862642651E-2</v>
      </c>
      <c r="Z11" s="177">
        <f t="shared" si="8"/>
        <v>1.8409029830690673E-2</v>
      </c>
      <c r="AA11" s="177">
        <f t="shared" si="9"/>
        <v>1.899986805647183E-2</v>
      </c>
      <c r="AB11" s="177">
        <f t="shared" si="10"/>
        <v>2.2271138158746602E-2</v>
      </c>
      <c r="AC11" s="176" t="s">
        <v>101</v>
      </c>
      <c r="AD11" s="176"/>
      <c r="AE11" s="176"/>
      <c r="AF11" s="47" t="s">
        <v>211</v>
      </c>
      <c r="AG11" s="245">
        <v>607875436</v>
      </c>
      <c r="AH11" s="798">
        <f t="shared" si="2"/>
        <v>-2.4878929307483974E-3</v>
      </c>
    </row>
    <row r="12" spans="1:34" x14ac:dyDescent="0.35">
      <c r="A12" s="10" t="s">
        <v>7</v>
      </c>
      <c r="B12" s="35">
        <v>0</v>
      </c>
      <c r="C12" s="35">
        <v>0</v>
      </c>
      <c r="D12" s="222">
        <f t="shared" si="3"/>
        <v>0</v>
      </c>
      <c r="E12" s="506">
        <f t="shared" si="4"/>
        <v>0</v>
      </c>
      <c r="F12" s="504">
        <f t="shared" si="4"/>
        <v>0</v>
      </c>
      <c r="G12" s="35">
        <f t="shared" si="4"/>
        <v>0</v>
      </c>
      <c r="H12" s="222">
        <f t="shared" si="4"/>
        <v>0</v>
      </c>
      <c r="I12" s="36">
        <f t="shared" si="4"/>
        <v>0</v>
      </c>
      <c r="L12" s="7">
        <v>21</v>
      </c>
      <c r="M12" s="380" t="s">
        <v>212</v>
      </c>
      <c r="N12" s="244">
        <v>110070681</v>
      </c>
      <c r="O12" s="42">
        <v>34847911</v>
      </c>
      <c r="P12" s="13">
        <v>28597680</v>
      </c>
      <c r="Q12" s="159">
        <v>91659334</v>
      </c>
      <c r="R12" s="159">
        <v>117847405</v>
      </c>
      <c r="S12" s="159">
        <v>133128937</v>
      </c>
      <c r="T12" s="159">
        <v>133130498</v>
      </c>
      <c r="U12" s="195">
        <v>133131136</v>
      </c>
      <c r="V12" s="550" t="s">
        <v>848</v>
      </c>
      <c r="W12" s="498"/>
      <c r="X12" s="177">
        <f t="shared" si="6"/>
        <v>2.2051318148884804</v>
      </c>
      <c r="Y12" s="177">
        <f t="shared" si="7"/>
        <v>0.28571090206699518</v>
      </c>
      <c r="Z12" s="177">
        <f t="shared" si="8"/>
        <v>0.12967219770346236</v>
      </c>
      <c r="AA12" s="177">
        <f t="shared" si="9"/>
        <v>1.1725474830464544E-5</v>
      </c>
      <c r="AB12" s="177">
        <f t="shared" si="10"/>
        <v>4.7922903435695103E-6</v>
      </c>
      <c r="AC12" s="176" t="s">
        <v>102</v>
      </c>
      <c r="AD12" s="176"/>
      <c r="AE12" s="176"/>
      <c r="AF12" s="380" t="s">
        <v>212</v>
      </c>
      <c r="AG12" s="244">
        <v>110159328</v>
      </c>
      <c r="AH12" s="798">
        <f t="shared" si="2"/>
        <v>-8.0471623792040562E-4</v>
      </c>
    </row>
    <row r="13" spans="1:34" x14ac:dyDescent="0.35">
      <c r="A13" s="9" t="s">
        <v>8</v>
      </c>
      <c r="B13" s="33">
        <v>0</v>
      </c>
      <c r="C13" s="33">
        <v>0</v>
      </c>
      <c r="D13" s="219">
        <f t="shared" si="3"/>
        <v>0</v>
      </c>
      <c r="E13" s="114">
        <f t="shared" si="4"/>
        <v>0</v>
      </c>
      <c r="F13" s="396">
        <f t="shared" si="4"/>
        <v>0</v>
      </c>
      <c r="G13" s="33">
        <f t="shared" si="4"/>
        <v>0</v>
      </c>
      <c r="H13" s="219">
        <f t="shared" si="4"/>
        <v>0</v>
      </c>
      <c r="I13" s="34">
        <f t="shared" si="4"/>
        <v>0</v>
      </c>
      <c r="L13" s="7">
        <v>22</v>
      </c>
      <c r="M13" s="370" t="s">
        <v>213</v>
      </c>
      <c r="N13" s="246">
        <f>78569163+567023+966426</f>
        <v>80102612</v>
      </c>
      <c r="O13" s="28">
        <v>84264776</v>
      </c>
      <c r="P13" s="28">
        <f t="shared" si="5"/>
        <v>84264776</v>
      </c>
      <c r="Q13" s="28">
        <v>86218245</v>
      </c>
      <c r="R13" s="28">
        <v>87259368</v>
      </c>
      <c r="S13" s="28">
        <v>90717878</v>
      </c>
      <c r="T13" s="28">
        <v>90861613</v>
      </c>
      <c r="U13" s="188">
        <v>90872715</v>
      </c>
      <c r="V13" s="550" t="s">
        <v>848</v>
      </c>
      <c r="W13" s="498"/>
      <c r="X13" s="177">
        <f t="shared" si="6"/>
        <v>2.3182509854414137E-2</v>
      </c>
      <c r="Y13" s="177">
        <f t="shared" si="7"/>
        <v>1.2075437165300686E-2</v>
      </c>
      <c r="Z13" s="177">
        <f t="shared" si="8"/>
        <v>3.9634827517888965E-2</v>
      </c>
      <c r="AA13" s="177">
        <f t="shared" si="9"/>
        <v>1.5844175720247777E-3</v>
      </c>
      <c r="AB13" s="177">
        <f t="shared" si="10"/>
        <v>1.2218581239582441E-4</v>
      </c>
      <c r="AC13" s="176" t="s">
        <v>103</v>
      </c>
      <c r="AD13" s="176"/>
      <c r="AE13" s="176"/>
      <c r="AF13" s="370" t="s">
        <v>213</v>
      </c>
      <c r="AG13" s="246">
        <v>80441125</v>
      </c>
      <c r="AH13" s="798">
        <f t="shared" si="2"/>
        <v>-4.2082081770984676E-3</v>
      </c>
    </row>
    <row r="14" spans="1:34" x14ac:dyDescent="0.35">
      <c r="A14" s="10" t="s">
        <v>9</v>
      </c>
      <c r="B14" s="35">
        <v>0</v>
      </c>
      <c r="C14" s="35">
        <v>0</v>
      </c>
      <c r="D14" s="222">
        <f t="shared" si="3"/>
        <v>0</v>
      </c>
      <c r="E14" s="506">
        <f t="shared" si="4"/>
        <v>0</v>
      </c>
      <c r="F14" s="504">
        <f t="shared" si="4"/>
        <v>0</v>
      </c>
      <c r="G14" s="35">
        <f t="shared" si="4"/>
        <v>0</v>
      </c>
      <c r="H14" s="222">
        <f t="shared" si="4"/>
        <v>0</v>
      </c>
      <c r="I14" s="36">
        <f t="shared" si="4"/>
        <v>0</v>
      </c>
      <c r="L14" s="7">
        <v>23</v>
      </c>
      <c r="M14" s="371" t="s">
        <v>214</v>
      </c>
      <c r="N14" s="159">
        <f>442294025+2053396-600000</f>
        <v>443747421</v>
      </c>
      <c r="O14" s="13">
        <v>459268183</v>
      </c>
      <c r="P14" s="159">
        <f t="shared" si="5"/>
        <v>459268183</v>
      </c>
      <c r="Q14" s="159">
        <f>474276900+180</f>
        <v>474277080</v>
      </c>
      <c r="R14" s="159">
        <v>490856053</v>
      </c>
      <c r="S14" s="159">
        <v>516187374</v>
      </c>
      <c r="T14" s="159">
        <v>543232150</v>
      </c>
      <c r="U14" s="195">
        <v>572109571</v>
      </c>
      <c r="V14" s="550" t="s">
        <v>718</v>
      </c>
      <c r="W14" s="498"/>
      <c r="X14" s="177">
        <f t="shared" si="6"/>
        <v>3.268002782592061E-2</v>
      </c>
      <c r="Y14" s="177">
        <f t="shared" si="7"/>
        <v>3.4956302337022065E-2</v>
      </c>
      <c r="Z14" s="177">
        <f t="shared" si="8"/>
        <v>5.1606414640668598E-2</v>
      </c>
      <c r="AA14" s="177">
        <f t="shared" si="9"/>
        <v>5.2393331108482322E-2</v>
      </c>
      <c r="AB14" s="177">
        <f t="shared" si="10"/>
        <v>5.3158527160073278E-2</v>
      </c>
      <c r="AC14" s="176" t="s">
        <v>104</v>
      </c>
      <c r="AD14" s="176"/>
      <c r="AE14" s="176"/>
      <c r="AF14" s="371" t="s">
        <v>214</v>
      </c>
      <c r="AG14" s="159">
        <v>418230169</v>
      </c>
      <c r="AH14" s="798">
        <f>(N14-AG14)/AG14</f>
        <v>6.1012461298553526E-2</v>
      </c>
    </row>
    <row r="15" spans="1:34" ht="15" thickBot="1" x14ac:dyDescent="0.4">
      <c r="A15" s="11" t="s">
        <v>10</v>
      </c>
      <c r="B15" s="37">
        <v>0</v>
      </c>
      <c r="C15" s="37">
        <v>0</v>
      </c>
      <c r="D15" s="223">
        <f t="shared" si="3"/>
        <v>0</v>
      </c>
      <c r="E15" s="507">
        <f t="shared" si="4"/>
        <v>0</v>
      </c>
      <c r="F15" s="505">
        <f t="shared" si="4"/>
        <v>0</v>
      </c>
      <c r="G15" s="37">
        <f t="shared" si="4"/>
        <v>0</v>
      </c>
      <c r="H15" s="223">
        <f t="shared" si="4"/>
        <v>0</v>
      </c>
      <c r="I15" s="38">
        <f t="shared" si="4"/>
        <v>0</v>
      </c>
      <c r="L15" s="7">
        <v>23</v>
      </c>
      <c r="M15" s="116" t="s">
        <v>215</v>
      </c>
      <c r="N15" s="28">
        <v>8010344</v>
      </c>
      <c r="O15" s="28">
        <v>8850000</v>
      </c>
      <c r="P15" s="28">
        <f t="shared" si="5"/>
        <v>8850000</v>
      </c>
      <c r="Q15" s="28">
        <v>8850000</v>
      </c>
      <c r="R15" s="28">
        <v>8850000</v>
      </c>
      <c r="S15" s="28">
        <v>8850000</v>
      </c>
      <c r="T15" s="28">
        <v>8850000</v>
      </c>
      <c r="U15" s="188">
        <v>8850000</v>
      </c>
      <c r="V15" s="550" t="s">
        <v>717</v>
      </c>
      <c r="W15" s="498"/>
      <c r="X15" s="177">
        <f t="shared" si="6"/>
        <v>0</v>
      </c>
      <c r="Y15" s="177">
        <f t="shared" si="7"/>
        <v>0</v>
      </c>
      <c r="Z15" s="177">
        <f t="shared" si="8"/>
        <v>0</v>
      </c>
      <c r="AA15" s="177">
        <f t="shared" si="9"/>
        <v>0</v>
      </c>
      <c r="AB15" s="177">
        <f t="shared" si="10"/>
        <v>0</v>
      </c>
      <c r="AC15" s="176" t="s">
        <v>202</v>
      </c>
      <c r="AD15" s="176"/>
      <c r="AE15" s="176"/>
      <c r="AF15" s="116" t="s">
        <v>215</v>
      </c>
      <c r="AG15" s="28">
        <v>7782681</v>
      </c>
      <c r="AH15" s="798">
        <f t="shared" ref="AH15:AH20" si="11">(N15-AG15)/AG15</f>
        <v>2.9252515938916167E-2</v>
      </c>
    </row>
    <row r="16" spans="1:34" ht="15" thickBot="1" x14ac:dyDescent="0.4">
      <c r="A16" s="4" t="s">
        <v>11</v>
      </c>
      <c r="B16" s="39">
        <f>SUM(B9:B15)</f>
        <v>1363379633</v>
      </c>
      <c r="C16" s="39">
        <f t="shared" ref="C16:I16" si="12">SUM(C9:C15)</f>
        <v>1287159003</v>
      </c>
      <c r="D16" s="39">
        <f t="shared" si="12"/>
        <v>1302161016</v>
      </c>
      <c r="E16" s="529">
        <f t="shared" si="12"/>
        <v>1434553835</v>
      </c>
      <c r="F16" s="39">
        <f t="shared" si="12"/>
        <v>1501975576</v>
      </c>
      <c r="G16" s="39">
        <f t="shared" si="12"/>
        <v>1568556052</v>
      </c>
      <c r="H16" s="39">
        <f t="shared" si="12"/>
        <v>1619677604</v>
      </c>
      <c r="I16" s="39">
        <f t="shared" si="12"/>
        <v>1675168998</v>
      </c>
      <c r="L16" s="7">
        <v>23</v>
      </c>
      <c r="M16" s="47" t="s">
        <v>216</v>
      </c>
      <c r="N16" s="13">
        <v>4878548</v>
      </c>
      <c r="O16" s="13">
        <v>5535000</v>
      </c>
      <c r="P16" s="13">
        <f t="shared" si="5"/>
        <v>5535000</v>
      </c>
      <c r="Q16" s="159">
        <v>5535000</v>
      </c>
      <c r="R16" s="159">
        <v>5535000</v>
      </c>
      <c r="S16" s="159">
        <v>5535000</v>
      </c>
      <c r="T16" s="159">
        <v>5535000</v>
      </c>
      <c r="U16" s="195">
        <f t="shared" si="1"/>
        <v>5535000</v>
      </c>
      <c r="V16" s="550" t="s">
        <v>717</v>
      </c>
      <c r="W16" s="498"/>
      <c r="X16" s="177">
        <f t="shared" si="6"/>
        <v>0</v>
      </c>
      <c r="Y16" s="177">
        <f t="shared" si="7"/>
        <v>0</v>
      </c>
      <c r="Z16" s="177">
        <f t="shared" si="8"/>
        <v>0</v>
      </c>
      <c r="AA16" s="177">
        <f t="shared" si="9"/>
        <v>0</v>
      </c>
      <c r="AB16" s="177">
        <f t="shared" si="10"/>
        <v>0</v>
      </c>
      <c r="AC16" s="176" t="s">
        <v>105</v>
      </c>
      <c r="AD16" s="176"/>
      <c r="AE16" s="176"/>
      <c r="AF16" s="47" t="s">
        <v>216</v>
      </c>
      <c r="AG16" s="13">
        <v>4769947</v>
      </c>
      <c r="AH16" s="798">
        <f t="shared" si="11"/>
        <v>2.2767758216181436E-2</v>
      </c>
    </row>
    <row r="17" spans="1:34" x14ac:dyDescent="0.35">
      <c r="E17" s="790"/>
      <c r="L17" s="7">
        <v>23</v>
      </c>
      <c r="M17" s="47" t="s">
        <v>217</v>
      </c>
      <c r="N17" s="12">
        <v>188275</v>
      </c>
      <c r="O17" s="12">
        <v>150000</v>
      </c>
      <c r="P17" s="12">
        <f t="shared" si="5"/>
        <v>150000</v>
      </c>
      <c r="Q17" s="28">
        <v>150000</v>
      </c>
      <c r="R17" s="28">
        <v>150000</v>
      </c>
      <c r="S17" s="28">
        <v>150000</v>
      </c>
      <c r="T17" s="28">
        <v>150000</v>
      </c>
      <c r="U17" s="188">
        <f t="shared" si="1"/>
        <v>150000</v>
      </c>
      <c r="V17" s="550" t="s">
        <v>717</v>
      </c>
      <c r="W17" s="498"/>
      <c r="X17" s="177">
        <f t="shared" si="6"/>
        <v>0</v>
      </c>
      <c r="Y17" s="177">
        <f t="shared" si="7"/>
        <v>0</v>
      </c>
      <c r="Z17" s="177">
        <f t="shared" si="8"/>
        <v>0</v>
      </c>
      <c r="AA17" s="177">
        <f t="shared" si="9"/>
        <v>0</v>
      </c>
      <c r="AB17" s="177">
        <f t="shared" si="10"/>
        <v>0</v>
      </c>
      <c r="AC17" s="176" t="s">
        <v>106</v>
      </c>
      <c r="AD17" s="176"/>
      <c r="AE17" s="176"/>
      <c r="AF17" s="47" t="s">
        <v>217</v>
      </c>
      <c r="AG17" s="42">
        <v>209050</v>
      </c>
      <c r="AH17" s="798">
        <f t="shared" si="11"/>
        <v>-9.9378139201148047E-2</v>
      </c>
    </row>
    <row r="18" spans="1:34" x14ac:dyDescent="0.35">
      <c r="L18" s="7">
        <v>23</v>
      </c>
      <c r="M18" s="47" t="s">
        <v>218</v>
      </c>
      <c r="N18" s="13">
        <v>911356</v>
      </c>
      <c r="O18" s="13">
        <v>800000</v>
      </c>
      <c r="P18" s="13">
        <f t="shared" si="5"/>
        <v>800000</v>
      </c>
      <c r="Q18" s="159">
        <v>1000000</v>
      </c>
      <c r="R18" s="159">
        <v>1000000</v>
      </c>
      <c r="S18" s="159">
        <v>1000000</v>
      </c>
      <c r="T18" s="159">
        <v>1000000</v>
      </c>
      <c r="U18" s="195">
        <v>1000000</v>
      </c>
      <c r="V18" s="550" t="s">
        <v>717</v>
      </c>
      <c r="W18" s="498"/>
      <c r="X18" s="177">
        <f t="shared" si="6"/>
        <v>0.25</v>
      </c>
      <c r="Y18" s="177">
        <f t="shared" si="7"/>
        <v>0</v>
      </c>
      <c r="Z18" s="177">
        <f t="shared" si="8"/>
        <v>0</v>
      </c>
      <c r="AA18" s="177">
        <f t="shared" si="9"/>
        <v>0</v>
      </c>
      <c r="AB18" s="177">
        <f t="shared" si="10"/>
        <v>0</v>
      </c>
      <c r="AC18" s="176" t="s">
        <v>107</v>
      </c>
      <c r="AD18" s="176"/>
      <c r="AE18" s="176"/>
      <c r="AF18" s="47" t="s">
        <v>218</v>
      </c>
      <c r="AG18" s="13">
        <v>645989</v>
      </c>
      <c r="AH18" s="798">
        <f t="shared" si="11"/>
        <v>0.41079182462859276</v>
      </c>
    </row>
    <row r="19" spans="1:34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  <c r="L19" s="7">
        <v>21</v>
      </c>
      <c r="M19" s="208" t="s">
        <v>209</v>
      </c>
      <c r="N19" s="28">
        <v>42731949</v>
      </c>
      <c r="O19" s="28">
        <v>27253908</v>
      </c>
      <c r="P19" s="28">
        <v>44869954</v>
      </c>
      <c r="Q19" s="28">
        <f>48765816-553527</f>
        <v>48212289</v>
      </c>
      <c r="R19" s="28">
        <f>55448943-2529387</f>
        <v>52919556</v>
      </c>
      <c r="S19" s="28">
        <f>62519535-3427855</f>
        <v>59091680</v>
      </c>
      <c r="T19" s="28">
        <f>70057592-4215054</f>
        <v>65842538</v>
      </c>
      <c r="U19" s="235">
        <f>72053197+523521</f>
        <v>72576718</v>
      </c>
      <c r="V19" s="550" t="s">
        <v>848</v>
      </c>
      <c r="W19" s="498"/>
      <c r="X19" s="177">
        <f t="shared" ref="X19" si="13">(Q19-P19)/P19</f>
        <v>7.4489378794549241E-2</v>
      </c>
      <c r="Y19" s="177">
        <f t="shared" ref="Y19" si="14">(R19-Q19)/Q19</f>
        <v>9.7636247886923599E-2</v>
      </c>
      <c r="Z19" s="177">
        <f t="shared" ref="Z19" si="15">(S19-R19)/R19</f>
        <v>0.11663219547798172</v>
      </c>
      <c r="AA19" s="177">
        <f t="shared" ref="AA19" si="16">(T19-S19)/S19</f>
        <v>0.11424379878859427</v>
      </c>
      <c r="AB19" s="177">
        <f t="shared" ref="AB19" si="17">(U19-T19)/T19</f>
        <v>0.1022770416292276</v>
      </c>
      <c r="AC19" s="176" t="s">
        <v>318</v>
      </c>
      <c r="AF19" s="208" t="s">
        <v>209</v>
      </c>
      <c r="AG19" s="28">
        <v>24202319</v>
      </c>
      <c r="AH19" s="798">
        <f t="shared" si="11"/>
        <v>0.76561382403066414</v>
      </c>
    </row>
    <row r="20" spans="1:34" ht="15.5" thickTop="1" thickBot="1" x14ac:dyDescent="0.4">
      <c r="A20" s="204"/>
      <c r="B20" s="204"/>
      <c r="C20" s="204"/>
      <c r="D20" s="204"/>
      <c r="E20" s="204"/>
      <c r="F20" s="204"/>
      <c r="G20" s="204"/>
      <c r="H20" s="204"/>
      <c r="I20" s="204"/>
      <c r="L20" s="7">
        <v>21</v>
      </c>
      <c r="M20" s="29" t="s">
        <v>351</v>
      </c>
      <c r="N20" s="159">
        <v>344685</v>
      </c>
      <c r="O20" s="236">
        <v>300000</v>
      </c>
      <c r="P20" s="236">
        <f t="shared" si="5"/>
        <v>300000</v>
      </c>
      <c r="Q20" s="236">
        <v>450000</v>
      </c>
      <c r="R20" s="236">
        <v>450000</v>
      </c>
      <c r="S20" s="236">
        <v>450000</v>
      </c>
      <c r="T20" s="236">
        <v>450000</v>
      </c>
      <c r="U20" s="195">
        <v>450000</v>
      </c>
      <c r="V20" s="550" t="s">
        <v>717</v>
      </c>
      <c r="W20" s="498"/>
      <c r="X20" s="177">
        <f t="shared" ref="X20" si="18">(Q20-P20)/P20</f>
        <v>0.5</v>
      </c>
      <c r="Y20" s="177">
        <f t="shared" ref="Y20" si="19">(R20-Q20)/Q20</f>
        <v>0</v>
      </c>
      <c r="Z20" s="177">
        <f t="shared" ref="Z20" si="20">(S20-R20)/R20</f>
        <v>0</v>
      </c>
      <c r="AA20" s="177">
        <f t="shared" ref="AA20" si="21">(T20-S20)/S20</f>
        <v>0</v>
      </c>
      <c r="AB20" s="177">
        <f t="shared" ref="AB20" si="22">(U20-T20)/T20</f>
        <v>0</v>
      </c>
      <c r="AC20" s="176" t="s">
        <v>317</v>
      </c>
      <c r="AF20" s="29" t="s">
        <v>219</v>
      </c>
      <c r="AG20" s="159">
        <v>201237</v>
      </c>
      <c r="AH20" s="798">
        <f t="shared" si="11"/>
        <v>0.71283113940279375</v>
      </c>
    </row>
    <row r="21" spans="1:34" ht="15" customHeight="1" thickBot="1" x14ac:dyDescent="0.4">
      <c r="A21" s="79"/>
      <c r="B21" s="70"/>
      <c r="C21" s="71"/>
      <c r="D21" s="72"/>
      <c r="E21" s="72"/>
      <c r="F21" s="73"/>
      <c r="G21" s="73"/>
      <c r="H21" s="73"/>
      <c r="I21" s="73"/>
      <c r="M21" s="29"/>
      <c r="N21" s="237"/>
      <c r="O21" s="237"/>
      <c r="P21" s="237"/>
      <c r="Q21" s="237"/>
      <c r="R21" s="237"/>
      <c r="S21" s="237"/>
      <c r="T21" s="237"/>
      <c r="U21" s="238"/>
      <c r="X21" s="14"/>
      <c r="AG21" s="237">
        <v>0</v>
      </c>
    </row>
    <row r="22" spans="1:34" ht="15.75" customHeight="1" x14ac:dyDescent="0.35">
      <c r="A22" s="83"/>
      <c r="B22" s="66"/>
      <c r="C22" s="67"/>
      <c r="D22" s="68"/>
      <c r="E22" s="68"/>
      <c r="F22" s="69"/>
      <c r="G22" s="69"/>
      <c r="H22" s="69"/>
      <c r="I22" s="69"/>
      <c r="J22" s="17"/>
      <c r="M22" s="4" t="s">
        <v>11</v>
      </c>
      <c r="N22" s="14">
        <f t="shared" ref="N22:U22" si="23">SUM(N9:N21)</f>
        <v>1363379633</v>
      </c>
      <c r="O22" s="14">
        <f>SUM(O9:O21)</f>
        <v>1287159003</v>
      </c>
      <c r="P22" s="14">
        <f t="shared" si="23"/>
        <v>1302161016</v>
      </c>
      <c r="Q22" s="14">
        <f>SUM(Q9:Q21)</f>
        <v>1434553835</v>
      </c>
      <c r="R22" s="14">
        <f t="shared" si="23"/>
        <v>1501975576</v>
      </c>
      <c r="S22" s="14">
        <f t="shared" si="23"/>
        <v>1568556052</v>
      </c>
      <c r="T22" s="14">
        <f>SUM(T9:T21)</f>
        <v>1619677604</v>
      </c>
      <c r="U22" s="14">
        <f t="shared" si="23"/>
        <v>1675168998</v>
      </c>
      <c r="X22" s="177">
        <f t="shared" ref="X22" si="24">(Q22-P22)/P22</f>
        <v>0.10167161923391507</v>
      </c>
      <c r="Y22" s="177">
        <f t="shared" ref="Y22" si="25">(R22-Q22)/Q22</f>
        <v>4.6998404211160187E-2</v>
      </c>
      <c r="Z22" s="177">
        <f t="shared" ref="Z22" si="26">(S22-R22)/R22</f>
        <v>4.4328600986518307E-2</v>
      </c>
      <c r="AA22" s="177">
        <f t="shared" ref="AA22" si="27">(T22-S22)/S22</f>
        <v>3.2591472861181504E-2</v>
      </c>
      <c r="AB22" s="177">
        <f t="shared" ref="AB22" si="28">(U22-T22)/T22</f>
        <v>3.4260765144221876E-2</v>
      </c>
      <c r="AF22" s="200" t="s">
        <v>299</v>
      </c>
      <c r="AG22" s="14">
        <f t="shared" ref="AG22" si="29">SUM(AG9:AG21)</f>
        <v>1314021386</v>
      </c>
    </row>
    <row r="23" spans="1:34" s="58" customFormat="1" ht="13" customHeight="1" x14ac:dyDescent="0.35">
      <c r="A23" s="171"/>
      <c r="B23" s="101"/>
      <c r="C23" s="102"/>
      <c r="D23" s="103"/>
      <c r="E23" s="103"/>
      <c r="F23" s="94"/>
      <c r="G23" s="94"/>
      <c r="H23" s="94"/>
      <c r="I23" s="94"/>
      <c r="J23" s="81"/>
      <c r="O23" s="243">
        <f>+O22-N22</f>
        <v>-76220630</v>
      </c>
      <c r="P23" s="243">
        <f>+P22-O22</f>
        <v>15002013</v>
      </c>
      <c r="Q23" s="386">
        <f>+Q22-P22</f>
        <v>132392819</v>
      </c>
      <c r="R23" s="199"/>
      <c r="S23" s="199"/>
      <c r="T23" s="199"/>
      <c r="U23" s="199"/>
      <c r="X23" s="160"/>
    </row>
    <row r="24" spans="1:34" ht="13" customHeight="1" x14ac:dyDescent="0.35">
      <c r="A24" s="83"/>
      <c r="B24" s="84"/>
      <c r="C24" s="67"/>
      <c r="D24" s="68"/>
      <c r="E24" s="68"/>
      <c r="F24" s="68"/>
      <c r="G24" s="68"/>
      <c r="H24" s="69"/>
      <c r="I24" s="69"/>
      <c r="J24" s="17"/>
      <c r="M24" s="415" t="s">
        <v>253</v>
      </c>
      <c r="N24" s="416">
        <f>+N11+N12+N19+N20</f>
        <v>759510422</v>
      </c>
      <c r="O24" s="416">
        <f t="shared" ref="O24:U24" si="30">+O11+O12+O19+O20</f>
        <v>650182531</v>
      </c>
      <c r="P24" s="416">
        <f t="shared" si="30"/>
        <v>665184544</v>
      </c>
      <c r="Q24" s="416">
        <f t="shared" si="30"/>
        <v>774599953</v>
      </c>
      <c r="R24" s="416">
        <f t="shared" si="30"/>
        <v>820233781</v>
      </c>
      <c r="S24" s="416">
        <f t="shared" si="30"/>
        <v>853635207</v>
      </c>
      <c r="T24" s="416">
        <f t="shared" si="30"/>
        <v>872945866</v>
      </c>
      <c r="U24" s="416">
        <f t="shared" si="30"/>
        <v>894680804</v>
      </c>
    </row>
    <row r="25" spans="1:34" ht="13" customHeight="1" x14ac:dyDescent="0.35">
      <c r="A25" s="83"/>
      <c r="B25" s="84"/>
      <c r="C25" s="67"/>
      <c r="D25" s="68"/>
      <c r="E25" s="68"/>
      <c r="F25" s="68"/>
      <c r="G25" s="68"/>
      <c r="H25" s="69"/>
      <c r="I25" s="69"/>
      <c r="J25" s="17"/>
      <c r="M25" s="200" t="s">
        <v>372</v>
      </c>
      <c r="N25" s="636">
        <f t="shared" ref="N25:U25" si="31">+N22-N24</f>
        <v>603869211</v>
      </c>
      <c r="O25" s="636">
        <f t="shared" si="31"/>
        <v>636976472</v>
      </c>
      <c r="P25" s="636">
        <f t="shared" si="31"/>
        <v>636976472</v>
      </c>
      <c r="Q25" s="636">
        <f t="shared" si="31"/>
        <v>659953882</v>
      </c>
      <c r="R25" s="636">
        <f t="shared" si="31"/>
        <v>681741795</v>
      </c>
      <c r="S25" s="636">
        <f t="shared" si="31"/>
        <v>714920845</v>
      </c>
      <c r="T25" s="636">
        <f t="shared" si="31"/>
        <v>746731738</v>
      </c>
      <c r="U25" s="636">
        <f t="shared" si="31"/>
        <v>780488194</v>
      </c>
    </row>
    <row r="26" spans="1:34" ht="13" customHeight="1" thickBot="1" x14ac:dyDescent="0.4">
      <c r="A26" s="83"/>
      <c r="B26" s="84"/>
      <c r="C26" s="67"/>
      <c r="D26" s="68"/>
      <c r="E26" s="68"/>
      <c r="F26" s="68"/>
      <c r="G26" s="68"/>
      <c r="H26" s="69"/>
      <c r="I26" s="69"/>
      <c r="J26" s="17"/>
      <c r="M26" s="470"/>
      <c r="N26" s="460" t="s">
        <v>409</v>
      </c>
      <c r="O26" s="198"/>
      <c r="P26" s="198"/>
      <c r="Q26" s="636" t="s">
        <v>372</v>
      </c>
      <c r="R26" s="198"/>
      <c r="S26" s="198"/>
      <c r="T26" s="198"/>
      <c r="U26" s="198"/>
    </row>
    <row r="27" spans="1:34" ht="12.75" customHeight="1" x14ac:dyDescent="0.35">
      <c r="A27" s="83"/>
      <c r="B27" s="84"/>
      <c r="C27" s="67"/>
      <c r="D27" s="68"/>
      <c r="E27" s="68"/>
      <c r="F27" s="68"/>
      <c r="G27" s="68"/>
      <c r="H27" s="69"/>
      <c r="I27" s="69"/>
      <c r="J27" s="17"/>
      <c r="M27" s="437" t="s">
        <v>370</v>
      </c>
      <c r="N27" s="322"/>
      <c r="O27" s="322"/>
      <c r="P27" s="323"/>
      <c r="Q27" s="323"/>
      <c r="R27" s="324"/>
      <c r="S27" s="323"/>
      <c r="T27" s="323"/>
      <c r="U27" s="323"/>
      <c r="V27" s="198"/>
    </row>
    <row r="28" spans="1:34" ht="12.75" customHeight="1" x14ac:dyDescent="0.35">
      <c r="A28" s="83"/>
      <c r="B28" s="84"/>
      <c r="C28" s="67"/>
      <c r="D28" s="68"/>
      <c r="E28" s="68"/>
      <c r="F28" s="68"/>
      <c r="G28" s="68"/>
      <c r="H28" s="69"/>
      <c r="I28" s="69"/>
      <c r="J28" s="17"/>
      <c r="M28" s="483"/>
      <c r="N28" s="70"/>
      <c r="O28" s="72"/>
      <c r="P28" s="73"/>
      <c r="Q28" s="73"/>
      <c r="R28" s="73"/>
      <c r="S28" s="73"/>
      <c r="T28" s="73"/>
      <c r="U28" s="73"/>
      <c r="V28" s="198"/>
    </row>
    <row r="29" spans="1:34" ht="12.75" customHeight="1" x14ac:dyDescent="0.35">
      <c r="A29" s="83"/>
      <c r="B29" s="84"/>
      <c r="C29" s="67"/>
      <c r="D29" s="68"/>
      <c r="E29" s="68"/>
      <c r="F29" s="68"/>
      <c r="G29" s="68"/>
      <c r="H29" s="69"/>
      <c r="I29" s="69"/>
      <c r="J29" s="17"/>
      <c r="M29" s="736" t="s">
        <v>410</v>
      </c>
      <c r="N29" s="714">
        <f>1378598365-7531969</f>
        <v>1371066396</v>
      </c>
      <c r="O29" s="72"/>
      <c r="P29" s="73"/>
      <c r="Q29" s="73"/>
      <c r="R29" s="73"/>
      <c r="S29" s="73"/>
      <c r="T29" s="73"/>
      <c r="U29" s="73"/>
      <c r="V29" s="198"/>
    </row>
    <row r="30" spans="1:34" ht="12.75" customHeight="1" x14ac:dyDescent="0.35">
      <c r="A30" s="83"/>
      <c r="B30" s="84"/>
      <c r="C30" s="67"/>
      <c r="D30" s="68"/>
      <c r="E30" s="68"/>
      <c r="F30" s="68"/>
      <c r="G30" s="68"/>
      <c r="H30" s="69"/>
      <c r="I30" s="69"/>
      <c r="J30" s="17"/>
      <c r="M30" s="715"/>
      <c r="N30" s="72"/>
      <c r="O30" s="72"/>
      <c r="P30" s="496"/>
      <c r="Q30" s="488"/>
      <c r="R30" s="488"/>
      <c r="S30" s="488"/>
      <c r="T30" s="488"/>
      <c r="U30" s="488"/>
      <c r="V30" s="198"/>
    </row>
    <row r="31" spans="1:34" ht="12.75" customHeight="1" x14ac:dyDescent="0.35">
      <c r="A31" s="83"/>
      <c r="B31" s="84"/>
      <c r="C31" s="67"/>
      <c r="D31" s="68"/>
      <c r="E31" s="68"/>
      <c r="F31" s="68"/>
      <c r="G31" s="68"/>
      <c r="H31" s="69"/>
      <c r="I31" s="69"/>
      <c r="J31" s="17"/>
      <c r="M31" s="497"/>
      <c r="N31" s="72"/>
      <c r="O31" s="72"/>
      <c r="P31" s="73"/>
      <c r="Q31" s="73"/>
      <c r="R31" s="73"/>
      <c r="S31" s="73"/>
      <c r="T31" s="73"/>
      <c r="U31" s="73"/>
      <c r="V31" s="198"/>
    </row>
    <row r="32" spans="1:34" ht="12.75" customHeight="1" x14ac:dyDescent="0.35">
      <c r="A32" s="83"/>
      <c r="B32" s="84"/>
      <c r="C32" s="67"/>
      <c r="D32" s="68"/>
      <c r="E32" s="68"/>
      <c r="F32" s="68"/>
      <c r="G32" s="68"/>
      <c r="H32" s="69"/>
      <c r="I32" s="69"/>
      <c r="J32" s="17"/>
      <c r="M32" s="497"/>
      <c r="N32" s="72"/>
      <c r="O32" s="72"/>
      <c r="P32" s="73"/>
      <c r="Q32" s="73"/>
      <c r="R32" s="73"/>
      <c r="S32" s="73"/>
      <c r="T32" s="73"/>
      <c r="U32" s="73"/>
    </row>
    <row r="33" spans="13:22" ht="12.75" customHeight="1" x14ac:dyDescent="0.35">
      <c r="M33" s="497"/>
      <c r="N33" s="103"/>
      <c r="O33" s="103"/>
      <c r="P33" s="94"/>
      <c r="Q33" s="94"/>
      <c r="R33" s="94"/>
      <c r="S33" s="94"/>
      <c r="T33" s="94"/>
      <c r="U33" s="94"/>
      <c r="V33" s="52"/>
    </row>
    <row r="34" spans="13:22" ht="12.75" customHeight="1" x14ac:dyDescent="0.35">
      <c r="M34" s="316"/>
      <c r="N34" s="503"/>
      <c r="O34" s="503"/>
      <c r="P34" s="94"/>
      <c r="Q34" s="94"/>
      <c r="R34" s="94"/>
      <c r="S34" s="94"/>
      <c r="T34" s="94"/>
      <c r="U34" s="94"/>
      <c r="V34" s="52"/>
    </row>
    <row r="35" spans="13:22" ht="12.75" customHeight="1" x14ac:dyDescent="0.35">
      <c r="M35" s="58"/>
      <c r="N35" s="58"/>
      <c r="O35" s="58"/>
      <c r="P35" s="58"/>
      <c r="Q35" s="58"/>
      <c r="R35" s="58"/>
      <c r="S35" s="58"/>
      <c r="T35" s="58"/>
      <c r="U35" s="58"/>
      <c r="V35" s="52"/>
    </row>
    <row r="36" spans="13:22" ht="12.75" customHeight="1" x14ac:dyDescent="0.35">
      <c r="M36" s="549"/>
      <c r="N36" s="72"/>
      <c r="O36" s="72"/>
      <c r="P36" s="73"/>
      <c r="Q36" s="73"/>
      <c r="R36" s="73"/>
      <c r="S36" s="73"/>
      <c r="T36" s="73"/>
      <c r="U36" s="73"/>
      <c r="V36" s="52"/>
    </row>
    <row r="37" spans="13:22" ht="12.75" customHeight="1" x14ac:dyDescent="0.35">
      <c r="M37" s="77"/>
      <c r="N37" s="72"/>
      <c r="O37" s="72"/>
      <c r="P37" s="73"/>
      <c r="Q37" s="73"/>
      <c r="R37" s="73"/>
      <c r="S37" s="73"/>
      <c r="T37" s="73"/>
      <c r="U37" s="73"/>
      <c r="V37" s="52"/>
    </row>
    <row r="38" spans="13:22" ht="12.75" customHeight="1" x14ac:dyDescent="0.35">
      <c r="M38" s="501"/>
      <c r="N38" s="95"/>
      <c r="O38" s="72"/>
      <c r="P38" s="73"/>
      <c r="Q38" s="73"/>
      <c r="R38" s="73"/>
      <c r="S38" s="73"/>
      <c r="T38" s="73"/>
      <c r="U38" s="73"/>
      <c r="V38" s="52"/>
    </row>
    <row r="39" spans="13:22" ht="12.75" customHeight="1" x14ac:dyDescent="0.35">
      <c r="M39" s="157"/>
      <c r="N39" s="102"/>
      <c r="O39" s="103"/>
      <c r="P39" s="94"/>
      <c r="Q39" s="557"/>
      <c r="R39" s="557"/>
      <c r="S39" s="557"/>
      <c r="T39" s="557"/>
      <c r="U39" s="94"/>
      <c r="V39" s="52"/>
    </row>
    <row r="40" spans="13:22" ht="12.75" customHeight="1" x14ac:dyDescent="0.35">
      <c r="M40" s="549"/>
      <c r="N40" s="71"/>
      <c r="O40" s="553"/>
      <c r="P40" s="215"/>
      <c r="Q40" s="73"/>
      <c r="R40" s="73"/>
      <c r="S40" s="73"/>
      <c r="T40" s="555"/>
      <c r="U40" s="73"/>
      <c r="V40" s="73"/>
    </row>
    <row r="41" spans="13:22" ht="12.75" customHeight="1" x14ac:dyDescent="0.35">
      <c r="M41" s="549"/>
      <c r="N41" s="71"/>
      <c r="O41" s="553"/>
      <c r="P41" s="215"/>
      <c r="Q41" s="73"/>
      <c r="R41" s="73"/>
      <c r="S41" s="73"/>
      <c r="T41" s="555"/>
      <c r="U41" s="73"/>
      <c r="V41" s="73"/>
    </row>
    <row r="42" spans="13:22" ht="12.75" customHeight="1" x14ac:dyDescent="0.35">
      <c r="M42" s="549"/>
      <c r="N42" s="71"/>
      <c r="O42" s="552"/>
      <c r="P42" s="215"/>
      <c r="Q42" s="73"/>
      <c r="R42" s="73"/>
      <c r="S42" s="73"/>
      <c r="T42" s="73"/>
      <c r="U42" s="73"/>
      <c r="V42" s="73"/>
    </row>
    <row r="43" spans="13:22" ht="12.75" customHeight="1" x14ac:dyDescent="0.35">
      <c r="M43" s="549"/>
      <c r="N43" s="71"/>
      <c r="O43" s="552"/>
      <c r="P43" s="215"/>
      <c r="Q43" s="73"/>
      <c r="R43" s="73"/>
      <c r="S43" s="73"/>
      <c r="T43" s="555"/>
      <c r="U43" s="73"/>
      <c r="V43" s="73"/>
    </row>
    <row r="44" spans="13:22" ht="12.75" customHeight="1" x14ac:dyDescent="0.35">
      <c r="M44" s="562"/>
      <c r="N44" s="95"/>
      <c r="O44" s="563"/>
      <c r="P44" s="215"/>
      <c r="Q44" s="73"/>
      <c r="R44" s="73"/>
      <c r="S44" s="73"/>
      <c r="T44" s="555"/>
      <c r="U44" s="73"/>
      <c r="V44" s="73"/>
    </row>
    <row r="45" spans="13:22" ht="12.75" customHeight="1" x14ac:dyDescent="0.35">
      <c r="M45" s="594"/>
      <c r="N45" s="102"/>
      <c r="O45" s="552"/>
      <c r="P45" s="555"/>
      <c r="Q45" s="73"/>
      <c r="R45" s="73"/>
      <c r="S45" s="73"/>
      <c r="T45" s="555"/>
      <c r="U45" s="593"/>
      <c r="V45" s="73"/>
    </row>
    <row r="46" spans="13:22" ht="12.75" customHeight="1" x14ac:dyDescent="0.35">
      <c r="M46" s="610"/>
      <c r="N46" s="200"/>
      <c r="O46" s="554"/>
      <c r="P46" s="215"/>
      <c r="Q46" s="73"/>
      <c r="R46" s="609"/>
      <c r="S46" s="609"/>
      <c r="T46" s="609"/>
      <c r="U46" s="609"/>
      <c r="V46" s="73"/>
    </row>
    <row r="47" spans="13:22" ht="12.75" customHeight="1" x14ac:dyDescent="0.35">
      <c r="M47" s="561"/>
      <c r="N47" s="71"/>
      <c r="O47" s="554"/>
      <c r="P47" s="215"/>
      <c r="Q47" s="560"/>
      <c r="R47" s="73"/>
      <c r="S47" s="73"/>
      <c r="T47" s="555"/>
      <c r="U47" s="73"/>
      <c r="V47" s="73"/>
    </row>
    <row r="48" spans="13:22" ht="12.75" customHeight="1" x14ac:dyDescent="0.35">
      <c r="M48" s="551"/>
      <c r="N48" s="71"/>
      <c r="O48" s="554"/>
      <c r="P48" s="215"/>
      <c r="Q48" s="73"/>
      <c r="R48" s="73"/>
      <c r="S48" s="73"/>
      <c r="T48" s="73"/>
      <c r="U48" s="73"/>
      <c r="V48" s="73"/>
    </row>
    <row r="49" spans="13:22" ht="12.75" customHeight="1" x14ac:dyDescent="0.35">
      <c r="M49" s="564"/>
      <c r="N49" s="71"/>
      <c r="O49" s="563"/>
      <c r="P49" s="215"/>
      <c r="Q49" s="73"/>
      <c r="R49" s="73"/>
      <c r="S49" s="73"/>
      <c r="T49" s="73"/>
      <c r="U49" s="73"/>
      <c r="V49" s="73"/>
    </row>
    <row r="50" spans="13:22" ht="12.75" customHeight="1" x14ac:dyDescent="0.35">
      <c r="M50" s="564"/>
      <c r="N50" s="95"/>
      <c r="O50" s="603"/>
      <c r="P50" s="599"/>
      <c r="Q50" s="73"/>
      <c r="R50" s="73"/>
      <c r="S50" s="73"/>
      <c r="T50" s="73"/>
      <c r="U50" s="73"/>
      <c r="V50" s="52"/>
    </row>
    <row r="51" spans="13:22" ht="12.75" customHeight="1" x14ac:dyDescent="0.35">
      <c r="M51" s="631"/>
      <c r="N51" s="102"/>
      <c r="O51" s="632"/>
      <c r="P51" s="94"/>
      <c r="Q51" s="94"/>
      <c r="R51" s="94"/>
      <c r="S51" s="94"/>
      <c r="T51" s="94"/>
      <c r="U51" s="94"/>
      <c r="V51" s="52"/>
    </row>
    <row r="52" spans="13:22" ht="12.75" customHeight="1" x14ac:dyDescent="0.35">
      <c r="M52" s="633"/>
      <c r="N52" s="200"/>
      <c r="O52" s="634"/>
      <c r="P52" s="94"/>
      <c r="Q52" s="94"/>
      <c r="R52" s="94"/>
      <c r="S52" s="94"/>
      <c r="T52" s="94"/>
      <c r="U52" s="94"/>
      <c r="V52" s="52"/>
    </row>
    <row r="53" spans="13:22" ht="12.75" customHeight="1" x14ac:dyDescent="0.35">
      <c r="M53" s="77"/>
      <c r="N53" s="71"/>
      <c r="O53" s="72"/>
      <c r="P53" s="73"/>
      <c r="Q53" s="73"/>
      <c r="R53" s="73"/>
      <c r="S53" s="73"/>
      <c r="T53" s="73"/>
      <c r="U53" s="73"/>
      <c r="V53" s="52"/>
    </row>
    <row r="54" spans="13:22" ht="12.75" customHeight="1" x14ac:dyDescent="0.35">
      <c r="M54" s="77"/>
      <c r="N54" s="71"/>
      <c r="O54" s="72"/>
      <c r="P54" s="73"/>
      <c r="Q54" s="73"/>
      <c r="R54" s="73"/>
      <c r="S54" s="73"/>
      <c r="T54" s="73"/>
      <c r="U54" s="73"/>
      <c r="V54" s="52"/>
    </row>
    <row r="55" spans="13:22" ht="12.75" customHeight="1" x14ac:dyDescent="0.35">
      <c r="M55" s="77"/>
      <c r="N55" s="71"/>
      <c r="O55" s="72"/>
      <c r="P55" s="73"/>
      <c r="Q55" s="73"/>
      <c r="R55" s="73"/>
      <c r="S55" s="73"/>
      <c r="T55" s="73"/>
      <c r="U55" s="73"/>
      <c r="V55" s="52"/>
    </row>
    <row r="56" spans="13:22" x14ac:dyDescent="0.35">
      <c r="M56" s="77"/>
      <c r="N56" s="95"/>
      <c r="O56" s="72"/>
      <c r="P56" s="73"/>
      <c r="Q56" s="73"/>
      <c r="R56" s="73"/>
      <c r="S56" s="73"/>
      <c r="T56" s="73"/>
      <c r="U56" s="73"/>
      <c r="V56" s="52"/>
    </row>
    <row r="57" spans="13:22" ht="15" thickBot="1" x14ac:dyDescent="0.4">
      <c r="M57" s="171"/>
      <c r="N57" s="102"/>
      <c r="O57" s="103"/>
      <c r="P57" s="94"/>
      <c r="Q57" s="94"/>
      <c r="R57" s="94"/>
      <c r="S57" s="94"/>
      <c r="T57" s="94"/>
      <c r="U57" s="94"/>
      <c r="V57" s="52"/>
    </row>
    <row r="58" spans="13:22" x14ac:dyDescent="0.35">
      <c r="M58" s="200"/>
      <c r="N58" s="209"/>
      <c r="O58" s="209"/>
      <c r="P58" s="209"/>
      <c r="Q58" s="209"/>
      <c r="R58" s="209"/>
      <c r="S58" s="209"/>
      <c r="T58" s="209"/>
      <c r="U58" s="635"/>
      <c r="V58" s="52"/>
    </row>
    <row r="59" spans="13:22" x14ac:dyDescent="0.35">
      <c r="M59" s="200"/>
      <c r="N59" s="555"/>
      <c r="O59" s="555"/>
      <c r="P59" s="555"/>
      <c r="Q59" s="555"/>
      <c r="R59" s="555"/>
      <c r="S59" s="555"/>
      <c r="T59" s="555"/>
      <c r="U59" s="555"/>
      <c r="V59" s="52"/>
    </row>
    <row r="60" spans="13:22" x14ac:dyDescent="0.35">
      <c r="M60" s="200"/>
      <c r="N60" s="555"/>
      <c r="O60" s="555"/>
      <c r="P60" s="555"/>
      <c r="Q60" s="555"/>
      <c r="R60" s="555"/>
      <c r="S60" s="555"/>
      <c r="T60" s="555"/>
      <c r="U60" s="555"/>
      <c r="V60" s="52"/>
    </row>
    <row r="61" spans="13:22" x14ac:dyDescent="0.35">
      <c r="M61" s="200"/>
      <c r="N61" s="556"/>
      <c r="O61" s="556"/>
      <c r="P61" s="556"/>
      <c r="Q61" s="556"/>
      <c r="R61" s="556"/>
      <c r="S61" s="556"/>
      <c r="T61" s="556"/>
      <c r="U61" s="556"/>
      <c r="V61" s="52"/>
    </row>
    <row r="62" spans="13:22" x14ac:dyDescent="0.35">
      <c r="M62" s="200"/>
      <c r="N62" s="200"/>
      <c r="O62" s="200"/>
      <c r="P62" s="215"/>
      <c r="Q62" s="215"/>
      <c r="R62" s="216"/>
      <c r="S62" s="215"/>
      <c r="T62" s="215"/>
      <c r="U62" s="215"/>
      <c r="V62" s="52"/>
    </row>
    <row r="63" spans="13:22" x14ac:dyDescent="0.35">
      <c r="M63" s="58"/>
      <c r="N63" s="58"/>
      <c r="O63" s="58"/>
      <c r="P63" s="58"/>
      <c r="Q63" s="58"/>
      <c r="R63" s="58"/>
      <c r="S63" s="58"/>
      <c r="T63" s="58"/>
      <c r="U63" s="58"/>
    </row>
  </sheetData>
  <mergeCells count="11">
    <mergeCell ref="A1:I1"/>
    <mergeCell ref="A2:I2"/>
    <mergeCell ref="A3:I3"/>
    <mergeCell ref="A4:I4"/>
    <mergeCell ref="C6:I6"/>
    <mergeCell ref="C5:I5"/>
    <mergeCell ref="M1:U1"/>
    <mergeCell ref="M2:U2"/>
    <mergeCell ref="M3:U3"/>
    <mergeCell ref="M4:U4"/>
    <mergeCell ref="O6:U6"/>
  </mergeCells>
  <conditionalFormatting sqref="C9:I15">
    <cfRule type="cellIs" dxfId="246" priority="1" operator="lessThan">
      <formula>0</formula>
    </cfRule>
  </conditionalFormatting>
  <hyperlinks>
    <hyperlink ref="M13" r:id="rId1" xr:uid="{00000000-0004-0000-1500-000000000000}"/>
    <hyperlink ref="M14" r:id="rId2" xr:uid="{00000000-0004-0000-1500-000001000000}"/>
    <hyperlink ref="M12" r:id="rId3" xr:uid="{00000000-0004-0000-1500-000002000000}"/>
    <hyperlink ref="M10" r:id="rId4" display="Employee Disability (0151,0187,0188)" xr:uid="{00000000-0004-0000-1500-000003000000}"/>
    <hyperlink ref="AF13" r:id="rId5" xr:uid="{00000000-0004-0000-1500-000004000000}"/>
    <hyperlink ref="AF14" r:id="rId6" xr:uid="{00000000-0004-0000-1500-000005000000}"/>
    <hyperlink ref="AF12" r:id="rId7" xr:uid="{00000000-0004-0000-1500-000006000000}"/>
    <hyperlink ref="AF10" r:id="rId8" display="Employee Disability (0151,0187,0188)" xr:uid="{00000000-0004-0000-1500-000007000000}"/>
  </hyperlinks>
  <pageMargins left="0.5" right="0.5" top="0.5" bottom="0.5" header="0.3" footer="0.3"/>
  <pageSetup scale="76" orientation="landscape" r:id="rId9"/>
  <headerFooter>
    <oddHeader>&amp;L&amp;10FY 2022-26 Proposed Budget&amp;R&amp;D
&amp;T</oddHeader>
    <oddFooter>&amp;L
&amp;C&amp;10Page &amp;P of &amp;N</oddFooter>
  </headerFooter>
  <legacyDrawing r:id="rId1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theme="3"/>
  </sheetPr>
  <dimension ref="A1:K60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38</v>
      </c>
      <c r="C6" s="880" t="s">
        <v>150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570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1"/>
        <v>0</v>
      </c>
      <c r="G10" s="35">
        <f t="shared" si="1"/>
        <v>0</v>
      </c>
      <c r="H10" s="222">
        <f t="shared" si="1"/>
        <v>0</v>
      </c>
      <c r="I10" s="36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42">
        <v>0</v>
      </c>
      <c r="C12" s="35">
        <v>25000</v>
      </c>
      <c r="D12" s="222">
        <f t="shared" si="0"/>
        <v>25000</v>
      </c>
      <c r="E12" s="506">
        <f t="shared" si="1"/>
        <v>25000</v>
      </c>
      <c r="F12" s="504">
        <f t="shared" si="1"/>
        <v>25000</v>
      </c>
      <c r="G12" s="35">
        <f t="shared" si="1"/>
        <v>25000</v>
      </c>
      <c r="H12" s="222">
        <f t="shared" si="1"/>
        <v>25000</v>
      </c>
      <c r="I12" s="36">
        <f t="shared" si="1"/>
        <v>25000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0</v>
      </c>
      <c r="C16" s="39">
        <f t="shared" ref="C16:I16" si="2">SUM(C9:C15)</f>
        <v>25000</v>
      </c>
      <c r="D16" s="39">
        <f t="shared" si="2"/>
        <v>25000</v>
      </c>
      <c r="E16" s="529">
        <f t="shared" si="2"/>
        <v>25000</v>
      </c>
      <c r="F16" s="39">
        <f t="shared" si="2"/>
        <v>25000</v>
      </c>
      <c r="G16" s="39">
        <f t="shared" si="2"/>
        <v>25000</v>
      </c>
      <c r="H16" s="39">
        <f t="shared" si="2"/>
        <v>25000</v>
      </c>
      <c r="I16" s="39">
        <f t="shared" si="2"/>
        <v>25000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3"/>
      <c r="F20" s="73"/>
      <c r="G20" s="73"/>
      <c r="H20" s="73"/>
      <c r="I20" s="73"/>
    </row>
    <row r="21" spans="1:10" ht="13" customHeight="1" x14ac:dyDescent="0.35">
      <c r="A21" s="80"/>
      <c r="B21" s="70"/>
      <c r="C21" s="75"/>
      <c r="D21" s="73"/>
      <c r="E21" s="73"/>
      <c r="F21" s="73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5"/>
      <c r="D22" s="73"/>
      <c r="E22" s="73"/>
      <c r="F22" s="73"/>
      <c r="G22" s="73"/>
      <c r="H22" s="73"/>
      <c r="I22" s="73"/>
      <c r="J22" s="81"/>
    </row>
    <row r="23" spans="1:10" ht="13" customHeight="1" x14ac:dyDescent="0.35">
      <c r="A23" s="171"/>
      <c r="B23" s="101"/>
      <c r="C23" s="93"/>
      <c r="D23" s="94"/>
      <c r="E23" s="94"/>
      <c r="F23" s="94"/>
      <c r="G23" s="94"/>
      <c r="H23" s="94"/>
      <c r="I23" s="94"/>
      <c r="J23" s="17"/>
    </row>
    <row r="24" spans="1:10" s="58" customFormat="1" ht="13" customHeight="1" x14ac:dyDescent="0.35">
      <c r="A24" s="77"/>
      <c r="B24" s="70"/>
      <c r="C24" s="75"/>
      <c r="D24" s="73"/>
      <c r="E24" s="73"/>
      <c r="F24" s="73"/>
      <c r="G24" s="73"/>
      <c r="H24" s="73"/>
      <c r="I24" s="73"/>
      <c r="J24" s="81"/>
    </row>
    <row r="25" spans="1:10" ht="13" customHeight="1" x14ac:dyDescent="0.35">
      <c r="A25" s="77"/>
      <c r="B25" s="70"/>
      <c r="C25" s="75"/>
      <c r="D25" s="73"/>
      <c r="E25" s="73"/>
      <c r="F25" s="73"/>
      <c r="G25" s="73"/>
      <c r="H25" s="73"/>
      <c r="I25" s="73"/>
      <c r="J25" s="17"/>
    </row>
    <row r="26" spans="1:10" ht="13" customHeight="1" x14ac:dyDescent="0.35">
      <c r="A26" s="77"/>
      <c r="B26" s="70"/>
      <c r="C26" s="75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77"/>
      <c r="B27" s="70"/>
      <c r="C27" s="75"/>
      <c r="D27" s="73"/>
      <c r="E27" s="73"/>
      <c r="F27" s="73"/>
      <c r="G27" s="73"/>
      <c r="H27" s="73"/>
      <c r="I27" s="73"/>
      <c r="J27" s="17"/>
    </row>
    <row r="28" spans="1:10" ht="13" customHeight="1" x14ac:dyDescent="0.35">
      <c r="A28" s="77"/>
      <c r="B28" s="70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77"/>
      <c r="B29" s="70"/>
      <c r="C29" s="75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77"/>
      <c r="B30" s="70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7"/>
      <c r="B31" s="70"/>
      <c r="C31" s="71"/>
      <c r="D31" s="72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0"/>
      <c r="C32" s="71"/>
      <c r="D32" s="72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0"/>
      <c r="C33" s="71"/>
      <c r="D33" s="7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3"/>
      <c r="F43" s="73"/>
      <c r="G43" s="73"/>
      <c r="H43" s="73"/>
      <c r="I43" s="73"/>
      <c r="J43" s="17"/>
    </row>
    <row r="44" spans="1:10" ht="13" customHeight="1" x14ac:dyDescent="0.35">
      <c r="A44" s="80"/>
      <c r="B44" s="70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0"/>
      <c r="C54" s="71"/>
      <c r="D54" s="72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0"/>
      <c r="C55" s="71"/>
      <c r="D55" s="72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0"/>
      <c r="C56" s="71"/>
      <c r="D56" s="72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4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theme="3"/>
  </sheetPr>
  <dimension ref="A1:K50"/>
  <sheetViews>
    <sheetView zoomScaleNormal="100" zoomScaleSheetLayoutView="90" workbookViewId="0">
      <selection activeCell="B10" sqref="B10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44</v>
      </c>
      <c r="C6" s="880" t="s">
        <v>149</v>
      </c>
      <c r="D6" s="880"/>
      <c r="E6" s="880"/>
      <c r="F6" s="880"/>
      <c r="G6" s="880"/>
      <c r="H6" s="880"/>
      <c r="I6" s="880"/>
    </row>
    <row r="7" spans="1:11" ht="15" thickBot="1" x14ac:dyDescent="0.4">
      <c r="A7" s="87" t="s">
        <v>195</v>
      </c>
      <c r="C7" s="792" t="s">
        <v>569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1"/>
        <v>0</v>
      </c>
      <c r="G10" s="35">
        <f t="shared" si="1"/>
        <v>0</v>
      </c>
      <c r="H10" s="222">
        <f t="shared" si="1"/>
        <v>0</v>
      </c>
      <c r="I10" s="36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43" t="s">
        <v>109</v>
      </c>
      <c r="B12" s="42">
        <v>7238981</v>
      </c>
      <c r="C12" s="35">
        <v>49246000</v>
      </c>
      <c r="D12" s="222">
        <f>+C12</f>
        <v>49246000</v>
      </c>
      <c r="E12" s="506">
        <f>E25</f>
        <v>49246000</v>
      </c>
      <c r="F12" s="504">
        <f t="shared" ref="F12:I12" si="2">F25</f>
        <v>49246000</v>
      </c>
      <c r="G12" s="35">
        <f>G25</f>
        <v>49246000</v>
      </c>
      <c r="H12" s="222">
        <f t="shared" si="2"/>
        <v>49246000</v>
      </c>
      <c r="I12" s="49">
        <f t="shared" si="2"/>
        <v>49246000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7238981</v>
      </c>
      <c r="C16" s="39">
        <f t="shared" ref="C16:I16" si="3">SUM(C9:C15)</f>
        <v>49246000</v>
      </c>
      <c r="D16" s="39">
        <f t="shared" si="3"/>
        <v>49246000</v>
      </c>
      <c r="E16" s="529">
        <f t="shared" si="3"/>
        <v>49246000</v>
      </c>
      <c r="F16" s="39">
        <f t="shared" si="3"/>
        <v>49246000</v>
      </c>
      <c r="G16" s="39">
        <f t="shared" si="3"/>
        <v>49246000</v>
      </c>
      <c r="H16" s="39">
        <f t="shared" si="3"/>
        <v>49246000</v>
      </c>
      <c r="I16" s="39">
        <f t="shared" si="3"/>
        <v>49246000</v>
      </c>
    </row>
    <row r="17" spans="1:10" ht="24.75" customHeight="1" x14ac:dyDescent="0.35">
      <c r="A17" s="629" t="s">
        <v>368</v>
      </c>
    </row>
    <row r="18" spans="1:10" x14ac:dyDescent="0.35">
      <c r="A18" s="731" t="s">
        <v>406</v>
      </c>
      <c r="B18" s="42">
        <v>45272733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/>
      <c r="B20" s="70"/>
      <c r="C20" s="58"/>
      <c r="D20" s="73"/>
      <c r="E20" s="73"/>
      <c r="F20" s="73"/>
      <c r="G20" s="73"/>
      <c r="H20" s="73"/>
      <c r="I20" s="73"/>
    </row>
    <row r="21" spans="1:10" ht="13" customHeight="1" x14ac:dyDescent="0.35">
      <c r="A21" s="446"/>
      <c r="B21" s="70"/>
      <c r="C21" s="75"/>
      <c r="D21" s="73"/>
      <c r="E21" s="73"/>
      <c r="F21" s="73"/>
      <c r="G21" s="73"/>
      <c r="H21" s="73"/>
      <c r="I21" s="73"/>
      <c r="J21" s="17"/>
    </row>
    <row r="22" spans="1:10" s="58" customFormat="1" ht="13" customHeight="1" x14ac:dyDescent="0.35">
      <c r="A22" s="627"/>
      <c r="B22" s="134"/>
      <c r="C22" s="138"/>
      <c r="D22" s="136"/>
      <c r="E22" s="136"/>
      <c r="F22" s="136"/>
      <c r="G22" s="136"/>
      <c r="H22" s="136"/>
      <c r="I22" s="136"/>
      <c r="J22" s="81"/>
    </row>
    <row r="23" spans="1:10" ht="13" customHeight="1" x14ac:dyDescent="0.35">
      <c r="A23" s="355"/>
      <c r="B23" s="101"/>
      <c r="C23" s="93"/>
      <c r="D23" s="94"/>
      <c r="E23" s="94"/>
      <c r="F23" s="94"/>
      <c r="G23" s="94"/>
      <c r="H23" s="94"/>
      <c r="I23" s="94"/>
      <c r="J23" s="17"/>
    </row>
    <row r="24" spans="1:10" s="58" customFormat="1" ht="13" customHeight="1" x14ac:dyDescent="0.35">
      <c r="A24" s="568"/>
      <c r="B24" s="70"/>
      <c r="C24" s="75"/>
      <c r="D24" s="73"/>
      <c r="E24" s="73"/>
      <c r="F24" s="73"/>
      <c r="G24" s="73"/>
      <c r="H24" s="73"/>
      <c r="I24" s="73"/>
      <c r="J24" s="81"/>
    </row>
    <row r="25" spans="1:10" ht="13" customHeight="1" x14ac:dyDescent="0.35">
      <c r="A25" s="746" t="s">
        <v>889</v>
      </c>
      <c r="B25" s="732"/>
      <c r="C25" s="733">
        <v>500</v>
      </c>
      <c r="D25" s="73"/>
      <c r="E25" s="94">
        <v>49246000</v>
      </c>
      <c r="F25" s="94">
        <v>49246000</v>
      </c>
      <c r="G25" s="94">
        <v>49246000</v>
      </c>
      <c r="H25" s="94">
        <v>49246000</v>
      </c>
      <c r="I25" s="94">
        <v>49246000</v>
      </c>
      <c r="J25" s="17"/>
    </row>
    <row r="26" spans="1:10" ht="13" customHeight="1" x14ac:dyDescent="0.35">
      <c r="A26" s="746" t="s">
        <v>478</v>
      </c>
      <c r="B26" s="732"/>
      <c r="C26" s="733">
        <v>500</v>
      </c>
      <c r="D26" s="73"/>
      <c r="E26" s="94">
        <v>50320000</v>
      </c>
      <c r="F26" s="94">
        <v>50320000</v>
      </c>
      <c r="G26" s="94">
        <v>50320000</v>
      </c>
      <c r="H26" s="94">
        <v>50320000</v>
      </c>
      <c r="I26" s="94">
        <v>50320000</v>
      </c>
      <c r="J26" s="17"/>
    </row>
    <row r="27" spans="1:10" ht="13" customHeight="1" x14ac:dyDescent="0.35">
      <c r="A27" s="164" t="s">
        <v>197</v>
      </c>
      <c r="B27" s="732"/>
      <c r="C27" s="733">
        <v>500</v>
      </c>
      <c r="D27" s="73"/>
      <c r="E27" s="734">
        <f>+E25-E26</f>
        <v>-1074000</v>
      </c>
      <c r="F27" s="734">
        <f t="shared" ref="F27:I27" si="4">+F25-F26</f>
        <v>-1074000</v>
      </c>
      <c r="G27" s="734">
        <f t="shared" si="4"/>
        <v>-1074000</v>
      </c>
      <c r="H27" s="734">
        <f t="shared" si="4"/>
        <v>-1074000</v>
      </c>
      <c r="I27" s="734">
        <f t="shared" si="4"/>
        <v>-1074000</v>
      </c>
      <c r="J27" s="17"/>
    </row>
    <row r="28" spans="1:10" ht="13" customHeight="1" x14ac:dyDescent="0.35">
      <c r="A28" s="436"/>
      <c r="B28" s="70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592"/>
      <c r="B29" s="66"/>
      <c r="C29" s="74"/>
      <c r="D29" s="69"/>
      <c r="E29" s="69"/>
      <c r="F29" s="69"/>
      <c r="G29" s="69"/>
      <c r="H29" s="69"/>
      <c r="I29" s="69"/>
      <c r="J29" s="17"/>
    </row>
    <row r="30" spans="1:10" ht="13" customHeight="1" x14ac:dyDescent="0.35">
      <c r="A30" s="77"/>
      <c r="B30" s="70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7"/>
      <c r="B31" s="70"/>
      <c r="C31" s="71"/>
      <c r="D31" s="72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0"/>
      <c r="C32" s="71"/>
      <c r="D32" s="72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0"/>
      <c r="C33" s="71"/>
      <c r="D33" s="7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2.75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2.75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2.75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2.75" customHeight="1" x14ac:dyDescent="0.35"/>
    <row r="41" spans="1:10" ht="12.75" customHeight="1" x14ac:dyDescent="0.35"/>
    <row r="42" spans="1:10" ht="12.75" customHeight="1" x14ac:dyDescent="0.35"/>
    <row r="43" spans="1:10" ht="12.75" customHeight="1" x14ac:dyDescent="0.35"/>
    <row r="44" spans="1:10" ht="12.75" customHeight="1" x14ac:dyDescent="0.35"/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4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3"/>
  </sheetPr>
  <dimension ref="A1:K60"/>
  <sheetViews>
    <sheetView zoomScaleNormal="100" zoomScaleSheetLayoutView="90" workbookViewId="0">
      <selection activeCell="C15" sqref="C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42</v>
      </c>
      <c r="C6" s="880" t="s">
        <v>148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568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1"/>
        <v>0</v>
      </c>
      <c r="G10" s="35">
        <f t="shared" si="1"/>
        <v>0</v>
      </c>
      <c r="H10" s="222">
        <f t="shared" si="1"/>
        <v>0</v>
      </c>
      <c r="I10" s="36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35">
        <v>11660</v>
      </c>
      <c r="C12" s="35">
        <v>250000</v>
      </c>
      <c r="D12" s="222">
        <f t="shared" si="0"/>
        <v>250000</v>
      </c>
      <c r="E12" s="506">
        <f t="shared" si="1"/>
        <v>250000</v>
      </c>
      <c r="F12" s="504">
        <f t="shared" si="1"/>
        <v>250000</v>
      </c>
      <c r="G12" s="35">
        <f t="shared" si="1"/>
        <v>250000</v>
      </c>
      <c r="H12" s="222">
        <f t="shared" si="1"/>
        <v>250000</v>
      </c>
      <c r="I12" s="36">
        <f t="shared" si="1"/>
        <v>250000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11660</v>
      </c>
      <c r="C16" s="39">
        <f t="shared" ref="C16:I16" si="2">SUM(C9:C15)</f>
        <v>250000</v>
      </c>
      <c r="D16" s="39">
        <f t="shared" si="2"/>
        <v>250000</v>
      </c>
      <c r="E16" s="529">
        <f t="shared" si="2"/>
        <v>250000</v>
      </c>
      <c r="F16" s="39">
        <f t="shared" si="2"/>
        <v>250000</v>
      </c>
      <c r="G16" s="39">
        <f t="shared" si="2"/>
        <v>250000</v>
      </c>
      <c r="H16" s="39">
        <f t="shared" si="2"/>
        <v>250000</v>
      </c>
      <c r="I16" s="39">
        <f t="shared" si="2"/>
        <v>250000</v>
      </c>
    </row>
    <row r="17" spans="1:10" x14ac:dyDescent="0.35">
      <c r="B17" s="7" t="s">
        <v>226</v>
      </c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3"/>
      <c r="F20" s="73"/>
      <c r="G20" s="73"/>
      <c r="H20" s="73"/>
      <c r="I20" s="73"/>
    </row>
    <row r="21" spans="1:10" ht="13" customHeight="1" x14ac:dyDescent="0.35">
      <c r="A21" s="80"/>
      <c r="B21" s="70"/>
      <c r="C21" s="75"/>
      <c r="D21" s="73"/>
      <c r="E21" s="73"/>
      <c r="F21" s="73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5"/>
      <c r="D22" s="73"/>
      <c r="E22" s="73"/>
      <c r="F22" s="73"/>
      <c r="G22" s="73"/>
      <c r="H22" s="73"/>
      <c r="I22" s="73"/>
      <c r="J22" s="81"/>
    </row>
    <row r="23" spans="1:10" ht="13" customHeight="1" x14ac:dyDescent="0.35">
      <c r="A23" s="171"/>
      <c r="B23" s="101"/>
      <c r="C23" s="93"/>
      <c r="D23" s="94"/>
      <c r="E23" s="94"/>
      <c r="F23" s="94"/>
      <c r="G23" s="94"/>
      <c r="H23" s="94"/>
      <c r="I23" s="94"/>
      <c r="J23" s="17"/>
    </row>
    <row r="24" spans="1:10" s="58" customFormat="1" ht="13" customHeight="1" x14ac:dyDescent="0.35">
      <c r="A24" s="77"/>
      <c r="B24" s="70"/>
      <c r="C24" s="75"/>
      <c r="D24" s="73"/>
      <c r="E24" s="73"/>
      <c r="F24" s="73"/>
      <c r="G24" s="73"/>
      <c r="H24" s="73"/>
      <c r="I24" s="73"/>
      <c r="J24" s="81"/>
    </row>
    <row r="25" spans="1:10" ht="13" customHeight="1" x14ac:dyDescent="0.35">
      <c r="A25" s="77"/>
      <c r="B25" s="70"/>
      <c r="C25" s="75"/>
      <c r="D25" s="73"/>
      <c r="E25" s="73"/>
      <c r="F25" s="73"/>
      <c r="G25" s="73"/>
      <c r="H25" s="73"/>
      <c r="I25" s="73"/>
      <c r="J25" s="17"/>
    </row>
    <row r="26" spans="1:10" ht="13" customHeight="1" x14ac:dyDescent="0.35">
      <c r="A26" s="77"/>
      <c r="B26" s="70"/>
      <c r="C26" s="75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77"/>
      <c r="B27" s="70"/>
      <c r="C27" s="75"/>
      <c r="D27" s="73"/>
      <c r="E27" s="73"/>
      <c r="F27" s="73"/>
      <c r="G27" s="73"/>
      <c r="H27" s="73"/>
      <c r="I27" s="73"/>
      <c r="J27" s="17"/>
    </row>
    <row r="28" spans="1:10" ht="13" customHeight="1" x14ac:dyDescent="0.35">
      <c r="A28" s="77"/>
      <c r="B28" s="70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77"/>
      <c r="B29" s="70"/>
      <c r="C29" s="75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77"/>
      <c r="B30" s="70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7"/>
      <c r="B31" s="70"/>
      <c r="C31" s="71"/>
      <c r="D31" s="72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0"/>
      <c r="C32" s="71"/>
      <c r="D32" s="72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0"/>
      <c r="C33" s="71"/>
      <c r="D33" s="7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3"/>
      <c r="F43" s="73"/>
      <c r="G43" s="73"/>
      <c r="H43" s="73"/>
      <c r="I43" s="73"/>
      <c r="J43" s="17"/>
    </row>
    <row r="44" spans="1:10" ht="13" customHeight="1" x14ac:dyDescent="0.35">
      <c r="A44" s="80"/>
      <c r="B44" s="70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0"/>
      <c r="C54" s="71"/>
      <c r="D54" s="72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0"/>
      <c r="C55" s="71"/>
      <c r="D55" s="72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0"/>
      <c r="C56" s="71"/>
      <c r="D56" s="72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43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theme="3"/>
  </sheetPr>
  <dimension ref="A1:Q76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3.453125" style="7" customWidth="1"/>
    <col min="11" max="11" width="15.54296875" style="7" customWidth="1"/>
    <col min="12" max="12" width="9.1796875" style="7"/>
    <col min="13" max="13" width="11.81640625" style="7" bestFit="1" customWidth="1"/>
    <col min="14" max="14" width="10.81640625" style="7" bestFit="1" customWidth="1"/>
    <col min="15" max="16384" width="9.1796875" style="7"/>
  </cols>
  <sheetData>
    <row r="1" spans="1:17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7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7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7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7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7" ht="15.5" x14ac:dyDescent="0.35">
      <c r="A6" s="5" t="s">
        <v>14</v>
      </c>
      <c r="B6" s="31" t="s">
        <v>40</v>
      </c>
      <c r="C6" s="880" t="s">
        <v>147</v>
      </c>
      <c r="D6" s="880"/>
      <c r="E6" s="880"/>
      <c r="F6" s="880"/>
      <c r="G6" s="880"/>
      <c r="H6" s="880"/>
      <c r="I6" s="880"/>
    </row>
    <row r="7" spans="1:17" ht="15" thickBot="1" x14ac:dyDescent="0.4">
      <c r="A7" s="87" t="s">
        <v>195</v>
      </c>
      <c r="C7" s="7" t="s">
        <v>567</v>
      </c>
      <c r="E7" s="430"/>
      <c r="F7" s="430"/>
      <c r="G7" s="430"/>
      <c r="H7" s="430"/>
      <c r="I7" s="430"/>
    </row>
    <row r="8" spans="1:17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531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</row>
    <row r="9" spans="1:17" x14ac:dyDescent="0.35">
      <c r="A9" s="9" t="s">
        <v>4</v>
      </c>
      <c r="B9" s="33">
        <v>0</v>
      </c>
      <c r="C9" s="33">
        <v>0</v>
      </c>
      <c r="D9" s="219">
        <f>+C9</f>
        <v>0</v>
      </c>
      <c r="E9" s="114">
        <f>+D9</f>
        <v>0</v>
      </c>
      <c r="F9" s="396">
        <f t="shared" ref="E9:I11" si="0">+E9</f>
        <v>0</v>
      </c>
      <c r="G9" s="33">
        <f t="shared" si="0"/>
        <v>0</v>
      </c>
      <c r="H9" s="219">
        <f t="shared" si="0"/>
        <v>0</v>
      </c>
      <c r="I9" s="50">
        <f t="shared" si="0"/>
        <v>0</v>
      </c>
      <c r="L9" s="7">
        <v>100</v>
      </c>
    </row>
    <row r="10" spans="1:17" x14ac:dyDescent="0.35">
      <c r="A10" s="10" t="s">
        <v>5</v>
      </c>
      <c r="B10" s="35">
        <v>0</v>
      </c>
      <c r="C10" s="35">
        <v>0</v>
      </c>
      <c r="D10" s="222">
        <f t="shared" ref="D10:D15" si="1">+C10</f>
        <v>0</v>
      </c>
      <c r="E10" s="506">
        <f t="shared" si="0"/>
        <v>0</v>
      </c>
      <c r="F10" s="504">
        <f t="shared" si="0"/>
        <v>0</v>
      </c>
      <c r="G10" s="35">
        <f t="shared" si="0"/>
        <v>0</v>
      </c>
      <c r="H10" s="222">
        <f t="shared" si="0"/>
        <v>0</v>
      </c>
      <c r="I10" s="36">
        <f t="shared" si="0"/>
        <v>0</v>
      </c>
      <c r="L10" s="7">
        <v>200</v>
      </c>
    </row>
    <row r="11" spans="1:17" x14ac:dyDescent="0.35">
      <c r="A11" s="9" t="s">
        <v>6</v>
      </c>
      <c r="B11" s="33">
        <v>0</v>
      </c>
      <c r="C11" s="33">
        <v>0</v>
      </c>
      <c r="D11" s="219">
        <f t="shared" si="1"/>
        <v>0</v>
      </c>
      <c r="E11" s="114">
        <f t="shared" si="0"/>
        <v>0</v>
      </c>
      <c r="F11" s="396">
        <f t="shared" si="0"/>
        <v>0</v>
      </c>
      <c r="G11" s="33">
        <f t="shared" si="0"/>
        <v>0</v>
      </c>
      <c r="H11" s="219">
        <f t="shared" si="0"/>
        <v>0</v>
      </c>
      <c r="I11" s="34">
        <f t="shared" si="0"/>
        <v>0</v>
      </c>
      <c r="L11" s="7" t="s">
        <v>167</v>
      </c>
    </row>
    <row r="12" spans="1:17" x14ac:dyDescent="0.35">
      <c r="A12" s="10" t="s">
        <v>7</v>
      </c>
      <c r="B12" s="42">
        <v>227106410</v>
      </c>
      <c r="C12" s="54">
        <v>252578558</v>
      </c>
      <c r="D12" s="222">
        <f>+C12</f>
        <v>252578558</v>
      </c>
      <c r="E12" s="506">
        <f>266953201+E21+E22+E23+E25</f>
        <v>255953201</v>
      </c>
      <c r="F12" s="504">
        <f>270052590+F21+F22+F23+F25</f>
        <v>269953201</v>
      </c>
      <c r="G12" s="35">
        <f>273191821+G21+G23+G25</f>
        <v>282052590</v>
      </c>
      <c r="H12" s="222">
        <f>273191821+H21+H23</f>
        <v>288191821</v>
      </c>
      <c r="I12" s="49">
        <f>273191821+I21+I23</f>
        <v>288191821</v>
      </c>
      <c r="K12" s="73">
        <f>+H12*1.012</f>
        <v>291650122.852</v>
      </c>
      <c r="L12" s="7">
        <v>500</v>
      </c>
    </row>
    <row r="13" spans="1:17" x14ac:dyDescent="0.35">
      <c r="A13" s="9" t="s">
        <v>8</v>
      </c>
      <c r="B13" s="33">
        <v>0</v>
      </c>
      <c r="C13" s="33">
        <v>0</v>
      </c>
      <c r="D13" s="219">
        <f t="shared" si="1"/>
        <v>0</v>
      </c>
      <c r="E13" s="114">
        <f t="shared" ref="E13:I15" si="2">+D13</f>
        <v>0</v>
      </c>
      <c r="F13" s="396">
        <f t="shared" si="2"/>
        <v>0</v>
      </c>
      <c r="G13" s="33">
        <f t="shared" si="2"/>
        <v>0</v>
      </c>
      <c r="H13" s="219">
        <f t="shared" si="2"/>
        <v>0</v>
      </c>
      <c r="I13" s="34">
        <f t="shared" si="2"/>
        <v>0</v>
      </c>
      <c r="K13" s="206">
        <f>+I12-H12</f>
        <v>0</v>
      </c>
      <c r="L13" s="7">
        <v>700</v>
      </c>
      <c r="M13" s="206"/>
      <c r="N13" s="206"/>
      <c r="O13" s="206"/>
      <c r="P13" s="206"/>
      <c r="Q13" s="206"/>
    </row>
    <row r="14" spans="1:17" x14ac:dyDescent="0.35">
      <c r="A14" s="10" t="s">
        <v>9</v>
      </c>
      <c r="B14" s="35">
        <v>0</v>
      </c>
      <c r="C14" s="35">
        <v>0</v>
      </c>
      <c r="D14" s="222">
        <f t="shared" si="1"/>
        <v>0</v>
      </c>
      <c r="E14" s="506">
        <f t="shared" si="2"/>
        <v>0</v>
      </c>
      <c r="F14" s="504">
        <f t="shared" si="2"/>
        <v>0</v>
      </c>
      <c r="G14" s="35">
        <f t="shared" si="2"/>
        <v>0</v>
      </c>
      <c r="H14" s="222">
        <f t="shared" si="2"/>
        <v>0</v>
      </c>
      <c r="I14" s="36">
        <f t="shared" si="2"/>
        <v>0</v>
      </c>
      <c r="L14" s="7">
        <v>800</v>
      </c>
      <c r="M14" s="206"/>
    </row>
    <row r="15" spans="1:17" ht="15" thickBot="1" x14ac:dyDescent="0.4">
      <c r="A15" s="11" t="s">
        <v>10</v>
      </c>
      <c r="B15" s="37">
        <v>0</v>
      </c>
      <c r="C15" s="37">
        <v>0</v>
      </c>
      <c r="D15" s="223">
        <f t="shared" si="1"/>
        <v>0</v>
      </c>
      <c r="E15" s="507">
        <f t="shared" si="2"/>
        <v>0</v>
      </c>
      <c r="F15" s="505">
        <f t="shared" si="2"/>
        <v>0</v>
      </c>
      <c r="G15" s="37">
        <f t="shared" si="2"/>
        <v>0</v>
      </c>
      <c r="H15" s="223">
        <f t="shared" si="2"/>
        <v>0</v>
      </c>
      <c r="I15" s="38">
        <f t="shared" si="2"/>
        <v>0</v>
      </c>
      <c r="L15" s="7">
        <v>900</v>
      </c>
    </row>
    <row r="16" spans="1:17" ht="15" thickBot="1" x14ac:dyDescent="0.4">
      <c r="A16" s="4" t="s">
        <v>11</v>
      </c>
      <c r="B16" s="39">
        <f>SUM(B9:B15)</f>
        <v>227106410</v>
      </c>
      <c r="C16" s="39">
        <f t="shared" ref="C16:I16" si="3">SUM(C9:C15)</f>
        <v>252578558</v>
      </c>
      <c r="D16" s="39">
        <f t="shared" si="3"/>
        <v>252578558</v>
      </c>
      <c r="E16" s="115">
        <f t="shared" si="3"/>
        <v>255953201</v>
      </c>
      <c r="F16" s="39">
        <f t="shared" si="3"/>
        <v>269953201</v>
      </c>
      <c r="G16" s="39">
        <f t="shared" si="3"/>
        <v>282052590</v>
      </c>
      <c r="H16" s="39">
        <f t="shared" si="3"/>
        <v>288191821</v>
      </c>
      <c r="I16" s="39">
        <f t="shared" si="3"/>
        <v>288191821</v>
      </c>
    </row>
    <row r="18" spans="1:13" x14ac:dyDescent="0.35">
      <c r="E18" s="391">
        <f>+E16-D16</f>
        <v>3374643</v>
      </c>
      <c r="F18" s="391">
        <f t="shared" ref="F18:I18" si="4">+F16-E16</f>
        <v>14000000</v>
      </c>
      <c r="G18" s="391">
        <f t="shared" si="4"/>
        <v>12099389</v>
      </c>
      <c r="H18" s="391">
        <f t="shared" si="4"/>
        <v>6139231</v>
      </c>
      <c r="I18" s="391">
        <f t="shared" si="4"/>
        <v>0</v>
      </c>
    </row>
    <row r="19" spans="1:13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3" ht="15" customHeight="1" thickTop="1" x14ac:dyDescent="0.35">
      <c r="A20" s="611" t="s">
        <v>370</v>
      </c>
      <c r="B20" s="70"/>
      <c r="C20" s="75"/>
      <c r="D20" s="73"/>
      <c r="E20" s="73"/>
      <c r="F20" s="73"/>
      <c r="G20" s="73"/>
      <c r="H20" s="73"/>
      <c r="I20" s="73"/>
    </row>
    <row r="21" spans="1:13" ht="13" customHeight="1" x14ac:dyDescent="0.35">
      <c r="A21" s="750" t="s">
        <v>418</v>
      </c>
      <c r="B21" s="66"/>
      <c r="C21" s="74">
        <v>500</v>
      </c>
      <c r="D21" s="69"/>
      <c r="E21" s="69">
        <v>15000000</v>
      </c>
      <c r="F21" s="69">
        <v>15000000</v>
      </c>
      <c r="G21" s="69">
        <v>15000000</v>
      </c>
      <c r="H21" s="69">
        <v>15000000</v>
      </c>
      <c r="I21" s="69">
        <v>15000000</v>
      </c>
      <c r="J21" s="17"/>
      <c r="K21" s="207"/>
    </row>
    <row r="22" spans="1:13" s="58" customFormat="1" ht="13" customHeight="1" x14ac:dyDescent="0.35">
      <c r="A22" s="354" t="s">
        <v>480</v>
      </c>
      <c r="B22" s="70"/>
      <c r="C22" s="75">
        <v>500</v>
      </c>
      <c r="D22" s="73"/>
      <c r="E22" s="73">
        <v>3000000</v>
      </c>
      <c r="F22" s="73">
        <v>-3000000</v>
      </c>
      <c r="G22" s="73"/>
      <c r="H22" s="73"/>
      <c r="I22" s="73"/>
      <c r="J22" s="81"/>
    </row>
    <row r="23" spans="1:13" ht="13" customHeight="1" x14ac:dyDescent="0.35">
      <c r="A23" s="750" t="s">
        <v>481</v>
      </c>
      <c r="B23" s="66"/>
      <c r="C23" s="67">
        <v>500</v>
      </c>
      <c r="D23" s="68"/>
      <c r="E23" s="142">
        <v>-15000000</v>
      </c>
      <c r="F23" s="142">
        <v>0</v>
      </c>
      <c r="G23" s="142">
        <v>0</v>
      </c>
      <c r="H23" s="142">
        <v>0</v>
      </c>
      <c r="I23" s="142">
        <v>0</v>
      </c>
      <c r="J23" s="81"/>
      <c r="K23" s="58"/>
      <c r="L23" s="58"/>
      <c r="M23" s="58"/>
    </row>
    <row r="24" spans="1:13" s="58" customFormat="1" ht="13" customHeight="1" x14ac:dyDescent="0.35">
      <c r="A24" s="611" t="s">
        <v>637</v>
      </c>
      <c r="B24" s="70"/>
      <c r="C24" s="75"/>
      <c r="D24" s="73"/>
      <c r="E24" s="73"/>
      <c r="F24" s="73"/>
      <c r="G24" s="73"/>
      <c r="H24" s="73"/>
      <c r="I24" s="73"/>
      <c r="J24" s="81"/>
      <c r="K24" s="73"/>
    </row>
    <row r="25" spans="1:13" ht="13" customHeight="1" x14ac:dyDescent="0.35">
      <c r="A25" s="750" t="s">
        <v>754</v>
      </c>
      <c r="B25" s="66"/>
      <c r="C25" s="74"/>
      <c r="D25" s="69"/>
      <c r="E25" s="69">
        <v>-14000000</v>
      </c>
      <c r="F25" s="69">
        <v>-12099389</v>
      </c>
      <c r="G25" s="69">
        <v>-6139231</v>
      </c>
      <c r="H25" s="69"/>
      <c r="I25" s="69"/>
      <c r="J25" s="81"/>
      <c r="K25" s="73"/>
      <c r="L25" s="58"/>
      <c r="M25" s="58"/>
    </row>
    <row r="26" spans="1:13" ht="13" customHeight="1" x14ac:dyDescent="0.35">
      <c r="A26" s="613"/>
      <c r="B26" s="70"/>
      <c r="C26" s="75"/>
      <c r="D26" s="73"/>
      <c r="E26" s="73"/>
      <c r="F26" s="73"/>
      <c r="G26" s="73"/>
      <c r="H26" s="73"/>
      <c r="I26" s="73"/>
      <c r="J26" s="81"/>
      <c r="K26" s="73"/>
      <c r="L26" s="58"/>
      <c r="M26" s="58"/>
    </row>
    <row r="27" spans="1:13" ht="13" customHeight="1" x14ac:dyDescent="0.35">
      <c r="A27" s="622"/>
      <c r="B27" s="66"/>
      <c r="C27" s="67"/>
      <c r="D27" s="68"/>
      <c r="E27" s="142"/>
      <c r="F27" s="142"/>
      <c r="G27" s="142"/>
      <c r="H27" s="142"/>
      <c r="I27" s="142"/>
      <c r="J27" s="20"/>
      <c r="K27" s="94"/>
      <c r="L27" s="58"/>
      <c r="M27" s="58"/>
    </row>
    <row r="28" spans="1:13" ht="13" customHeight="1" x14ac:dyDescent="0.35">
      <c r="A28" s="77"/>
      <c r="B28" s="70"/>
      <c r="C28" s="71"/>
      <c r="D28" s="72"/>
      <c r="E28" s="94"/>
      <c r="F28" s="94"/>
      <c r="G28" s="94"/>
      <c r="H28" s="94"/>
      <c r="I28" s="94"/>
      <c r="J28" s="20"/>
      <c r="K28" s="94"/>
      <c r="L28" s="58"/>
      <c r="M28" s="58"/>
    </row>
    <row r="29" spans="1:13" ht="13" customHeight="1" x14ac:dyDescent="0.35">
      <c r="A29" s="157"/>
      <c r="B29" s="70"/>
      <c r="C29" s="71"/>
      <c r="D29" s="72"/>
      <c r="E29" s="94"/>
      <c r="F29" s="94"/>
      <c r="G29" s="94"/>
      <c r="H29" s="94"/>
      <c r="I29" s="94"/>
      <c r="J29" s="20"/>
      <c r="K29" s="200"/>
      <c r="L29" s="58"/>
      <c r="M29" s="58"/>
    </row>
    <row r="30" spans="1:13" ht="13" customHeight="1" x14ac:dyDescent="0.35">
      <c r="A30" s="77"/>
      <c r="B30" s="78"/>
      <c r="C30" s="75"/>
      <c r="D30" s="73"/>
      <c r="E30" s="94"/>
      <c r="F30" s="94"/>
      <c r="G30" s="94"/>
      <c r="H30" s="94"/>
      <c r="I30" s="94"/>
      <c r="J30" s="20"/>
      <c r="K30" s="94"/>
      <c r="L30" s="58"/>
      <c r="M30" s="58"/>
    </row>
    <row r="31" spans="1:13" ht="13" customHeight="1" x14ac:dyDescent="0.35">
      <c r="A31" s="77"/>
      <c r="B31" s="78"/>
      <c r="C31" s="75"/>
      <c r="D31" s="73"/>
      <c r="E31" s="94"/>
      <c r="F31" s="94"/>
      <c r="G31" s="94"/>
      <c r="H31" s="94"/>
      <c r="I31" s="94"/>
      <c r="J31" s="20"/>
      <c r="K31" s="94"/>
      <c r="L31" s="58"/>
      <c r="M31" s="58"/>
    </row>
    <row r="32" spans="1:13" ht="13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81"/>
      <c r="K32" s="82"/>
      <c r="L32" s="58"/>
      <c r="M32" s="58"/>
    </row>
    <row r="33" spans="1:13" ht="13" customHeight="1" x14ac:dyDescent="0.35">
      <c r="A33" s="157"/>
      <c r="B33" s="78"/>
      <c r="C33" s="75"/>
      <c r="D33" s="73"/>
      <c r="E33" s="73"/>
      <c r="F33" s="73"/>
      <c r="G33" s="73"/>
      <c r="H33" s="73"/>
      <c r="I33" s="73"/>
      <c r="J33" s="81"/>
      <c r="K33" s="82"/>
      <c r="L33" s="58"/>
      <c r="M33" s="58"/>
    </row>
    <row r="34" spans="1:13" ht="13" customHeight="1" x14ac:dyDescent="0.35">
      <c r="A34" s="459"/>
      <c r="B34" s="78"/>
      <c r="C34" s="75"/>
      <c r="D34" s="73"/>
      <c r="E34" s="73"/>
      <c r="F34" s="73"/>
      <c r="G34" s="73"/>
      <c r="H34" s="73"/>
      <c r="I34" s="73"/>
      <c r="J34" s="81"/>
      <c r="K34" s="73"/>
      <c r="L34" s="58"/>
      <c r="M34" s="58"/>
    </row>
    <row r="35" spans="1:13" ht="13" customHeight="1" x14ac:dyDescent="0.35">
      <c r="A35" s="425"/>
      <c r="B35" s="78"/>
      <c r="C35" s="75"/>
      <c r="D35" s="73"/>
      <c r="E35" s="73"/>
      <c r="F35" s="73"/>
      <c r="G35" s="73"/>
      <c r="H35" s="73"/>
      <c r="I35" s="73"/>
      <c r="J35" s="81"/>
      <c r="K35" s="73"/>
      <c r="L35" s="58"/>
      <c r="M35" s="58"/>
    </row>
    <row r="36" spans="1:13" ht="13" customHeight="1" x14ac:dyDescent="0.35">
      <c r="A36" s="425"/>
      <c r="B36" s="78"/>
      <c r="C36" s="75"/>
      <c r="D36" s="73"/>
      <c r="E36" s="73"/>
      <c r="F36" s="73"/>
      <c r="G36" s="73"/>
      <c r="H36" s="73"/>
      <c r="I36" s="73"/>
      <c r="J36" s="81"/>
      <c r="K36" s="73"/>
      <c r="L36" s="58"/>
      <c r="M36" s="58"/>
    </row>
    <row r="37" spans="1:13" ht="13" customHeight="1" x14ac:dyDescent="0.3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13" ht="13" customHeight="1" x14ac:dyDescent="0.3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13" ht="13" customHeight="1" x14ac:dyDescent="0.35"/>
    <row r="40" spans="1:13" ht="13" customHeight="1" x14ac:dyDescent="0.35"/>
    <row r="41" spans="1:13" ht="13" customHeight="1" x14ac:dyDescent="0.35"/>
    <row r="42" spans="1:13" ht="13" customHeight="1" x14ac:dyDescent="0.35"/>
    <row r="43" spans="1:13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3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3" ht="13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3" ht="13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3" ht="13" customHeight="1" x14ac:dyDescent="0.35">
      <c r="A47" s="77"/>
      <c r="B47" s="78"/>
      <c r="C47" s="75"/>
      <c r="D47" s="73"/>
      <c r="E47" s="73"/>
      <c r="F47" s="73"/>
      <c r="G47" s="73"/>
      <c r="H47" s="73"/>
      <c r="I47" s="73"/>
      <c r="J47" s="17"/>
    </row>
    <row r="48" spans="1:13" ht="13" customHeight="1" x14ac:dyDescent="0.35">
      <c r="A48" s="77"/>
      <c r="B48" s="78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8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</row>
    <row r="54" spans="1:10" ht="13" customHeight="1" x14ac:dyDescent="0.35">
      <c r="A54" s="77"/>
      <c r="B54" s="78"/>
      <c r="C54" s="75"/>
      <c r="D54" s="73"/>
    </row>
    <row r="55" spans="1:10" ht="12.75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9"/>
      <c r="B59" s="70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133" t="s">
        <v>283</v>
      </c>
      <c r="B60" s="78"/>
      <c r="C60" s="75"/>
      <c r="D60" s="73"/>
      <c r="E60" s="73">
        <v>500378</v>
      </c>
      <c r="F60" s="73">
        <v>492872</v>
      </c>
      <c r="G60" s="73">
        <v>242618</v>
      </c>
    </row>
    <row r="61" spans="1:10" ht="13" customHeight="1" x14ac:dyDescent="0.35">
      <c r="A61" s="77"/>
      <c r="B61" s="78"/>
      <c r="C61" s="75"/>
      <c r="D61" s="73"/>
      <c r="E61" s="73"/>
      <c r="F61" s="73"/>
      <c r="G61" s="73"/>
      <c r="H61" s="73"/>
      <c r="I61" s="73"/>
      <c r="J61" s="17"/>
    </row>
    <row r="62" spans="1:10" ht="13" customHeight="1" x14ac:dyDescent="0.35">
      <c r="A62" s="77"/>
      <c r="B62" s="70"/>
      <c r="C62" s="75"/>
      <c r="D62" s="73"/>
      <c r="E62" s="73">
        <f t="shared" ref="E62:H62" si="5">-E60+E21</f>
        <v>14499622</v>
      </c>
      <c r="F62" s="73">
        <f t="shared" si="5"/>
        <v>14507128</v>
      </c>
      <c r="G62" s="73">
        <f t="shared" si="5"/>
        <v>14757382</v>
      </c>
      <c r="H62" s="73">
        <f t="shared" si="5"/>
        <v>15000000</v>
      </c>
      <c r="I62" s="73"/>
      <c r="J62" s="17"/>
    </row>
    <row r="63" spans="1:10" ht="13" customHeight="1" x14ac:dyDescent="0.35">
      <c r="A63" s="77"/>
      <c r="B63" s="70"/>
      <c r="C63" s="75"/>
      <c r="D63" s="73"/>
    </row>
    <row r="64" spans="1:10" ht="13" customHeight="1" x14ac:dyDescent="0.35">
      <c r="A64" s="77"/>
      <c r="B64" s="70"/>
      <c r="C64" s="75"/>
      <c r="D64" s="73"/>
      <c r="E64" s="73"/>
      <c r="F64" s="73"/>
      <c r="G64" s="73"/>
      <c r="H64" s="73"/>
      <c r="I64" s="73"/>
      <c r="J64" s="17"/>
    </row>
    <row r="65" spans="1:11" ht="13" customHeight="1" x14ac:dyDescent="0.35">
      <c r="A65" s="77"/>
      <c r="B65" s="70"/>
      <c r="C65" s="75"/>
      <c r="D65" s="73"/>
      <c r="E65" s="73"/>
      <c r="F65" s="73"/>
      <c r="G65" s="73"/>
      <c r="H65" s="73"/>
      <c r="I65" s="73"/>
      <c r="J65" s="17"/>
    </row>
    <row r="66" spans="1:11" ht="13" customHeight="1" x14ac:dyDescent="0.35">
      <c r="A66" s="414" t="s">
        <v>290</v>
      </c>
      <c r="B66" s="405"/>
      <c r="C66" s="406"/>
      <c r="D66" s="407"/>
      <c r="E66" s="407"/>
      <c r="F66" s="407"/>
      <c r="G66" s="407"/>
      <c r="H66" s="407"/>
      <c r="I66" s="407"/>
      <c r="J66" s="408"/>
      <c r="K66" s="409"/>
    </row>
    <row r="67" spans="1:11" ht="13" customHeight="1" x14ac:dyDescent="0.35">
      <c r="A67" s="404" t="s">
        <v>274</v>
      </c>
      <c r="B67" s="410"/>
      <c r="C67" s="406">
        <v>500</v>
      </c>
      <c r="D67" s="407"/>
      <c r="E67" s="407">
        <f>+D67</f>
        <v>0</v>
      </c>
      <c r="F67" s="407">
        <f>+E67</f>
        <v>0</v>
      </c>
      <c r="G67" s="407">
        <f>+F67</f>
        <v>0</v>
      </c>
      <c r="H67" s="407">
        <f>+G67</f>
        <v>0</v>
      </c>
      <c r="I67" s="407"/>
      <c r="J67" s="408"/>
      <c r="K67" s="407">
        <f>SUM(E67:I67)</f>
        <v>0</v>
      </c>
    </row>
    <row r="68" spans="1:11" ht="13" customHeight="1" x14ac:dyDescent="0.35">
      <c r="A68" s="404" t="s">
        <v>280</v>
      </c>
      <c r="B68" s="410"/>
      <c r="C68" s="406">
        <v>500</v>
      </c>
      <c r="D68" s="407"/>
      <c r="E68" s="407">
        <f>49746000</f>
        <v>49746000</v>
      </c>
      <c r="F68" s="407">
        <f>79368000</f>
        <v>79368000</v>
      </c>
      <c r="G68" s="407">
        <f>93250000</f>
        <v>93250000</v>
      </c>
      <c r="H68" s="407">
        <f>96107000</f>
        <v>96107000</v>
      </c>
      <c r="I68" s="407"/>
      <c r="J68" s="408"/>
      <c r="K68" s="407">
        <f t="shared" ref="K68:K70" si="6">SUM(E68:I68)</f>
        <v>318471000</v>
      </c>
    </row>
    <row r="69" spans="1:11" ht="13" customHeight="1" x14ac:dyDescent="0.35">
      <c r="A69" s="404" t="s">
        <v>282</v>
      </c>
      <c r="B69" s="410"/>
      <c r="C69" s="406">
        <v>500</v>
      </c>
      <c r="D69" s="407"/>
      <c r="E69" s="407">
        <v>16898000</v>
      </c>
      <c r="F69" s="407">
        <f>+E69</f>
        <v>16898000</v>
      </c>
      <c r="G69" s="407">
        <f>+F69</f>
        <v>16898000</v>
      </c>
      <c r="H69" s="407">
        <f>+G69</f>
        <v>16898000</v>
      </c>
      <c r="I69" s="407"/>
      <c r="J69" s="408"/>
      <c r="K69" s="407">
        <f t="shared" si="6"/>
        <v>67592000</v>
      </c>
    </row>
    <row r="70" spans="1:11" ht="13" customHeight="1" x14ac:dyDescent="0.35">
      <c r="A70" s="404" t="s">
        <v>281</v>
      </c>
      <c r="B70" s="410"/>
      <c r="C70" s="411">
        <v>500</v>
      </c>
      <c r="D70" s="412"/>
      <c r="E70" s="407">
        <f>+E31+E27</f>
        <v>0</v>
      </c>
      <c r="F70" s="407">
        <f>+F31+F27</f>
        <v>0</v>
      </c>
      <c r="G70" s="407">
        <f>+G31+G27</f>
        <v>0</v>
      </c>
      <c r="H70" s="407">
        <f>+H31+H27</f>
        <v>0</v>
      </c>
      <c r="I70" s="407"/>
      <c r="J70" s="408"/>
      <c r="K70" s="407">
        <f t="shared" si="6"/>
        <v>0</v>
      </c>
    </row>
    <row r="71" spans="1:11" ht="13" customHeight="1" x14ac:dyDescent="0.35">
      <c r="A71" s="404"/>
      <c r="B71" s="410"/>
      <c r="C71" s="411"/>
      <c r="D71" s="412"/>
      <c r="E71" s="413">
        <f>SUM(E67:E70)</f>
        <v>66644000</v>
      </c>
      <c r="F71" s="413">
        <f>SUM(F67:F70)</f>
        <v>96266000</v>
      </c>
      <c r="G71" s="413">
        <f t="shared" ref="G71" si="7">SUM(G67:G70)</f>
        <v>110148000</v>
      </c>
      <c r="H71" s="413">
        <f t="shared" ref="H71" si="8">SUM(H67:H70)</f>
        <v>113005000</v>
      </c>
      <c r="I71" s="413"/>
      <c r="J71" s="408"/>
      <c r="K71" s="413">
        <f>SUM(K67:K70)</f>
        <v>386063000</v>
      </c>
    </row>
    <row r="72" spans="1:11" ht="13" customHeight="1" x14ac:dyDescent="0.35">
      <c r="A72" s="77"/>
      <c r="B72" s="70"/>
      <c r="C72" s="71"/>
      <c r="D72" s="73"/>
    </row>
    <row r="73" spans="1:11" ht="13" customHeight="1" x14ac:dyDescent="0.35">
      <c r="A73" s="77"/>
      <c r="B73" s="78"/>
      <c r="C73" s="75"/>
      <c r="D73" s="73"/>
      <c r="E73" s="73"/>
      <c r="F73" s="73"/>
      <c r="G73" s="73"/>
      <c r="H73" s="73"/>
      <c r="I73" s="73"/>
      <c r="J73" s="17"/>
    </row>
    <row r="74" spans="1:11" ht="13" customHeight="1" x14ac:dyDescent="0.35">
      <c r="A74" s="77"/>
      <c r="B74" s="78"/>
      <c r="C74" s="75"/>
      <c r="D74" s="73"/>
      <c r="E74" s="73"/>
      <c r="F74" s="73"/>
      <c r="G74" s="73"/>
      <c r="H74" s="73"/>
      <c r="I74" s="73"/>
      <c r="J74" s="17"/>
    </row>
    <row r="75" spans="1:11" ht="13" customHeight="1" x14ac:dyDescent="0.35">
      <c r="A75" s="77"/>
      <c r="B75" s="78"/>
      <c r="C75" s="75"/>
      <c r="D75" s="73"/>
      <c r="E75" s="73"/>
      <c r="F75" s="73"/>
      <c r="G75" s="73"/>
      <c r="H75" s="73"/>
      <c r="I75" s="73"/>
      <c r="J75" s="17"/>
    </row>
    <row r="76" spans="1:11" ht="13" customHeight="1" x14ac:dyDescent="0.35">
      <c r="A76" s="77"/>
      <c r="B76" s="78"/>
      <c r="C76" s="75"/>
      <c r="D76" s="73"/>
      <c r="E76" s="73"/>
      <c r="F76" s="73"/>
      <c r="G76" s="73"/>
      <c r="H76" s="73"/>
      <c r="I76" s="73"/>
      <c r="J76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4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theme="3"/>
  </sheetPr>
  <dimension ref="A1:K60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46</v>
      </c>
      <c r="C6" s="880" t="s">
        <v>146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566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42">
        <v>94904</v>
      </c>
      <c r="C10" s="35">
        <v>171518</v>
      </c>
      <c r="D10" s="222">
        <f t="shared" si="0"/>
        <v>171518</v>
      </c>
      <c r="E10" s="506">
        <f t="shared" si="1"/>
        <v>171518</v>
      </c>
      <c r="F10" s="504">
        <f t="shared" si="1"/>
        <v>171518</v>
      </c>
      <c r="G10" s="35">
        <f t="shared" si="1"/>
        <v>171518</v>
      </c>
      <c r="H10" s="222">
        <f t="shared" si="1"/>
        <v>171518</v>
      </c>
      <c r="I10" s="36">
        <f t="shared" si="1"/>
        <v>171518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1"/>
        <v>0</v>
      </c>
      <c r="G12" s="35">
        <f t="shared" si="1"/>
        <v>0</v>
      </c>
      <c r="H12" s="222">
        <f t="shared" si="1"/>
        <v>0</v>
      </c>
      <c r="I12" s="36">
        <f t="shared" si="1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94904</v>
      </c>
      <c r="C16" s="39">
        <f t="shared" ref="C16:I16" si="2">SUM(C9:C15)</f>
        <v>171518</v>
      </c>
      <c r="D16" s="39">
        <f t="shared" si="2"/>
        <v>171518</v>
      </c>
      <c r="E16" s="529">
        <f t="shared" si="2"/>
        <v>171518</v>
      </c>
      <c r="F16" s="39">
        <f t="shared" si="2"/>
        <v>171518</v>
      </c>
      <c r="G16" s="39">
        <f t="shared" si="2"/>
        <v>171518</v>
      </c>
      <c r="H16" s="39">
        <f t="shared" si="2"/>
        <v>171518</v>
      </c>
      <c r="I16" s="39">
        <f t="shared" si="2"/>
        <v>171518</v>
      </c>
    </row>
    <row r="18" spans="1:10" x14ac:dyDescent="0.35">
      <c r="E18" s="400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79"/>
      <c r="B20" s="70"/>
      <c r="C20" s="71"/>
      <c r="D20" s="72"/>
      <c r="E20" s="73"/>
      <c r="F20" s="73"/>
      <c r="G20" s="73"/>
      <c r="H20" s="73"/>
      <c r="I20" s="73"/>
    </row>
    <row r="21" spans="1:10" ht="13" customHeight="1" x14ac:dyDescent="0.35">
      <c r="A21" s="80"/>
      <c r="B21" s="70"/>
      <c r="C21" s="75"/>
      <c r="D21" s="73"/>
      <c r="E21" s="73"/>
      <c r="F21" s="73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5"/>
      <c r="D22" s="73"/>
      <c r="E22" s="73"/>
      <c r="F22" s="73"/>
      <c r="G22" s="73"/>
      <c r="H22" s="73"/>
      <c r="I22" s="73"/>
      <c r="J22" s="81"/>
    </row>
    <row r="23" spans="1:10" ht="13" customHeight="1" x14ac:dyDescent="0.35">
      <c r="A23" s="171"/>
      <c r="B23" s="101"/>
      <c r="C23" s="93"/>
      <c r="D23" s="94"/>
      <c r="E23" s="94"/>
      <c r="F23" s="94"/>
      <c r="G23" s="94"/>
      <c r="H23" s="94"/>
      <c r="I23" s="94"/>
      <c r="J23" s="17"/>
    </row>
    <row r="24" spans="1:10" s="58" customFormat="1" ht="13" customHeight="1" x14ac:dyDescent="0.35">
      <c r="A24" s="77"/>
      <c r="B24" s="70"/>
      <c r="C24" s="75"/>
      <c r="D24" s="73"/>
      <c r="E24" s="73"/>
      <c r="F24" s="73"/>
      <c r="G24" s="73"/>
      <c r="H24" s="73"/>
      <c r="I24" s="73"/>
      <c r="J24" s="81"/>
    </row>
    <row r="25" spans="1:10" ht="13" customHeight="1" x14ac:dyDescent="0.35">
      <c r="A25" s="77"/>
      <c r="B25" s="70"/>
      <c r="C25" s="75"/>
      <c r="D25" s="73"/>
      <c r="E25" s="73"/>
      <c r="F25" s="73"/>
      <c r="G25" s="73"/>
      <c r="H25" s="73"/>
      <c r="I25" s="73"/>
      <c r="J25" s="17"/>
    </row>
    <row r="26" spans="1:10" ht="13" customHeight="1" x14ac:dyDescent="0.35">
      <c r="A26" s="77"/>
      <c r="B26" s="70"/>
      <c r="C26" s="75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77"/>
      <c r="B27" s="70"/>
      <c r="C27" s="75"/>
      <c r="D27" s="73"/>
      <c r="E27" s="73"/>
      <c r="F27" s="73"/>
      <c r="G27" s="73"/>
      <c r="H27" s="73"/>
      <c r="I27" s="73"/>
      <c r="J27" s="17"/>
    </row>
    <row r="28" spans="1:10" ht="13" customHeight="1" x14ac:dyDescent="0.35">
      <c r="A28" s="77"/>
      <c r="B28" s="70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77"/>
      <c r="B29" s="70"/>
      <c r="C29" s="75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77"/>
      <c r="B30" s="70"/>
      <c r="C30" s="75"/>
      <c r="D30" s="73"/>
      <c r="E30" s="73"/>
      <c r="F30" s="73"/>
      <c r="G30" s="73"/>
      <c r="H30" s="73"/>
      <c r="I30" s="73"/>
      <c r="J30" s="17"/>
    </row>
    <row r="31" spans="1:10" ht="13" customHeight="1" x14ac:dyDescent="0.35">
      <c r="A31" s="77"/>
      <c r="B31" s="70"/>
      <c r="C31" s="71"/>
      <c r="D31" s="72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0"/>
      <c r="C32" s="71"/>
      <c r="D32" s="72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0"/>
      <c r="C33" s="71"/>
      <c r="D33" s="7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3"/>
      <c r="F43" s="73"/>
      <c r="G43" s="73"/>
      <c r="H43" s="73"/>
      <c r="I43" s="73"/>
      <c r="J43" s="17"/>
    </row>
    <row r="44" spans="1:10" ht="13" customHeight="1" x14ac:dyDescent="0.35">
      <c r="A44" s="80"/>
      <c r="B44" s="70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0"/>
      <c r="C54" s="71"/>
      <c r="D54" s="72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0"/>
      <c r="C55" s="71"/>
      <c r="D55" s="72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0"/>
      <c r="C56" s="71"/>
      <c r="D56" s="72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4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K191"/>
  <sheetViews>
    <sheetView topLeftCell="A2" zoomScaleNormal="100" zoomScaleSheetLayoutView="90" workbookViewId="0">
      <selection activeCell="C5" sqref="C5:I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1.81640625" style="7" customWidth="1"/>
    <col min="11" max="11" width="9.1796875" style="7"/>
    <col min="12" max="12" width="13.54296875" style="7" customWidth="1"/>
    <col min="13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/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13</v>
      </c>
      <c r="C6" s="883" t="s">
        <v>145</v>
      </c>
      <c r="D6" s="883"/>
      <c r="E6" s="883"/>
      <c r="F6" s="883"/>
      <c r="G6" s="883"/>
      <c r="H6" s="883"/>
      <c r="I6" s="883"/>
    </row>
    <row r="7" spans="1:11" ht="15" thickBot="1" x14ac:dyDescent="0.4">
      <c r="A7" s="87" t="s">
        <v>168</v>
      </c>
      <c r="B7" s="460"/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303857650</f>
        <v>303857650</v>
      </c>
      <c r="C9" s="33">
        <v>289256642</v>
      </c>
      <c r="D9" s="219">
        <f t="shared" ref="D9:D15" si="0">+C9+SUMIF($C$20:$C$77,K9,$D$20:$D$77)</f>
        <v>313256642</v>
      </c>
      <c r="E9" s="114">
        <f>+D9+SUMIF($C$20:$C$77,K9,$E$20:$E$77)</f>
        <v>332992022</v>
      </c>
      <c r="F9" s="396">
        <f>+E9+SUMIF($C$20:$C$77,K9,$F$20:$F$77)</f>
        <v>332998740</v>
      </c>
      <c r="G9" s="33">
        <f>+F9+SUMIF($C$20:$C$77,K9,$G$20:$G$77)</f>
        <v>331781002</v>
      </c>
      <c r="H9" s="219">
        <f>+G9+SUMIF($C$20:$C$77,K9,$H$20:$H$77)</f>
        <v>331896633</v>
      </c>
      <c r="I9" s="50">
        <f>+H9+SUMIF($C$20:$C$77,K9,$I$20:$I$77)</f>
        <v>331896633</v>
      </c>
      <c r="K9" s="7">
        <v>100</v>
      </c>
    </row>
    <row r="10" spans="1:11" x14ac:dyDescent="0.35">
      <c r="A10" s="10" t="s">
        <v>5</v>
      </c>
      <c r="B10" s="35">
        <v>6724552</v>
      </c>
      <c r="C10" s="35">
        <v>6724702</v>
      </c>
      <c r="D10" s="222">
        <f t="shared" si="0"/>
        <v>6724702</v>
      </c>
      <c r="E10" s="506">
        <f>+D10+SUMIF($C$20:$C$77,K10,$E$20:$E$77)</f>
        <v>6728143</v>
      </c>
      <c r="F10" s="504">
        <f>+E10+SUMIF($C$20:$C$77,K10,$F$20:$F$77)</f>
        <v>6808282</v>
      </c>
      <c r="G10" s="35">
        <f>+F10+SUMIF($C$20:$C$77,K10,$G$20:$G$77)</f>
        <v>6808729</v>
      </c>
      <c r="H10" s="222">
        <f>+G10+SUMIF($C$20:$C$77,K10,$H$20:$H$77)</f>
        <v>6811352</v>
      </c>
      <c r="I10" s="36">
        <f>+H10+SUMIF($C$20:$C$77,K10,$I$20:$I$77)</f>
        <v>6811352</v>
      </c>
      <c r="K10" s="7">
        <v>200</v>
      </c>
    </row>
    <row r="11" spans="1:11" x14ac:dyDescent="0.35">
      <c r="A11" s="9" t="s">
        <v>6</v>
      </c>
      <c r="B11" s="33">
        <f>9684359+374074+144283</f>
        <v>10202716</v>
      </c>
      <c r="C11" s="33">
        <v>9192914</v>
      </c>
      <c r="D11" s="219">
        <f t="shared" si="0"/>
        <v>9192914</v>
      </c>
      <c r="E11" s="114">
        <f>+D11+SUMIF($C$20:$C$77,K11,$E$20:$E$77)</f>
        <v>11275064</v>
      </c>
      <c r="F11" s="396">
        <f>+E11+SUMIF($C$20:$C$77,K11,$F$20:$F$77)</f>
        <v>11546264</v>
      </c>
      <c r="G11" s="33">
        <f>+F11+SUMIF($C$20:$C$77,K11,$G$20:$G$77)</f>
        <v>11632051</v>
      </c>
      <c r="H11" s="219">
        <f>+G11+SUMIF($C$20:$C$77,K11,$H$20:$H$77)</f>
        <v>11739212</v>
      </c>
      <c r="I11" s="34">
        <f>+H11+SUMIF($C$20:$C$77,K11,$I$20:$I$77)</f>
        <v>11814610</v>
      </c>
      <c r="K11" s="7" t="s">
        <v>167</v>
      </c>
    </row>
    <row r="12" spans="1:11" x14ac:dyDescent="0.35">
      <c r="A12" s="10" t="s">
        <v>7</v>
      </c>
      <c r="B12" s="35">
        <v>789591</v>
      </c>
      <c r="C12" s="35">
        <v>0</v>
      </c>
      <c r="D12" s="222">
        <f t="shared" si="0"/>
        <v>0</v>
      </c>
      <c r="E12" s="506">
        <f>+D12+SUMIF($C$20:$C$77,K12,$E$20:$E$77)</f>
        <v>0</v>
      </c>
      <c r="F12" s="504">
        <f>+E12+SUMIF($C$20:$C$77,K12,$F$20:$F$77)</f>
        <v>0</v>
      </c>
      <c r="G12" s="35">
        <f>+F12+SUMIF($C$20:$C$77,K12,$G$20:$G$77)</f>
        <v>0</v>
      </c>
      <c r="H12" s="222">
        <f>+G12+SUMIF($C$20:$C$77,K12,$H$20:$H$77)</f>
        <v>0</v>
      </c>
      <c r="I12" s="36">
        <f>+H12+SUMIF($C$20:$C$77,K12,$I$20:$I$77)</f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528">
        <f>+D13+SUMIF($C$20:$C$77,K13,$E$20:$E$77)</f>
        <v>0</v>
      </c>
      <c r="F13" s="520">
        <f>+E13+SUMIF($C$20:$C$77,K13,$F$20:$F$77)</f>
        <v>0</v>
      </c>
      <c r="G13" s="297">
        <f>+F13+SUMIF($C$20:$C$77,K13,$G$20:$G$77)</f>
        <v>0</v>
      </c>
      <c r="H13" s="388">
        <f>+G13+SUMIF($C$20:$C$77,K13,$H$20:$H$77)</f>
        <v>0</v>
      </c>
      <c r="I13" s="389">
        <f>+H13+SUMIF($C$20:$C$77,K13,$I$20:$I$77)</f>
        <v>0</v>
      </c>
      <c r="K13" s="7">
        <v>700</v>
      </c>
    </row>
    <row r="14" spans="1:11" x14ac:dyDescent="0.35">
      <c r="A14" s="47" t="s">
        <v>9</v>
      </c>
      <c r="B14" s="42">
        <v>9325000</v>
      </c>
      <c r="C14" s="48">
        <v>9882000</v>
      </c>
      <c r="D14" s="220">
        <f t="shared" si="0"/>
        <v>9882000</v>
      </c>
      <c r="E14" s="758">
        <v>10071000</v>
      </c>
      <c r="F14" s="759">
        <v>10876680</v>
      </c>
      <c r="G14" s="760">
        <v>11746814</v>
      </c>
      <c r="H14" s="761">
        <v>12686560</v>
      </c>
      <c r="I14" s="762">
        <v>13003724</v>
      </c>
      <c r="J14"/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>+D15+SUMIF($C$20:$C$77,K15,$E$20:$E$77)</f>
        <v>0</v>
      </c>
      <c r="F15" s="505">
        <f>+E15+SUMIF($C$20:$C$77,K15,$F$20:$F$77)</f>
        <v>0</v>
      </c>
      <c r="G15" s="37">
        <f>+F15+SUMIF($C$20:$C$77,K15,$G$20:$G$77)</f>
        <v>0</v>
      </c>
      <c r="H15" s="223">
        <f>+G15+SUMIF($C$20:$C$77,K15,$H$20:$H$77)</f>
        <v>0</v>
      </c>
      <c r="I15" s="38">
        <f>+H15+SUMIF($C$20:$C$77,K15,$I$20:$I$77)</f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330899509</v>
      </c>
      <c r="C16" s="39">
        <f t="shared" ref="C16:I16" si="1">SUM(C9:C15)</f>
        <v>315056258</v>
      </c>
      <c r="D16" s="39">
        <f t="shared" si="1"/>
        <v>339056258</v>
      </c>
      <c r="E16" s="529">
        <f t="shared" si="1"/>
        <v>361066229</v>
      </c>
      <c r="F16" s="39">
        <f t="shared" si="1"/>
        <v>362229966</v>
      </c>
      <c r="G16" s="39">
        <f t="shared" si="1"/>
        <v>361968596</v>
      </c>
      <c r="H16" s="39">
        <f t="shared" si="1"/>
        <v>363133757</v>
      </c>
      <c r="I16" s="39">
        <f t="shared" si="1"/>
        <v>363526319</v>
      </c>
    </row>
    <row r="17" spans="1:10" x14ac:dyDescent="0.35">
      <c r="B17" s="693"/>
    </row>
    <row r="18" spans="1:10" x14ac:dyDescent="0.35">
      <c r="E18" s="400">
        <f>+E16-D16</f>
        <v>22009971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.75" customHeight="1" thickTop="1" x14ac:dyDescent="0.35">
      <c r="A20" s="121" t="s">
        <v>366</v>
      </c>
      <c r="B20" s="70"/>
      <c r="C20" s="75"/>
      <c r="D20" s="73"/>
      <c r="E20" s="73"/>
      <c r="F20" s="73"/>
      <c r="G20" s="73"/>
      <c r="H20" s="73"/>
      <c r="I20" s="73"/>
    </row>
    <row r="21" spans="1:10" ht="13" customHeight="1" x14ac:dyDescent="0.35">
      <c r="A21" s="165" t="s">
        <v>231</v>
      </c>
      <c r="B21" s="66"/>
      <c r="C21" s="86"/>
      <c r="D21" s="69"/>
      <c r="E21" s="69"/>
      <c r="F21" s="69"/>
      <c r="G21" s="69"/>
      <c r="H21" s="69"/>
      <c r="I21" s="69"/>
      <c r="J21" s="17"/>
    </row>
    <row r="22" spans="1:10" ht="13" customHeight="1" x14ac:dyDescent="0.35">
      <c r="A22" s="545" t="s">
        <v>313</v>
      </c>
      <c r="B22" s="70"/>
      <c r="C22" s="88">
        <v>100</v>
      </c>
      <c r="D22" s="73"/>
      <c r="E22" s="73">
        <v>63545</v>
      </c>
      <c r="F22" s="73"/>
      <c r="G22" s="73"/>
      <c r="H22" s="73"/>
      <c r="I22" s="73"/>
      <c r="J22" s="17"/>
    </row>
    <row r="23" spans="1:10" ht="13" customHeight="1" x14ac:dyDescent="0.35">
      <c r="A23" s="83"/>
      <c r="B23" s="66"/>
      <c r="C23" s="86">
        <v>200</v>
      </c>
      <c r="D23" s="69"/>
      <c r="E23" s="69">
        <v>2841</v>
      </c>
      <c r="F23" s="69"/>
      <c r="G23" s="69"/>
      <c r="H23" s="69"/>
      <c r="I23" s="69"/>
      <c r="J23" s="17"/>
    </row>
    <row r="24" spans="1:10" ht="13" customHeight="1" x14ac:dyDescent="0.35">
      <c r="A24" s="77" t="s">
        <v>272</v>
      </c>
      <c r="B24" s="70"/>
      <c r="C24" s="88">
        <v>100</v>
      </c>
      <c r="D24" s="73"/>
      <c r="E24" s="73">
        <v>145033</v>
      </c>
      <c r="F24" s="73"/>
      <c r="G24" s="73"/>
      <c r="H24" s="73"/>
      <c r="I24" s="73"/>
      <c r="J24" s="17"/>
    </row>
    <row r="25" spans="1:10" ht="13" customHeight="1" x14ac:dyDescent="0.35">
      <c r="A25" s="83" t="s">
        <v>273</v>
      </c>
      <c r="B25" s="66"/>
      <c r="C25" s="86">
        <v>100</v>
      </c>
      <c r="D25" s="69"/>
      <c r="E25" s="69">
        <v>158862</v>
      </c>
      <c r="F25" s="69"/>
      <c r="G25" s="69"/>
      <c r="H25" s="69"/>
      <c r="I25" s="69"/>
      <c r="J25" s="17"/>
    </row>
    <row r="26" spans="1:10" ht="13" customHeight="1" x14ac:dyDescent="0.35">
      <c r="A26" s="166" t="s">
        <v>332</v>
      </c>
      <c r="B26" s="70"/>
      <c r="C26" s="88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298" t="s">
        <v>469</v>
      </c>
      <c r="B27" s="143"/>
      <c r="C27" s="546">
        <v>100</v>
      </c>
      <c r="D27" s="141"/>
      <c r="E27" s="141">
        <v>5934594</v>
      </c>
      <c r="F27" s="69">
        <v>5223608</v>
      </c>
      <c r="G27" s="69">
        <v>2215592</v>
      </c>
      <c r="H27" s="69"/>
      <c r="I27" s="69"/>
      <c r="J27" s="17"/>
    </row>
    <row r="28" spans="1:10" ht="13" customHeight="1" x14ac:dyDescent="0.35">
      <c r="A28" s="296"/>
      <c r="B28" s="58"/>
      <c r="C28" s="586">
        <v>200</v>
      </c>
      <c r="D28" s="103"/>
      <c r="E28" s="103"/>
      <c r="F28" s="73">
        <v>2500</v>
      </c>
      <c r="G28" s="73">
        <v>-2500</v>
      </c>
      <c r="H28" s="602"/>
      <c r="I28" s="73"/>
      <c r="J28" s="17"/>
    </row>
    <row r="29" spans="1:10" ht="13" customHeight="1" x14ac:dyDescent="0.35">
      <c r="A29" s="298"/>
      <c r="B29" s="143"/>
      <c r="C29" s="596" t="s">
        <v>167</v>
      </c>
      <c r="D29" s="141"/>
      <c r="E29" s="597">
        <v>9000</v>
      </c>
      <c r="F29" s="69">
        <v>45000</v>
      </c>
      <c r="G29" s="69">
        <v>-18000</v>
      </c>
      <c r="H29" s="69"/>
      <c r="I29" s="69"/>
      <c r="J29" s="17"/>
    </row>
    <row r="30" spans="1:10" ht="13" customHeight="1" x14ac:dyDescent="0.35">
      <c r="A30" s="334" t="s">
        <v>369</v>
      </c>
      <c r="B30" s="58"/>
      <c r="C30" s="586"/>
      <c r="D30" s="103"/>
      <c r="E30" s="103"/>
      <c r="F30" s="73"/>
      <c r="G30" s="73"/>
      <c r="H30" s="73"/>
      <c r="I30" s="73"/>
      <c r="J30" s="17"/>
    </row>
    <row r="31" spans="1:10" ht="13" customHeight="1" x14ac:dyDescent="0.35">
      <c r="A31" s="466" t="s">
        <v>355</v>
      </c>
      <c r="B31" s="183"/>
      <c r="C31" s="676">
        <v>100</v>
      </c>
      <c r="D31" s="135"/>
      <c r="E31" s="135">
        <v>-777502</v>
      </c>
      <c r="F31" s="136">
        <v>-102274</v>
      </c>
      <c r="G31" s="136"/>
      <c r="H31" s="136"/>
      <c r="I31" s="136"/>
      <c r="J31" s="17"/>
    </row>
    <row r="32" spans="1:10" ht="12.75" customHeight="1" x14ac:dyDescent="0.35">
      <c r="A32" s="187" t="s">
        <v>370</v>
      </c>
      <c r="B32" s="637"/>
      <c r="C32" s="637"/>
      <c r="D32" s="637"/>
      <c r="E32" s="637"/>
      <c r="F32" s="637"/>
      <c r="G32" s="637"/>
      <c r="H32" s="637"/>
      <c r="I32" s="637"/>
      <c r="J32" s="17"/>
    </row>
    <row r="33" spans="1:10" ht="12.75" customHeight="1" x14ac:dyDescent="0.35">
      <c r="A33" s="719" t="s">
        <v>405</v>
      </c>
      <c r="B33" s="189"/>
      <c r="C33" s="213">
        <v>100</v>
      </c>
      <c r="D33" s="142"/>
      <c r="E33" s="630">
        <v>-1870000</v>
      </c>
      <c r="F33" s="142"/>
      <c r="G33" s="142">
        <v>-1330000</v>
      </c>
      <c r="H33" s="142"/>
      <c r="I33" s="142"/>
      <c r="J33" s="17"/>
    </row>
    <row r="34" spans="1:10" ht="12.75" customHeight="1" x14ac:dyDescent="0.35">
      <c r="A34" s="157" t="s">
        <v>428</v>
      </c>
      <c r="B34" s="70"/>
      <c r="C34" s="88"/>
      <c r="D34" s="73"/>
      <c r="E34" s="73"/>
      <c r="F34" s="73"/>
      <c r="G34" s="73"/>
      <c r="H34" s="73"/>
      <c r="I34" s="73"/>
      <c r="J34" s="168"/>
    </row>
    <row r="35" spans="1:10" ht="12.75" customHeight="1" x14ac:dyDescent="0.35">
      <c r="A35" s="710" t="s">
        <v>429</v>
      </c>
      <c r="B35" s="66"/>
      <c r="C35" s="86">
        <v>100</v>
      </c>
      <c r="D35" s="69"/>
      <c r="E35" s="69">
        <v>102179</v>
      </c>
      <c r="F35" s="69">
        <v>105245</v>
      </c>
      <c r="G35" s="69">
        <v>108402</v>
      </c>
      <c r="H35" s="69">
        <v>111655</v>
      </c>
      <c r="I35" s="69"/>
      <c r="J35" s="168"/>
    </row>
    <row r="36" spans="1:10" ht="12.75" customHeight="1" x14ac:dyDescent="0.35">
      <c r="A36" s="712"/>
      <c r="B36" s="70"/>
      <c r="C36" s="88">
        <v>200</v>
      </c>
      <c r="D36" s="73"/>
      <c r="E36" s="73">
        <v>540</v>
      </c>
      <c r="F36" s="73">
        <v>556</v>
      </c>
      <c r="G36" s="73">
        <v>573</v>
      </c>
      <c r="H36" s="73">
        <v>590</v>
      </c>
      <c r="I36" s="73"/>
      <c r="J36" s="168"/>
    </row>
    <row r="37" spans="1:10" ht="12.75" customHeight="1" x14ac:dyDescent="0.35">
      <c r="A37" s="710"/>
      <c r="B37" s="66"/>
      <c r="C37" s="86" t="s">
        <v>167</v>
      </c>
      <c r="D37" s="69"/>
      <c r="E37" s="69">
        <v>-7600</v>
      </c>
      <c r="F37" s="69"/>
      <c r="G37" s="69"/>
      <c r="H37" s="69"/>
      <c r="I37" s="69"/>
      <c r="J37" s="168"/>
    </row>
    <row r="38" spans="1:10" ht="12.75" customHeight="1" x14ac:dyDescent="0.35">
      <c r="A38" s="712"/>
      <c r="B38" s="70"/>
      <c r="C38" s="88" t="s">
        <v>167</v>
      </c>
      <c r="D38" s="73"/>
      <c r="E38" s="73">
        <v>-237000</v>
      </c>
      <c r="F38" s="73">
        <v>-15000</v>
      </c>
      <c r="G38" s="73"/>
      <c r="H38" s="73"/>
      <c r="I38" s="73"/>
      <c r="J38" s="168"/>
    </row>
    <row r="39" spans="1:10" ht="12.75" customHeight="1" x14ac:dyDescent="0.35">
      <c r="A39" s="710"/>
      <c r="B39" s="66"/>
      <c r="C39" s="86" t="s">
        <v>167</v>
      </c>
      <c r="D39" s="69"/>
      <c r="E39" s="69">
        <v>750</v>
      </c>
      <c r="F39" s="69">
        <v>773</v>
      </c>
      <c r="G39" s="69">
        <v>795</v>
      </c>
      <c r="H39" s="69">
        <v>820</v>
      </c>
      <c r="I39" s="69"/>
      <c r="J39" s="168"/>
    </row>
    <row r="40" spans="1:10" ht="12.75" customHeight="1" x14ac:dyDescent="0.35">
      <c r="A40" s="743" t="s">
        <v>430</v>
      </c>
      <c r="B40" s="101"/>
      <c r="C40" s="88">
        <v>100</v>
      </c>
      <c r="D40" s="94"/>
      <c r="E40" s="94">
        <v>3639</v>
      </c>
      <c r="F40" s="94">
        <v>3747</v>
      </c>
      <c r="G40" s="94">
        <v>3860</v>
      </c>
      <c r="H40" s="94">
        <v>3976</v>
      </c>
      <c r="I40" s="94"/>
      <c r="J40" s="168"/>
    </row>
    <row r="41" spans="1:10" ht="12.75" customHeight="1" x14ac:dyDescent="0.35">
      <c r="A41" s="710"/>
      <c r="B41" s="66"/>
      <c r="C41" s="86">
        <v>200</v>
      </c>
      <c r="D41" s="69"/>
      <c r="E41" s="69">
        <v>60</v>
      </c>
      <c r="F41" s="69">
        <v>62</v>
      </c>
      <c r="G41" s="69">
        <v>63</v>
      </c>
      <c r="H41" s="69">
        <v>66</v>
      </c>
      <c r="I41" s="69"/>
      <c r="J41" s="168"/>
    </row>
    <row r="42" spans="1:10" ht="12.75" customHeight="1" x14ac:dyDescent="0.35">
      <c r="A42" s="712"/>
      <c r="B42" s="70"/>
      <c r="C42" s="88" t="s">
        <v>167</v>
      </c>
      <c r="D42" s="73"/>
      <c r="E42" s="73">
        <v>30000</v>
      </c>
      <c r="F42" s="73">
        <v>30900</v>
      </c>
      <c r="G42" s="73">
        <v>31827</v>
      </c>
      <c r="H42" s="73">
        <v>32782</v>
      </c>
      <c r="I42" s="73"/>
    </row>
    <row r="43" spans="1:10" ht="12.75" customHeight="1" x14ac:dyDescent="0.35">
      <c r="A43" s="753"/>
      <c r="B43" s="66"/>
      <c r="C43" s="86" t="s">
        <v>167</v>
      </c>
      <c r="D43" s="69"/>
      <c r="E43" s="69">
        <v>-13000</v>
      </c>
      <c r="F43" s="69"/>
      <c r="G43" s="69"/>
      <c r="H43" s="69"/>
      <c r="I43" s="69"/>
    </row>
    <row r="44" spans="1:10" ht="12.75" customHeight="1" x14ac:dyDescent="0.35">
      <c r="A44" s="743" t="s">
        <v>467</v>
      </c>
      <c r="B44" s="101"/>
      <c r="C44" s="88">
        <v>100</v>
      </c>
      <c r="D44" s="94"/>
      <c r="E44" s="94"/>
      <c r="F44" s="94">
        <v>12156939</v>
      </c>
      <c r="G44" s="94">
        <v>364708</v>
      </c>
      <c r="H44" s="94">
        <v>375649</v>
      </c>
      <c r="I44" s="94"/>
    </row>
    <row r="45" spans="1:10" ht="12.75" customHeight="1" x14ac:dyDescent="0.35">
      <c r="A45" s="753"/>
      <c r="B45" s="66"/>
      <c r="C45" s="86">
        <v>200</v>
      </c>
      <c r="D45" s="69"/>
      <c r="E45" s="69"/>
      <c r="F45" s="69">
        <v>77021</v>
      </c>
      <c r="G45" s="69">
        <v>2311</v>
      </c>
      <c r="H45" s="69">
        <v>1967</v>
      </c>
      <c r="I45" s="69"/>
    </row>
    <row r="46" spans="1:10" ht="12.75" customHeight="1" x14ac:dyDescent="0.35">
      <c r="A46" s="748"/>
      <c r="B46" s="101"/>
      <c r="C46" s="88" t="s">
        <v>167</v>
      </c>
      <c r="D46" s="94"/>
      <c r="E46" s="94"/>
      <c r="F46" s="94">
        <v>140527</v>
      </c>
      <c r="G46" s="94">
        <v>95</v>
      </c>
      <c r="H46" s="94">
        <v>357</v>
      </c>
      <c r="I46" s="94"/>
    </row>
    <row r="47" spans="1:10" ht="12.75" customHeight="1" x14ac:dyDescent="0.35">
      <c r="A47" s="387" t="s">
        <v>487</v>
      </c>
      <c r="B47" s="66"/>
      <c r="C47" s="86"/>
      <c r="D47" s="69"/>
      <c r="E47" s="69"/>
      <c r="F47" s="69"/>
      <c r="G47" s="69"/>
      <c r="H47" s="69"/>
      <c r="I47" s="69"/>
    </row>
    <row r="48" spans="1:10" ht="12.75" customHeight="1" x14ac:dyDescent="0.35">
      <c r="A48" s="743" t="s">
        <v>502</v>
      </c>
      <c r="B48" s="101"/>
      <c r="C48" s="88">
        <v>100</v>
      </c>
      <c r="D48" s="94"/>
      <c r="E48" s="94"/>
      <c r="F48" s="94">
        <v>8096034</v>
      </c>
      <c r="G48" s="94"/>
      <c r="H48" s="94"/>
      <c r="I48" s="94"/>
      <c r="J48" s="168"/>
    </row>
    <row r="49" spans="1:10" ht="12.75" customHeight="1" x14ac:dyDescent="0.35">
      <c r="A49" s="710" t="s">
        <v>590</v>
      </c>
      <c r="B49" s="66"/>
      <c r="C49" s="86">
        <v>100</v>
      </c>
      <c r="D49" s="69"/>
      <c r="E49" s="69">
        <v>62546</v>
      </c>
      <c r="F49" s="69"/>
      <c r="G49" s="69"/>
      <c r="H49" s="69"/>
      <c r="I49" s="69"/>
      <c r="J49" s="168"/>
    </row>
    <row r="50" spans="1:10" ht="12.75" customHeight="1" x14ac:dyDescent="0.35">
      <c r="A50" s="743"/>
      <c r="B50" s="101"/>
      <c r="C50" s="88"/>
      <c r="D50" s="94"/>
      <c r="E50" s="94"/>
      <c r="F50" s="94"/>
      <c r="G50" s="94"/>
      <c r="H50" s="94"/>
      <c r="I50" s="94"/>
      <c r="J50" s="168"/>
    </row>
    <row r="51" spans="1:10" ht="12.75" customHeight="1" x14ac:dyDescent="0.35">
      <c r="A51" s="387" t="s">
        <v>608</v>
      </c>
      <c r="B51" s="66"/>
      <c r="C51" s="86"/>
      <c r="D51" s="69"/>
      <c r="E51" s="69"/>
      <c r="F51" s="69"/>
      <c r="G51" s="69"/>
      <c r="H51" s="69"/>
      <c r="I51" s="69"/>
      <c r="J51" s="168"/>
    </row>
    <row r="52" spans="1:10" ht="12.75" customHeight="1" x14ac:dyDescent="0.35">
      <c r="A52" s="743" t="s">
        <v>615</v>
      </c>
      <c r="B52" s="101"/>
      <c r="C52" s="88">
        <v>100</v>
      </c>
      <c r="D52" s="94"/>
      <c r="E52" s="94"/>
      <c r="F52" s="94">
        <v>-8096034</v>
      </c>
      <c r="G52" s="94">
        <v>8096034</v>
      </c>
      <c r="H52" s="94"/>
      <c r="I52" s="94"/>
      <c r="J52" s="168"/>
    </row>
    <row r="53" spans="1:10" ht="12.75" customHeight="1" x14ac:dyDescent="0.35">
      <c r="A53" s="387" t="s">
        <v>648</v>
      </c>
      <c r="B53" s="66"/>
      <c r="C53" s="86"/>
      <c r="D53" s="69"/>
      <c r="E53" s="69"/>
      <c r="F53" s="69"/>
      <c r="G53" s="69"/>
      <c r="H53" s="69"/>
      <c r="I53" s="69"/>
    </row>
    <row r="54" spans="1:10" ht="12.75" customHeight="1" x14ac:dyDescent="0.35">
      <c r="A54" s="743" t="s">
        <v>663</v>
      </c>
      <c r="B54" s="101"/>
      <c r="C54" s="88">
        <v>100</v>
      </c>
      <c r="D54" s="94">
        <v>24000000</v>
      </c>
      <c r="E54" s="94"/>
      <c r="F54" s="94"/>
      <c r="G54" s="94"/>
      <c r="H54" s="94"/>
      <c r="I54" s="94"/>
    </row>
    <row r="55" spans="1:10" ht="12.75" customHeight="1" x14ac:dyDescent="0.35">
      <c r="A55" s="387" t="s">
        <v>748</v>
      </c>
      <c r="B55" s="66"/>
      <c r="C55" s="86"/>
      <c r="D55" s="69"/>
      <c r="E55" s="69"/>
      <c r="F55" s="69"/>
      <c r="G55" s="69"/>
      <c r="H55" s="69"/>
      <c r="I55" s="69"/>
    </row>
    <row r="56" spans="1:10" ht="12.75" customHeight="1" x14ac:dyDescent="0.35">
      <c r="A56" s="748" t="s">
        <v>755</v>
      </c>
      <c r="B56" s="101"/>
      <c r="C56" s="88">
        <v>100</v>
      </c>
      <c r="D56" s="94"/>
      <c r="E56" s="94">
        <f>15000000+5934594</f>
        <v>20934594</v>
      </c>
      <c r="F56" s="94"/>
      <c r="G56" s="94"/>
      <c r="H56" s="94"/>
      <c r="I56" s="94"/>
    </row>
    <row r="57" spans="1:10" ht="12.75" customHeight="1" x14ac:dyDescent="0.35">
      <c r="A57" s="710"/>
      <c r="B57" s="66"/>
      <c r="C57" s="86">
        <v>200</v>
      </c>
      <c r="D57" s="69"/>
      <c r="E57" s="69"/>
      <c r="F57" s="69">
        <f>2500+77021</f>
        <v>79521</v>
      </c>
      <c r="G57" s="69">
        <f>-2500+2311</f>
        <v>-189</v>
      </c>
      <c r="H57" s="69">
        <v>1967</v>
      </c>
      <c r="I57" s="69"/>
    </row>
    <row r="58" spans="1:10" ht="12.75" customHeight="1" x14ac:dyDescent="0.35">
      <c r="A58" s="743"/>
      <c r="B58" s="101"/>
      <c r="C58" s="754" t="s">
        <v>167</v>
      </c>
      <c r="D58" s="94"/>
      <c r="E58" s="94">
        <v>9000</v>
      </c>
      <c r="F58" s="94">
        <f>45000+140527</f>
        <v>185527</v>
      </c>
      <c r="G58" s="94">
        <f>-18000+95</f>
        <v>-17905</v>
      </c>
      <c r="H58" s="94">
        <v>357</v>
      </c>
      <c r="I58" s="94"/>
    </row>
    <row r="59" spans="1:10" ht="12.75" customHeight="1" x14ac:dyDescent="0.35">
      <c r="A59" s="710" t="s">
        <v>895</v>
      </c>
      <c r="B59" s="66"/>
      <c r="C59" s="86">
        <v>100</v>
      </c>
      <c r="D59" s="69"/>
      <c r="E59" s="69">
        <v>-5934594</v>
      </c>
      <c r="F59" s="69">
        <v>-5223608</v>
      </c>
      <c r="G59" s="69">
        <v>-2215592</v>
      </c>
      <c r="H59" s="69"/>
      <c r="I59" s="69"/>
    </row>
    <row r="60" spans="1:10" ht="12.75" customHeight="1" x14ac:dyDescent="0.35">
      <c r="A60" s="748"/>
      <c r="B60" s="101"/>
      <c r="C60" s="88">
        <v>200</v>
      </c>
      <c r="D60" s="94"/>
      <c r="E60" s="94"/>
      <c r="F60" s="94">
        <v>-2500</v>
      </c>
      <c r="G60" s="94">
        <v>2500</v>
      </c>
      <c r="H60" s="94"/>
      <c r="I60" s="94"/>
    </row>
    <row r="61" spans="1:10" ht="12.75" customHeight="1" x14ac:dyDescent="0.35">
      <c r="A61" s="710"/>
      <c r="B61" s="66"/>
      <c r="C61" s="86" t="s">
        <v>167</v>
      </c>
      <c r="D61" s="69"/>
      <c r="E61" s="69">
        <v>-9000</v>
      </c>
      <c r="F61" s="69">
        <v>-45000</v>
      </c>
      <c r="G61" s="69">
        <v>18000</v>
      </c>
      <c r="H61" s="69"/>
      <c r="I61" s="69"/>
    </row>
    <row r="62" spans="1:10" ht="12.75" customHeight="1" x14ac:dyDescent="0.35">
      <c r="A62" s="748" t="s">
        <v>896</v>
      </c>
      <c r="B62" s="101"/>
      <c r="C62" s="88">
        <v>100</v>
      </c>
      <c r="D62" s="94"/>
      <c r="E62" s="94"/>
      <c r="F62" s="94">
        <v>-12156939</v>
      </c>
      <c r="G62" s="94">
        <v>-364708</v>
      </c>
      <c r="H62" s="94">
        <v>-375649</v>
      </c>
      <c r="I62" s="94"/>
    </row>
    <row r="63" spans="1:10" ht="12.75" customHeight="1" x14ac:dyDescent="0.35">
      <c r="A63" s="710"/>
      <c r="B63" s="66"/>
      <c r="C63" s="86">
        <v>200</v>
      </c>
      <c r="D63" s="69"/>
      <c r="E63" s="69"/>
      <c r="F63" s="69">
        <v>-77021</v>
      </c>
      <c r="G63" s="69">
        <v>-2311</v>
      </c>
      <c r="H63" s="69">
        <v>-1967</v>
      </c>
      <c r="I63" s="69"/>
    </row>
    <row r="64" spans="1:10" ht="12.75" customHeight="1" x14ac:dyDescent="0.35">
      <c r="A64" s="743"/>
      <c r="B64" s="101"/>
      <c r="C64" s="88" t="s">
        <v>167</v>
      </c>
      <c r="D64" s="94"/>
      <c r="E64" s="94"/>
      <c r="F64" s="94">
        <v>-140527</v>
      </c>
      <c r="G64" s="94">
        <v>-95</v>
      </c>
      <c r="H64" s="94">
        <v>-357</v>
      </c>
      <c r="I64" s="94"/>
    </row>
    <row r="65" spans="1:9" ht="12.75" customHeight="1" x14ac:dyDescent="0.35">
      <c r="A65" s="710" t="s">
        <v>756</v>
      </c>
      <c r="B65" s="66"/>
      <c r="C65" s="86" t="s">
        <v>167</v>
      </c>
      <c r="D65" s="69"/>
      <c r="E65" s="69">
        <v>2300000</v>
      </c>
      <c r="F65" s="69">
        <v>69000</v>
      </c>
      <c r="G65" s="69">
        <v>71070</v>
      </c>
      <c r="H65" s="69">
        <v>73202</v>
      </c>
      <c r="I65" s="69">
        <v>75398</v>
      </c>
    </row>
    <row r="66" spans="1:9" ht="12.75" customHeight="1" x14ac:dyDescent="0.35">
      <c r="A66" s="743" t="s">
        <v>854</v>
      </c>
      <c r="B66" s="101"/>
      <c r="C66" s="88">
        <v>100</v>
      </c>
      <c r="D66" s="94"/>
      <c r="E66" s="94">
        <v>912484</v>
      </c>
      <c r="F66" s="94"/>
      <c r="G66" s="94"/>
      <c r="H66" s="94"/>
      <c r="I66" s="94"/>
    </row>
    <row r="67" spans="1:9" ht="12.75" customHeight="1" x14ac:dyDescent="0.35">
      <c r="A67" s="710" t="s">
        <v>857</v>
      </c>
      <c r="B67" s="66"/>
      <c r="C67" s="86">
        <v>100</v>
      </c>
      <c r="D67" s="69"/>
      <c r="E67" s="69"/>
      <c r="F67" s="69"/>
      <c r="G67" s="69">
        <v>-8096034</v>
      </c>
      <c r="H67" s="69"/>
      <c r="I67" s="69"/>
    </row>
    <row r="68" spans="1:9" x14ac:dyDescent="0.35">
      <c r="A68" s="743"/>
      <c r="B68" s="101"/>
      <c r="C68" s="88"/>
      <c r="D68" s="94"/>
      <c r="E68" s="94"/>
      <c r="F68" s="94"/>
      <c r="G68" s="94"/>
      <c r="H68" s="94"/>
      <c r="I68" s="94"/>
    </row>
    <row r="69" spans="1:9" x14ac:dyDescent="0.35">
      <c r="A69" s="748"/>
      <c r="B69" s="101"/>
      <c r="C69" s="88"/>
      <c r="D69" s="94"/>
      <c r="E69" s="94"/>
      <c r="F69" s="94"/>
      <c r="G69" s="94"/>
      <c r="H69" s="94"/>
      <c r="I69" s="94"/>
    </row>
    <row r="70" spans="1:9" x14ac:dyDescent="0.35">
      <c r="A70" s="542" t="s">
        <v>699</v>
      </c>
      <c r="B70" s="865"/>
      <c r="C70" s="865"/>
      <c r="D70" s="558">
        <v>9882000</v>
      </c>
      <c r="E70" s="558">
        <v>10071000</v>
      </c>
      <c r="F70" s="558">
        <v>10876680</v>
      </c>
      <c r="G70" s="558">
        <v>11746814</v>
      </c>
      <c r="H70" s="558">
        <v>12686560</v>
      </c>
      <c r="I70" s="558">
        <v>13003724</v>
      </c>
    </row>
    <row r="71" spans="1:9" x14ac:dyDescent="0.35">
      <c r="A71" s="745" t="s">
        <v>695</v>
      </c>
      <c r="B71" s="865"/>
      <c r="C71" s="865"/>
      <c r="D71" s="558">
        <v>9882000</v>
      </c>
      <c r="E71" s="558">
        <v>10574000</v>
      </c>
      <c r="F71" s="558">
        <v>11315000</v>
      </c>
      <c r="G71" s="558">
        <v>12108000</v>
      </c>
      <c r="H71" s="558">
        <v>12108000</v>
      </c>
      <c r="I71" s="142">
        <f>+H71</f>
        <v>12108000</v>
      </c>
    </row>
    <row r="72" spans="1:9" x14ac:dyDescent="0.35">
      <c r="A72" s="548" t="s">
        <v>197</v>
      </c>
      <c r="D72" s="559">
        <f>+D70-D71</f>
        <v>0</v>
      </c>
      <c r="E72" s="559">
        <f>+E70-E71</f>
        <v>-503000</v>
      </c>
      <c r="F72" s="559">
        <f t="shared" ref="F72:I72" si="2">+F70-F71</f>
        <v>-438320</v>
      </c>
      <c r="G72" s="559">
        <f t="shared" si="2"/>
        <v>-361186</v>
      </c>
      <c r="H72" s="559">
        <f t="shared" si="2"/>
        <v>578560</v>
      </c>
      <c r="I72" s="559">
        <f t="shared" si="2"/>
        <v>895724</v>
      </c>
    </row>
    <row r="73" spans="1:9" x14ac:dyDescent="0.35">
      <c r="A73" s="211"/>
      <c r="B73" s="211"/>
      <c r="C73" s="211"/>
      <c r="D73" s="211"/>
      <c r="E73" s="211"/>
      <c r="F73" s="211"/>
      <c r="G73" s="211"/>
      <c r="H73" s="211"/>
      <c r="I73" s="211"/>
    </row>
    <row r="74" spans="1:9" x14ac:dyDescent="0.35">
      <c r="A74" s="211"/>
      <c r="B74" s="211"/>
      <c r="C74" s="211"/>
      <c r="D74" s="211"/>
      <c r="E74" s="211"/>
      <c r="F74" s="211"/>
      <c r="G74" s="211"/>
      <c r="H74" s="211"/>
      <c r="I74" s="211"/>
    </row>
    <row r="75" spans="1:9" x14ac:dyDescent="0.35">
      <c r="A75" s="211"/>
      <c r="B75" s="211"/>
      <c r="C75" s="211"/>
      <c r="D75" s="211"/>
      <c r="E75" s="211"/>
      <c r="F75" s="211"/>
      <c r="G75" s="211"/>
      <c r="H75" s="211"/>
      <c r="I75" s="211"/>
    </row>
    <row r="76" spans="1:9" x14ac:dyDescent="0.35">
      <c r="A76" s="211"/>
      <c r="B76" s="211"/>
      <c r="C76" s="211"/>
      <c r="D76" s="211"/>
      <c r="E76" s="211"/>
      <c r="F76" s="211"/>
      <c r="G76" s="211"/>
      <c r="H76" s="211"/>
      <c r="I76" s="211"/>
    </row>
    <row r="77" spans="1:9" x14ac:dyDescent="0.35">
      <c r="A77" s="211"/>
      <c r="B77" s="211"/>
      <c r="C77" s="211"/>
      <c r="D77" s="211"/>
      <c r="E77" s="211"/>
      <c r="F77" s="211"/>
      <c r="G77" s="211"/>
      <c r="H77" s="211"/>
      <c r="I77" s="211"/>
    </row>
    <row r="78" spans="1:9" x14ac:dyDescent="0.35">
      <c r="A78" s="211"/>
      <c r="B78" s="211"/>
      <c r="C78" s="211"/>
      <c r="D78" s="211"/>
      <c r="E78" s="211"/>
      <c r="F78" s="211"/>
      <c r="G78" s="211"/>
      <c r="H78" s="211"/>
      <c r="I78" s="211"/>
    </row>
    <row r="79" spans="1:9" x14ac:dyDescent="0.35">
      <c r="A79" s="211"/>
      <c r="B79" s="211"/>
      <c r="C79" s="211"/>
      <c r="D79" s="211"/>
      <c r="E79" s="211"/>
      <c r="F79" s="211"/>
      <c r="G79" s="211"/>
      <c r="H79" s="211"/>
      <c r="I79" s="211"/>
    </row>
    <row r="80" spans="1:9" x14ac:dyDescent="0.35">
      <c r="A80" s="211"/>
      <c r="B80" s="211"/>
      <c r="C80" s="211"/>
      <c r="D80" s="211"/>
      <c r="E80" s="211"/>
      <c r="F80" s="211"/>
      <c r="G80" s="211"/>
      <c r="H80" s="211"/>
      <c r="I80" s="211"/>
    </row>
    <row r="81" spans="1:9" x14ac:dyDescent="0.35">
      <c r="A81" s="211"/>
      <c r="B81" s="211"/>
      <c r="C81" s="211"/>
      <c r="D81" s="211"/>
      <c r="E81" s="211"/>
      <c r="F81" s="211"/>
      <c r="G81" s="211"/>
      <c r="H81" s="211"/>
      <c r="I81" s="211"/>
    </row>
    <row r="82" spans="1:9" x14ac:dyDescent="0.35">
      <c r="A82" s="211"/>
      <c r="B82" s="211"/>
      <c r="C82" s="211"/>
      <c r="D82" s="211"/>
      <c r="E82" s="211"/>
      <c r="F82" s="211"/>
      <c r="G82" s="211"/>
      <c r="H82" s="211"/>
      <c r="I82" s="211"/>
    </row>
    <row r="83" spans="1:9" x14ac:dyDescent="0.35">
      <c r="A83" s="211"/>
      <c r="B83" s="211"/>
      <c r="C83" s="211"/>
      <c r="D83" s="211"/>
      <c r="E83" s="211"/>
      <c r="F83" s="211"/>
      <c r="G83" s="211"/>
      <c r="H83" s="211"/>
      <c r="I83" s="211"/>
    </row>
    <row r="84" spans="1:9" x14ac:dyDescent="0.35">
      <c r="A84" s="211"/>
      <c r="B84" s="211"/>
      <c r="C84" s="211"/>
      <c r="D84" s="211"/>
      <c r="E84" s="211"/>
      <c r="F84" s="211"/>
      <c r="G84" s="211"/>
      <c r="H84" s="211"/>
      <c r="I84" s="211"/>
    </row>
    <row r="85" spans="1:9" x14ac:dyDescent="0.35">
      <c r="A85" s="211"/>
      <c r="B85" s="211"/>
      <c r="C85" s="211"/>
      <c r="D85" s="211"/>
      <c r="E85" s="211"/>
      <c r="F85" s="211"/>
      <c r="G85" s="211"/>
      <c r="H85" s="211"/>
      <c r="I85" s="211"/>
    </row>
    <row r="86" spans="1:9" x14ac:dyDescent="0.35">
      <c r="A86" s="211"/>
      <c r="B86" s="211"/>
      <c r="C86" s="211"/>
      <c r="D86" s="211"/>
      <c r="E86" s="211"/>
      <c r="F86" s="211"/>
      <c r="G86" s="211"/>
      <c r="H86" s="211"/>
      <c r="I86" s="211"/>
    </row>
    <row r="87" spans="1:9" x14ac:dyDescent="0.35">
      <c r="A87" s="211"/>
      <c r="B87" s="211"/>
      <c r="C87" s="211"/>
      <c r="D87" s="211"/>
      <c r="E87" s="211"/>
      <c r="F87" s="211"/>
      <c r="G87" s="211"/>
      <c r="H87" s="211"/>
      <c r="I87" s="211"/>
    </row>
    <row r="88" spans="1:9" x14ac:dyDescent="0.35">
      <c r="A88" s="211"/>
      <c r="B88" s="211"/>
      <c r="C88" s="211"/>
      <c r="D88" s="211"/>
      <c r="E88" s="211"/>
      <c r="F88" s="211"/>
      <c r="G88" s="211"/>
      <c r="H88" s="211"/>
      <c r="I88" s="211"/>
    </row>
    <row r="89" spans="1:9" x14ac:dyDescent="0.35">
      <c r="A89" s="211"/>
      <c r="B89" s="211"/>
      <c r="C89" s="211"/>
      <c r="D89" s="211"/>
      <c r="E89" s="211"/>
      <c r="F89" s="211"/>
      <c r="G89" s="211"/>
      <c r="H89" s="211"/>
      <c r="I89" s="211"/>
    </row>
    <row r="90" spans="1:9" x14ac:dyDescent="0.35">
      <c r="A90" s="211"/>
      <c r="B90" s="211"/>
      <c r="C90" s="211"/>
      <c r="D90" s="211"/>
      <c r="E90" s="211"/>
      <c r="F90" s="211"/>
      <c r="G90" s="211"/>
      <c r="H90" s="211"/>
      <c r="I90" s="211"/>
    </row>
    <row r="91" spans="1:9" x14ac:dyDescent="0.35">
      <c r="A91" s="211"/>
      <c r="B91" s="211"/>
      <c r="C91" s="211"/>
      <c r="D91" s="211"/>
      <c r="E91" s="211"/>
      <c r="F91" s="211"/>
      <c r="G91" s="211"/>
      <c r="H91" s="211"/>
      <c r="I91" s="211"/>
    </row>
    <row r="92" spans="1:9" x14ac:dyDescent="0.35">
      <c r="A92" s="211"/>
      <c r="B92" s="211"/>
      <c r="C92" s="211"/>
      <c r="D92" s="211"/>
      <c r="E92" s="211"/>
      <c r="F92" s="211"/>
      <c r="G92" s="211"/>
      <c r="H92" s="211"/>
      <c r="I92" s="211"/>
    </row>
    <row r="93" spans="1:9" x14ac:dyDescent="0.35">
      <c r="A93" s="211"/>
      <c r="B93" s="211"/>
      <c r="C93" s="211"/>
      <c r="D93" s="211"/>
      <c r="E93" s="211"/>
      <c r="F93" s="211"/>
      <c r="G93" s="211"/>
      <c r="H93" s="211"/>
      <c r="I93" s="211"/>
    </row>
    <row r="94" spans="1:9" x14ac:dyDescent="0.35">
      <c r="A94" s="211"/>
      <c r="B94" s="211"/>
      <c r="C94" s="211"/>
      <c r="D94" s="211"/>
      <c r="E94" s="211"/>
      <c r="F94" s="211"/>
      <c r="G94" s="211"/>
      <c r="H94" s="211"/>
      <c r="I94" s="211"/>
    </row>
    <row r="95" spans="1:9" x14ac:dyDescent="0.35">
      <c r="A95" s="211"/>
      <c r="B95" s="211"/>
      <c r="C95" s="211"/>
      <c r="D95" s="211"/>
      <c r="E95" s="211"/>
      <c r="F95" s="211"/>
      <c r="G95" s="211"/>
      <c r="H95" s="211"/>
      <c r="I95" s="211"/>
    </row>
    <row r="96" spans="1:9" x14ac:dyDescent="0.35">
      <c r="A96" s="211"/>
      <c r="B96" s="211"/>
      <c r="C96" s="211"/>
      <c r="D96" s="211"/>
      <c r="E96" s="211"/>
      <c r="F96" s="211"/>
      <c r="G96" s="211"/>
      <c r="H96" s="211"/>
      <c r="I96" s="211"/>
    </row>
    <row r="97" spans="1:9" x14ac:dyDescent="0.35">
      <c r="A97" s="211"/>
      <c r="B97" s="211"/>
      <c r="C97" s="211"/>
      <c r="D97" s="211"/>
      <c r="E97" s="211"/>
      <c r="F97" s="211"/>
      <c r="G97" s="211"/>
      <c r="H97" s="211"/>
      <c r="I97" s="211"/>
    </row>
    <row r="98" spans="1:9" x14ac:dyDescent="0.35">
      <c r="A98" s="211"/>
      <c r="B98" s="211"/>
      <c r="C98" s="211"/>
      <c r="D98" s="211"/>
      <c r="E98" s="211"/>
      <c r="F98" s="211"/>
      <c r="G98" s="211"/>
      <c r="H98" s="211"/>
      <c r="I98" s="211"/>
    </row>
    <row r="99" spans="1:9" x14ac:dyDescent="0.35">
      <c r="A99" s="211"/>
      <c r="B99" s="211"/>
      <c r="C99" s="211"/>
      <c r="D99" s="211"/>
      <c r="E99" s="211"/>
      <c r="F99" s="211"/>
      <c r="G99" s="211"/>
      <c r="H99" s="211"/>
      <c r="I99" s="211"/>
    </row>
    <row r="100" spans="1:9" x14ac:dyDescent="0.35">
      <c r="A100" s="211"/>
      <c r="B100" s="211"/>
      <c r="C100" s="211"/>
      <c r="D100" s="211"/>
      <c r="E100" s="211"/>
      <c r="F100" s="211"/>
      <c r="G100" s="211"/>
      <c r="H100" s="211"/>
      <c r="I100" s="211"/>
    </row>
    <row r="101" spans="1:9" x14ac:dyDescent="0.35">
      <c r="A101" s="211"/>
      <c r="B101" s="211"/>
      <c r="C101" s="211"/>
      <c r="D101" s="211"/>
      <c r="E101" s="211"/>
      <c r="F101" s="211"/>
      <c r="G101" s="211"/>
      <c r="H101" s="211"/>
      <c r="I101" s="211"/>
    </row>
    <row r="102" spans="1:9" x14ac:dyDescent="0.35">
      <c r="A102" s="211"/>
      <c r="B102" s="211"/>
      <c r="C102" s="211"/>
      <c r="D102" s="211"/>
      <c r="E102" s="211"/>
      <c r="F102" s="211"/>
      <c r="G102" s="211"/>
      <c r="H102" s="211"/>
      <c r="I102" s="211"/>
    </row>
    <row r="103" spans="1:9" x14ac:dyDescent="0.35">
      <c r="A103" s="211"/>
      <c r="B103" s="211"/>
      <c r="C103" s="211"/>
      <c r="D103" s="211"/>
      <c r="E103" s="211"/>
      <c r="F103" s="211"/>
      <c r="G103" s="211"/>
      <c r="H103" s="211"/>
      <c r="I103" s="211"/>
    </row>
    <row r="104" spans="1:9" x14ac:dyDescent="0.35">
      <c r="A104" s="211"/>
      <c r="B104" s="211"/>
      <c r="C104" s="211"/>
      <c r="D104" s="211"/>
      <c r="E104" s="211"/>
      <c r="F104" s="211"/>
      <c r="G104" s="211"/>
      <c r="H104" s="211"/>
      <c r="I104" s="211"/>
    </row>
    <row r="105" spans="1:9" x14ac:dyDescent="0.35">
      <c r="A105" s="211"/>
      <c r="B105" s="211"/>
      <c r="C105" s="211"/>
      <c r="D105" s="211"/>
      <c r="E105" s="211"/>
      <c r="F105" s="211"/>
      <c r="G105" s="211"/>
      <c r="H105" s="211"/>
      <c r="I105" s="211"/>
    </row>
    <row r="106" spans="1:9" x14ac:dyDescent="0.35">
      <c r="A106" s="211"/>
      <c r="B106" s="211"/>
      <c r="C106" s="211"/>
      <c r="D106" s="211"/>
      <c r="E106" s="211"/>
      <c r="F106" s="211"/>
      <c r="G106" s="211"/>
      <c r="H106" s="211"/>
      <c r="I106" s="211"/>
    </row>
    <row r="107" spans="1:9" x14ac:dyDescent="0.35">
      <c r="A107" s="211"/>
      <c r="B107" s="211"/>
      <c r="C107" s="211"/>
      <c r="D107" s="211"/>
      <c r="E107" s="211"/>
      <c r="F107" s="211"/>
      <c r="G107" s="211"/>
      <c r="H107" s="211"/>
      <c r="I107" s="211"/>
    </row>
    <row r="108" spans="1:9" x14ac:dyDescent="0.35">
      <c r="A108" s="211"/>
      <c r="B108" s="211"/>
      <c r="C108" s="211"/>
      <c r="D108" s="211"/>
      <c r="E108" s="211"/>
      <c r="F108" s="211"/>
      <c r="G108" s="211"/>
      <c r="H108" s="211"/>
      <c r="I108" s="211"/>
    </row>
    <row r="109" spans="1:9" x14ac:dyDescent="0.35">
      <c r="A109" s="211"/>
      <c r="B109" s="211"/>
      <c r="C109" s="211"/>
      <c r="D109" s="211"/>
      <c r="E109" s="211"/>
      <c r="F109" s="211"/>
      <c r="G109" s="211"/>
      <c r="H109" s="211"/>
      <c r="I109" s="211"/>
    </row>
    <row r="110" spans="1:9" x14ac:dyDescent="0.35">
      <c r="A110" s="211"/>
      <c r="B110" s="211"/>
      <c r="C110" s="211"/>
      <c r="D110" s="211"/>
      <c r="E110" s="211"/>
      <c r="F110" s="211"/>
      <c r="G110" s="211"/>
      <c r="H110" s="211"/>
      <c r="I110" s="211"/>
    </row>
    <row r="111" spans="1:9" x14ac:dyDescent="0.35">
      <c r="A111" s="211"/>
      <c r="B111" s="211"/>
      <c r="C111" s="211"/>
      <c r="D111" s="211"/>
      <c r="E111" s="211"/>
      <c r="F111" s="211"/>
      <c r="G111" s="211"/>
      <c r="H111" s="211"/>
      <c r="I111" s="211"/>
    </row>
    <row r="112" spans="1:9" x14ac:dyDescent="0.35">
      <c r="A112" s="211"/>
      <c r="B112" s="211"/>
      <c r="C112" s="211"/>
      <c r="D112" s="211"/>
      <c r="E112" s="211"/>
      <c r="F112" s="211"/>
      <c r="G112" s="211"/>
      <c r="H112" s="211"/>
      <c r="I112" s="211"/>
    </row>
    <row r="113" spans="1:9" x14ac:dyDescent="0.35">
      <c r="A113" s="211"/>
      <c r="B113" s="211"/>
      <c r="C113" s="211"/>
      <c r="D113" s="211"/>
      <c r="E113" s="211"/>
      <c r="F113" s="211"/>
      <c r="G113" s="211"/>
      <c r="H113" s="211"/>
      <c r="I113" s="211"/>
    </row>
    <row r="114" spans="1:9" x14ac:dyDescent="0.35">
      <c r="A114" s="211"/>
      <c r="B114" s="211"/>
      <c r="C114" s="211"/>
      <c r="D114" s="211"/>
      <c r="E114" s="211"/>
      <c r="F114" s="211"/>
      <c r="G114" s="211"/>
      <c r="H114" s="211"/>
      <c r="I114" s="211"/>
    </row>
    <row r="115" spans="1:9" x14ac:dyDescent="0.35">
      <c r="A115" s="211"/>
      <c r="B115" s="211"/>
      <c r="C115" s="211"/>
      <c r="D115" s="211"/>
      <c r="E115" s="211"/>
      <c r="F115" s="211"/>
      <c r="G115" s="211"/>
      <c r="H115" s="211"/>
      <c r="I115" s="211"/>
    </row>
    <row r="116" spans="1:9" x14ac:dyDescent="0.35">
      <c r="A116" s="211"/>
      <c r="B116" s="211"/>
      <c r="C116" s="211"/>
      <c r="D116" s="211"/>
      <c r="E116" s="211"/>
      <c r="F116" s="211"/>
      <c r="G116" s="211"/>
      <c r="H116" s="211"/>
      <c r="I116" s="211"/>
    </row>
    <row r="117" spans="1:9" x14ac:dyDescent="0.35">
      <c r="A117" s="211"/>
      <c r="B117" s="211"/>
      <c r="C117" s="211"/>
      <c r="D117" s="211"/>
      <c r="E117" s="211"/>
      <c r="F117" s="211"/>
      <c r="G117" s="211"/>
      <c r="H117" s="211"/>
      <c r="I117" s="211"/>
    </row>
    <row r="118" spans="1:9" x14ac:dyDescent="0.35">
      <c r="A118" s="211"/>
      <c r="B118" s="211"/>
      <c r="C118" s="211"/>
      <c r="D118" s="211"/>
      <c r="E118" s="211"/>
      <c r="F118" s="211"/>
      <c r="G118" s="211"/>
      <c r="H118" s="211"/>
      <c r="I118" s="211"/>
    </row>
    <row r="119" spans="1:9" x14ac:dyDescent="0.35">
      <c r="A119" s="211"/>
      <c r="B119" s="211"/>
      <c r="C119" s="211"/>
      <c r="D119" s="211"/>
      <c r="E119" s="211"/>
      <c r="F119" s="211"/>
      <c r="G119" s="211"/>
      <c r="H119" s="211"/>
      <c r="I119" s="211"/>
    </row>
    <row r="120" spans="1:9" x14ac:dyDescent="0.35">
      <c r="A120" s="211"/>
      <c r="B120" s="211"/>
      <c r="C120" s="211"/>
      <c r="D120" s="211"/>
      <c r="E120" s="211"/>
      <c r="F120" s="211"/>
      <c r="G120" s="211"/>
      <c r="H120" s="211"/>
      <c r="I120" s="211"/>
    </row>
    <row r="121" spans="1:9" x14ac:dyDescent="0.35">
      <c r="A121" s="211"/>
      <c r="B121" s="211"/>
      <c r="C121" s="211"/>
      <c r="D121" s="211"/>
      <c r="E121" s="211"/>
      <c r="F121" s="211"/>
      <c r="G121" s="211"/>
      <c r="H121" s="211"/>
      <c r="I121" s="211"/>
    </row>
    <row r="122" spans="1:9" x14ac:dyDescent="0.35">
      <c r="A122" s="211"/>
      <c r="B122" s="211"/>
      <c r="C122" s="211"/>
      <c r="D122" s="211"/>
      <c r="E122" s="211"/>
      <c r="F122" s="211"/>
      <c r="G122" s="211"/>
      <c r="H122" s="211"/>
      <c r="I122" s="211"/>
    </row>
    <row r="123" spans="1:9" x14ac:dyDescent="0.35">
      <c r="A123" s="211"/>
      <c r="B123" s="211"/>
      <c r="C123" s="211"/>
      <c r="D123" s="211"/>
      <c r="E123" s="211"/>
      <c r="F123" s="211"/>
      <c r="G123" s="211"/>
      <c r="H123" s="211"/>
      <c r="I123" s="211"/>
    </row>
    <row r="124" spans="1:9" x14ac:dyDescent="0.35">
      <c r="A124" s="211"/>
      <c r="B124" s="211"/>
      <c r="C124" s="211"/>
      <c r="D124" s="211"/>
      <c r="E124" s="211"/>
      <c r="F124" s="211"/>
      <c r="G124" s="211"/>
      <c r="H124" s="211"/>
      <c r="I124" s="211"/>
    </row>
    <row r="125" spans="1:9" x14ac:dyDescent="0.35">
      <c r="A125" s="211"/>
      <c r="B125" s="211"/>
      <c r="C125" s="211"/>
      <c r="D125" s="211"/>
      <c r="E125" s="211"/>
      <c r="F125" s="211"/>
      <c r="G125" s="211"/>
      <c r="H125" s="211"/>
      <c r="I125" s="211"/>
    </row>
    <row r="126" spans="1:9" x14ac:dyDescent="0.35">
      <c r="A126" s="211"/>
      <c r="B126" s="211"/>
      <c r="C126" s="211"/>
      <c r="D126" s="211"/>
      <c r="E126" s="211"/>
      <c r="F126" s="211"/>
      <c r="G126" s="211"/>
      <c r="H126" s="211"/>
      <c r="I126" s="211"/>
    </row>
    <row r="127" spans="1:9" x14ac:dyDescent="0.35">
      <c r="A127" s="211"/>
      <c r="B127" s="211"/>
      <c r="C127" s="211"/>
      <c r="D127" s="211"/>
      <c r="E127" s="211"/>
      <c r="F127" s="211"/>
      <c r="G127" s="211"/>
      <c r="H127" s="211"/>
      <c r="I127" s="211"/>
    </row>
    <row r="128" spans="1:9" x14ac:dyDescent="0.35">
      <c r="A128" s="211"/>
      <c r="B128" s="211"/>
      <c r="C128" s="211"/>
      <c r="D128" s="211"/>
      <c r="E128" s="211"/>
      <c r="F128" s="211"/>
      <c r="G128" s="211"/>
      <c r="H128" s="211"/>
      <c r="I128" s="211"/>
    </row>
    <row r="129" spans="1:9" x14ac:dyDescent="0.35">
      <c r="A129" s="211"/>
      <c r="B129" s="211"/>
      <c r="C129" s="211"/>
      <c r="D129" s="211"/>
      <c r="E129" s="211"/>
      <c r="F129" s="211"/>
      <c r="G129" s="211"/>
      <c r="H129" s="211"/>
      <c r="I129" s="211"/>
    </row>
    <row r="130" spans="1:9" x14ac:dyDescent="0.35">
      <c r="A130" s="211"/>
      <c r="B130" s="211"/>
      <c r="C130" s="211"/>
      <c r="D130" s="211"/>
      <c r="E130" s="211"/>
      <c r="F130" s="211"/>
      <c r="G130" s="211"/>
      <c r="H130" s="211"/>
      <c r="I130" s="211"/>
    </row>
    <row r="131" spans="1:9" x14ac:dyDescent="0.35">
      <c r="A131" s="211"/>
      <c r="B131" s="211"/>
      <c r="C131" s="211"/>
      <c r="D131" s="211"/>
      <c r="E131" s="211"/>
      <c r="F131" s="211"/>
      <c r="G131" s="211"/>
      <c r="H131" s="211"/>
      <c r="I131" s="211"/>
    </row>
    <row r="132" spans="1:9" x14ac:dyDescent="0.35">
      <c r="A132" s="211"/>
      <c r="B132" s="211"/>
      <c r="C132" s="211"/>
      <c r="D132" s="211"/>
      <c r="E132" s="211"/>
      <c r="F132" s="211"/>
      <c r="G132" s="211"/>
      <c r="H132" s="211"/>
      <c r="I132" s="211"/>
    </row>
    <row r="133" spans="1:9" x14ac:dyDescent="0.35">
      <c r="A133" s="211"/>
      <c r="B133" s="211"/>
      <c r="C133" s="211"/>
      <c r="D133" s="211"/>
      <c r="E133" s="211"/>
      <c r="F133" s="211"/>
      <c r="G133" s="211"/>
      <c r="H133" s="211"/>
      <c r="I133" s="211"/>
    </row>
    <row r="134" spans="1:9" x14ac:dyDescent="0.35">
      <c r="A134" s="211"/>
      <c r="B134" s="211"/>
      <c r="C134" s="211"/>
      <c r="D134" s="211"/>
      <c r="E134" s="211"/>
      <c r="F134" s="211"/>
      <c r="G134" s="211"/>
      <c r="H134" s="211"/>
      <c r="I134" s="211"/>
    </row>
    <row r="135" spans="1:9" x14ac:dyDescent="0.35">
      <c r="A135" s="211"/>
      <c r="B135" s="211"/>
      <c r="C135" s="211"/>
      <c r="D135" s="211"/>
      <c r="E135" s="211"/>
      <c r="F135" s="211"/>
      <c r="G135" s="211"/>
      <c r="H135" s="211"/>
      <c r="I135" s="211"/>
    </row>
    <row r="136" spans="1:9" x14ac:dyDescent="0.35">
      <c r="A136" s="211"/>
      <c r="B136" s="211"/>
      <c r="C136" s="211"/>
      <c r="D136" s="211"/>
      <c r="E136" s="211"/>
      <c r="F136" s="211"/>
      <c r="G136" s="211"/>
      <c r="H136" s="211"/>
      <c r="I136" s="211"/>
    </row>
    <row r="137" spans="1:9" x14ac:dyDescent="0.35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 x14ac:dyDescent="0.35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x14ac:dyDescent="0.35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x14ac:dyDescent="0.35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x14ac:dyDescent="0.35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x14ac:dyDescent="0.35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x14ac:dyDescent="0.35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x14ac:dyDescent="0.35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x14ac:dyDescent="0.35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x14ac:dyDescent="0.35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x14ac:dyDescent="0.35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x14ac:dyDescent="0.35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x14ac:dyDescent="0.35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x14ac:dyDescent="0.35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x14ac:dyDescent="0.35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35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x14ac:dyDescent="0.35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x14ac:dyDescent="0.35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x14ac:dyDescent="0.35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x14ac:dyDescent="0.35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 x14ac:dyDescent="0.35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x14ac:dyDescent="0.35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x14ac:dyDescent="0.35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 x14ac:dyDescent="0.35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 x14ac:dyDescent="0.35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x14ac:dyDescent="0.35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x14ac:dyDescent="0.35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x14ac:dyDescent="0.35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x14ac:dyDescent="0.35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x14ac:dyDescent="0.35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x14ac:dyDescent="0.35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x14ac:dyDescent="0.35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x14ac:dyDescent="0.35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x14ac:dyDescent="0.35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x14ac:dyDescent="0.35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x14ac:dyDescent="0.35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x14ac:dyDescent="0.35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x14ac:dyDescent="0.35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x14ac:dyDescent="0.35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35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x14ac:dyDescent="0.35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x14ac:dyDescent="0.35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x14ac:dyDescent="0.35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9" x14ac:dyDescent="0.35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x14ac:dyDescent="0.35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x14ac:dyDescent="0.35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9" x14ac:dyDescent="0.35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9" x14ac:dyDescent="0.35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x14ac:dyDescent="0.35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x14ac:dyDescent="0.35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x14ac:dyDescent="0.35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x14ac:dyDescent="0.35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x14ac:dyDescent="0.35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x14ac:dyDescent="0.35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x14ac:dyDescent="0.35">
      <c r="A191" s="17"/>
      <c r="B191" s="17"/>
      <c r="C191" s="17"/>
      <c r="D191" s="17"/>
      <c r="E191" s="17"/>
      <c r="F191" s="17"/>
      <c r="G191" s="17"/>
      <c r="H191" s="17"/>
      <c r="I191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4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K61"/>
  <sheetViews>
    <sheetView topLeftCell="A5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34</v>
      </c>
      <c r="C6" s="880" t="s">
        <v>110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1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+C9+SUMIF($C$20:$C$51,K9,$D$20:$D$51)</f>
        <v>0</v>
      </c>
      <c r="E9" s="114">
        <f>+D9+SUMIF($C$20:$C$51,K9,$E$20:$E$51)</f>
        <v>0</v>
      </c>
      <c r="F9" s="396">
        <f>+E9+SUMIF($C$20:$C$51,K9,$F$20:$F$51)</f>
        <v>0</v>
      </c>
      <c r="G9" s="33">
        <f>+F9+SUMIF($C$20:$C$51,K9,$G$20:$G$51)</f>
        <v>0</v>
      </c>
      <c r="H9" s="219">
        <f>+G9+SUMIF($C$20:$C$51,K9,$H$20:$H$51)</f>
        <v>0</v>
      </c>
      <c r="I9" s="50">
        <f>+H9+SUMIF($C$20:$C$51,K9,$I$20:$I$51)</f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ref="E10:E15" si="1">+D10+SUMIF($C$20:$C$51,K10,$E$20:$E$51)</f>
        <v>0</v>
      </c>
      <c r="F10" s="504">
        <f t="shared" ref="F10:F15" si="2">+E10+SUMIF($C$20:$C$51,K10,$F$20:$F$51)</f>
        <v>0</v>
      </c>
      <c r="G10" s="35">
        <f t="shared" ref="G10:G15" si="3">+F10+SUMIF($C$20:$C$51,K10,$G$20:$G$51)</f>
        <v>0</v>
      </c>
      <c r="H10" s="222">
        <f t="shared" ref="H10:H15" si="4">+G10+SUMIF($C$20:$C$51,K10,$H$20:$H$51)</f>
        <v>0</v>
      </c>
      <c r="I10" s="36">
        <f t="shared" ref="I10:I15" si="5">+H10+SUMIF($C$20:$C$51,K10,$I$20:$I$51)</f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42">
        <v>2550000</v>
      </c>
      <c r="C12" s="35">
        <v>2040000</v>
      </c>
      <c r="D12" s="222">
        <f t="shared" si="0"/>
        <v>2040000</v>
      </c>
      <c r="E12" s="506">
        <f t="shared" si="1"/>
        <v>2040000</v>
      </c>
      <c r="F12" s="504">
        <f t="shared" si="2"/>
        <v>2040000</v>
      </c>
      <c r="G12" s="35">
        <f t="shared" si="3"/>
        <v>2040000</v>
      </c>
      <c r="H12" s="222">
        <f t="shared" si="4"/>
        <v>2040000</v>
      </c>
      <c r="I12" s="36">
        <f t="shared" si="5"/>
        <v>2040000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2550000</v>
      </c>
      <c r="C16" s="39">
        <f t="shared" ref="C16:I16" si="6">SUM(C9:C15)</f>
        <v>2040000</v>
      </c>
      <c r="D16" s="39">
        <f t="shared" si="6"/>
        <v>2040000</v>
      </c>
      <c r="E16" s="529">
        <f t="shared" si="6"/>
        <v>2040000</v>
      </c>
      <c r="F16" s="39">
        <f t="shared" si="6"/>
        <v>2040000</v>
      </c>
      <c r="G16" s="39">
        <f t="shared" si="6"/>
        <v>2040000</v>
      </c>
      <c r="H16" s="39">
        <f t="shared" si="6"/>
        <v>2040000</v>
      </c>
      <c r="I16" s="39">
        <f t="shared" si="6"/>
        <v>2040000</v>
      </c>
    </row>
    <row r="18" spans="1:10" x14ac:dyDescent="0.35">
      <c r="E18" s="400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157" t="s">
        <v>488</v>
      </c>
      <c r="B20" s="78"/>
      <c r="C20" s="71"/>
      <c r="D20" s="72"/>
      <c r="E20" s="72"/>
      <c r="F20" s="72"/>
      <c r="G20" s="72"/>
      <c r="H20" s="72"/>
      <c r="I20" s="73"/>
    </row>
    <row r="21" spans="1:10" ht="15" customHeight="1" x14ac:dyDescent="0.35">
      <c r="A21" s="157" t="s">
        <v>485</v>
      </c>
      <c r="B21" s="78"/>
      <c r="C21" s="71"/>
      <c r="D21" s="72"/>
      <c r="E21" s="72"/>
      <c r="F21" s="72"/>
      <c r="G21" s="72"/>
      <c r="H21" s="72"/>
      <c r="I21" s="73"/>
    </row>
    <row r="22" spans="1:10" ht="13" customHeight="1" x14ac:dyDescent="0.35">
      <c r="A22" s="83" t="s">
        <v>612</v>
      </c>
      <c r="B22" s="84"/>
      <c r="C22" s="67">
        <v>500</v>
      </c>
      <c r="D22" s="68"/>
      <c r="E22" s="68"/>
      <c r="F22" s="68">
        <v>510000</v>
      </c>
      <c r="G22" s="69"/>
      <c r="H22" s="69"/>
      <c r="I22" s="69"/>
      <c r="J22" s="17"/>
    </row>
    <row r="23" spans="1:10" s="58" customFormat="1" ht="13" customHeight="1" x14ac:dyDescent="0.35">
      <c r="A23" s="157" t="s">
        <v>594</v>
      </c>
      <c r="B23" s="78"/>
      <c r="C23" s="71"/>
      <c r="D23" s="72"/>
      <c r="E23" s="72"/>
      <c r="F23" s="72"/>
      <c r="G23" s="73"/>
      <c r="H23" s="73"/>
      <c r="I23" s="73"/>
      <c r="J23" s="81"/>
    </row>
    <row r="24" spans="1:10" ht="13" customHeight="1" x14ac:dyDescent="0.35">
      <c r="A24" s="753" t="s">
        <v>613</v>
      </c>
      <c r="B24" s="84"/>
      <c r="C24" s="67">
        <v>500</v>
      </c>
      <c r="D24" s="68"/>
      <c r="E24" s="68"/>
      <c r="F24" s="68">
        <v>-510000</v>
      </c>
      <c r="G24" s="68">
        <v>510000</v>
      </c>
      <c r="H24" s="69"/>
      <c r="I24" s="69"/>
      <c r="J24" s="17"/>
    </row>
    <row r="25" spans="1:10" s="58" customFormat="1" ht="13" customHeight="1" x14ac:dyDescent="0.35">
      <c r="A25" s="157" t="s">
        <v>758</v>
      </c>
      <c r="B25" s="78"/>
      <c r="C25" s="71"/>
      <c r="D25" s="72"/>
      <c r="E25" s="72"/>
      <c r="F25" s="72"/>
      <c r="G25" s="72"/>
      <c r="H25" s="73"/>
      <c r="I25" s="73"/>
      <c r="J25" s="81"/>
    </row>
    <row r="26" spans="1:10" ht="13" customHeight="1" x14ac:dyDescent="0.35">
      <c r="A26" s="753" t="s">
        <v>853</v>
      </c>
      <c r="B26" s="84"/>
      <c r="C26" s="67">
        <v>500</v>
      </c>
      <c r="D26" s="68"/>
      <c r="E26" s="68"/>
      <c r="F26" s="68"/>
      <c r="G26" s="68">
        <v>-510000</v>
      </c>
      <c r="H26" s="69"/>
      <c r="I26" s="69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3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3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3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3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3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3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3"/>
      <c r="I33" s="73"/>
      <c r="J33" s="17"/>
    </row>
    <row r="34" spans="1:10" ht="13" customHeight="1" x14ac:dyDescent="0.35">
      <c r="A34" s="77"/>
      <c r="B34" s="78"/>
      <c r="C34" s="71"/>
      <c r="D34" s="72"/>
      <c r="E34" s="72"/>
      <c r="F34" s="72"/>
      <c r="G34" s="72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6.5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1"/>
      <c r="D57" s="72"/>
      <c r="E57" s="72"/>
      <c r="F57" s="72"/>
      <c r="G57" s="72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  <row r="61" spans="1:10" ht="13" customHeight="1" x14ac:dyDescent="0.35">
      <c r="A61" s="77"/>
      <c r="B61" s="78"/>
      <c r="C61" s="75"/>
      <c r="D61" s="73"/>
      <c r="E61" s="73"/>
      <c r="F61" s="73"/>
      <c r="G61" s="73"/>
      <c r="H61" s="73"/>
      <c r="I61" s="73"/>
      <c r="J61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9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K52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1">
        <v>84</v>
      </c>
      <c r="C6" s="880" t="s">
        <v>144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103276427</v>
      </c>
      <c r="C9" s="33">
        <v>105324122</v>
      </c>
      <c r="D9" s="219">
        <f>+C9+SUMIF($C$20:$C$78,K9,$D$20:$D$78)</f>
        <v>105324122</v>
      </c>
      <c r="E9" s="114">
        <f>+D9+SUMIF($C$20:$C$78,K9,$E$20:$E$78)</f>
        <v>104868556</v>
      </c>
      <c r="F9" s="396">
        <f>+E9+SUMIF($C$20:$C$78,K9,$F$20:$F$78)</f>
        <v>104868556</v>
      </c>
      <c r="G9" s="33">
        <f>+F9+SUMIF($C$20:$C$78,K9,$G$20:$G$78)</f>
        <v>104868556</v>
      </c>
      <c r="H9" s="219">
        <f>+G9+SUMIF($C$20:$C$78,K9,$H$20:$H$78)</f>
        <v>104868556</v>
      </c>
      <c r="I9" s="50">
        <f>+H9+SUMIF($C$20:$C$78,K9,$I$20:$I$78)</f>
        <v>104868556</v>
      </c>
      <c r="K9" s="7">
        <v>100</v>
      </c>
    </row>
    <row r="10" spans="1:11" x14ac:dyDescent="0.35">
      <c r="A10" s="10" t="s">
        <v>5</v>
      </c>
      <c r="B10" s="35">
        <f>11017568+43425</f>
        <v>11060993</v>
      </c>
      <c r="C10" s="35">
        <v>8480039</v>
      </c>
      <c r="D10" s="222">
        <f t="shared" ref="D10:D15" si="0">+C10+SUMIF($C$20:$C$78,K10,$D$20:$D$78)</f>
        <v>8480039</v>
      </c>
      <c r="E10" s="506">
        <f t="shared" ref="E10:E15" si="1">+D10+SUMIF($C$20:$C$78,K10,$E$20:$E$78)</f>
        <v>8643039</v>
      </c>
      <c r="F10" s="504">
        <f t="shared" ref="F10:F15" si="2">+E10+SUMIF($C$20:$C$78,K10,$F$20:$F$78)</f>
        <v>8643039</v>
      </c>
      <c r="G10" s="35">
        <f t="shared" ref="G10:G15" si="3">+F10+SUMIF($C$20:$C$78,K10,$G$20:$G$78)</f>
        <v>8643039</v>
      </c>
      <c r="H10" s="222">
        <f t="shared" ref="H10:H15" si="4">+G10+SUMIF($C$20:$C$78,K10,$H$20:$H$78)</f>
        <v>8643039</v>
      </c>
      <c r="I10" s="36">
        <f t="shared" ref="I10:I15" si="5">+H10+SUMIF($C$20:$C$78,K10,$I$20:$I$78)</f>
        <v>8643039</v>
      </c>
      <c r="K10" s="7">
        <v>200</v>
      </c>
    </row>
    <row r="11" spans="1:11" x14ac:dyDescent="0.35">
      <c r="A11" s="9" t="s">
        <v>6</v>
      </c>
      <c r="B11" s="33">
        <f>1709809+514817</f>
        <v>2224626</v>
      </c>
      <c r="C11" s="33">
        <v>2231868</v>
      </c>
      <c r="D11" s="219">
        <f t="shared" si="0"/>
        <v>2231868</v>
      </c>
      <c r="E11" s="114">
        <f t="shared" si="1"/>
        <v>2231868</v>
      </c>
      <c r="F11" s="396">
        <f t="shared" si="2"/>
        <v>2231868</v>
      </c>
      <c r="G11" s="33">
        <f t="shared" si="3"/>
        <v>2231868</v>
      </c>
      <c r="H11" s="219">
        <f t="shared" si="4"/>
        <v>2231868</v>
      </c>
      <c r="I11" s="34">
        <f t="shared" si="5"/>
        <v>2231868</v>
      </c>
      <c r="K11" s="7" t="s">
        <v>167</v>
      </c>
    </row>
    <row r="12" spans="1:11" x14ac:dyDescent="0.35">
      <c r="A12" s="10" t="s">
        <v>7</v>
      </c>
      <c r="B12" s="35">
        <v>14482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ref="D14" si="6">+C14+SUMIF($C$20:$C$78,K14,$D$20:$D$78)</f>
        <v>0</v>
      </c>
      <c r="E14" s="506">
        <f t="shared" ref="E14" si="7">+D14+SUMIF($C$20:$C$78,K14,$E$20:$E$78)</f>
        <v>0</v>
      </c>
      <c r="F14" s="504">
        <f t="shared" ref="F14" si="8">+E14+SUMIF($C$20:$C$78,K14,$F$20:$F$78)</f>
        <v>0</v>
      </c>
      <c r="G14" s="35">
        <f t="shared" ref="G14" si="9">+F14+SUMIF($C$20:$C$78,K14,$G$20:$G$78)</f>
        <v>0</v>
      </c>
      <c r="H14" s="222">
        <f t="shared" ref="H14" si="10">+G14+SUMIF($C$20:$C$78,K14,$H$20:$H$78)</f>
        <v>0</v>
      </c>
      <c r="I14" s="36">
        <f t="shared" ref="I14" si="11">+H14+SUMIF($C$20:$C$78,K14,$I$20:$I$78)</f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116576528</v>
      </c>
      <c r="C16" s="39">
        <f t="shared" ref="C16:I16" si="12">SUM(C9:C15)</f>
        <v>116036029</v>
      </c>
      <c r="D16" s="39">
        <f>SUM(D9:D15)</f>
        <v>116036029</v>
      </c>
      <c r="E16" s="529">
        <f t="shared" si="12"/>
        <v>115743463</v>
      </c>
      <c r="F16" s="39">
        <f t="shared" si="12"/>
        <v>115743463</v>
      </c>
      <c r="G16" s="39">
        <f t="shared" si="12"/>
        <v>115743463</v>
      </c>
      <c r="H16" s="39">
        <f t="shared" si="12"/>
        <v>115743463</v>
      </c>
      <c r="I16" s="39">
        <f t="shared" si="12"/>
        <v>115743463</v>
      </c>
    </row>
    <row r="17" spans="1:10" x14ac:dyDescent="0.35">
      <c r="B17" s="17"/>
      <c r="E17" s="206"/>
    </row>
    <row r="18" spans="1:10" x14ac:dyDescent="0.35">
      <c r="E18" s="401">
        <f>+E16-D16</f>
        <v>-292566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07" t="s">
        <v>387</v>
      </c>
      <c r="B20" s="295"/>
      <c r="C20" s="241"/>
      <c r="D20" s="242"/>
      <c r="E20" s="73"/>
      <c r="F20" s="73"/>
      <c r="G20" s="73"/>
      <c r="H20" s="73"/>
      <c r="I20" s="73"/>
    </row>
    <row r="21" spans="1:10" s="58" customFormat="1" ht="13" customHeight="1" x14ac:dyDescent="0.35">
      <c r="A21" s="298" t="s">
        <v>517</v>
      </c>
      <c r="B21" s="538"/>
      <c r="C21" s="705">
        <v>100</v>
      </c>
      <c r="D21" s="194"/>
      <c r="E21" s="69"/>
      <c r="F21" s="69">
        <v>816551</v>
      </c>
      <c r="G21" s="69"/>
      <c r="H21" s="69"/>
      <c r="I21" s="69"/>
      <c r="J21" s="81"/>
    </row>
    <row r="22" spans="1:10" ht="13" customHeight="1" x14ac:dyDescent="0.35">
      <c r="A22" s="778" t="s">
        <v>543</v>
      </c>
      <c r="B22" s="78"/>
      <c r="C22" s="75">
        <v>200</v>
      </c>
      <c r="D22" s="777"/>
      <c r="E22" s="777"/>
      <c r="F22" s="73">
        <v>946506</v>
      </c>
      <c r="G22" s="73"/>
      <c r="H22" s="73"/>
      <c r="I22" s="73"/>
      <c r="J22" s="17"/>
    </row>
    <row r="23" spans="1:10" ht="13" customHeight="1" x14ac:dyDescent="0.35">
      <c r="A23" s="779" t="s">
        <v>596</v>
      </c>
      <c r="B23" s="84"/>
      <c r="C23" s="74"/>
      <c r="D23" s="777"/>
      <c r="E23" s="777"/>
      <c r="F23" s="69"/>
      <c r="G23" s="69"/>
      <c r="H23" s="69"/>
      <c r="I23" s="69"/>
      <c r="J23" s="17"/>
    </row>
    <row r="24" spans="1:10" ht="13" customHeight="1" x14ac:dyDescent="0.35">
      <c r="A24" s="316" t="s">
        <v>616</v>
      </c>
      <c r="B24" s="317"/>
      <c r="C24" s="279">
        <v>100</v>
      </c>
      <c r="D24" s="315"/>
      <c r="E24" s="315"/>
      <c r="F24" s="315">
        <v>-816551</v>
      </c>
      <c r="G24" s="315">
        <v>816551</v>
      </c>
      <c r="H24" s="315"/>
      <c r="I24" s="315"/>
      <c r="J24" s="17"/>
    </row>
    <row r="25" spans="1:10" ht="13" customHeight="1" x14ac:dyDescent="0.35">
      <c r="A25" s="180"/>
      <c r="B25" s="151"/>
      <c r="C25" s="181">
        <v>200</v>
      </c>
      <c r="D25" s="142"/>
      <c r="E25" s="142"/>
      <c r="F25" s="142">
        <v>-946506</v>
      </c>
      <c r="G25" s="142">
        <v>946506</v>
      </c>
      <c r="H25" s="142"/>
      <c r="I25" s="142"/>
      <c r="J25" s="17"/>
    </row>
    <row r="26" spans="1:10" ht="13" customHeight="1" x14ac:dyDescent="0.35">
      <c r="A26" s="740" t="s">
        <v>748</v>
      </c>
      <c r="B26" s="78"/>
      <c r="C26" s="88"/>
      <c r="D26" s="73"/>
      <c r="E26" s="73"/>
      <c r="F26" s="73"/>
      <c r="G26" s="73"/>
      <c r="H26" s="73"/>
      <c r="I26" s="73"/>
      <c r="J26" s="17"/>
    </row>
    <row r="27" spans="1:10" ht="13" customHeight="1" x14ac:dyDescent="0.35">
      <c r="A27" s="298" t="s">
        <v>757</v>
      </c>
      <c r="B27" s="151"/>
      <c r="C27" s="181">
        <v>200</v>
      </c>
      <c r="D27" s="142"/>
      <c r="E27" s="142">
        <v>163000</v>
      </c>
      <c r="F27" s="142"/>
      <c r="G27" s="142"/>
      <c r="H27" s="142"/>
      <c r="I27" s="142"/>
      <c r="J27" s="17"/>
    </row>
    <row r="28" spans="1:10" ht="13" customHeight="1" x14ac:dyDescent="0.35">
      <c r="A28" s="314" t="s">
        <v>858</v>
      </c>
      <c r="B28" s="78"/>
      <c r="C28" s="75">
        <v>100</v>
      </c>
      <c r="D28" s="73"/>
      <c r="E28" s="73"/>
      <c r="F28" s="73"/>
      <c r="G28" s="73">
        <v>-816551</v>
      </c>
      <c r="H28" s="73"/>
      <c r="I28" s="73"/>
      <c r="J28" s="17"/>
    </row>
    <row r="29" spans="1:10" ht="12.75" customHeight="1" x14ac:dyDescent="0.35">
      <c r="A29" s="180"/>
      <c r="B29" s="84"/>
      <c r="C29" s="74">
        <v>200</v>
      </c>
      <c r="D29" s="69"/>
      <c r="E29" s="69"/>
      <c r="F29" s="69"/>
      <c r="G29" s="69">
        <v>-946506</v>
      </c>
      <c r="H29" s="69"/>
      <c r="I29" s="69"/>
      <c r="J29" s="17"/>
    </row>
    <row r="30" spans="1:10" ht="13" customHeight="1" x14ac:dyDescent="0.35">
      <c r="A30" s="179" t="s">
        <v>885</v>
      </c>
      <c r="B30" s="78"/>
      <c r="C30" s="75">
        <v>100</v>
      </c>
      <c r="D30" s="73"/>
      <c r="E30" s="73">
        <v>-455566</v>
      </c>
      <c r="F30" s="73"/>
      <c r="G30" s="73"/>
      <c r="H30" s="73"/>
      <c r="I30" s="73"/>
      <c r="J30" s="17"/>
    </row>
    <row r="31" spans="1:10" ht="13" customHeight="1" x14ac:dyDescent="0.35">
      <c r="A31" s="753"/>
      <c r="B31" s="84"/>
      <c r="C31" s="74"/>
      <c r="D31" s="69"/>
      <c r="E31" s="69"/>
      <c r="F31" s="69"/>
      <c r="G31" s="69"/>
      <c r="H31" s="69"/>
      <c r="I31" s="69"/>
      <c r="J31" s="17"/>
    </row>
    <row r="32" spans="1:10" ht="13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17"/>
    </row>
    <row r="33" spans="1:10" ht="13" customHeight="1" x14ac:dyDescent="0.35">
      <c r="A33" s="79"/>
      <c r="B33" s="78"/>
      <c r="C33" s="75"/>
      <c r="D33" s="73"/>
      <c r="E33" s="73"/>
      <c r="F33" s="73"/>
      <c r="G33" s="73"/>
      <c r="H33" s="73"/>
      <c r="I33" s="73"/>
      <c r="J33" s="17"/>
    </row>
    <row r="34" spans="1:10" ht="13" customHeight="1" x14ac:dyDescent="0.35">
      <c r="A34" s="80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8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8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8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x14ac:dyDescent="0.35">
      <c r="A51" s="81"/>
      <c r="B51" s="81"/>
      <c r="C51" s="81"/>
      <c r="D51" s="81"/>
      <c r="E51" s="81"/>
      <c r="F51" s="81"/>
      <c r="G51" s="81"/>
      <c r="H51" s="81"/>
      <c r="I51" s="81"/>
    </row>
    <row r="52" spans="1:10" x14ac:dyDescent="0.35">
      <c r="A52" s="81"/>
      <c r="B52" s="81"/>
      <c r="C52" s="81"/>
      <c r="D52" s="81"/>
      <c r="E52" s="81"/>
      <c r="F52" s="81"/>
      <c r="G52" s="81"/>
      <c r="H52" s="81"/>
      <c r="I52" s="81"/>
    </row>
  </sheetData>
  <mergeCells count="6">
    <mergeCell ref="A1:I1"/>
    <mergeCell ref="A2:I2"/>
    <mergeCell ref="A3:I3"/>
    <mergeCell ref="A4:I4"/>
    <mergeCell ref="C6:I6"/>
    <mergeCell ref="C5:I5"/>
  </mergeCells>
  <conditionalFormatting sqref="A22:A23">
    <cfRule type="expression" dxfId="239" priority="3">
      <formula>MOD(ROW(),2)=1</formula>
    </cfRule>
  </conditionalFormatting>
  <conditionalFormatting sqref="D22:E23">
    <cfRule type="expression" dxfId="238" priority="2">
      <formula>MOD(ROW(),2)=1</formula>
    </cfRule>
  </conditionalFormatting>
  <conditionalFormatting sqref="C9:I15">
    <cfRule type="cellIs" dxfId="23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tabColor theme="3"/>
  </sheetPr>
  <dimension ref="A1:K58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25</v>
      </c>
      <c r="C6" s="880" t="s">
        <v>143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18563332</v>
      </c>
      <c r="C9" s="33">
        <v>19073455</v>
      </c>
      <c r="D9" s="219">
        <f>+C9+SUMIF($C$20:$C$78,K9,$D$20:$D$78)</f>
        <v>19073455</v>
      </c>
      <c r="E9" s="114">
        <f>+D9+SUMIF($C$20:$C$78,K9,$E$20:$E$78)</f>
        <v>18695138</v>
      </c>
      <c r="F9" s="396">
        <f>+E9+SUMIF($C$20:$C$78,K9,$F$20:$F$78)</f>
        <v>18865138</v>
      </c>
      <c r="G9" s="33">
        <f>+F9+SUMIF($C$20:$C$78,K9,$G$20:$G$78)</f>
        <v>19035138</v>
      </c>
      <c r="H9" s="219">
        <f>+G9+SUMIF($C$20:$C$78,K9,$H$20:$H$78)</f>
        <v>19035138</v>
      </c>
      <c r="I9" s="50">
        <f>+H9+SUMIF($C$20:$C$78,K9,$I$20:$I$78)</f>
        <v>19035138</v>
      </c>
      <c r="K9" s="7">
        <v>100</v>
      </c>
    </row>
    <row r="10" spans="1:11" x14ac:dyDescent="0.35">
      <c r="A10" s="10" t="s">
        <v>5</v>
      </c>
      <c r="B10" s="35">
        <f>5282781+96579</f>
        <v>5379360</v>
      </c>
      <c r="C10" s="35">
        <v>5353396</v>
      </c>
      <c r="D10" s="222">
        <f t="shared" ref="D10:D15" si="0">+C10+SUMIF($C$20:$C$78,K10,$D$20:$D$78)</f>
        <v>5353396</v>
      </c>
      <c r="E10" s="506">
        <f t="shared" ref="E10:E15" si="1">+D10+SUMIF($C$20:$C$78,K10,$E$20:$E$78)</f>
        <v>5401396</v>
      </c>
      <c r="F10" s="504">
        <f t="shared" ref="F10:F15" si="2">+E10+SUMIF($C$20:$C$78,K10,$F$20:$F$78)</f>
        <v>5449396</v>
      </c>
      <c r="G10" s="35">
        <f t="shared" ref="G10:G15" si="3">+F10+SUMIF($C$20:$C$78,K10,$G$20:$G$78)</f>
        <v>5449396</v>
      </c>
      <c r="H10" s="222">
        <f t="shared" ref="H10:H15" si="4">+G10+SUMIF($C$20:$C$78,K10,$H$20:$H$78)</f>
        <v>5449396</v>
      </c>
      <c r="I10" s="36">
        <f t="shared" ref="I10:I15" si="5">+H10+SUMIF($C$20:$C$78,K10,$I$20:$I$78)</f>
        <v>5449396</v>
      </c>
      <c r="K10" s="7">
        <v>200</v>
      </c>
    </row>
    <row r="11" spans="1:11" x14ac:dyDescent="0.35">
      <c r="A11" s="9" t="s">
        <v>6</v>
      </c>
      <c r="B11" s="33">
        <f>21833927+18527484-'25V-Fleet - Vehicle'!B11+44275</f>
        <v>22130802</v>
      </c>
      <c r="C11" s="33">
        <v>22376873</v>
      </c>
      <c r="D11" s="219">
        <f t="shared" si="0"/>
        <v>22376873</v>
      </c>
      <c r="E11" s="114">
        <f t="shared" si="1"/>
        <v>20684642</v>
      </c>
      <c r="F11" s="396">
        <f t="shared" si="2"/>
        <v>20684642</v>
      </c>
      <c r="G11" s="33">
        <f t="shared" si="3"/>
        <v>20684642</v>
      </c>
      <c r="H11" s="219">
        <f t="shared" si="4"/>
        <v>20684642</v>
      </c>
      <c r="I11" s="34">
        <f t="shared" si="5"/>
        <v>20684642</v>
      </c>
      <c r="K11" s="7" t="s">
        <v>167</v>
      </c>
    </row>
    <row r="12" spans="1:11" x14ac:dyDescent="0.35">
      <c r="A12" s="10" t="s">
        <v>7</v>
      </c>
      <c r="B12" s="42">
        <v>500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46073994</v>
      </c>
      <c r="C16" s="39">
        <f t="shared" ref="C16:I16" si="6">SUM(C9:C15)</f>
        <v>46803724</v>
      </c>
      <c r="D16" s="39">
        <f t="shared" si="6"/>
        <v>46803724</v>
      </c>
      <c r="E16" s="529">
        <f t="shared" si="6"/>
        <v>44781176</v>
      </c>
      <c r="F16" s="39">
        <f t="shared" si="6"/>
        <v>44999176</v>
      </c>
      <c r="G16" s="39">
        <f t="shared" si="6"/>
        <v>45169176</v>
      </c>
      <c r="H16" s="39">
        <f t="shared" si="6"/>
        <v>45169176</v>
      </c>
      <c r="I16" s="39">
        <f t="shared" si="6"/>
        <v>45169176</v>
      </c>
    </row>
    <row r="17" spans="1:10" x14ac:dyDescent="0.35">
      <c r="B17" s="718">
        <f>+'25V-Fleet - Vehicle'!B16</f>
        <v>18274884</v>
      </c>
    </row>
    <row r="18" spans="1:10" x14ac:dyDescent="0.35">
      <c r="B18" s="717">
        <f>+B17+B16</f>
        <v>64348878</v>
      </c>
      <c r="E18" s="401">
        <f>+E16-D16</f>
        <v>-2022548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366</v>
      </c>
      <c r="B20" s="78"/>
      <c r="C20" s="75"/>
      <c r="D20" s="73"/>
      <c r="E20" s="73"/>
      <c r="F20" s="73"/>
      <c r="G20" s="73"/>
      <c r="H20" s="73"/>
      <c r="I20" s="73"/>
    </row>
    <row r="21" spans="1:10" ht="13" customHeight="1" x14ac:dyDescent="0.35">
      <c r="A21" s="595" t="s">
        <v>332</v>
      </c>
      <c r="B21" s="143"/>
      <c r="C21" s="143"/>
      <c r="D21" s="143"/>
      <c r="E21" s="143"/>
      <c r="F21" s="142"/>
      <c r="G21" s="142"/>
      <c r="H21" s="142"/>
      <c r="I21" s="142"/>
      <c r="J21" s="17"/>
    </row>
    <row r="22" spans="1:10" ht="13" customHeight="1" x14ac:dyDescent="0.35">
      <c r="A22" s="201" t="s">
        <v>386</v>
      </c>
      <c r="B22" s="78"/>
      <c r="C22" s="582">
        <v>200</v>
      </c>
      <c r="D22" s="73"/>
      <c r="E22" s="73">
        <v>48000</v>
      </c>
      <c r="F22" s="73">
        <v>48000</v>
      </c>
      <c r="G22" s="73"/>
      <c r="H22" s="73"/>
      <c r="I22" s="73"/>
      <c r="J22" s="17"/>
    </row>
    <row r="23" spans="1:10" ht="12.75" customHeight="1" x14ac:dyDescent="0.35">
      <c r="A23" s="756" t="s">
        <v>370</v>
      </c>
      <c r="B23" s="84"/>
      <c r="C23" s="585"/>
      <c r="D23" s="69"/>
      <c r="E23" s="69"/>
      <c r="F23" s="69"/>
      <c r="G23" s="69"/>
      <c r="H23" s="142"/>
      <c r="I23" s="142"/>
      <c r="J23" s="17"/>
    </row>
    <row r="24" spans="1:10" ht="12.75" customHeight="1" x14ac:dyDescent="0.35">
      <c r="A24" s="814" t="s">
        <v>486</v>
      </c>
      <c r="B24" s="811"/>
      <c r="C24" s="812"/>
      <c r="D24" s="813"/>
      <c r="E24" s="813"/>
      <c r="F24" s="813"/>
      <c r="G24" s="813"/>
      <c r="H24" s="315"/>
      <c r="I24" s="315"/>
      <c r="J24" s="17"/>
    </row>
    <row r="25" spans="1:10" ht="12.75" customHeight="1" x14ac:dyDescent="0.35">
      <c r="A25" s="293" t="s">
        <v>483</v>
      </c>
      <c r="B25" s="151"/>
      <c r="C25" s="181">
        <v>100</v>
      </c>
      <c r="D25" s="142"/>
      <c r="E25" s="142"/>
      <c r="F25" s="142">
        <v>749288</v>
      </c>
      <c r="G25" s="142"/>
      <c r="H25" s="142"/>
      <c r="I25" s="142"/>
      <c r="J25" s="17"/>
    </row>
    <row r="26" spans="1:10" ht="12.75" customHeight="1" x14ac:dyDescent="0.35">
      <c r="A26" s="778" t="s">
        <v>484</v>
      </c>
      <c r="B26" s="78"/>
      <c r="C26" s="75" t="s">
        <v>167</v>
      </c>
      <c r="D26" s="777"/>
      <c r="E26" s="777"/>
      <c r="F26" s="73">
        <v>4086338</v>
      </c>
      <c r="G26" s="73"/>
      <c r="H26" s="73"/>
      <c r="I26" s="73"/>
      <c r="J26" s="17"/>
    </row>
    <row r="27" spans="1:10" ht="12.75" customHeight="1" x14ac:dyDescent="0.35">
      <c r="A27" s="778" t="s">
        <v>588</v>
      </c>
      <c r="B27" s="143"/>
      <c r="C27" s="745">
        <v>100</v>
      </c>
      <c r="D27" s="777"/>
      <c r="E27" s="777">
        <v>17225</v>
      </c>
      <c r="F27" s="143"/>
      <c r="G27" s="143"/>
      <c r="H27" s="143"/>
      <c r="I27" s="143"/>
      <c r="J27" s="17"/>
    </row>
    <row r="28" spans="1:10" ht="12.75" customHeight="1" x14ac:dyDescent="0.35">
      <c r="A28" s="779" t="s">
        <v>594</v>
      </c>
      <c r="B28" s="78"/>
      <c r="C28" s="75"/>
      <c r="D28" s="777"/>
      <c r="E28" s="777"/>
      <c r="F28" s="73"/>
      <c r="G28" s="73"/>
      <c r="H28" s="73"/>
      <c r="I28" s="73"/>
      <c r="J28" s="17"/>
    </row>
    <row r="29" spans="1:10" ht="12.75" customHeight="1" x14ac:dyDescent="0.35">
      <c r="A29" s="778" t="s">
        <v>616</v>
      </c>
      <c r="B29" s="143"/>
      <c r="C29" s="745">
        <v>100</v>
      </c>
      <c r="D29" s="777"/>
      <c r="E29" s="777"/>
      <c r="F29" s="777">
        <v>-749288</v>
      </c>
      <c r="G29" s="777">
        <v>749288</v>
      </c>
      <c r="H29" s="777"/>
      <c r="I29" s="777"/>
      <c r="J29" s="17"/>
    </row>
    <row r="30" spans="1:10" ht="12.75" customHeight="1" x14ac:dyDescent="0.35">
      <c r="A30" s="778"/>
      <c r="B30" s="78"/>
      <c r="C30" s="75" t="s">
        <v>167</v>
      </c>
      <c r="D30" s="777"/>
      <c r="E30" s="777"/>
      <c r="F30" s="73">
        <v>-4086338</v>
      </c>
      <c r="G30" s="73">
        <v>4086338</v>
      </c>
      <c r="H30" s="73"/>
      <c r="I30" s="73"/>
      <c r="J30" s="17"/>
    </row>
    <row r="31" spans="1:10" ht="12.75" customHeight="1" x14ac:dyDescent="0.35">
      <c r="A31" s="779" t="s">
        <v>748</v>
      </c>
      <c r="B31" s="143"/>
      <c r="C31" s="745"/>
      <c r="D31" s="777"/>
      <c r="E31" s="777"/>
      <c r="F31" s="143"/>
      <c r="G31" s="143"/>
      <c r="H31" s="143"/>
      <c r="I31" s="143"/>
      <c r="J31" s="17"/>
    </row>
    <row r="32" spans="1:10" ht="13" customHeight="1" x14ac:dyDescent="0.35">
      <c r="A32" s="778" t="s">
        <v>760</v>
      </c>
      <c r="B32" s="78"/>
      <c r="C32" s="75" t="s">
        <v>167</v>
      </c>
      <c r="D32" s="777"/>
      <c r="E32" s="777">
        <v>-1692231</v>
      </c>
      <c r="F32" s="73"/>
      <c r="G32" s="73"/>
      <c r="H32" s="73"/>
      <c r="I32" s="73"/>
      <c r="J32" s="17"/>
    </row>
    <row r="33" spans="1:10" ht="13" customHeight="1" x14ac:dyDescent="0.35">
      <c r="A33" s="778" t="s">
        <v>847</v>
      </c>
      <c r="B33" s="143"/>
      <c r="C33" s="749">
        <v>100</v>
      </c>
      <c r="D33" s="777"/>
      <c r="E33" s="777">
        <v>170000</v>
      </c>
      <c r="F33" s="777">
        <v>170000</v>
      </c>
      <c r="G33" s="777">
        <v>170000</v>
      </c>
      <c r="H33" s="777"/>
      <c r="I33" s="777"/>
      <c r="J33" s="17"/>
    </row>
    <row r="34" spans="1:10" ht="13" customHeight="1" x14ac:dyDescent="0.35">
      <c r="A34" s="778" t="s">
        <v>859</v>
      </c>
      <c r="B34" s="78"/>
      <c r="C34" s="75">
        <v>100</v>
      </c>
      <c r="D34" s="777"/>
      <c r="E34" s="777"/>
      <c r="F34" s="73"/>
      <c r="G34" s="73">
        <v>-749288</v>
      </c>
      <c r="H34" s="73"/>
      <c r="I34" s="73"/>
      <c r="J34" s="17"/>
    </row>
    <row r="35" spans="1:10" ht="12" customHeight="1" x14ac:dyDescent="0.35">
      <c r="A35" s="779"/>
      <c r="B35" s="143"/>
      <c r="C35" s="859" t="s">
        <v>167</v>
      </c>
      <c r="D35" s="777"/>
      <c r="E35" s="777"/>
      <c r="F35" s="777"/>
      <c r="G35" s="777">
        <v>-4086338</v>
      </c>
      <c r="H35" s="777"/>
      <c r="I35" s="777"/>
      <c r="J35" s="17"/>
    </row>
    <row r="36" spans="1:10" ht="13" customHeight="1" x14ac:dyDescent="0.35">
      <c r="A36" s="778" t="s">
        <v>883</v>
      </c>
      <c r="B36" s="78"/>
      <c r="C36" s="75">
        <v>100</v>
      </c>
      <c r="D36" s="777"/>
      <c r="E36" s="777">
        <v>-565542</v>
      </c>
      <c r="F36" s="777"/>
      <c r="G36" s="73"/>
      <c r="H36" s="73"/>
      <c r="I36" s="73"/>
      <c r="J36" s="17"/>
    </row>
    <row r="37" spans="1:10" ht="13" customHeight="1" x14ac:dyDescent="0.35">
      <c r="A37" s="778"/>
      <c r="B37" s="143"/>
      <c r="C37" s="749"/>
      <c r="D37" s="777"/>
      <c r="E37" s="777"/>
      <c r="F37" s="777"/>
      <c r="G37" s="777"/>
      <c r="H37" s="777"/>
      <c r="I37" s="777"/>
      <c r="J37" s="17"/>
    </row>
    <row r="38" spans="1:10" ht="13" customHeight="1" x14ac:dyDescent="0.35">
      <c r="A38" s="778"/>
      <c r="B38" s="78"/>
      <c r="C38" s="75"/>
      <c r="D38" s="777"/>
      <c r="E38" s="777"/>
      <c r="F38" s="777"/>
      <c r="G38" s="73"/>
      <c r="H38" s="73"/>
      <c r="I38" s="73"/>
      <c r="J38" s="17"/>
    </row>
    <row r="39" spans="1:10" ht="13" customHeight="1" x14ac:dyDescent="0.35">
      <c r="A39" s="778"/>
      <c r="B39" s="143"/>
      <c r="C39" s="745"/>
      <c r="D39" s="777"/>
      <c r="E39" s="777"/>
      <c r="F39" s="777"/>
      <c r="G39" s="777"/>
      <c r="H39" s="777"/>
      <c r="I39" s="777"/>
      <c r="J39" s="17"/>
    </row>
    <row r="40" spans="1:10" ht="13" customHeight="1" x14ac:dyDescent="0.35">
      <c r="A40" s="778"/>
      <c r="B40" s="78"/>
      <c r="C40" s="75"/>
      <c r="D40" s="777"/>
      <c r="E40" s="777"/>
      <c r="F40" s="777"/>
      <c r="G40" s="73"/>
      <c r="H40" s="73"/>
      <c r="I40" s="73"/>
      <c r="J40" s="17"/>
    </row>
    <row r="41" spans="1:10" ht="13" customHeight="1" x14ac:dyDescent="0.35">
      <c r="A41" s="80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8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8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8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x14ac:dyDescent="0.35">
      <c r="A57" s="77"/>
      <c r="B57" s="78"/>
      <c r="C57" s="75"/>
      <c r="D57" s="73"/>
      <c r="E57" s="73"/>
      <c r="F57" s="73"/>
      <c r="G57" s="73"/>
      <c r="H57" s="73"/>
      <c r="I57" s="73"/>
    </row>
    <row r="58" spans="1:10" x14ac:dyDescent="0.35">
      <c r="A58" s="81"/>
      <c r="B58" s="81"/>
      <c r="C58" s="81"/>
      <c r="D58" s="81"/>
      <c r="E58" s="81"/>
      <c r="F58" s="81"/>
      <c r="G58" s="81"/>
      <c r="H58" s="81"/>
      <c r="I58" s="81"/>
    </row>
  </sheetData>
  <mergeCells count="6">
    <mergeCell ref="A1:I1"/>
    <mergeCell ref="A2:I2"/>
    <mergeCell ref="A3:I3"/>
    <mergeCell ref="A4:I4"/>
    <mergeCell ref="C6:I6"/>
    <mergeCell ref="C5:I5"/>
  </mergeCells>
  <conditionalFormatting sqref="A26:A27">
    <cfRule type="expression" dxfId="236" priority="40">
      <formula>MOD(ROW(),2)=1</formula>
    </cfRule>
  </conditionalFormatting>
  <conditionalFormatting sqref="D26:F27">
    <cfRule type="expression" dxfId="235" priority="39">
      <formula>MOD(ROW(),2)=1</formula>
    </cfRule>
  </conditionalFormatting>
  <conditionalFormatting sqref="A28:A40">
    <cfRule type="expression" dxfId="234" priority="17">
      <formula>MOD(ROW(),2)=1</formula>
    </cfRule>
  </conditionalFormatting>
  <conditionalFormatting sqref="D33 D28:F28 D34:F34 D30:F32 D36:F36 D38:F38 D40:F40">
    <cfRule type="expression" dxfId="233" priority="16">
      <formula>MOD(ROW(),2)=1</formula>
    </cfRule>
  </conditionalFormatting>
  <conditionalFormatting sqref="E33:I33">
    <cfRule type="expression" dxfId="232" priority="15">
      <formula>MOD(ROW(),2)=1</formula>
    </cfRule>
  </conditionalFormatting>
  <conditionalFormatting sqref="G36">
    <cfRule type="expression" dxfId="231" priority="14">
      <formula>MOD(ROW(),2)=1</formula>
    </cfRule>
  </conditionalFormatting>
  <conditionalFormatting sqref="D29:I29">
    <cfRule type="expression" dxfId="230" priority="8">
      <formula>MOD(ROW(),2)=1</formula>
    </cfRule>
  </conditionalFormatting>
  <conditionalFormatting sqref="F36">
    <cfRule type="expression" dxfId="229" priority="11">
      <formula>MOD(ROW(),2)=1</formula>
    </cfRule>
  </conditionalFormatting>
  <conditionalFormatting sqref="D37">
    <cfRule type="expression" dxfId="228" priority="5">
      <formula>MOD(ROW(),2)=1</formula>
    </cfRule>
  </conditionalFormatting>
  <conditionalFormatting sqref="E35:I35">
    <cfRule type="expression" dxfId="227" priority="6">
      <formula>MOD(ROW(),2)=1</formula>
    </cfRule>
  </conditionalFormatting>
  <conditionalFormatting sqref="D35">
    <cfRule type="expression" dxfId="226" priority="7">
      <formula>MOD(ROW(),2)=1</formula>
    </cfRule>
  </conditionalFormatting>
  <conditionalFormatting sqref="E37:I37">
    <cfRule type="expression" dxfId="225" priority="4">
      <formula>MOD(ROW(),2)=1</formula>
    </cfRule>
  </conditionalFormatting>
  <conditionalFormatting sqref="D39">
    <cfRule type="expression" dxfId="224" priority="3">
      <formula>MOD(ROW(),2)=1</formula>
    </cfRule>
  </conditionalFormatting>
  <conditionalFormatting sqref="E39:I39">
    <cfRule type="expression" dxfId="223" priority="2">
      <formula>MOD(ROW(),2)=1</formula>
    </cfRule>
  </conditionalFormatting>
  <conditionalFormatting sqref="C9:I15">
    <cfRule type="cellIs" dxfId="22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>
    <tabColor theme="3"/>
  </sheetPr>
  <dimension ref="A1:K58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26.25" customHeight="1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92</v>
      </c>
      <c r="C6" s="880" t="s">
        <v>142</v>
      </c>
      <c r="D6" s="880"/>
      <c r="E6" s="880"/>
      <c r="F6" s="880"/>
      <c r="G6" s="880"/>
      <c r="H6" s="880"/>
      <c r="I6" s="880"/>
    </row>
    <row r="7" spans="1:11" ht="15" thickBot="1" x14ac:dyDescent="0.4">
      <c r="C7" s="7" t="s">
        <v>399</v>
      </c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>+C9+SUMIF($C$20:$C$58,K9,$D$20:$D$58)</f>
        <v>0</v>
      </c>
      <c r="E9" s="114">
        <f>+D9+SUMIF($C$20:$C$58,K9,$E$20:$E$58)</f>
        <v>0</v>
      </c>
      <c r="F9" s="396">
        <f>+E9+SUMIF($C$20:$C$58,K9,$F$20:$F$58)</f>
        <v>0</v>
      </c>
      <c r="G9" s="33">
        <f>+F9+SUMIF($C$20:$C$58,K9,$G$20:$G$58)</f>
        <v>0</v>
      </c>
      <c r="H9" s="219">
        <f>+G9+SUMIF($C$20:$C$58,K9,$H$20:$H$58)</f>
        <v>0</v>
      </c>
      <c r="I9" s="50">
        <f>+H9+SUMIF($C$20:$C$58,K9,$I$20:$I$58)</f>
        <v>0</v>
      </c>
      <c r="K9" s="7">
        <v>100</v>
      </c>
    </row>
    <row r="10" spans="1:11" x14ac:dyDescent="0.35">
      <c r="A10" s="10" t="s">
        <v>5</v>
      </c>
      <c r="B10" s="42">
        <v>0</v>
      </c>
      <c r="C10" s="35">
        <v>0</v>
      </c>
      <c r="D10" s="222">
        <f t="shared" ref="D10:D15" si="0">+C10+SUMIF($C$20:$C$58,K10,$D$20:$D$58)</f>
        <v>0</v>
      </c>
      <c r="E10" s="506">
        <f t="shared" ref="E10:E15" si="1">+D10+SUMIF($C$20:$C$58,K10,$E$20:$E$58)</f>
        <v>0</v>
      </c>
      <c r="F10" s="397">
        <f t="shared" ref="F10:F15" si="2">+E10+SUMIF($C$20:$C$58,K10,$F$20:$F$58)</f>
        <v>0</v>
      </c>
      <c r="G10" s="48">
        <f t="shared" ref="G10:G15" si="3">+F10+SUMIF($C$20:$C$58,K10,$G$20:$G$58)</f>
        <v>0</v>
      </c>
      <c r="H10" s="220">
        <f t="shared" ref="H10:H15" si="4">+G10+SUMIF($C$20:$C$58,K10,$H$20:$H$58)</f>
        <v>0</v>
      </c>
      <c r="I10" s="49">
        <f t="shared" ref="I10:I15" si="5">+H10+SUMIF($C$20:$C$58,K10,$I$20:$I$58)</f>
        <v>0</v>
      </c>
      <c r="K10" s="7">
        <v>200</v>
      </c>
    </row>
    <row r="11" spans="1:11" x14ac:dyDescent="0.35">
      <c r="A11" s="9" t="s">
        <v>6</v>
      </c>
      <c r="B11" s="33">
        <f>9170323+9104561</f>
        <v>18274884</v>
      </c>
      <c r="C11" s="33">
        <v>9797739</v>
      </c>
      <c r="D11" s="219">
        <f t="shared" si="0"/>
        <v>9797739</v>
      </c>
      <c r="E11" s="114">
        <f t="shared" si="1"/>
        <v>9307852</v>
      </c>
      <c r="F11" s="519">
        <f t="shared" si="2"/>
        <v>9307852</v>
      </c>
      <c r="G11" s="162">
        <f t="shared" si="3"/>
        <v>9307852</v>
      </c>
      <c r="H11" s="221">
        <f t="shared" si="4"/>
        <v>9307852</v>
      </c>
      <c r="I11" s="117">
        <f t="shared" si="5"/>
        <v>9307852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18274884</v>
      </c>
      <c r="C16" s="39">
        <f t="shared" ref="C16:I16" si="6">SUM(C9:C15)</f>
        <v>9797739</v>
      </c>
      <c r="D16" s="39">
        <f t="shared" si="6"/>
        <v>9797739</v>
      </c>
      <c r="E16" s="529">
        <f t="shared" si="6"/>
        <v>9307852</v>
      </c>
      <c r="F16" s="39">
        <f t="shared" si="6"/>
        <v>9307852</v>
      </c>
      <c r="G16" s="39">
        <f t="shared" si="6"/>
        <v>9307852</v>
      </c>
      <c r="H16" s="39">
        <f t="shared" si="6"/>
        <v>9307852</v>
      </c>
      <c r="I16" s="39">
        <f t="shared" si="6"/>
        <v>9307852</v>
      </c>
    </row>
    <row r="18" spans="1:10" x14ac:dyDescent="0.35">
      <c r="E18" s="401">
        <f>+E16-D16</f>
        <v>-489887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78"/>
      <c r="C20" s="75"/>
      <c r="D20" s="73"/>
      <c r="E20" s="73"/>
      <c r="F20" s="73"/>
      <c r="G20" s="73"/>
      <c r="H20" s="73"/>
      <c r="I20" s="73"/>
    </row>
    <row r="21" spans="1:10" ht="12.75" customHeight="1" x14ac:dyDescent="0.35">
      <c r="A21" s="756" t="s">
        <v>370</v>
      </c>
      <c r="B21" s="151"/>
      <c r="C21" s="181"/>
      <c r="D21" s="142"/>
      <c r="E21" s="142"/>
      <c r="F21" s="142"/>
      <c r="G21" s="142"/>
      <c r="H21" s="142"/>
      <c r="I21" s="142"/>
    </row>
    <row r="22" spans="1:10" ht="12.75" customHeight="1" x14ac:dyDescent="0.35">
      <c r="A22" s="740" t="s">
        <v>486</v>
      </c>
      <c r="B22" s="78"/>
      <c r="C22" s="588"/>
      <c r="D22" s="73"/>
      <c r="E22" s="73"/>
      <c r="F22" s="73"/>
      <c r="G22" s="73"/>
      <c r="H22" s="73"/>
      <c r="I22" s="73"/>
      <c r="J22" s="17"/>
    </row>
    <row r="23" spans="1:10" ht="12.75" customHeight="1" x14ac:dyDescent="0.35">
      <c r="A23" s="757" t="s">
        <v>489</v>
      </c>
      <c r="B23" s="84"/>
      <c r="C23" s="74" t="s">
        <v>167</v>
      </c>
      <c r="D23" s="69"/>
      <c r="E23" s="69"/>
      <c r="F23" s="69">
        <v>5000000</v>
      </c>
      <c r="G23" s="69"/>
      <c r="H23" s="69"/>
      <c r="I23" s="69"/>
      <c r="J23" s="17"/>
    </row>
    <row r="24" spans="1:10" ht="12.75" customHeight="1" x14ac:dyDescent="0.35">
      <c r="A24" s="801" t="s">
        <v>594</v>
      </c>
      <c r="B24" s="92"/>
      <c r="C24" s="582"/>
      <c r="D24" s="94"/>
      <c r="E24" s="94"/>
      <c r="F24" s="105"/>
      <c r="G24" s="94"/>
      <c r="H24" s="94"/>
      <c r="I24" s="94"/>
      <c r="J24" s="17"/>
    </row>
    <row r="25" spans="1:10" ht="12.75" customHeight="1" x14ac:dyDescent="0.35">
      <c r="A25" s="757" t="s">
        <v>616</v>
      </c>
      <c r="B25" s="84"/>
      <c r="C25" s="74" t="s">
        <v>167</v>
      </c>
      <c r="D25" s="69"/>
      <c r="E25" s="69"/>
      <c r="F25" s="69">
        <v>-5000000</v>
      </c>
      <c r="G25" s="69">
        <v>5000000</v>
      </c>
      <c r="H25" s="69"/>
      <c r="I25" s="69"/>
      <c r="J25" s="17"/>
    </row>
    <row r="26" spans="1:10" ht="12.75" customHeight="1" x14ac:dyDescent="0.35">
      <c r="A26" s="740" t="s">
        <v>758</v>
      </c>
      <c r="B26" s="771"/>
      <c r="C26" s="754"/>
      <c r="D26" s="773"/>
      <c r="E26" s="773"/>
      <c r="F26" s="773"/>
      <c r="G26" s="773"/>
      <c r="H26" s="773"/>
      <c r="I26" s="773"/>
      <c r="J26" s="17"/>
    </row>
    <row r="27" spans="1:10" ht="12.75" customHeight="1" x14ac:dyDescent="0.35">
      <c r="A27" s="757" t="s">
        <v>759</v>
      </c>
      <c r="B27" s="769"/>
      <c r="C27" s="74" t="s">
        <v>167</v>
      </c>
      <c r="D27" s="765"/>
      <c r="E27" s="765">
        <v>-489887</v>
      </c>
      <c r="F27" s="765"/>
      <c r="G27" s="765"/>
      <c r="H27" s="765"/>
      <c r="I27" s="765"/>
      <c r="J27" s="17"/>
    </row>
    <row r="28" spans="1:10" ht="12.75" customHeight="1" x14ac:dyDescent="0.35">
      <c r="A28" s="818" t="s">
        <v>858</v>
      </c>
      <c r="B28" s="815"/>
      <c r="C28" s="754" t="s">
        <v>167</v>
      </c>
      <c r="D28" s="816"/>
      <c r="E28" s="816"/>
      <c r="F28" s="817"/>
      <c r="G28" s="816">
        <v>-5000000</v>
      </c>
      <c r="H28" s="816"/>
      <c r="I28" s="816"/>
      <c r="J28" s="17"/>
    </row>
    <row r="29" spans="1:10" ht="12.75" customHeight="1" x14ac:dyDescent="0.35">
      <c r="A29" s="757"/>
      <c r="B29" s="769"/>
      <c r="C29" s="770"/>
      <c r="D29" s="765"/>
      <c r="E29" s="765"/>
      <c r="F29" s="765"/>
      <c r="G29" s="765"/>
      <c r="H29" s="765"/>
      <c r="I29" s="765"/>
      <c r="J29" s="17"/>
    </row>
    <row r="30" spans="1:10" ht="12.75" customHeight="1" x14ac:dyDescent="0.35">
      <c r="A30" s="818"/>
      <c r="B30" s="815"/>
      <c r="C30" s="754"/>
      <c r="D30" s="816"/>
      <c r="E30" s="816"/>
      <c r="F30" s="817"/>
      <c r="G30" s="816"/>
      <c r="H30" s="816"/>
      <c r="I30" s="816"/>
      <c r="J30" s="17"/>
    </row>
    <row r="31" spans="1:10" ht="13" customHeight="1" x14ac:dyDescent="0.35">
      <c r="A31" s="313"/>
      <c r="B31" s="84"/>
      <c r="C31" s="74"/>
      <c r="D31" s="69"/>
      <c r="E31" s="69"/>
      <c r="F31" s="69"/>
      <c r="G31" s="69"/>
      <c r="H31" s="69"/>
      <c r="I31" s="69"/>
      <c r="J31" s="17"/>
    </row>
    <row r="32" spans="1:10" ht="13" customHeight="1" x14ac:dyDescent="0.35">
      <c r="A32" s="600"/>
      <c r="B32" s="92"/>
      <c r="C32" s="582"/>
      <c r="D32" s="94"/>
      <c r="E32" s="94"/>
      <c r="F32" s="105"/>
      <c r="G32" s="94"/>
      <c r="H32" s="94"/>
      <c r="I32" s="94"/>
      <c r="J32" s="17"/>
    </row>
    <row r="33" spans="1:10" ht="13" customHeight="1" x14ac:dyDescent="0.35">
      <c r="A33" s="313"/>
      <c r="B33" s="84"/>
      <c r="C33" s="74"/>
      <c r="D33" s="69"/>
      <c r="E33" s="69"/>
      <c r="F33" s="69"/>
      <c r="G33" s="69"/>
      <c r="H33" s="69"/>
      <c r="I33" s="69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9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8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8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8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x14ac:dyDescent="0.35">
      <c r="A57" s="77"/>
      <c r="B57" s="78"/>
      <c r="C57" s="75"/>
      <c r="D57" s="73"/>
      <c r="E57" s="73"/>
      <c r="F57" s="73"/>
      <c r="G57" s="73"/>
    </row>
    <row r="58" spans="1:10" x14ac:dyDescent="0.35">
      <c r="A58" s="77"/>
      <c r="B58" s="78"/>
      <c r="C58" s="75"/>
      <c r="D58" s="73"/>
      <c r="E58" s="73"/>
      <c r="F58" s="73"/>
      <c r="G58" s="73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2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theme="3"/>
  </sheetPr>
  <dimension ref="A1:K52"/>
  <sheetViews>
    <sheetView topLeftCell="A30" zoomScaleNormal="100" zoomScaleSheetLayoutView="90" workbookViewId="0">
      <selection activeCell="F38" sqref="F38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52</v>
      </c>
      <c r="C6" s="880" t="s">
        <v>141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41221658</v>
      </c>
      <c r="C9" s="33">
        <v>35549343</v>
      </c>
      <c r="D9" s="219">
        <f>+C9+SUMIF($C$20:$C$58,K9,$D$20:$D$58)</f>
        <v>35549343</v>
      </c>
      <c r="E9" s="114">
        <f>+D9+SUMIF($C$20:$C$58,K9,$E$20:$E$58)</f>
        <v>38171857</v>
      </c>
      <c r="F9" s="396">
        <f>+E9+SUMIF($C$20:$C$58,K9,$F$20:$F$58)</f>
        <v>38274463</v>
      </c>
      <c r="G9" s="33">
        <f>+F9+SUMIF($C$20:$C$58,K9,$G$20:$G$58)</f>
        <v>38510459</v>
      </c>
      <c r="H9" s="219">
        <f>+G9+SUMIF($C$20:$C$58,K9,$H$20:$H$58)</f>
        <v>38588565</v>
      </c>
      <c r="I9" s="50">
        <f>+H9+SUMIF($C$20:$C$58,K9,$I$20:$I$58)</f>
        <v>38680541</v>
      </c>
      <c r="K9" s="7">
        <v>100</v>
      </c>
    </row>
    <row r="10" spans="1:11" x14ac:dyDescent="0.35">
      <c r="A10" s="10" t="s">
        <v>5</v>
      </c>
      <c r="B10" s="35">
        <v>2799033</v>
      </c>
      <c r="C10" s="35">
        <v>2259262</v>
      </c>
      <c r="D10" s="222">
        <f t="shared" ref="D10:D15" si="0">+C10+SUMIF($C$20:$C$58,K10,$D$20:$D$58)</f>
        <v>2259262</v>
      </c>
      <c r="E10" s="506">
        <f t="shared" ref="E10:E15" si="1">+D10+SUMIF($C$20:$C$58,K10,$E$20:$E$58)</f>
        <v>2615022</v>
      </c>
      <c r="F10" s="504">
        <f t="shared" ref="F10:F15" si="2">+E10+SUMIF($C$20:$C$58,K10,$F$20:$F$58)</f>
        <v>2623916</v>
      </c>
      <c r="G10" s="35">
        <f t="shared" ref="G10:G15" si="3">+F10+SUMIF($C$20:$C$58,K10,$G$20:$G$58)</f>
        <v>2633033</v>
      </c>
      <c r="H10" s="222">
        <f t="shared" ref="H10:H15" si="4">+G10+SUMIF($C$20:$C$58,K10,$H$20:$H$58)</f>
        <v>2633033</v>
      </c>
      <c r="I10" s="36">
        <f t="shared" ref="I10:I15" si="5">+H10+SUMIF($C$20:$C$58,K10,$I$20:$I$58)</f>
        <v>2633033</v>
      </c>
      <c r="K10" s="7">
        <v>200</v>
      </c>
    </row>
    <row r="11" spans="1:11" x14ac:dyDescent="0.35">
      <c r="A11" s="9" t="s">
        <v>6</v>
      </c>
      <c r="B11" s="33">
        <f>2160775+87385</f>
        <v>2248160</v>
      </c>
      <c r="C11" s="33">
        <v>1842128</v>
      </c>
      <c r="D11" s="219">
        <f t="shared" si="0"/>
        <v>1842128</v>
      </c>
      <c r="E11" s="114">
        <f t="shared" si="1"/>
        <v>1842128</v>
      </c>
      <c r="F11" s="396">
        <f t="shared" si="2"/>
        <v>1842128</v>
      </c>
      <c r="G11" s="33">
        <f t="shared" si="3"/>
        <v>1842128</v>
      </c>
      <c r="H11" s="219">
        <f t="shared" si="4"/>
        <v>1842128</v>
      </c>
      <c r="I11" s="34">
        <f t="shared" si="5"/>
        <v>1842128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46268851</v>
      </c>
      <c r="C16" s="39">
        <f t="shared" ref="C16:I16" si="6">SUM(C9:C15)</f>
        <v>39650733</v>
      </c>
      <c r="D16" s="39">
        <f t="shared" si="6"/>
        <v>39650733</v>
      </c>
      <c r="E16" s="529">
        <f t="shared" si="6"/>
        <v>42629007</v>
      </c>
      <c r="F16" s="39">
        <f t="shared" si="6"/>
        <v>42740507</v>
      </c>
      <c r="G16" s="39">
        <f t="shared" si="6"/>
        <v>42985620</v>
      </c>
      <c r="H16" s="39">
        <f t="shared" si="6"/>
        <v>43063726</v>
      </c>
      <c r="I16" s="39">
        <f t="shared" si="6"/>
        <v>43155702</v>
      </c>
    </row>
    <row r="18" spans="1:10" x14ac:dyDescent="0.35">
      <c r="E18" s="401">
        <f>+E16-D16</f>
        <v>2978274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819" t="s">
        <v>635</v>
      </c>
      <c r="B20" s="78"/>
      <c r="C20" s="75"/>
      <c r="D20" s="73"/>
      <c r="E20" s="73"/>
      <c r="F20" s="73"/>
      <c r="G20" s="73"/>
      <c r="H20" s="73"/>
      <c r="I20" s="73"/>
    </row>
    <row r="21" spans="1:10" ht="12.75" customHeight="1" x14ac:dyDescent="0.35">
      <c r="A21" s="203" t="s">
        <v>428</v>
      </c>
      <c r="B21" s="143"/>
      <c r="C21" s="143"/>
      <c r="D21" s="143"/>
      <c r="E21" s="69"/>
      <c r="F21" s="142"/>
      <c r="G21" s="142"/>
      <c r="H21" s="142"/>
      <c r="I21" s="142"/>
      <c r="J21" s="17"/>
    </row>
    <row r="22" spans="1:10" ht="12.75" customHeight="1" x14ac:dyDescent="0.35">
      <c r="A22" s="647" t="s">
        <v>442</v>
      </c>
      <c r="B22" s="89"/>
      <c r="C22" s="90">
        <v>100</v>
      </c>
      <c r="D22" s="91"/>
      <c r="E22" s="91">
        <v>4544</v>
      </c>
      <c r="F22" s="91"/>
      <c r="G22" s="91"/>
      <c r="H22" s="91"/>
      <c r="I22" s="91"/>
      <c r="J22" s="17"/>
    </row>
    <row r="23" spans="1:10" ht="12.75" customHeight="1" x14ac:dyDescent="0.35">
      <c r="A23" s="750" t="s">
        <v>443</v>
      </c>
      <c r="B23" s="143"/>
      <c r="C23" s="181">
        <v>100</v>
      </c>
      <c r="D23" s="142"/>
      <c r="E23" s="69">
        <v>13035</v>
      </c>
      <c r="F23" s="69">
        <v>13178</v>
      </c>
      <c r="G23" s="69">
        <v>8120</v>
      </c>
      <c r="H23" s="69"/>
      <c r="I23" s="69"/>
      <c r="J23" s="17"/>
    </row>
    <row r="24" spans="1:10" ht="12.75" customHeight="1" x14ac:dyDescent="0.35">
      <c r="A24" s="779" t="s">
        <v>487</v>
      </c>
      <c r="B24" s="92"/>
      <c r="C24" s="93"/>
      <c r="D24" s="777"/>
      <c r="E24" s="777"/>
      <c r="F24" s="94"/>
      <c r="G24" s="73"/>
      <c r="H24" s="73"/>
      <c r="I24" s="73"/>
      <c r="J24" s="17"/>
    </row>
    <row r="25" spans="1:10" ht="12.75" customHeight="1" x14ac:dyDescent="0.35">
      <c r="A25" s="778" t="s">
        <v>591</v>
      </c>
      <c r="B25" s="143"/>
      <c r="C25" s="181">
        <v>100</v>
      </c>
      <c r="D25" s="777"/>
      <c r="E25" s="777">
        <v>35761</v>
      </c>
      <c r="F25" s="69"/>
      <c r="G25" s="69"/>
      <c r="H25" s="69"/>
      <c r="I25" s="69"/>
      <c r="J25" s="17"/>
    </row>
    <row r="26" spans="1:10" ht="12.75" customHeight="1" x14ac:dyDescent="0.35">
      <c r="A26" s="778" t="s">
        <v>560</v>
      </c>
      <c r="B26" s="92"/>
      <c r="C26" s="93">
        <v>100</v>
      </c>
      <c r="D26" s="777"/>
      <c r="E26" s="777"/>
      <c r="F26" s="94">
        <v>9712118</v>
      </c>
      <c r="G26" s="73"/>
      <c r="H26" s="73"/>
      <c r="I26" s="73"/>
      <c r="J26" s="17"/>
    </row>
    <row r="27" spans="1:10" ht="12.75" customHeight="1" x14ac:dyDescent="0.35">
      <c r="A27" s="779" t="s">
        <v>596</v>
      </c>
      <c r="B27" s="143"/>
      <c r="C27" s="181"/>
      <c r="D27" s="777"/>
      <c r="E27" s="777"/>
      <c r="F27" s="69"/>
      <c r="G27" s="69"/>
      <c r="H27" s="69"/>
      <c r="I27" s="69"/>
      <c r="J27" s="17"/>
    </row>
    <row r="28" spans="1:10" ht="12.75" customHeight="1" x14ac:dyDescent="0.35">
      <c r="A28" s="778" t="s">
        <v>617</v>
      </c>
      <c r="B28" s="92"/>
      <c r="C28" s="93">
        <v>100</v>
      </c>
      <c r="D28" s="777"/>
      <c r="E28" s="777"/>
      <c r="F28" s="94">
        <v>-1025346</v>
      </c>
      <c r="G28" s="73"/>
      <c r="H28" s="73"/>
      <c r="I28" s="73"/>
      <c r="J28" s="17"/>
    </row>
    <row r="29" spans="1:10" ht="12.75" customHeight="1" x14ac:dyDescent="0.35">
      <c r="A29" s="778" t="s">
        <v>618</v>
      </c>
      <c r="B29" s="143"/>
      <c r="C29" s="181">
        <v>200</v>
      </c>
      <c r="D29" s="777"/>
      <c r="E29" s="777"/>
      <c r="F29" s="69">
        <v>564815</v>
      </c>
      <c r="G29" s="69"/>
      <c r="H29" s="69"/>
      <c r="I29" s="69"/>
      <c r="J29" s="17"/>
    </row>
    <row r="30" spans="1:10" ht="12.75" customHeight="1" x14ac:dyDescent="0.35">
      <c r="A30" s="778" t="s">
        <v>619</v>
      </c>
      <c r="B30" s="92"/>
      <c r="C30" s="93" t="s">
        <v>167</v>
      </c>
      <c r="D30" s="777"/>
      <c r="E30" s="94"/>
      <c r="F30" s="73">
        <v>460531</v>
      </c>
      <c r="G30" s="73"/>
      <c r="H30" s="73"/>
      <c r="I30" s="73"/>
      <c r="J30" s="17"/>
    </row>
    <row r="31" spans="1:10" ht="12.75" customHeight="1" x14ac:dyDescent="0.35">
      <c r="A31" s="778" t="s">
        <v>620</v>
      </c>
      <c r="B31" s="143"/>
      <c r="C31" s="181">
        <v>100</v>
      </c>
      <c r="D31" s="777"/>
      <c r="E31" s="69"/>
      <c r="F31" s="69">
        <v>-8686772</v>
      </c>
      <c r="G31" s="69">
        <v>8686772</v>
      </c>
      <c r="H31" s="69"/>
      <c r="I31" s="69"/>
      <c r="J31" s="17"/>
    </row>
    <row r="32" spans="1:10" ht="12.75" customHeight="1" x14ac:dyDescent="0.35">
      <c r="A32" s="779"/>
      <c r="B32" s="92"/>
      <c r="C32" s="93">
        <v>200</v>
      </c>
      <c r="D32" s="777"/>
      <c r="E32" s="94"/>
      <c r="F32" s="73">
        <v>-564815</v>
      </c>
      <c r="G32" s="73">
        <v>564815</v>
      </c>
      <c r="H32" s="73"/>
      <c r="I32" s="73"/>
      <c r="J32" s="17"/>
    </row>
    <row r="33" spans="1:10" ht="12.75" customHeight="1" x14ac:dyDescent="0.35">
      <c r="A33" s="778"/>
      <c r="B33" s="143"/>
      <c r="C33" s="181" t="s">
        <v>167</v>
      </c>
      <c r="D33" s="777"/>
      <c r="E33" s="69"/>
      <c r="F33" s="69">
        <v>-460531</v>
      </c>
      <c r="G33" s="69">
        <v>460531</v>
      </c>
      <c r="H33" s="69"/>
      <c r="I33" s="69"/>
      <c r="J33" s="17"/>
    </row>
    <row r="34" spans="1:10" ht="12.75" customHeight="1" x14ac:dyDescent="0.35">
      <c r="A34" s="157" t="s">
        <v>748</v>
      </c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8" t="s">
        <v>761</v>
      </c>
      <c r="B35" s="143"/>
      <c r="C35" s="181">
        <v>100</v>
      </c>
      <c r="D35" s="777"/>
      <c r="E35" s="69">
        <v>1864174</v>
      </c>
      <c r="F35" s="69">
        <f>1953602-E35</f>
        <v>89428</v>
      </c>
      <c r="G35" s="69">
        <f>2031478-F35-E35</f>
        <v>77876</v>
      </c>
      <c r="H35" s="69">
        <f>2109584-G35-F35-E35</f>
        <v>78106</v>
      </c>
      <c r="I35" s="69">
        <f>2151560-H35-G35-F35-E35</f>
        <v>41976</v>
      </c>
      <c r="J35" s="17"/>
    </row>
    <row r="36" spans="1:10" ht="12.75" customHeight="1" x14ac:dyDescent="0.35">
      <c r="A36" s="746" t="s">
        <v>762</v>
      </c>
      <c r="B36" s="78"/>
      <c r="C36" s="75">
        <v>200</v>
      </c>
      <c r="D36" s="73"/>
      <c r="E36" s="73">
        <v>355760</v>
      </c>
      <c r="F36" s="73">
        <f>364654-E36</f>
        <v>8894</v>
      </c>
      <c r="G36" s="73">
        <f>373771-F36-E36</f>
        <v>9117</v>
      </c>
      <c r="H36" s="73"/>
      <c r="I36" s="73"/>
      <c r="J36" s="17"/>
    </row>
    <row r="37" spans="1:10" ht="12.75" customHeight="1" x14ac:dyDescent="0.35">
      <c r="A37" s="778" t="s">
        <v>763</v>
      </c>
      <c r="B37" s="143"/>
      <c r="C37" s="181">
        <v>100</v>
      </c>
      <c r="D37" s="777"/>
      <c r="E37" s="69">
        <v>600000</v>
      </c>
      <c r="F37" s="69"/>
      <c r="G37" s="69">
        <v>150000</v>
      </c>
      <c r="H37" s="69"/>
      <c r="I37" s="69">
        <v>50000</v>
      </c>
      <c r="J37" s="17"/>
    </row>
    <row r="38" spans="1:10" ht="12.75" customHeight="1" x14ac:dyDescent="0.35">
      <c r="A38" s="746" t="s">
        <v>764</v>
      </c>
      <c r="B38" s="78"/>
      <c r="C38" s="754">
        <v>100</v>
      </c>
      <c r="D38" s="73"/>
      <c r="E38" s="73">
        <v>105000</v>
      </c>
      <c r="F38" s="73"/>
      <c r="G38" s="73"/>
      <c r="H38" s="73"/>
      <c r="I38" s="73"/>
      <c r="J38" s="17"/>
    </row>
    <row r="39" spans="1:10" ht="12.75" customHeight="1" x14ac:dyDescent="0.35">
      <c r="A39" s="778" t="s">
        <v>860</v>
      </c>
      <c r="B39" s="143"/>
      <c r="C39" s="181">
        <v>100</v>
      </c>
      <c r="D39" s="777"/>
      <c r="E39" s="69"/>
      <c r="F39" s="69"/>
      <c r="G39" s="69">
        <v>-8686772</v>
      </c>
      <c r="H39" s="69"/>
      <c r="I39" s="69"/>
      <c r="J39" s="17"/>
    </row>
    <row r="40" spans="1:10" ht="12.75" customHeight="1" x14ac:dyDescent="0.35">
      <c r="A40" s="746"/>
      <c r="B40" s="78"/>
      <c r="C40" s="754">
        <v>200</v>
      </c>
      <c r="D40" s="73"/>
      <c r="E40" s="73"/>
      <c r="F40" s="73"/>
      <c r="G40" s="73">
        <v>-564815</v>
      </c>
      <c r="H40" s="73"/>
      <c r="I40" s="73"/>
      <c r="J40" s="17"/>
    </row>
    <row r="41" spans="1:10" ht="12.75" customHeight="1" x14ac:dyDescent="0.35">
      <c r="A41" s="778"/>
      <c r="B41" s="143"/>
      <c r="C41" s="796" t="s">
        <v>167</v>
      </c>
      <c r="D41" s="777"/>
      <c r="E41" s="69"/>
      <c r="F41" s="69"/>
      <c r="G41" s="69">
        <v>-460531</v>
      </c>
      <c r="H41" s="69"/>
      <c r="I41" s="69"/>
      <c r="J41" s="17"/>
    </row>
    <row r="42" spans="1:10" ht="12.75" customHeight="1" x14ac:dyDescent="0.35">
      <c r="A42" s="746"/>
      <c r="B42" s="78"/>
      <c r="C42" s="754"/>
      <c r="D42" s="73"/>
      <c r="E42" s="73"/>
      <c r="F42" s="73"/>
      <c r="G42" s="73"/>
      <c r="H42" s="73"/>
      <c r="I42" s="73"/>
    </row>
    <row r="43" spans="1:10" ht="12.75" customHeight="1" x14ac:dyDescent="0.35">
      <c r="A43" s="778"/>
      <c r="B43" s="143"/>
      <c r="C43" s="181"/>
      <c r="D43" s="777"/>
      <c r="E43" s="69"/>
      <c r="F43" s="69"/>
      <c r="G43" s="69"/>
      <c r="H43" s="69"/>
      <c r="I43" s="69"/>
    </row>
    <row r="44" spans="1:10" ht="12.75" customHeight="1" x14ac:dyDescent="0.35">
      <c r="A44" s="746"/>
      <c r="B44" s="78"/>
      <c r="C44" s="754"/>
      <c r="D44" s="73"/>
      <c r="E44" s="73"/>
      <c r="F44" s="73"/>
      <c r="G44" s="73"/>
      <c r="H44" s="73"/>
      <c r="I44" s="73"/>
    </row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A24:A25">
    <cfRule type="expression" dxfId="220" priority="15">
      <formula>MOD(ROW(),2)=1</formula>
    </cfRule>
  </conditionalFormatting>
  <conditionalFormatting sqref="D24:E25">
    <cfRule type="expression" dxfId="219" priority="14">
      <formula>MOD(ROW(),2)=1</formula>
    </cfRule>
  </conditionalFormatting>
  <conditionalFormatting sqref="A26 A29:A33">
    <cfRule type="expression" dxfId="218" priority="11">
      <formula>MOD(ROW(),2)=1</formula>
    </cfRule>
  </conditionalFormatting>
  <conditionalFormatting sqref="D26:E26 D29:E33">
    <cfRule type="expression" dxfId="217" priority="10">
      <formula>MOD(ROW(),2)=1</formula>
    </cfRule>
  </conditionalFormatting>
  <conditionalFormatting sqref="A35 A37 A39">
    <cfRule type="expression" dxfId="216" priority="9">
      <formula>MOD(ROW(),2)=1</formula>
    </cfRule>
  </conditionalFormatting>
  <conditionalFormatting sqref="D35:E35 D37:E37 D39:E39">
    <cfRule type="expression" dxfId="215" priority="8">
      <formula>MOD(ROW(),2)=1</formula>
    </cfRule>
  </conditionalFormatting>
  <conditionalFormatting sqref="A27">
    <cfRule type="expression" dxfId="214" priority="7">
      <formula>MOD(ROW(),2)=1</formula>
    </cfRule>
  </conditionalFormatting>
  <conditionalFormatting sqref="D27:E27">
    <cfRule type="expression" dxfId="213" priority="6">
      <formula>MOD(ROW(),2)=1</formula>
    </cfRule>
  </conditionalFormatting>
  <conditionalFormatting sqref="A28">
    <cfRule type="expression" dxfId="212" priority="5">
      <formula>MOD(ROW(),2)=1</formula>
    </cfRule>
  </conditionalFormatting>
  <conditionalFormatting sqref="D28:E28">
    <cfRule type="expression" dxfId="211" priority="4">
      <formula>MOD(ROW(),2)=1</formula>
    </cfRule>
  </conditionalFormatting>
  <conditionalFormatting sqref="A41 A43">
    <cfRule type="expression" dxfId="210" priority="3">
      <formula>MOD(ROW(),2)=1</formula>
    </cfRule>
  </conditionalFormatting>
  <conditionalFormatting sqref="D41:E41 D43:E43">
    <cfRule type="expression" dxfId="209" priority="2">
      <formula>MOD(ROW(),2)=1</formula>
    </cfRule>
  </conditionalFormatting>
  <conditionalFormatting sqref="C9:I15">
    <cfRule type="cellIs" dxfId="20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theme="3"/>
  </sheetPr>
  <dimension ref="A1:K58"/>
  <sheetViews>
    <sheetView topLeftCell="A2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54</v>
      </c>
      <c r="C6" s="880" t="s">
        <v>140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2286672</v>
      </c>
      <c r="C9" s="33">
        <v>2360285</v>
      </c>
      <c r="D9" s="219">
        <f>+C9+SUMIF($C$20:$C$58,K9,$D$20:$D$58)</f>
        <v>2360285</v>
      </c>
      <c r="E9" s="114">
        <f>+D9+SUMIF($C$20:$C$58,K9,$E$20:$E$58)</f>
        <v>2325040</v>
      </c>
      <c r="F9" s="396">
        <f>+E9+SUMIF($C$20:$C$58,K9,$F$20:$F$58)</f>
        <v>2325040</v>
      </c>
      <c r="G9" s="33">
        <f>+F9+SUMIF($C$20:$C$58,K9,$G$20:$G$58)</f>
        <v>2325040</v>
      </c>
      <c r="H9" s="219">
        <f>+G9+SUMIF($C$20:$C$58,K9,$H$20:$H$58)</f>
        <v>2325040</v>
      </c>
      <c r="I9" s="50">
        <f>+H9+SUMIF($C$20:$C$58,K9,$I$20:$I$58)</f>
        <v>2325040</v>
      </c>
      <c r="K9" s="7">
        <v>100</v>
      </c>
    </row>
    <row r="10" spans="1:11" x14ac:dyDescent="0.35">
      <c r="A10" s="10" t="s">
        <v>5</v>
      </c>
      <c r="B10" s="35">
        <v>24037</v>
      </c>
      <c r="C10" s="35">
        <v>34657</v>
      </c>
      <c r="D10" s="222">
        <f t="shared" ref="D10:D15" si="0">+C10+SUMIF($C$20:$C$58,K10,$D$20:$D$58)</f>
        <v>34657</v>
      </c>
      <c r="E10" s="506">
        <f t="shared" ref="E10:E15" si="1">+D10+SUMIF($C$20:$C$58,K10,$E$20:$E$58)</f>
        <v>34657</v>
      </c>
      <c r="F10" s="504">
        <f t="shared" ref="F10:F15" si="2">+E10+SUMIF($C$20:$C$58,K10,$F$20:$F$58)</f>
        <v>34657</v>
      </c>
      <c r="G10" s="35">
        <f t="shared" ref="G10:G15" si="3">+F10+SUMIF($C$20:$C$58,K10,$G$20:$G$58)</f>
        <v>34657</v>
      </c>
      <c r="H10" s="222">
        <f t="shared" ref="H10:H15" si="4">+G10+SUMIF($C$20:$C$58,K10,$H$20:$H$58)</f>
        <v>34657</v>
      </c>
      <c r="I10" s="36">
        <f t="shared" ref="I10:I15" si="5">+H10+SUMIF($C$20:$C$58,K10,$I$20:$I$58)</f>
        <v>34657</v>
      </c>
      <c r="K10" s="7">
        <v>200</v>
      </c>
    </row>
    <row r="11" spans="1:11" x14ac:dyDescent="0.35">
      <c r="A11" s="9" t="s">
        <v>6</v>
      </c>
      <c r="B11" s="33">
        <f>19436+2555</f>
        <v>21991</v>
      </c>
      <c r="C11" s="33">
        <v>28031</v>
      </c>
      <c r="D11" s="219">
        <f t="shared" si="0"/>
        <v>28031</v>
      </c>
      <c r="E11" s="114">
        <f t="shared" si="1"/>
        <v>28031</v>
      </c>
      <c r="F11" s="396">
        <f t="shared" si="2"/>
        <v>28031</v>
      </c>
      <c r="G11" s="33">
        <f t="shared" si="3"/>
        <v>28031</v>
      </c>
      <c r="H11" s="219">
        <f t="shared" si="4"/>
        <v>28031</v>
      </c>
      <c r="I11" s="34">
        <f t="shared" si="5"/>
        <v>28031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2332700</v>
      </c>
      <c r="C16" s="39">
        <f t="shared" ref="C16:I16" si="6">SUM(C9:C15)</f>
        <v>2422973</v>
      </c>
      <c r="D16" s="39">
        <f t="shared" si="6"/>
        <v>2422973</v>
      </c>
      <c r="E16" s="529">
        <f t="shared" si="6"/>
        <v>2387728</v>
      </c>
      <c r="F16" s="39">
        <f t="shared" si="6"/>
        <v>2387728</v>
      </c>
      <c r="G16" s="39">
        <f t="shared" si="6"/>
        <v>2387728</v>
      </c>
      <c r="H16" s="39">
        <f t="shared" si="6"/>
        <v>2387728</v>
      </c>
      <c r="I16" s="39">
        <f t="shared" si="6"/>
        <v>2387728</v>
      </c>
    </row>
    <row r="17" spans="1:11" x14ac:dyDescent="0.35">
      <c r="E17" s="400"/>
    </row>
    <row r="18" spans="1:11" x14ac:dyDescent="0.35">
      <c r="E18" s="401">
        <f>+E16-D16</f>
        <v>-35245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701" t="s">
        <v>387</v>
      </c>
      <c r="B20" s="702"/>
      <c r="C20" s="232"/>
      <c r="D20" s="703"/>
      <c r="E20" s="73"/>
      <c r="F20" s="73"/>
      <c r="G20" s="73"/>
      <c r="H20" s="73"/>
      <c r="I20" s="73"/>
    </row>
    <row r="21" spans="1:11" ht="13" customHeight="1" x14ac:dyDescent="0.35">
      <c r="A21" s="779" t="s">
        <v>487</v>
      </c>
      <c r="B21" s="143"/>
      <c r="C21" s="181"/>
      <c r="D21" s="777"/>
      <c r="E21" s="777"/>
      <c r="F21" s="69"/>
      <c r="G21" s="69"/>
      <c r="H21" s="69"/>
      <c r="I21" s="69"/>
      <c r="J21" s="17"/>
    </row>
    <row r="22" spans="1:11" s="58" customFormat="1" ht="13" customHeight="1" x14ac:dyDescent="0.35">
      <c r="A22" s="778" t="s">
        <v>537</v>
      </c>
      <c r="B22" s="92"/>
      <c r="C22" s="93">
        <v>100</v>
      </c>
      <c r="D22" s="777"/>
      <c r="E22" s="94"/>
      <c r="F22" s="73">
        <v>158687</v>
      </c>
      <c r="G22" s="73"/>
      <c r="H22" s="73"/>
      <c r="I22" s="73"/>
      <c r="J22" s="81"/>
      <c r="K22" s="7"/>
    </row>
    <row r="23" spans="1:11" ht="13" customHeight="1" x14ac:dyDescent="0.35">
      <c r="A23" s="778" t="s">
        <v>590</v>
      </c>
      <c r="B23" s="143"/>
      <c r="C23" s="181">
        <v>100</v>
      </c>
      <c r="D23" s="777"/>
      <c r="E23" s="69">
        <v>8890</v>
      </c>
      <c r="F23" s="69"/>
      <c r="G23" s="69"/>
      <c r="H23" s="69"/>
      <c r="I23" s="69"/>
      <c r="J23" s="17"/>
    </row>
    <row r="24" spans="1:11" ht="13" customHeight="1" x14ac:dyDescent="0.35">
      <c r="A24" s="442" t="s">
        <v>596</v>
      </c>
      <c r="B24" s="92"/>
      <c r="C24" s="93"/>
      <c r="D24" s="94"/>
      <c r="E24" s="94"/>
      <c r="F24" s="94"/>
      <c r="G24" s="94"/>
      <c r="H24" s="94"/>
      <c r="I24" s="94"/>
      <c r="J24" s="17"/>
    </row>
    <row r="25" spans="1:11" ht="13" customHeight="1" x14ac:dyDescent="0.35">
      <c r="A25" s="778" t="s">
        <v>616</v>
      </c>
      <c r="B25" s="143"/>
      <c r="C25" s="181">
        <v>100</v>
      </c>
      <c r="D25" s="777"/>
      <c r="E25" s="69"/>
      <c r="F25" s="69">
        <v>-158687</v>
      </c>
      <c r="G25" s="69">
        <v>158687</v>
      </c>
      <c r="H25" s="69"/>
      <c r="I25" s="69"/>
      <c r="J25" s="17"/>
    </row>
    <row r="26" spans="1:11" ht="13" customHeight="1" x14ac:dyDescent="0.35">
      <c r="A26" s="779" t="s">
        <v>748</v>
      </c>
      <c r="B26" s="92"/>
      <c r="C26" s="93"/>
      <c r="D26" s="777"/>
      <c r="E26" s="94"/>
      <c r="F26" s="73"/>
      <c r="G26" s="73"/>
      <c r="H26" s="73"/>
      <c r="I26" s="73"/>
      <c r="J26" s="17"/>
    </row>
    <row r="27" spans="1:11" ht="13" customHeight="1" x14ac:dyDescent="0.35">
      <c r="A27" s="778" t="s">
        <v>765</v>
      </c>
      <c r="B27" s="143"/>
      <c r="C27" s="181">
        <v>100</v>
      </c>
      <c r="D27" s="777"/>
      <c r="E27" s="69">
        <v>23086</v>
      </c>
      <c r="F27" s="69"/>
      <c r="G27" s="69"/>
      <c r="H27" s="69"/>
      <c r="I27" s="69"/>
      <c r="J27" s="17"/>
    </row>
    <row r="28" spans="1:11" ht="13" customHeight="1" x14ac:dyDescent="0.35">
      <c r="A28" s="778" t="s">
        <v>858</v>
      </c>
      <c r="B28" s="92"/>
      <c r="C28" s="93">
        <v>100</v>
      </c>
      <c r="D28" s="777"/>
      <c r="E28" s="94"/>
      <c r="F28" s="73"/>
      <c r="G28" s="73">
        <v>-158687</v>
      </c>
      <c r="H28" s="73"/>
      <c r="I28" s="73"/>
      <c r="J28" s="17"/>
    </row>
    <row r="29" spans="1:11" ht="13" customHeight="1" x14ac:dyDescent="0.35">
      <c r="A29" s="778" t="s">
        <v>881</v>
      </c>
      <c r="B29" s="143"/>
      <c r="C29" s="181">
        <v>100</v>
      </c>
      <c r="D29" s="777"/>
      <c r="E29" s="69">
        <v>-67221</v>
      </c>
      <c r="F29" s="69"/>
      <c r="G29" s="69"/>
      <c r="H29" s="69"/>
      <c r="I29" s="69"/>
      <c r="J29" s="17"/>
    </row>
    <row r="30" spans="1:11" ht="13" customHeight="1" x14ac:dyDescent="0.35">
      <c r="A30" s="778"/>
      <c r="B30" s="92"/>
      <c r="C30" s="93"/>
      <c r="D30" s="777"/>
      <c r="E30" s="94"/>
      <c r="F30" s="73"/>
      <c r="G30" s="73"/>
      <c r="H30" s="73"/>
      <c r="I30" s="73"/>
      <c r="J30" s="17"/>
    </row>
    <row r="31" spans="1:11" ht="13" customHeight="1" x14ac:dyDescent="0.35">
      <c r="A31" s="778"/>
      <c r="B31" s="143"/>
      <c r="C31" s="181"/>
      <c r="D31" s="777"/>
      <c r="E31" s="69"/>
      <c r="F31" s="69"/>
      <c r="G31" s="69"/>
      <c r="H31" s="69"/>
      <c r="I31" s="69"/>
      <c r="J31" s="17"/>
    </row>
    <row r="32" spans="1:11" ht="13" customHeight="1" x14ac:dyDescent="0.35">
      <c r="A32" s="442"/>
      <c r="B32" s="92"/>
      <c r="C32" s="93"/>
      <c r="D32" s="94"/>
      <c r="E32" s="94"/>
      <c r="F32" s="94"/>
      <c r="G32" s="94"/>
      <c r="H32" s="94"/>
      <c r="I32" s="94"/>
      <c r="J32" s="17"/>
    </row>
    <row r="33" spans="1:10" ht="13" customHeight="1" x14ac:dyDescent="0.35">
      <c r="A33" s="778"/>
      <c r="B33" s="143"/>
      <c r="C33" s="181"/>
      <c r="D33" s="777"/>
      <c r="E33" s="69"/>
      <c r="F33" s="69"/>
      <c r="G33" s="69"/>
      <c r="H33" s="69"/>
      <c r="I33" s="69"/>
      <c r="J33" s="17"/>
    </row>
    <row r="34" spans="1:10" ht="13" customHeight="1" x14ac:dyDescent="0.35">
      <c r="A34" s="778"/>
      <c r="B34" s="92"/>
      <c r="C34" s="93"/>
      <c r="D34" s="777"/>
      <c r="E34" s="94"/>
      <c r="F34" s="73"/>
      <c r="G34" s="73"/>
      <c r="H34" s="73"/>
      <c r="I34" s="73"/>
      <c r="J34" s="17"/>
    </row>
    <row r="35" spans="1:10" ht="12.75" customHeight="1" x14ac:dyDescent="0.35">
      <c r="A35" s="778"/>
      <c r="B35" s="143"/>
      <c r="C35" s="181"/>
      <c r="D35" s="777"/>
      <c r="E35" s="69"/>
      <c r="F35" s="69"/>
      <c r="G35" s="69"/>
      <c r="H35" s="69"/>
      <c r="I35" s="69"/>
      <c r="J35" s="17"/>
    </row>
    <row r="36" spans="1:10" ht="13" customHeight="1" x14ac:dyDescent="0.35">
      <c r="A36" s="778"/>
      <c r="B36" s="92"/>
      <c r="C36" s="93"/>
      <c r="D36" s="777"/>
      <c r="E36" s="94"/>
      <c r="F36" s="73"/>
      <c r="G36" s="73"/>
      <c r="H36" s="73"/>
      <c r="I36" s="73"/>
      <c r="J36" s="17"/>
    </row>
    <row r="37" spans="1:10" ht="13" customHeight="1" x14ac:dyDescent="0.35">
      <c r="A37" s="778"/>
      <c r="B37" s="143"/>
      <c r="C37" s="181"/>
      <c r="D37" s="777"/>
      <c r="E37" s="69"/>
      <c r="F37" s="69"/>
      <c r="G37" s="69"/>
      <c r="H37" s="69"/>
      <c r="I37" s="69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8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8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7"/>
      <c r="B49" s="78"/>
      <c r="C49" s="75"/>
      <c r="D49" s="73"/>
      <c r="E49" s="73"/>
      <c r="F49" s="73"/>
      <c r="G49" s="73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81"/>
      <c r="B54" s="81"/>
      <c r="C54" s="81"/>
      <c r="D54" s="81"/>
      <c r="E54" s="81"/>
      <c r="F54" s="81"/>
      <c r="G54" s="81"/>
      <c r="H54" s="81"/>
      <c r="I54" s="81"/>
      <c r="J54" s="17"/>
    </row>
    <row r="55" spans="1:10" ht="13" customHeight="1" x14ac:dyDescent="0.35">
      <c r="A55" s="81"/>
      <c r="B55" s="81"/>
      <c r="C55" s="81"/>
      <c r="D55" s="81"/>
      <c r="E55" s="81"/>
      <c r="F55" s="81"/>
      <c r="G55" s="81"/>
      <c r="H55" s="81"/>
      <c r="I55" s="81"/>
      <c r="J55" s="17"/>
    </row>
    <row r="56" spans="1:10" ht="13" customHeight="1" x14ac:dyDescent="0.35">
      <c r="A56" s="81"/>
      <c r="B56" s="81"/>
      <c r="C56" s="81"/>
      <c r="D56" s="81"/>
      <c r="E56" s="81"/>
      <c r="F56" s="81"/>
      <c r="G56" s="81"/>
      <c r="H56" s="81"/>
      <c r="I56" s="81"/>
      <c r="J56" s="17"/>
    </row>
    <row r="57" spans="1:10" x14ac:dyDescent="0.35">
      <c r="A57" s="81"/>
      <c r="B57" s="81"/>
      <c r="C57" s="81"/>
      <c r="D57" s="81"/>
      <c r="E57" s="81"/>
      <c r="F57" s="81"/>
      <c r="G57" s="81"/>
      <c r="H57" s="81"/>
      <c r="I57" s="81"/>
    </row>
    <row r="58" spans="1:10" x14ac:dyDescent="0.35">
      <c r="A58" s="81"/>
      <c r="B58" s="81"/>
      <c r="C58" s="81"/>
      <c r="D58" s="81"/>
      <c r="E58" s="81"/>
      <c r="F58" s="81"/>
      <c r="G58" s="81"/>
      <c r="H58" s="81"/>
      <c r="I58" s="81"/>
    </row>
  </sheetData>
  <mergeCells count="6">
    <mergeCell ref="A1:I1"/>
    <mergeCell ref="A2:I2"/>
    <mergeCell ref="A3:I3"/>
    <mergeCell ref="A4:I4"/>
    <mergeCell ref="C6:I6"/>
    <mergeCell ref="C5:I5"/>
  </mergeCells>
  <conditionalFormatting sqref="A22:A23">
    <cfRule type="expression" dxfId="207" priority="25">
      <formula>MOD(ROW(),2)=1</formula>
    </cfRule>
  </conditionalFormatting>
  <conditionalFormatting sqref="D22:E23">
    <cfRule type="expression" dxfId="206" priority="24">
      <formula>MOD(ROW(),2)=1</formula>
    </cfRule>
  </conditionalFormatting>
  <conditionalFormatting sqref="A24 A27:A30">
    <cfRule type="expression" dxfId="205" priority="21">
      <formula>MOD(ROW(),2)=1</formula>
    </cfRule>
  </conditionalFormatting>
  <conditionalFormatting sqref="D24:E24 D27:E30">
    <cfRule type="expression" dxfId="204" priority="20">
      <formula>MOD(ROW(),2)=1</formula>
    </cfRule>
  </conditionalFormatting>
  <conditionalFormatting sqref="A31">
    <cfRule type="expression" dxfId="203" priority="19">
      <formula>MOD(ROW(),2)=1</formula>
    </cfRule>
  </conditionalFormatting>
  <conditionalFormatting sqref="D31:E31">
    <cfRule type="expression" dxfId="202" priority="18">
      <formula>MOD(ROW(),2)=1</formula>
    </cfRule>
  </conditionalFormatting>
  <conditionalFormatting sqref="A33 A35 A37">
    <cfRule type="expression" dxfId="201" priority="17">
      <formula>MOD(ROW(),2)=1</formula>
    </cfRule>
  </conditionalFormatting>
  <conditionalFormatting sqref="D33:E33 D35:E35 D37:E37">
    <cfRule type="expression" dxfId="200" priority="16">
      <formula>MOD(ROW(),2)=1</formula>
    </cfRule>
  </conditionalFormatting>
  <conditionalFormatting sqref="A34 A36">
    <cfRule type="expression" dxfId="199" priority="15">
      <formula>MOD(ROW(),2)=1</formula>
    </cfRule>
  </conditionalFormatting>
  <conditionalFormatting sqref="D34:E34 D36:E36">
    <cfRule type="expression" dxfId="198" priority="14">
      <formula>MOD(ROW(),2)=1</formula>
    </cfRule>
  </conditionalFormatting>
  <conditionalFormatting sqref="A25">
    <cfRule type="expression" dxfId="197" priority="13">
      <formula>MOD(ROW(),2)=1</formula>
    </cfRule>
  </conditionalFormatting>
  <conditionalFormatting sqref="D25:E25">
    <cfRule type="expression" dxfId="196" priority="12">
      <formula>MOD(ROW(),2)=1</formula>
    </cfRule>
  </conditionalFormatting>
  <conditionalFormatting sqref="A26">
    <cfRule type="expression" dxfId="195" priority="11">
      <formula>MOD(ROW(),2)=1</formula>
    </cfRule>
  </conditionalFormatting>
  <conditionalFormatting sqref="D26:E26">
    <cfRule type="expression" dxfId="194" priority="10">
      <formula>MOD(ROW(),2)=1</formula>
    </cfRule>
  </conditionalFormatting>
  <conditionalFormatting sqref="A21:A22">
    <cfRule type="expression" dxfId="193" priority="9">
      <formula>MOD(ROW(),2)=1</formula>
    </cfRule>
  </conditionalFormatting>
  <conditionalFormatting sqref="D21:E22">
    <cfRule type="expression" dxfId="192" priority="8">
      <formula>MOD(ROW(),2)=1</formula>
    </cfRule>
  </conditionalFormatting>
  <conditionalFormatting sqref="A23">
    <cfRule type="expression" dxfId="191" priority="7">
      <formula>MOD(ROW(),2)=1</formula>
    </cfRule>
  </conditionalFormatting>
  <conditionalFormatting sqref="D23:E23">
    <cfRule type="expression" dxfId="190" priority="6">
      <formula>MOD(ROW(),2)=1</formula>
    </cfRule>
  </conditionalFormatting>
  <conditionalFormatting sqref="A25 A27 A29">
    <cfRule type="expression" dxfId="189" priority="5">
      <formula>MOD(ROW(),2)=1</formula>
    </cfRule>
  </conditionalFormatting>
  <conditionalFormatting sqref="D25:E25 D27:E27 D29:E29">
    <cfRule type="expression" dxfId="188" priority="4">
      <formula>MOD(ROW(),2)=1</formula>
    </cfRule>
  </conditionalFormatting>
  <conditionalFormatting sqref="A26 A28">
    <cfRule type="expression" dxfId="187" priority="3">
      <formula>MOD(ROW(),2)=1</formula>
    </cfRule>
  </conditionalFormatting>
  <conditionalFormatting sqref="D26:E26 D28:E28">
    <cfRule type="expression" dxfId="186" priority="2">
      <formula>MOD(ROW(),2)=1</formula>
    </cfRule>
  </conditionalFormatting>
  <conditionalFormatting sqref="C9:I15">
    <cfRule type="cellIs" dxfId="18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rgb="FF92D050"/>
  </sheetPr>
  <dimension ref="A1:K55"/>
  <sheetViews>
    <sheetView tabSelected="1" topLeftCell="A12" zoomScaleNormal="100" zoomScaleSheetLayoutView="90" workbookViewId="0">
      <selection activeCell="D28" sqref="D28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22</v>
      </c>
      <c r="C6" s="880" t="s">
        <v>139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22404173</v>
      </c>
      <c r="C9" s="33">
        <v>31673433.420000002</v>
      </c>
      <c r="D9" s="219">
        <f>+C9+SUMIF($C$20:$C$58,K9,$D$20:$D$58)</f>
        <v>32098433.420000002</v>
      </c>
      <c r="E9" s="114">
        <f>+D9+SUMIF($C$20:$C$58,K9,$E$20:$E$58)</f>
        <v>32182866.420000002</v>
      </c>
      <c r="F9" s="396">
        <f>+E9+SUMIF($C$20:$C$58,K9,$F$20:$F$58)</f>
        <v>32197866.420000002</v>
      </c>
      <c r="G9" s="33">
        <f>+F9+SUMIF($C$20:$C$58,K9,$G$20:$G$58)</f>
        <v>32197866.420000002</v>
      </c>
      <c r="H9" s="219">
        <f>+G9+SUMIF($C$20:$C$58,K9,$H$20:$H$58)</f>
        <v>32197866.420000002</v>
      </c>
      <c r="I9" s="50">
        <f>+H9+SUMIF($C$20:$C$58,K9,$I$20:$I$58)</f>
        <v>32197866.420000002</v>
      </c>
      <c r="K9" s="7">
        <v>100</v>
      </c>
    </row>
    <row r="10" spans="1:11" x14ac:dyDescent="0.35">
      <c r="A10" s="10" t="s">
        <v>5</v>
      </c>
      <c r="B10" s="35">
        <v>88609393</v>
      </c>
      <c r="C10" s="35">
        <v>129305230</v>
      </c>
      <c r="D10" s="222">
        <f t="shared" ref="D10:D15" si="0">+C10+SUMIF($C$20:$C$58,K10,$D$20:$D$58)</f>
        <v>128940212</v>
      </c>
      <c r="E10" s="506">
        <f t="shared" ref="E10:E15" si="1">+D10+SUMIF($C$20:$C$58,K10,$E$20:$E$58)</f>
        <v>140710334</v>
      </c>
      <c r="F10" s="504">
        <f t="shared" ref="F10:F15" si="2">+E10+SUMIF($C$20:$C$58,K10,$F$20:$F$58)</f>
        <v>144897092</v>
      </c>
      <c r="G10" s="35">
        <f t="shared" ref="G10:G15" si="3">+F10+SUMIF($C$20:$C$58,K10,$G$20:$G$58)</f>
        <v>143433082</v>
      </c>
      <c r="H10" s="222">
        <f t="shared" ref="H10:H15" si="4">+G10+SUMIF($C$20:$C$58,K10,$H$20:$H$58)</f>
        <v>143433082</v>
      </c>
      <c r="I10" s="36">
        <f t="shared" ref="I10:I15" si="5">+H10+SUMIF($C$20:$C$58,K10,$I$20:$I$58)</f>
        <v>143433082</v>
      </c>
      <c r="K10" s="7">
        <v>200</v>
      </c>
    </row>
    <row r="11" spans="1:11" x14ac:dyDescent="0.35">
      <c r="A11" s="9" t="s">
        <v>6</v>
      </c>
      <c r="B11" s="33">
        <f>579570+811782</f>
        <v>1391352</v>
      </c>
      <c r="C11" s="33">
        <v>2111970</v>
      </c>
      <c r="D11" s="219">
        <f t="shared" si="0"/>
        <v>2111970</v>
      </c>
      <c r="E11" s="114">
        <f t="shared" si="1"/>
        <v>2111970</v>
      </c>
      <c r="F11" s="396">
        <f t="shared" si="2"/>
        <v>2111970</v>
      </c>
      <c r="G11" s="33">
        <f t="shared" si="3"/>
        <v>2111970</v>
      </c>
      <c r="H11" s="219">
        <f t="shared" si="4"/>
        <v>2111970</v>
      </c>
      <c r="I11" s="34">
        <f t="shared" si="5"/>
        <v>2111970</v>
      </c>
      <c r="K11" s="7" t="s">
        <v>167</v>
      </c>
    </row>
    <row r="12" spans="1:11" x14ac:dyDescent="0.35">
      <c r="A12" s="10" t="s">
        <v>7</v>
      </c>
      <c r="B12" s="35">
        <v>139055</v>
      </c>
      <c r="C12" s="35">
        <v>0</v>
      </c>
      <c r="D12" s="222">
        <f t="shared" si="0"/>
        <v>1393638</v>
      </c>
      <c r="E12" s="506">
        <f t="shared" si="1"/>
        <v>1393638</v>
      </c>
      <c r="F12" s="504">
        <f t="shared" si="2"/>
        <v>1393638</v>
      </c>
      <c r="G12" s="35">
        <f t="shared" si="3"/>
        <v>1393638</v>
      </c>
      <c r="H12" s="222">
        <f t="shared" si="4"/>
        <v>1393638</v>
      </c>
      <c r="I12" s="36">
        <f t="shared" si="5"/>
        <v>1393638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112543973</v>
      </c>
      <c r="C16" s="39">
        <f t="shared" ref="C16:I16" si="6">SUM(C9:C15)</f>
        <v>163090633.42000002</v>
      </c>
      <c r="D16" s="39">
        <f t="shared" si="6"/>
        <v>164544253.42000002</v>
      </c>
      <c r="E16" s="529">
        <f t="shared" si="6"/>
        <v>176398808.42000002</v>
      </c>
      <c r="F16" s="39">
        <f t="shared" si="6"/>
        <v>180600566.42000002</v>
      </c>
      <c r="G16" s="39">
        <f t="shared" si="6"/>
        <v>179136556.42000002</v>
      </c>
      <c r="H16" s="39">
        <f t="shared" si="6"/>
        <v>179136556.42000002</v>
      </c>
      <c r="I16" s="39">
        <f t="shared" si="6"/>
        <v>179136556.42000002</v>
      </c>
    </row>
    <row r="17" spans="1:10" x14ac:dyDescent="0.35">
      <c r="E17" s="206"/>
    </row>
    <row r="18" spans="1:10" x14ac:dyDescent="0.35">
      <c r="E18" s="400">
        <f>+E16-D16</f>
        <v>11854555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8"/>
      <c r="C20" s="75"/>
      <c r="D20" s="73"/>
      <c r="E20" s="73"/>
      <c r="F20" s="73"/>
      <c r="G20" s="73"/>
      <c r="H20" s="73"/>
      <c r="I20" s="73"/>
    </row>
    <row r="21" spans="1:10" ht="13" customHeight="1" x14ac:dyDescent="0.35">
      <c r="A21" s="692" t="s">
        <v>390</v>
      </c>
      <c r="B21" s="143"/>
      <c r="C21" s="143"/>
      <c r="D21" s="143"/>
      <c r="E21" s="143"/>
      <c r="F21" s="143"/>
      <c r="G21" s="143"/>
      <c r="H21" s="69"/>
      <c r="I21" s="69"/>
      <c r="J21" s="17"/>
    </row>
    <row r="22" spans="1:10" ht="13" customHeight="1" x14ac:dyDescent="0.35">
      <c r="A22" s="171" t="s">
        <v>232</v>
      </c>
      <c r="B22" s="92"/>
      <c r="C22" s="93">
        <v>200</v>
      </c>
      <c r="D22" s="94"/>
      <c r="E22" s="94">
        <v>531125</v>
      </c>
      <c r="F22" s="73"/>
      <c r="G22" s="73"/>
      <c r="H22" s="73"/>
      <c r="I22" s="73"/>
      <c r="J22" s="17"/>
    </row>
    <row r="23" spans="1:10" ht="13" customHeight="1" x14ac:dyDescent="0.35">
      <c r="A23" s="692" t="s">
        <v>391</v>
      </c>
      <c r="B23" s="143"/>
      <c r="C23" s="143"/>
      <c r="D23" s="143"/>
      <c r="E23" s="143"/>
      <c r="F23" s="142"/>
      <c r="G23" s="142"/>
      <c r="H23" s="142"/>
      <c r="I23" s="142"/>
      <c r="J23" s="17"/>
    </row>
    <row r="24" spans="1:10" ht="13" customHeight="1" x14ac:dyDescent="0.35">
      <c r="A24" s="706" t="s">
        <v>340</v>
      </c>
      <c r="B24" s="214"/>
      <c r="C24" s="90">
        <v>200</v>
      </c>
      <c r="D24" s="91"/>
      <c r="E24" s="91">
        <v>30534</v>
      </c>
      <c r="F24" s="91">
        <v>-1048339</v>
      </c>
      <c r="G24" s="91"/>
      <c r="H24" s="91"/>
      <c r="I24" s="91"/>
      <c r="J24" s="17"/>
    </row>
    <row r="25" spans="1:10" ht="13" customHeight="1" x14ac:dyDescent="0.35">
      <c r="A25" s="704" t="s">
        <v>387</v>
      </c>
      <c r="B25" s="538"/>
      <c r="C25" s="705"/>
      <c r="D25" s="194"/>
      <c r="E25" s="148"/>
      <c r="F25" s="148"/>
      <c r="G25" s="148"/>
      <c r="H25" s="148"/>
      <c r="I25" s="148"/>
      <c r="J25" s="17"/>
    </row>
    <row r="26" spans="1:10" ht="13" customHeight="1" x14ac:dyDescent="0.35">
      <c r="A26" s="296" t="s">
        <v>389</v>
      </c>
      <c r="B26" s="295"/>
      <c r="C26" s="241">
        <v>100</v>
      </c>
      <c r="D26" s="242"/>
      <c r="E26" s="73"/>
      <c r="F26" s="73"/>
      <c r="G26" s="73"/>
      <c r="H26" s="73"/>
      <c r="I26" s="73"/>
      <c r="J26" s="17"/>
    </row>
    <row r="27" spans="1:10" ht="13" customHeight="1" x14ac:dyDescent="0.35">
      <c r="A27" s="737" t="s">
        <v>412</v>
      </c>
      <c r="B27" s="143"/>
      <c r="C27" s="181">
        <v>100</v>
      </c>
      <c r="D27" s="142"/>
      <c r="E27" s="69">
        <v>40000</v>
      </c>
      <c r="F27" s="69">
        <v>15000</v>
      </c>
      <c r="G27" s="69"/>
      <c r="H27" s="69"/>
      <c r="I27" s="69"/>
      <c r="J27" s="17"/>
    </row>
    <row r="28" spans="1:10" ht="12.75" customHeight="1" x14ac:dyDescent="0.35">
      <c r="A28" s="171"/>
      <c r="B28" s="92"/>
      <c r="C28" s="93">
        <v>200</v>
      </c>
      <c r="D28" s="94"/>
      <c r="E28" s="94">
        <v>6547307</v>
      </c>
      <c r="F28" s="73">
        <v>5235097</v>
      </c>
      <c r="G28" s="73">
        <v>-1464010</v>
      </c>
      <c r="H28" s="73"/>
      <c r="I28" s="73"/>
      <c r="J28" s="17"/>
    </row>
    <row r="29" spans="1:10" ht="12.75" customHeight="1" x14ac:dyDescent="0.35">
      <c r="A29" s="692" t="s">
        <v>487</v>
      </c>
      <c r="B29" s="143"/>
      <c r="C29" s="776"/>
      <c r="D29" s="143"/>
      <c r="E29" s="69"/>
      <c r="F29" s="69"/>
      <c r="G29" s="69"/>
      <c r="H29" s="69"/>
      <c r="I29" s="69"/>
      <c r="J29" s="17"/>
    </row>
    <row r="30" spans="1:10" ht="12.75" customHeight="1" x14ac:dyDescent="0.35">
      <c r="A30" s="778" t="s">
        <v>544</v>
      </c>
      <c r="B30" s="92"/>
      <c r="C30" s="93">
        <v>100</v>
      </c>
      <c r="D30" s="777"/>
      <c r="E30" s="73"/>
      <c r="F30" s="73">
        <v>428491</v>
      </c>
      <c r="G30" s="73"/>
      <c r="H30" s="73"/>
      <c r="I30" s="73"/>
      <c r="J30" s="17"/>
    </row>
    <row r="31" spans="1:10" ht="12.75" customHeight="1" x14ac:dyDescent="0.35">
      <c r="A31" s="778" t="s">
        <v>528</v>
      </c>
      <c r="B31" s="143"/>
      <c r="C31" s="776">
        <v>200</v>
      </c>
      <c r="D31" s="777"/>
      <c r="E31" s="69"/>
      <c r="F31" s="69">
        <v>16750579</v>
      </c>
      <c r="G31" s="69"/>
      <c r="H31" s="69"/>
      <c r="I31" s="69"/>
      <c r="J31" s="17"/>
    </row>
    <row r="32" spans="1:10" ht="12.75" customHeight="1" x14ac:dyDescent="0.35">
      <c r="A32" s="171" t="s">
        <v>588</v>
      </c>
      <c r="B32" s="92"/>
      <c r="C32" s="93">
        <v>100</v>
      </c>
      <c r="D32" s="94"/>
      <c r="E32" s="94">
        <v>44433</v>
      </c>
      <c r="F32" s="73"/>
      <c r="G32" s="73"/>
      <c r="H32" s="73"/>
      <c r="I32" s="73"/>
      <c r="J32" s="17"/>
    </row>
    <row r="33" spans="1:10" ht="12.75" customHeight="1" x14ac:dyDescent="0.35">
      <c r="A33" s="779" t="s">
        <v>596</v>
      </c>
      <c r="B33" s="143"/>
      <c r="C33" s="776"/>
      <c r="D33" s="777"/>
      <c r="E33" s="69"/>
      <c r="F33" s="69"/>
      <c r="G33" s="69"/>
      <c r="H33" s="69"/>
      <c r="I33" s="69"/>
      <c r="J33" s="17"/>
    </row>
    <row r="34" spans="1:10" ht="12.75" customHeight="1" x14ac:dyDescent="0.35">
      <c r="A34" s="748" t="s">
        <v>616</v>
      </c>
      <c r="B34" s="92"/>
      <c r="C34" s="93">
        <v>100</v>
      </c>
      <c r="D34" s="94"/>
      <c r="E34" s="94"/>
      <c r="F34" s="73">
        <v>-428491</v>
      </c>
      <c r="G34" s="73">
        <v>428491</v>
      </c>
      <c r="H34" s="73"/>
      <c r="I34" s="73"/>
      <c r="J34" s="17"/>
    </row>
    <row r="35" spans="1:10" ht="12.75" customHeight="1" x14ac:dyDescent="0.35">
      <c r="A35" s="778"/>
      <c r="B35" s="143"/>
      <c r="C35" s="776">
        <v>200</v>
      </c>
      <c r="D35" s="777"/>
      <c r="E35" s="69"/>
      <c r="F35" s="69">
        <v>-16750579</v>
      </c>
      <c r="G35" s="69">
        <v>16750579</v>
      </c>
      <c r="H35" s="69"/>
      <c r="I35" s="69"/>
      <c r="J35" s="17"/>
    </row>
    <row r="36" spans="1:10" ht="12.75" customHeight="1" x14ac:dyDescent="0.35">
      <c r="A36" s="442" t="s">
        <v>648</v>
      </c>
      <c r="B36" s="92"/>
      <c r="C36" s="93"/>
      <c r="D36" s="94"/>
      <c r="E36" s="94"/>
      <c r="F36" s="73"/>
      <c r="G36" s="73"/>
      <c r="H36" s="73"/>
      <c r="I36" s="73"/>
      <c r="J36" s="17"/>
    </row>
    <row r="37" spans="1:10" ht="12.75" customHeight="1" x14ac:dyDescent="0.35">
      <c r="A37" s="745" t="s">
        <v>674</v>
      </c>
      <c r="B37" s="143"/>
      <c r="C37" s="776">
        <v>200</v>
      </c>
      <c r="D37" s="69">
        <v>-1393638</v>
      </c>
      <c r="E37" s="69"/>
      <c r="F37" s="69"/>
      <c r="G37" s="69"/>
      <c r="H37" s="69"/>
      <c r="I37" s="69"/>
      <c r="J37" s="17"/>
    </row>
    <row r="38" spans="1:10" ht="12.75" customHeight="1" x14ac:dyDescent="0.35">
      <c r="A38" s="171"/>
      <c r="B38" s="92"/>
      <c r="C38" s="93">
        <v>500</v>
      </c>
      <c r="D38" s="94">
        <v>1393638</v>
      </c>
      <c r="E38" s="94"/>
      <c r="F38" s="73"/>
      <c r="G38" s="73"/>
      <c r="H38" s="73"/>
      <c r="I38" s="73"/>
      <c r="J38" s="17"/>
    </row>
    <row r="39" spans="1:10" ht="12.75" customHeight="1" x14ac:dyDescent="0.35">
      <c r="A39" s="745" t="s">
        <v>675</v>
      </c>
      <c r="B39" s="143"/>
      <c r="C39" s="776">
        <v>100</v>
      </c>
      <c r="D39" s="69">
        <v>425000</v>
      </c>
      <c r="E39" s="69"/>
      <c r="F39" s="69"/>
      <c r="G39" s="69"/>
      <c r="H39" s="69"/>
      <c r="I39" s="69"/>
    </row>
    <row r="40" spans="1:10" ht="12.75" customHeight="1" x14ac:dyDescent="0.35">
      <c r="A40" s="442"/>
      <c r="B40" s="92"/>
      <c r="C40" s="93">
        <v>200</v>
      </c>
      <c r="D40" s="94">
        <v>1028620</v>
      </c>
      <c r="E40" s="94"/>
      <c r="F40" s="73"/>
      <c r="G40" s="73"/>
      <c r="H40" s="73"/>
      <c r="I40" s="73"/>
    </row>
    <row r="41" spans="1:10" ht="12.75" customHeight="1" x14ac:dyDescent="0.35">
      <c r="A41" s="692" t="s">
        <v>748</v>
      </c>
      <c r="B41" s="143"/>
      <c r="C41" s="776"/>
      <c r="D41" s="143"/>
      <c r="E41" s="69"/>
      <c r="F41" s="69"/>
      <c r="G41" s="69"/>
      <c r="H41" s="69"/>
      <c r="I41" s="69"/>
    </row>
    <row r="42" spans="1:10" ht="12.75" customHeight="1" x14ac:dyDescent="0.35">
      <c r="A42" s="748" t="s">
        <v>766</v>
      </c>
      <c r="B42" s="92"/>
      <c r="C42" s="93">
        <v>200</v>
      </c>
      <c r="D42" s="94"/>
      <c r="E42" s="94">
        <v>1489156</v>
      </c>
      <c r="F42" s="73"/>
      <c r="G42" s="73"/>
      <c r="H42" s="73"/>
      <c r="I42" s="73"/>
    </row>
    <row r="43" spans="1:10" ht="12.75" customHeight="1" x14ac:dyDescent="0.35">
      <c r="A43" s="745" t="s">
        <v>767</v>
      </c>
      <c r="B43" s="143"/>
      <c r="C43" s="776">
        <v>200</v>
      </c>
      <c r="D43" s="143"/>
      <c r="E43" s="69">
        <v>3172000</v>
      </c>
      <c r="F43" s="69"/>
      <c r="G43" s="69"/>
      <c r="H43" s="69"/>
      <c r="I43" s="69"/>
    </row>
    <row r="44" spans="1:10" ht="12.75" customHeight="1" x14ac:dyDescent="0.35">
      <c r="A44" s="748" t="s">
        <v>859</v>
      </c>
      <c r="B44" s="92"/>
      <c r="C44" s="93">
        <v>100</v>
      </c>
      <c r="D44" s="94"/>
      <c r="E44" s="94"/>
      <c r="F44" s="73"/>
      <c r="G44" s="73">
        <v>-428491</v>
      </c>
      <c r="H44" s="73"/>
      <c r="I44" s="73"/>
    </row>
    <row r="45" spans="1:10" ht="12.75" customHeight="1" x14ac:dyDescent="0.35">
      <c r="A45" s="745"/>
      <c r="B45" s="143"/>
      <c r="C45" s="776">
        <v>200</v>
      </c>
      <c r="D45" s="143"/>
      <c r="E45" s="69"/>
      <c r="F45" s="69"/>
      <c r="G45" s="69">
        <v>-16750579</v>
      </c>
      <c r="H45" s="69"/>
      <c r="I45" s="69"/>
    </row>
    <row r="46" spans="1:10" ht="12.75" customHeight="1" x14ac:dyDescent="0.35">
      <c r="A46" s="748"/>
      <c r="B46" s="92"/>
      <c r="C46" s="93"/>
      <c r="D46" s="94"/>
      <c r="E46" s="94"/>
      <c r="F46" s="73"/>
      <c r="G46" s="73"/>
      <c r="H46" s="73"/>
      <c r="I46" s="73"/>
    </row>
    <row r="47" spans="1:10" ht="12.75" customHeight="1" x14ac:dyDescent="0.35">
      <c r="A47" s="745"/>
      <c r="B47" s="143"/>
      <c r="C47" s="776"/>
      <c r="D47" s="143"/>
      <c r="E47" s="69"/>
      <c r="F47" s="69"/>
      <c r="G47" s="69"/>
      <c r="H47" s="69"/>
      <c r="I47" s="69"/>
    </row>
    <row r="48" spans="1:10" ht="12.75" customHeight="1" x14ac:dyDescent="0.35">
      <c r="A48" s="748"/>
      <c r="B48" s="92"/>
      <c r="C48" s="93"/>
      <c r="D48" s="94"/>
      <c r="E48" s="94"/>
      <c r="F48" s="73"/>
      <c r="G48" s="73"/>
      <c r="H48" s="73"/>
      <c r="I48" s="73"/>
    </row>
    <row r="49" spans="1:9" ht="12.75" customHeight="1" x14ac:dyDescent="0.35">
      <c r="A49" s="745"/>
      <c r="B49" s="143"/>
      <c r="C49" s="776"/>
      <c r="D49" s="143"/>
      <c r="E49" s="69"/>
      <c r="F49" s="69"/>
      <c r="G49" s="69"/>
      <c r="H49" s="69"/>
      <c r="I49" s="69"/>
    </row>
    <row r="50" spans="1:9" ht="12.75" customHeight="1" x14ac:dyDescent="0.35">
      <c r="A50" s="748"/>
      <c r="B50" s="92"/>
      <c r="C50" s="93"/>
      <c r="D50" s="94"/>
      <c r="E50" s="94"/>
      <c r="F50" s="73"/>
      <c r="G50" s="73"/>
      <c r="H50" s="73"/>
      <c r="I50" s="73"/>
    </row>
    <row r="51" spans="1:9" ht="12.75" customHeight="1" x14ac:dyDescent="0.35">
      <c r="A51" s="745"/>
      <c r="B51" s="143"/>
      <c r="C51" s="776"/>
      <c r="D51" s="143"/>
      <c r="E51" s="69"/>
      <c r="F51" s="69"/>
      <c r="G51" s="69"/>
      <c r="H51" s="69"/>
      <c r="I51" s="69"/>
    </row>
    <row r="52" spans="1:9" ht="12.75" customHeight="1" x14ac:dyDescent="0.35">
      <c r="A52" s="748"/>
      <c r="B52" s="92"/>
      <c r="C52" s="93"/>
      <c r="D52" s="94"/>
      <c r="E52" s="94"/>
      <c r="F52" s="73"/>
      <c r="G52" s="73"/>
      <c r="H52" s="73"/>
      <c r="I52" s="73"/>
    </row>
    <row r="53" spans="1:9" ht="12.75" customHeight="1" x14ac:dyDescent="0.35">
      <c r="A53" s="745"/>
      <c r="B53" s="143"/>
      <c r="C53" s="776"/>
      <c r="D53" s="143"/>
      <c r="E53" s="69"/>
      <c r="F53" s="69"/>
      <c r="G53" s="69"/>
      <c r="H53" s="69"/>
      <c r="I53" s="69"/>
    </row>
    <row r="54" spans="1:9" ht="12.75" customHeight="1" x14ac:dyDescent="0.35">
      <c r="A54" s="748"/>
      <c r="B54" s="92"/>
      <c r="C54" s="93"/>
      <c r="D54" s="94"/>
      <c r="E54" s="94"/>
      <c r="F54" s="73"/>
      <c r="G54" s="73"/>
      <c r="H54" s="73"/>
      <c r="I54" s="73"/>
    </row>
    <row r="55" spans="1:9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A30:A31">
    <cfRule type="expression" dxfId="184" priority="10">
      <formula>MOD(ROW(),2)=1</formula>
    </cfRule>
  </conditionalFormatting>
  <conditionalFormatting sqref="D30:F31">
    <cfRule type="expression" dxfId="183" priority="9">
      <formula>MOD(ROW(),2)=1</formula>
    </cfRule>
  </conditionalFormatting>
  <conditionalFormatting sqref="A33">
    <cfRule type="expression" dxfId="182" priority="6">
      <formula>MOD(ROW(),2)=1</formula>
    </cfRule>
  </conditionalFormatting>
  <conditionalFormatting sqref="D33:F33">
    <cfRule type="expression" dxfId="181" priority="5">
      <formula>MOD(ROW(),2)=1</formula>
    </cfRule>
  </conditionalFormatting>
  <conditionalFormatting sqref="A35">
    <cfRule type="expression" dxfId="180" priority="4">
      <formula>MOD(ROW(),2)=1</formula>
    </cfRule>
  </conditionalFormatting>
  <conditionalFormatting sqref="D35:F35">
    <cfRule type="expression" dxfId="179" priority="3">
      <formula>MOD(ROW(),2)=1</formula>
    </cfRule>
  </conditionalFormatting>
  <conditionalFormatting sqref="D37:I37">
    <cfRule type="expression" dxfId="178" priority="2">
      <formula>MOD(ROW(),2)=1</formula>
    </cfRule>
  </conditionalFormatting>
  <conditionalFormatting sqref="C9:I15">
    <cfRule type="cellIs" dxfId="17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theme="3"/>
  </sheetPr>
  <dimension ref="A1:K56"/>
  <sheetViews>
    <sheetView topLeftCell="A5" zoomScaleNormal="100" zoomScaleSheetLayoutView="90" workbookViewId="0">
      <selection activeCell="C9" sqref="C9:I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 t="s">
        <v>54</v>
      </c>
      <c r="C6" s="880" t="s">
        <v>222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1945732</v>
      </c>
      <c r="C9" s="33">
        <v>2395467</v>
      </c>
      <c r="D9" s="219">
        <f t="shared" ref="D9:D15" si="0">+C9+SUMIF($C$20:$C$59,K9,$D$20:$D$59)</f>
        <v>2395467</v>
      </c>
      <c r="E9" s="114">
        <f t="shared" ref="E9:E15" si="1">+D9+SUMIF($C$20:$C$59,K9,$E$20:$E$59)</f>
        <v>2939422</v>
      </c>
      <c r="F9" s="396">
        <f t="shared" ref="F9:F15" si="2">+E9+SUMIF($C$20:$C$59,K9,$F$20:$F$59)</f>
        <v>2958306</v>
      </c>
      <c r="G9" s="33">
        <f t="shared" ref="G9:G15" si="3">+F9+SUMIF($C$20:$C$59,K9,$G$20:$G$59)</f>
        <v>2946331</v>
      </c>
      <c r="H9" s="219">
        <f t="shared" ref="H9:H15" si="4">+G9+SUMIF($C$20:$C$59,K9,$H$20:$H$59)</f>
        <v>2955772</v>
      </c>
      <c r="I9" s="50">
        <f t="shared" ref="I9:I15" si="5">+H9+SUMIF($C$20:$C$59,K9,$I$20:$I$59)</f>
        <v>2951147</v>
      </c>
      <c r="K9" s="7">
        <v>100</v>
      </c>
    </row>
    <row r="10" spans="1:11" x14ac:dyDescent="0.35">
      <c r="A10" s="10" t="s">
        <v>5</v>
      </c>
      <c r="B10" s="35">
        <v>260157</v>
      </c>
      <c r="C10" s="35">
        <v>357217</v>
      </c>
      <c r="D10" s="222">
        <f t="shared" si="0"/>
        <v>276217</v>
      </c>
      <c r="E10" s="506">
        <f t="shared" si="1"/>
        <v>352817</v>
      </c>
      <c r="F10" s="504">
        <f t="shared" si="2"/>
        <v>352817</v>
      </c>
      <c r="G10" s="35">
        <f t="shared" si="3"/>
        <v>352817</v>
      </c>
      <c r="H10" s="222">
        <f t="shared" si="4"/>
        <v>352817</v>
      </c>
      <c r="I10" s="36">
        <f t="shared" si="5"/>
        <v>352817</v>
      </c>
      <c r="K10" s="7">
        <v>200</v>
      </c>
    </row>
    <row r="11" spans="1:11" x14ac:dyDescent="0.35">
      <c r="A11" s="9" t="s">
        <v>6</v>
      </c>
      <c r="B11" s="33">
        <v>11351</v>
      </c>
      <c r="C11" s="33">
        <v>86420</v>
      </c>
      <c r="D11" s="219">
        <f t="shared" si="0"/>
        <v>77420</v>
      </c>
      <c r="E11" s="114">
        <f t="shared" si="1"/>
        <v>21420</v>
      </c>
      <c r="F11" s="396">
        <f t="shared" si="2"/>
        <v>21420</v>
      </c>
      <c r="G11" s="33">
        <f t="shared" si="3"/>
        <v>21420</v>
      </c>
      <c r="H11" s="219">
        <f t="shared" si="4"/>
        <v>21420</v>
      </c>
      <c r="I11" s="34">
        <f t="shared" si="5"/>
        <v>21420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2217240</v>
      </c>
      <c r="C16" s="39">
        <f t="shared" ref="C16:I16" si="6">SUM(C9:C15)</f>
        <v>2839104</v>
      </c>
      <c r="D16" s="39">
        <f t="shared" si="6"/>
        <v>2749104</v>
      </c>
      <c r="E16" s="529">
        <f t="shared" si="6"/>
        <v>3313659</v>
      </c>
      <c r="F16" s="39">
        <f t="shared" si="6"/>
        <v>3332543</v>
      </c>
      <c r="G16" s="39">
        <f t="shared" si="6"/>
        <v>3320568</v>
      </c>
      <c r="H16" s="39">
        <f t="shared" si="6"/>
        <v>3330009</v>
      </c>
      <c r="I16" s="39">
        <f t="shared" si="6"/>
        <v>3325384</v>
      </c>
    </row>
    <row r="18" spans="1:11" x14ac:dyDescent="0.35">
      <c r="E18" s="400">
        <f>+E16-D16</f>
        <v>564555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2.75" customHeight="1" thickTop="1" x14ac:dyDescent="0.35">
      <c r="A20" s="229" t="s">
        <v>635</v>
      </c>
      <c r="B20" s="278"/>
      <c r="C20" s="239"/>
      <c r="D20" s="240"/>
      <c r="E20" s="240"/>
      <c r="F20" s="69"/>
      <c r="G20" s="69"/>
      <c r="H20" s="69"/>
      <c r="I20" s="69"/>
    </row>
    <row r="21" spans="1:11" s="58" customFormat="1" ht="12.75" customHeight="1" x14ac:dyDescent="0.35">
      <c r="A21" s="740" t="s">
        <v>284</v>
      </c>
      <c r="B21" s="78"/>
      <c r="C21" s="75"/>
      <c r="D21" s="73"/>
      <c r="E21" s="73"/>
      <c r="F21" s="73"/>
      <c r="G21" s="73"/>
      <c r="H21" s="73"/>
      <c r="I21" s="73"/>
      <c r="J21" s="81"/>
      <c r="K21" s="7"/>
    </row>
    <row r="22" spans="1:11" ht="13" customHeight="1" x14ac:dyDescent="0.35">
      <c r="A22" s="172" t="s">
        <v>288</v>
      </c>
      <c r="B22" s="151"/>
      <c r="C22" s="181">
        <v>200</v>
      </c>
      <c r="D22" s="142"/>
      <c r="E22" s="142">
        <v>-100000</v>
      </c>
      <c r="F22" s="142"/>
      <c r="G22" s="142"/>
      <c r="H22" s="142"/>
      <c r="I22" s="142"/>
      <c r="J22" s="17"/>
    </row>
    <row r="23" spans="1:11" ht="13" customHeight="1" x14ac:dyDescent="0.35">
      <c r="A23" s="187" t="s">
        <v>332</v>
      </c>
      <c r="B23" s="78"/>
      <c r="C23" s="71"/>
      <c r="D23" s="73"/>
      <c r="E23" s="73"/>
      <c r="F23" s="73"/>
      <c r="G23" s="73"/>
      <c r="H23" s="73"/>
      <c r="I23" s="73"/>
      <c r="J23" s="17"/>
    </row>
    <row r="24" spans="1:11" ht="13" customHeight="1" x14ac:dyDescent="0.35">
      <c r="A24" s="598" t="s">
        <v>343</v>
      </c>
      <c r="B24" s="84"/>
      <c r="C24" s="67">
        <v>200</v>
      </c>
      <c r="D24" s="69"/>
      <c r="E24" s="69"/>
      <c r="F24" s="69">
        <v>100000</v>
      </c>
      <c r="G24" s="69"/>
      <c r="H24" s="69"/>
      <c r="I24" s="69"/>
      <c r="J24" s="569" t="s">
        <v>327</v>
      </c>
    </row>
    <row r="25" spans="1:11" ht="13" customHeight="1" x14ac:dyDescent="0.35">
      <c r="A25" s="187" t="s">
        <v>416</v>
      </c>
      <c r="B25" s="78"/>
      <c r="C25" s="88"/>
      <c r="D25" s="73"/>
      <c r="E25" s="73"/>
      <c r="F25" s="73"/>
      <c r="G25" s="73"/>
      <c r="H25" s="73"/>
      <c r="I25" s="73"/>
      <c r="J25" s="17"/>
    </row>
    <row r="26" spans="1:11" ht="13" customHeight="1" x14ac:dyDescent="0.35">
      <c r="A26" s="226" t="s">
        <v>421</v>
      </c>
      <c r="B26" s="137"/>
      <c r="C26" s="708">
        <v>200</v>
      </c>
      <c r="D26" s="136"/>
      <c r="E26" s="136">
        <v>-41400</v>
      </c>
      <c r="F26" s="136"/>
      <c r="G26" s="136"/>
      <c r="H26" s="136"/>
      <c r="I26" s="136"/>
      <c r="J26" s="17"/>
    </row>
    <row r="27" spans="1:11" ht="13" customHeight="1" x14ac:dyDescent="0.35">
      <c r="A27" s="707"/>
      <c r="B27" s="295"/>
      <c r="C27" s="241" t="s">
        <v>167</v>
      </c>
      <c r="D27" s="242"/>
      <c r="E27" s="73">
        <v>-56000</v>
      </c>
      <c r="F27" s="73"/>
      <c r="G27" s="73"/>
      <c r="H27" s="73"/>
      <c r="I27" s="73"/>
      <c r="J27" s="17"/>
    </row>
    <row r="28" spans="1:11" ht="13" customHeight="1" x14ac:dyDescent="0.35">
      <c r="A28" s="298" t="s">
        <v>422</v>
      </c>
      <c r="B28" s="538"/>
      <c r="C28" s="705" t="s">
        <v>167</v>
      </c>
      <c r="D28" s="194"/>
      <c r="E28" s="69">
        <v>-5000</v>
      </c>
      <c r="F28" s="69"/>
      <c r="G28" s="69"/>
      <c r="H28" s="69"/>
      <c r="I28" s="69"/>
      <c r="J28" s="17"/>
    </row>
    <row r="29" spans="1:11" ht="13" customHeight="1" x14ac:dyDescent="0.35">
      <c r="A29" s="187" t="s">
        <v>487</v>
      </c>
      <c r="B29" s="78"/>
      <c r="C29" s="71"/>
      <c r="D29" s="73"/>
      <c r="E29" s="73"/>
      <c r="F29" s="73"/>
      <c r="G29" s="73"/>
      <c r="H29" s="73"/>
      <c r="I29" s="73"/>
      <c r="J29" s="17"/>
    </row>
    <row r="30" spans="1:11" ht="13" customHeight="1" x14ac:dyDescent="0.35">
      <c r="A30" s="598" t="s">
        <v>493</v>
      </c>
      <c r="B30" s="84"/>
      <c r="C30" s="67">
        <v>100</v>
      </c>
      <c r="D30" s="69"/>
      <c r="E30" s="69"/>
      <c r="F30" s="69">
        <v>220924</v>
      </c>
      <c r="G30" s="69"/>
      <c r="H30" s="69"/>
      <c r="I30" s="69"/>
      <c r="J30" s="17"/>
    </row>
    <row r="31" spans="1:11" ht="13" customHeight="1" x14ac:dyDescent="0.35">
      <c r="A31" s="179" t="s">
        <v>491</v>
      </c>
      <c r="B31" s="78"/>
      <c r="C31" s="71">
        <v>200</v>
      </c>
      <c r="D31" s="73"/>
      <c r="E31" s="73"/>
      <c r="F31" s="73">
        <v>89500</v>
      </c>
      <c r="G31" s="73"/>
      <c r="H31" s="73"/>
      <c r="I31" s="73"/>
      <c r="J31" s="17"/>
    </row>
    <row r="32" spans="1:11" ht="13" customHeight="1" x14ac:dyDescent="0.35">
      <c r="A32" s="598" t="s">
        <v>492</v>
      </c>
      <c r="B32" s="84"/>
      <c r="C32" s="67" t="s">
        <v>167</v>
      </c>
      <c r="D32" s="69"/>
      <c r="E32" s="69"/>
      <c r="F32" s="69">
        <v>2000</v>
      </c>
      <c r="G32" s="69"/>
      <c r="H32" s="69"/>
      <c r="I32" s="69"/>
      <c r="J32" s="17"/>
    </row>
    <row r="33" spans="1:10" ht="13" customHeight="1" x14ac:dyDescent="0.35">
      <c r="A33" s="179" t="s">
        <v>593</v>
      </c>
      <c r="B33" s="78"/>
      <c r="C33" s="71">
        <v>100</v>
      </c>
      <c r="D33" s="73"/>
      <c r="E33" s="73">
        <v>39713</v>
      </c>
      <c r="F33" s="73"/>
      <c r="G33" s="73"/>
      <c r="H33" s="73"/>
      <c r="I33" s="73"/>
      <c r="J33" s="17"/>
    </row>
    <row r="34" spans="1:10" ht="12.75" customHeight="1" x14ac:dyDescent="0.35">
      <c r="A34" s="387" t="s">
        <v>596</v>
      </c>
      <c r="B34" s="84"/>
      <c r="C34" s="67"/>
      <c r="D34" s="69"/>
      <c r="E34" s="69"/>
      <c r="F34" s="69"/>
      <c r="G34" s="69"/>
      <c r="H34" s="69"/>
      <c r="I34" s="69"/>
      <c r="J34" s="17"/>
    </row>
    <row r="35" spans="1:10" ht="13" customHeight="1" x14ac:dyDescent="0.35">
      <c r="A35" s="179"/>
      <c r="B35" s="78"/>
      <c r="C35" s="71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53" t="s">
        <v>621</v>
      </c>
      <c r="B36" s="84"/>
      <c r="C36" s="67">
        <v>200</v>
      </c>
      <c r="D36" s="69"/>
      <c r="E36" s="69">
        <v>-17000</v>
      </c>
      <c r="F36" s="69"/>
      <c r="G36" s="69"/>
      <c r="H36" s="69"/>
      <c r="I36" s="69"/>
      <c r="J36" s="17"/>
    </row>
    <row r="37" spans="1:10" ht="13" customHeight="1" x14ac:dyDescent="0.35">
      <c r="A37" s="179" t="s">
        <v>614</v>
      </c>
      <c r="B37" s="78"/>
      <c r="C37" s="71">
        <v>100</v>
      </c>
      <c r="D37" s="73"/>
      <c r="E37" s="73"/>
      <c r="F37" s="73">
        <v>-220924</v>
      </c>
      <c r="G37" s="73">
        <v>220924</v>
      </c>
      <c r="H37" s="73"/>
      <c r="I37" s="73"/>
      <c r="J37" s="17"/>
    </row>
    <row r="38" spans="1:10" ht="13" customHeight="1" x14ac:dyDescent="0.35">
      <c r="A38" s="598"/>
      <c r="B38" s="84"/>
      <c r="C38" s="67">
        <v>200</v>
      </c>
      <c r="D38" s="69"/>
      <c r="E38" s="69"/>
      <c r="F38" s="69">
        <v>-89500</v>
      </c>
      <c r="G38" s="69">
        <v>89500</v>
      </c>
      <c r="H38" s="69"/>
      <c r="I38" s="69"/>
      <c r="J38" s="17"/>
    </row>
    <row r="39" spans="1:10" ht="13" customHeight="1" x14ac:dyDescent="0.35">
      <c r="A39" s="179"/>
      <c r="B39" s="78"/>
      <c r="C39" s="71" t="s">
        <v>167</v>
      </c>
      <c r="D39" s="73"/>
      <c r="E39" s="73"/>
      <c r="F39" s="73">
        <v>-2000</v>
      </c>
      <c r="G39" s="73">
        <v>2000</v>
      </c>
      <c r="H39" s="73"/>
      <c r="I39" s="73"/>
      <c r="J39" s="17"/>
    </row>
    <row r="40" spans="1:10" ht="13" customHeight="1" x14ac:dyDescent="0.35">
      <c r="A40" s="387" t="s">
        <v>726</v>
      </c>
      <c r="B40" s="84"/>
      <c r="C40" s="67"/>
      <c r="D40" s="69"/>
      <c r="E40" s="69"/>
      <c r="F40" s="69"/>
      <c r="G40" s="69"/>
      <c r="H40" s="69"/>
      <c r="I40" s="69"/>
      <c r="J40" s="17"/>
    </row>
    <row r="41" spans="1:10" ht="13" customHeight="1" x14ac:dyDescent="0.35">
      <c r="A41" s="179" t="s">
        <v>727</v>
      </c>
      <c r="B41" s="78"/>
      <c r="C41" s="71">
        <v>200</v>
      </c>
      <c r="D41" s="73">
        <v>9000</v>
      </c>
      <c r="E41" s="73">
        <v>-5000</v>
      </c>
      <c r="F41" s="73"/>
      <c r="G41" s="73"/>
      <c r="H41" s="73"/>
      <c r="I41" s="73"/>
      <c r="J41" s="17"/>
    </row>
    <row r="42" spans="1:10" ht="13" customHeight="1" x14ac:dyDescent="0.35">
      <c r="A42" s="598"/>
      <c r="B42" s="84"/>
      <c r="C42" s="803" t="s">
        <v>167</v>
      </c>
      <c r="D42" s="69">
        <v>-9000</v>
      </c>
      <c r="E42" s="69">
        <v>5000</v>
      </c>
      <c r="F42" s="69"/>
      <c r="G42" s="69"/>
      <c r="H42" s="69"/>
      <c r="I42" s="69"/>
      <c r="J42" s="17"/>
    </row>
    <row r="43" spans="1:10" ht="13" customHeight="1" x14ac:dyDescent="0.35">
      <c r="A43" s="179" t="s">
        <v>872</v>
      </c>
      <c r="B43" s="78"/>
      <c r="C43" s="71">
        <v>200</v>
      </c>
      <c r="D43" s="73">
        <v>10000</v>
      </c>
      <c r="E43" s="73">
        <v>-10000</v>
      </c>
      <c r="F43" s="73"/>
      <c r="G43" s="73"/>
      <c r="H43" s="73"/>
      <c r="I43" s="73"/>
      <c r="J43" s="17"/>
    </row>
    <row r="44" spans="1:10" ht="13" customHeight="1" x14ac:dyDescent="0.35">
      <c r="A44" s="387" t="s">
        <v>715</v>
      </c>
      <c r="B44" s="84"/>
      <c r="C44" s="803"/>
      <c r="D44" s="69"/>
      <c r="E44" s="69"/>
      <c r="F44" s="69"/>
      <c r="G44" s="69"/>
      <c r="H44" s="69"/>
      <c r="I44" s="69"/>
      <c r="J44" s="17"/>
    </row>
    <row r="45" spans="1:10" ht="13" customHeight="1" x14ac:dyDescent="0.35">
      <c r="A45" s="179" t="s">
        <v>765</v>
      </c>
      <c r="B45" s="78"/>
      <c r="C45" s="71">
        <v>100</v>
      </c>
      <c r="D45" s="73"/>
      <c r="E45" s="73">
        <v>134813</v>
      </c>
      <c r="F45" s="73"/>
      <c r="G45" s="73"/>
      <c r="H45" s="73"/>
      <c r="I45" s="73"/>
      <c r="J45" s="17"/>
    </row>
    <row r="46" spans="1:10" ht="13" customHeight="1" x14ac:dyDescent="0.35">
      <c r="A46" s="598" t="s">
        <v>771</v>
      </c>
      <c r="B46" s="84"/>
      <c r="C46" s="803">
        <v>100</v>
      </c>
      <c r="D46" s="69"/>
      <c r="E46" s="69">
        <v>193527</v>
      </c>
      <c r="F46" s="69">
        <f>212411-E46</f>
        <v>18884</v>
      </c>
      <c r="G46" s="69">
        <f>200436-F46-E46</f>
        <v>-11975</v>
      </c>
      <c r="H46" s="69">
        <f>207877-G46-F46-E46</f>
        <v>7441</v>
      </c>
      <c r="I46" s="69">
        <f>203252-H46-G46-F46-E46</f>
        <v>-4625</v>
      </c>
      <c r="J46" s="17"/>
    </row>
    <row r="47" spans="1:10" ht="13" customHeight="1" x14ac:dyDescent="0.35">
      <c r="A47" s="179" t="s">
        <v>772</v>
      </c>
      <c r="B47" s="78"/>
      <c r="C47" s="71">
        <v>100</v>
      </c>
      <c r="D47" s="73"/>
      <c r="E47" s="73">
        <v>120000</v>
      </c>
      <c r="F47" s="73"/>
      <c r="G47" s="73"/>
      <c r="H47" s="73"/>
      <c r="I47" s="73"/>
      <c r="J47" s="17"/>
    </row>
    <row r="48" spans="1:10" ht="13" customHeight="1" x14ac:dyDescent="0.35">
      <c r="A48" s="598" t="s">
        <v>773</v>
      </c>
      <c r="B48" s="84"/>
      <c r="C48" s="803">
        <v>200</v>
      </c>
      <c r="D48" s="69">
        <v>-100000</v>
      </c>
      <c r="E48" s="69">
        <v>200000</v>
      </c>
      <c r="F48" s="69">
        <v>-100000</v>
      </c>
      <c r="G48" s="69"/>
      <c r="H48" s="69"/>
      <c r="I48" s="69"/>
      <c r="J48" s="17"/>
    </row>
    <row r="49" spans="1:10" ht="13" customHeight="1" x14ac:dyDescent="0.35">
      <c r="A49" s="179" t="s">
        <v>774</v>
      </c>
      <c r="B49" s="78"/>
      <c r="C49" s="71">
        <v>200</v>
      </c>
      <c r="D49" s="73"/>
      <c r="E49" s="73">
        <v>20000</v>
      </c>
      <c r="F49" s="73"/>
      <c r="G49" s="73"/>
      <c r="H49" s="73"/>
      <c r="I49" s="73"/>
      <c r="J49" s="17"/>
    </row>
    <row r="50" spans="1:10" ht="13" customHeight="1" x14ac:dyDescent="0.35">
      <c r="A50" s="598" t="s">
        <v>775</v>
      </c>
      <c r="B50" s="84"/>
      <c r="C50" s="803">
        <v>100</v>
      </c>
      <c r="D50" s="69"/>
      <c r="E50" s="69">
        <v>55902</v>
      </c>
      <c r="F50" s="69"/>
      <c r="G50" s="69"/>
      <c r="H50" s="69">
        <v>2000</v>
      </c>
      <c r="I50" s="69"/>
      <c r="J50" s="17"/>
    </row>
    <row r="51" spans="1:10" ht="13" customHeight="1" x14ac:dyDescent="0.35">
      <c r="A51" s="179" t="s">
        <v>777</v>
      </c>
      <c r="B51" s="78"/>
      <c r="C51" s="71">
        <v>200</v>
      </c>
      <c r="D51" s="73"/>
      <c r="E51" s="73">
        <v>30000</v>
      </c>
      <c r="F51" s="73"/>
      <c r="G51" s="73"/>
      <c r="H51" s="73"/>
      <c r="I51" s="73"/>
      <c r="J51" s="17"/>
    </row>
    <row r="52" spans="1:10" ht="13" customHeight="1" x14ac:dyDescent="0.35">
      <c r="A52" s="598" t="s">
        <v>861</v>
      </c>
      <c r="B52" s="84"/>
      <c r="C52" s="803">
        <v>100</v>
      </c>
      <c r="D52" s="69"/>
      <c r="E52" s="69"/>
      <c r="F52" s="69"/>
      <c r="G52" s="69">
        <v>-220924</v>
      </c>
      <c r="H52" s="69"/>
      <c r="I52" s="69"/>
      <c r="J52" s="17"/>
    </row>
    <row r="53" spans="1:10" ht="13" customHeight="1" x14ac:dyDescent="0.35">
      <c r="A53" s="179"/>
      <c r="B53" s="78"/>
      <c r="C53" s="71">
        <v>200</v>
      </c>
      <c r="D53" s="73"/>
      <c r="E53" s="73"/>
      <c r="F53" s="73"/>
      <c r="G53" s="73">
        <v>-89500</v>
      </c>
      <c r="H53" s="73"/>
      <c r="I53" s="73"/>
      <c r="J53" s="17"/>
    </row>
    <row r="54" spans="1:10" ht="13" customHeight="1" x14ac:dyDescent="0.35">
      <c r="A54" s="598"/>
      <c r="B54" s="84"/>
      <c r="C54" s="803" t="s">
        <v>167</v>
      </c>
      <c r="D54" s="69"/>
      <c r="E54" s="69"/>
      <c r="F54" s="69"/>
      <c r="G54" s="69">
        <v>-2000</v>
      </c>
      <c r="H54" s="69"/>
      <c r="I54" s="69"/>
      <c r="J54" s="17"/>
    </row>
    <row r="55" spans="1:10" x14ac:dyDescent="0.35">
      <c r="A55" s="179"/>
      <c r="B55" s="78"/>
      <c r="C55" s="71"/>
      <c r="D55" s="73"/>
      <c r="E55" s="73"/>
      <c r="F55" s="73"/>
      <c r="G55" s="73"/>
      <c r="H55" s="73"/>
      <c r="I55" s="73"/>
    </row>
    <row r="56" spans="1:10" x14ac:dyDescent="0.35">
      <c r="A56" s="179"/>
      <c r="B56" s="78"/>
      <c r="C56" s="71"/>
      <c r="D56" s="73"/>
      <c r="E56" s="73"/>
      <c r="F56" s="73"/>
      <c r="G56" s="73"/>
      <c r="H56" s="73"/>
      <c r="I56" s="73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76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theme="3"/>
  </sheetPr>
  <dimension ref="A1:K52"/>
  <sheetViews>
    <sheetView topLeftCell="A9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44</v>
      </c>
      <c r="C6" s="880" t="s">
        <v>138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9733493</v>
      </c>
      <c r="C9" s="33">
        <v>9520003</v>
      </c>
      <c r="D9" s="219">
        <f t="shared" ref="D9:D15" si="0">+C9+SUMIF($C$20:$C$60,K9,$D$20:$D$60)</f>
        <v>9520003</v>
      </c>
      <c r="E9" s="114">
        <f t="shared" ref="E9:E15" si="1">+D9+SUMIF($C$20:$C$60,K9,$E$20:$E$60)</f>
        <v>14452037</v>
      </c>
      <c r="F9" s="396">
        <f t="shared" ref="F9:F15" si="2">+E9+SUMIF($C$20:$C$60,K9,$F$20:$F$60)</f>
        <v>14502037</v>
      </c>
      <c r="G9" s="33">
        <f t="shared" ref="G9:G15" si="3">+F9+SUMIF($C$20:$C$60,K9,$G$20:$G$60)</f>
        <v>14552037</v>
      </c>
      <c r="H9" s="219">
        <f t="shared" ref="H9:H15" si="4">+G9+SUMIF($C$20:$C$60,K9,$H$20:$H$60)</f>
        <v>14552037</v>
      </c>
      <c r="I9" s="50">
        <f t="shared" ref="I9:I15" si="5">+H9+SUMIF($C$20:$C$60,K9,$I$20:$I$60)</f>
        <v>14552037</v>
      </c>
      <c r="K9" s="7">
        <v>100</v>
      </c>
    </row>
    <row r="10" spans="1:11" x14ac:dyDescent="0.35">
      <c r="A10" s="10" t="s">
        <v>5</v>
      </c>
      <c r="B10" s="35">
        <f>6289375+270175</f>
        <v>6559550</v>
      </c>
      <c r="C10" s="35">
        <v>5309427</v>
      </c>
      <c r="D10" s="222">
        <f t="shared" si="0"/>
        <v>6709427</v>
      </c>
      <c r="E10" s="506">
        <f t="shared" si="1"/>
        <v>4668260</v>
      </c>
      <c r="F10" s="504">
        <f t="shared" si="2"/>
        <v>4668260</v>
      </c>
      <c r="G10" s="35">
        <f t="shared" si="3"/>
        <v>4668260</v>
      </c>
      <c r="H10" s="222">
        <f t="shared" si="4"/>
        <v>4668260</v>
      </c>
      <c r="I10" s="36">
        <f t="shared" si="5"/>
        <v>4668260</v>
      </c>
      <c r="K10" s="7">
        <v>200</v>
      </c>
    </row>
    <row r="11" spans="1:11" x14ac:dyDescent="0.35">
      <c r="A11" s="9" t="s">
        <v>6</v>
      </c>
      <c r="B11" s="33">
        <f>225507+9092</f>
        <v>234599</v>
      </c>
      <c r="C11" s="33">
        <v>184676</v>
      </c>
      <c r="D11" s="219">
        <f t="shared" si="0"/>
        <v>184676</v>
      </c>
      <c r="E11" s="114">
        <f t="shared" si="1"/>
        <v>184676</v>
      </c>
      <c r="F11" s="396">
        <f t="shared" si="2"/>
        <v>184676</v>
      </c>
      <c r="G11" s="33">
        <f t="shared" si="3"/>
        <v>184676</v>
      </c>
      <c r="H11" s="219">
        <f t="shared" si="4"/>
        <v>184676</v>
      </c>
      <c r="I11" s="34">
        <f t="shared" si="5"/>
        <v>184676</v>
      </c>
      <c r="K11" s="7" t="s">
        <v>167</v>
      </c>
    </row>
    <row r="12" spans="1:11" x14ac:dyDescent="0.35">
      <c r="A12" s="10" t="s">
        <v>7</v>
      </c>
      <c r="B12" s="42">
        <v>45000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16572642</v>
      </c>
      <c r="C16" s="39">
        <f t="shared" ref="C16:I16" si="6">SUM(C9:C15)</f>
        <v>15014106</v>
      </c>
      <c r="D16" s="39">
        <f t="shared" si="6"/>
        <v>16414106</v>
      </c>
      <c r="E16" s="529">
        <f t="shared" si="6"/>
        <v>19304973</v>
      </c>
      <c r="F16" s="39">
        <f t="shared" si="6"/>
        <v>19354973</v>
      </c>
      <c r="G16" s="39">
        <f>SUM(G9:G15)</f>
        <v>19404973</v>
      </c>
      <c r="H16" s="39">
        <f t="shared" si="6"/>
        <v>19404973</v>
      </c>
      <c r="I16" s="39">
        <f t="shared" si="6"/>
        <v>19404973</v>
      </c>
    </row>
    <row r="18" spans="1:10" x14ac:dyDescent="0.35">
      <c r="E18" s="400">
        <f>+E16-D16</f>
        <v>2890867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78"/>
      <c r="C20" s="71"/>
      <c r="D20" s="72"/>
      <c r="E20" s="72"/>
      <c r="F20" s="72"/>
      <c r="G20" s="72"/>
      <c r="H20" s="72"/>
      <c r="I20" s="73"/>
    </row>
    <row r="21" spans="1:10" ht="12.75" customHeight="1" x14ac:dyDescent="0.35">
      <c r="A21" s="231" t="s">
        <v>284</v>
      </c>
      <c r="B21" s="84"/>
      <c r="C21" s="74"/>
      <c r="D21" s="69"/>
      <c r="E21" s="69"/>
      <c r="F21" s="69"/>
      <c r="G21" s="141"/>
      <c r="H21" s="142"/>
      <c r="I21" s="142"/>
      <c r="J21" s="17"/>
    </row>
    <row r="22" spans="1:10" ht="12.75" customHeight="1" x14ac:dyDescent="0.35">
      <c r="A22" s="532" t="s">
        <v>308</v>
      </c>
      <c r="B22" s="92"/>
      <c r="C22" s="93">
        <v>200</v>
      </c>
      <c r="D22" s="94"/>
      <c r="E22" s="94">
        <v>100000</v>
      </c>
      <c r="F22" s="94"/>
      <c r="G22" s="73"/>
      <c r="H22" s="73"/>
      <c r="I22" s="73"/>
      <c r="J22" s="17"/>
    </row>
    <row r="23" spans="1:10" ht="12.75" customHeight="1" x14ac:dyDescent="0.35">
      <c r="A23" s="437" t="s">
        <v>332</v>
      </c>
      <c r="B23" s="84"/>
      <c r="C23" s="67"/>
      <c r="D23" s="68"/>
      <c r="E23" s="68"/>
      <c r="F23" s="68"/>
      <c r="G23" s="68"/>
      <c r="H23" s="69"/>
      <c r="I23" s="69"/>
      <c r="J23" s="17"/>
    </row>
    <row r="24" spans="1:10" ht="12.75" customHeight="1" x14ac:dyDescent="0.35">
      <c r="A24" s="385" t="s">
        <v>377</v>
      </c>
      <c r="B24" s="120"/>
      <c r="C24" s="120">
        <v>100</v>
      </c>
      <c r="D24" s="91"/>
      <c r="E24" s="91">
        <v>50000</v>
      </c>
      <c r="F24" s="91">
        <v>50000</v>
      </c>
      <c r="G24" s="91">
        <v>50000</v>
      </c>
      <c r="H24" s="91"/>
      <c r="I24" s="91"/>
      <c r="J24" s="17"/>
    </row>
    <row r="25" spans="1:10" ht="12.75" customHeight="1" x14ac:dyDescent="0.35">
      <c r="A25" s="701" t="s">
        <v>487</v>
      </c>
      <c r="B25" s="702"/>
      <c r="C25" s="232"/>
      <c r="D25" s="703"/>
      <c r="E25" s="73"/>
      <c r="F25" s="73"/>
      <c r="G25" s="73"/>
      <c r="H25" s="73"/>
      <c r="I25" s="73"/>
      <c r="J25" s="17"/>
    </row>
    <row r="26" spans="1:10" ht="12.75" customHeight="1" x14ac:dyDescent="0.35">
      <c r="A26" s="293" t="s">
        <v>592</v>
      </c>
      <c r="B26" s="294"/>
      <c r="C26" s="239">
        <v>100</v>
      </c>
      <c r="D26" s="240"/>
      <c r="E26" s="142">
        <v>139236</v>
      </c>
      <c r="F26" s="142"/>
      <c r="G26" s="142"/>
      <c r="H26" s="142"/>
      <c r="I26" s="142"/>
      <c r="J26" s="17"/>
    </row>
    <row r="27" spans="1:10" ht="12.75" customHeight="1" x14ac:dyDescent="0.35">
      <c r="A27" s="752" t="s">
        <v>561</v>
      </c>
      <c r="B27" s="58"/>
      <c r="C27" s="752">
        <v>100</v>
      </c>
      <c r="D27" s="73"/>
      <c r="E27" s="73"/>
      <c r="F27" s="73">
        <v>1660764</v>
      </c>
      <c r="G27" s="73"/>
      <c r="H27" s="73"/>
      <c r="I27" s="73"/>
      <c r="J27" s="17"/>
    </row>
    <row r="28" spans="1:10" ht="12.75" customHeight="1" x14ac:dyDescent="0.35">
      <c r="A28" s="756" t="s">
        <v>594</v>
      </c>
      <c r="B28" s="294"/>
      <c r="C28" s="239"/>
      <c r="D28" s="240"/>
      <c r="E28" s="142"/>
      <c r="F28" s="142"/>
      <c r="G28" s="142"/>
      <c r="H28" s="142"/>
      <c r="I28" s="142"/>
      <c r="J28" s="17"/>
    </row>
    <row r="29" spans="1:10" ht="12.75" customHeight="1" x14ac:dyDescent="0.35">
      <c r="A29" s="752" t="s">
        <v>598</v>
      </c>
      <c r="B29" s="58"/>
      <c r="C29" s="752">
        <v>100</v>
      </c>
      <c r="D29" s="73"/>
      <c r="E29" s="73"/>
      <c r="F29" s="73">
        <v>-1547764</v>
      </c>
      <c r="G29" s="73"/>
      <c r="H29" s="73"/>
      <c r="I29" s="73"/>
      <c r="J29" s="17"/>
    </row>
    <row r="30" spans="1:10" ht="12.75" customHeight="1" x14ac:dyDescent="0.35">
      <c r="A30" s="293"/>
      <c r="B30" s="294"/>
      <c r="C30" s="239">
        <v>200</v>
      </c>
      <c r="D30" s="240"/>
      <c r="E30" s="142"/>
      <c r="F30" s="142">
        <v>999607</v>
      </c>
      <c r="G30" s="142"/>
      <c r="H30" s="142"/>
      <c r="I30" s="142"/>
      <c r="J30" s="17"/>
    </row>
    <row r="31" spans="1:10" ht="12.75" customHeight="1" x14ac:dyDescent="0.35">
      <c r="A31" s="752"/>
      <c r="B31" s="58"/>
      <c r="C31" s="802" t="s">
        <v>167</v>
      </c>
      <c r="D31" s="73"/>
      <c r="E31" s="73"/>
      <c r="F31" s="73">
        <v>64000</v>
      </c>
      <c r="G31" s="73"/>
      <c r="H31" s="73"/>
      <c r="I31" s="73"/>
      <c r="J31" s="17"/>
    </row>
    <row r="32" spans="1:10" ht="12.75" customHeight="1" x14ac:dyDescent="0.35">
      <c r="A32" s="293" t="s">
        <v>615</v>
      </c>
      <c r="B32" s="294"/>
      <c r="C32" s="239">
        <v>100</v>
      </c>
      <c r="D32" s="240"/>
      <c r="E32" s="142"/>
      <c r="F32" s="142">
        <v>-113000</v>
      </c>
      <c r="G32" s="142">
        <v>113000</v>
      </c>
      <c r="H32" s="142"/>
      <c r="I32" s="142"/>
    </row>
    <row r="33" spans="1:10" ht="12.75" customHeight="1" x14ac:dyDescent="0.35">
      <c r="A33" s="752"/>
      <c r="B33" s="58"/>
      <c r="C33" s="752">
        <v>200</v>
      </c>
      <c r="D33" s="73"/>
      <c r="E33" s="73"/>
      <c r="F33" s="73">
        <v>-999607</v>
      </c>
      <c r="G33" s="73">
        <v>999607</v>
      </c>
      <c r="H33" s="73"/>
      <c r="I33" s="73"/>
      <c r="J33" s="17"/>
    </row>
    <row r="34" spans="1:10" ht="12.75" customHeight="1" x14ac:dyDescent="0.35">
      <c r="A34" s="293"/>
      <c r="B34" s="294"/>
      <c r="C34" s="239" t="s">
        <v>167</v>
      </c>
      <c r="D34" s="240"/>
      <c r="E34" s="142"/>
      <c r="F34" s="142">
        <v>-64000</v>
      </c>
      <c r="G34" s="142">
        <v>64000</v>
      </c>
      <c r="H34" s="142"/>
      <c r="I34" s="142"/>
    </row>
    <row r="35" spans="1:10" ht="12.75" customHeight="1" x14ac:dyDescent="0.35">
      <c r="A35" s="700" t="s">
        <v>648</v>
      </c>
      <c r="B35" s="58"/>
      <c r="C35" s="752"/>
      <c r="D35" s="73"/>
      <c r="E35" s="73"/>
      <c r="F35" s="73"/>
      <c r="G35" s="73"/>
      <c r="H35" s="73"/>
      <c r="I35" s="73"/>
    </row>
    <row r="36" spans="1:10" ht="12.75" customHeight="1" x14ac:dyDescent="0.35">
      <c r="A36" s="293" t="s">
        <v>873</v>
      </c>
      <c r="B36" s="294"/>
      <c r="C36" s="239">
        <v>200</v>
      </c>
      <c r="D36" s="240">
        <v>1400000</v>
      </c>
      <c r="E36" s="142">
        <v>-1400000</v>
      </c>
      <c r="F36" s="142"/>
      <c r="G36" s="142"/>
      <c r="H36" s="142"/>
      <c r="I36" s="142"/>
    </row>
    <row r="37" spans="1:10" ht="12.75" customHeight="1" x14ac:dyDescent="0.35">
      <c r="A37" s="700" t="s">
        <v>748</v>
      </c>
      <c r="B37" s="58"/>
      <c r="C37" s="752"/>
      <c r="D37" s="73"/>
      <c r="E37" s="73"/>
      <c r="F37" s="73"/>
      <c r="G37" s="73"/>
      <c r="H37" s="73"/>
      <c r="I37" s="73"/>
    </row>
    <row r="38" spans="1:10" ht="12.75" customHeight="1" x14ac:dyDescent="0.35">
      <c r="A38" s="293" t="s">
        <v>778</v>
      </c>
      <c r="B38" s="294"/>
      <c r="C38" s="239">
        <v>200</v>
      </c>
      <c r="D38" s="240"/>
      <c r="E38" s="142">
        <v>-765167</v>
      </c>
      <c r="F38" s="142"/>
      <c r="G38" s="142"/>
      <c r="H38" s="142"/>
      <c r="I38" s="142"/>
    </row>
    <row r="39" spans="1:10" ht="12.75" customHeight="1" x14ac:dyDescent="0.35">
      <c r="A39" s="752" t="s">
        <v>779</v>
      </c>
      <c r="B39" s="58"/>
      <c r="C39" s="752">
        <v>200</v>
      </c>
      <c r="D39" s="73"/>
      <c r="E39" s="73">
        <v>24000</v>
      </c>
      <c r="F39" s="73"/>
      <c r="G39" s="73"/>
      <c r="H39" s="73"/>
      <c r="I39" s="73"/>
    </row>
    <row r="40" spans="1:10" ht="12.75" customHeight="1" x14ac:dyDescent="0.35">
      <c r="A40" s="293" t="s">
        <v>859</v>
      </c>
      <c r="B40" s="294"/>
      <c r="C40" s="239">
        <v>100</v>
      </c>
      <c r="D40" s="240"/>
      <c r="E40" s="142"/>
      <c r="F40" s="142"/>
      <c r="G40" s="142">
        <v>-113000</v>
      </c>
      <c r="H40" s="142"/>
      <c r="I40" s="142"/>
    </row>
    <row r="41" spans="1:10" ht="12.75" customHeight="1" x14ac:dyDescent="0.35">
      <c r="A41" s="752"/>
      <c r="B41" s="58"/>
      <c r="C41" s="752">
        <v>200</v>
      </c>
      <c r="D41" s="73"/>
      <c r="E41" s="73"/>
      <c r="F41" s="73"/>
      <c r="G41" s="73">
        <v>-999607</v>
      </c>
      <c r="H41" s="73"/>
      <c r="I41" s="73"/>
    </row>
    <row r="42" spans="1:10" ht="12.75" customHeight="1" x14ac:dyDescent="0.35">
      <c r="A42" s="293"/>
      <c r="B42" s="294"/>
      <c r="C42" s="239" t="s">
        <v>167</v>
      </c>
      <c r="D42" s="240"/>
      <c r="E42" s="142"/>
      <c r="F42" s="142"/>
      <c r="G42" s="142">
        <v>-64000</v>
      </c>
      <c r="H42" s="142"/>
      <c r="I42" s="142"/>
    </row>
    <row r="43" spans="1:10" ht="12.75" customHeight="1" x14ac:dyDescent="0.35">
      <c r="A43" s="752" t="s">
        <v>897</v>
      </c>
      <c r="B43" s="58"/>
      <c r="C43" s="752">
        <v>100</v>
      </c>
      <c r="D43" s="73"/>
      <c r="E43" s="73">
        <f>4988968-246170</f>
        <v>4742798</v>
      </c>
      <c r="F43" s="73"/>
      <c r="G43" s="73"/>
      <c r="H43" s="73"/>
      <c r="I43" s="73"/>
    </row>
    <row r="44" spans="1:10" ht="12.75" customHeight="1" x14ac:dyDescent="0.35">
      <c r="A44" s="293"/>
      <c r="B44" s="294"/>
      <c r="C44" s="239"/>
      <c r="D44" s="240"/>
      <c r="E44" s="142"/>
      <c r="F44" s="142"/>
      <c r="G44" s="142"/>
      <c r="H44" s="142"/>
      <c r="I44" s="142"/>
    </row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7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tabColor theme="3"/>
  </sheetPr>
  <dimension ref="A1:K54"/>
  <sheetViews>
    <sheetView topLeftCell="A7" zoomScaleNormal="100" zoomScaleSheetLayoutView="90" workbookViewId="0">
      <selection activeCell="C15" sqref="C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26</v>
      </c>
      <c r="C6" s="880" t="s">
        <v>137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24986716</v>
      </c>
      <c r="C9" s="33">
        <v>23970217</v>
      </c>
      <c r="D9" s="219">
        <f t="shared" ref="D9:D15" si="0">+C9+SUMIF($C$20:$C$58,K9,$D$20:$D$58)</f>
        <v>23970217</v>
      </c>
      <c r="E9" s="114">
        <f t="shared" ref="E9:E15" si="1">+D9+SUMIF($C$20:$C$58,K9,$E$20:$E$58)</f>
        <v>24608806</v>
      </c>
      <c r="F9" s="396">
        <f t="shared" ref="F9:F15" si="2">+E9+SUMIF($C$20:$C$58,K9,$F$20:$F$58)</f>
        <v>24228806</v>
      </c>
      <c r="G9" s="33">
        <f t="shared" ref="G9:G15" si="3">+F9+SUMIF($C$20:$C$58,K9,$G$20:$G$58)</f>
        <v>24228806</v>
      </c>
      <c r="H9" s="219">
        <f t="shared" ref="H9:H15" si="4">+G9+SUMIF($C$20:$C$58,K9,$H$20:$H$58)</f>
        <v>24228806</v>
      </c>
      <c r="I9" s="50">
        <f t="shared" ref="I9:I15" si="5">+H9+SUMIF($C$20:$C$58,K9,$I$20:$I$58)</f>
        <v>24228806</v>
      </c>
      <c r="K9" s="7">
        <v>100</v>
      </c>
    </row>
    <row r="10" spans="1:11" x14ac:dyDescent="0.35">
      <c r="A10" s="10" t="s">
        <v>5</v>
      </c>
      <c r="B10" s="35">
        <f>12401729+233805-1</f>
        <v>12635533</v>
      </c>
      <c r="C10" s="35">
        <v>13447002</v>
      </c>
      <c r="D10" s="222">
        <f t="shared" si="0"/>
        <v>13447002</v>
      </c>
      <c r="E10" s="506">
        <f t="shared" si="1"/>
        <v>13522002</v>
      </c>
      <c r="F10" s="504">
        <f t="shared" si="2"/>
        <v>13245752</v>
      </c>
      <c r="G10" s="35">
        <f t="shared" si="3"/>
        <v>13245752</v>
      </c>
      <c r="H10" s="222">
        <f t="shared" si="4"/>
        <v>13245752</v>
      </c>
      <c r="I10" s="36">
        <f t="shared" si="5"/>
        <v>13245752</v>
      </c>
      <c r="K10" s="7">
        <v>200</v>
      </c>
    </row>
    <row r="11" spans="1:11" x14ac:dyDescent="0.35">
      <c r="A11" s="9" t="s">
        <v>6</v>
      </c>
      <c r="B11" s="33">
        <f>395668+600658</f>
        <v>996326</v>
      </c>
      <c r="C11" s="33">
        <v>834475</v>
      </c>
      <c r="D11" s="219">
        <f t="shared" si="0"/>
        <v>834475</v>
      </c>
      <c r="E11" s="114">
        <f t="shared" si="1"/>
        <v>834475</v>
      </c>
      <c r="F11" s="396">
        <f t="shared" si="2"/>
        <v>834475</v>
      </c>
      <c r="G11" s="33">
        <f t="shared" si="3"/>
        <v>834475</v>
      </c>
      <c r="H11" s="219">
        <f t="shared" si="4"/>
        <v>834475</v>
      </c>
      <c r="I11" s="34">
        <f t="shared" si="5"/>
        <v>834475</v>
      </c>
      <c r="K11" s="7" t="s">
        <v>167</v>
      </c>
    </row>
    <row r="12" spans="1:11" x14ac:dyDescent="0.35">
      <c r="A12" s="10" t="s">
        <v>7</v>
      </c>
      <c r="B12" s="35">
        <v>275744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38894319</v>
      </c>
      <c r="C16" s="39">
        <f t="shared" ref="C16:I16" si="6">SUM(C9:C15)</f>
        <v>38251694</v>
      </c>
      <c r="D16" s="39">
        <f t="shared" si="6"/>
        <v>38251694</v>
      </c>
      <c r="E16" s="529">
        <f t="shared" si="6"/>
        <v>38965283</v>
      </c>
      <c r="F16" s="39">
        <f t="shared" si="6"/>
        <v>38309033</v>
      </c>
      <c r="G16" s="39">
        <f t="shared" si="6"/>
        <v>38309033</v>
      </c>
      <c r="H16" s="39">
        <f t="shared" si="6"/>
        <v>38309033</v>
      </c>
      <c r="I16" s="39">
        <f t="shared" si="6"/>
        <v>38309033</v>
      </c>
    </row>
    <row r="18" spans="1:10" x14ac:dyDescent="0.35">
      <c r="E18" s="400">
        <f>+E16-D16</f>
        <v>713589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00" t="s">
        <v>635</v>
      </c>
      <c r="B20" s="58"/>
      <c r="C20" s="752"/>
      <c r="D20" s="73"/>
      <c r="E20" s="73"/>
      <c r="F20" s="73"/>
      <c r="G20" s="73"/>
      <c r="H20" s="73"/>
      <c r="I20" s="73"/>
    </row>
    <row r="21" spans="1:10" ht="12.75" customHeight="1" x14ac:dyDescent="0.35">
      <c r="A21" s="756" t="s">
        <v>332</v>
      </c>
      <c r="B21" s="294"/>
      <c r="C21" s="239"/>
      <c r="D21" s="240"/>
      <c r="E21" s="142"/>
      <c r="F21" s="142"/>
      <c r="G21" s="142"/>
      <c r="H21" s="142"/>
      <c r="I21" s="142"/>
      <c r="J21" s="94"/>
    </row>
    <row r="22" spans="1:10" ht="12.75" customHeight="1" x14ac:dyDescent="0.35">
      <c r="A22" s="752" t="s">
        <v>334</v>
      </c>
      <c r="B22" s="58"/>
      <c r="C22" s="752">
        <v>200</v>
      </c>
      <c r="D22" s="73"/>
      <c r="E22" s="73">
        <v>-391299</v>
      </c>
      <c r="F22" s="73">
        <v>-656250</v>
      </c>
      <c r="G22" s="73"/>
      <c r="H22" s="73"/>
      <c r="I22" s="73"/>
    </row>
    <row r="23" spans="1:10" ht="12.75" customHeight="1" x14ac:dyDescent="0.35">
      <c r="A23" s="756" t="s">
        <v>353</v>
      </c>
      <c r="B23" s="294"/>
      <c r="C23" s="239"/>
      <c r="D23" s="240"/>
      <c r="E23" s="142"/>
      <c r="F23" s="142"/>
      <c r="G23" s="142"/>
      <c r="H23" s="142"/>
      <c r="I23" s="142"/>
    </row>
    <row r="24" spans="1:10" ht="12.75" customHeight="1" x14ac:dyDescent="0.35">
      <c r="A24" s="752" t="s">
        <v>354</v>
      </c>
      <c r="B24" s="58"/>
      <c r="C24" s="752">
        <v>100</v>
      </c>
      <c r="D24" s="73"/>
      <c r="E24" s="73"/>
      <c r="F24" s="73">
        <v>-380000</v>
      </c>
      <c r="G24" s="73"/>
      <c r="H24" s="73"/>
      <c r="I24" s="73"/>
    </row>
    <row r="25" spans="1:10" ht="12.75" customHeight="1" x14ac:dyDescent="0.35">
      <c r="A25" s="293"/>
      <c r="B25" s="294"/>
      <c r="C25" s="239">
        <v>200</v>
      </c>
      <c r="D25" s="240"/>
      <c r="E25" s="142"/>
      <c r="F25" s="142">
        <v>380000</v>
      </c>
      <c r="G25" s="142"/>
      <c r="H25" s="142"/>
      <c r="I25" s="142"/>
    </row>
    <row r="26" spans="1:10" ht="12.75" customHeight="1" x14ac:dyDescent="0.35">
      <c r="A26" s="700" t="s">
        <v>487</v>
      </c>
      <c r="B26" s="58"/>
      <c r="C26" s="752"/>
      <c r="D26" s="73"/>
      <c r="E26" s="73"/>
      <c r="F26" s="73"/>
      <c r="G26" s="73"/>
      <c r="H26" s="73"/>
      <c r="I26" s="73"/>
    </row>
    <row r="27" spans="1:10" ht="12.75" customHeight="1" x14ac:dyDescent="0.35">
      <c r="A27" s="293" t="s">
        <v>516</v>
      </c>
      <c r="B27" s="294"/>
      <c r="C27" s="239">
        <v>100</v>
      </c>
      <c r="D27" s="240"/>
      <c r="E27" s="142"/>
      <c r="F27" s="142">
        <v>2567945</v>
      </c>
      <c r="G27" s="142"/>
      <c r="H27" s="142"/>
      <c r="I27" s="142"/>
    </row>
    <row r="28" spans="1:10" ht="12.75" customHeight="1" x14ac:dyDescent="0.35">
      <c r="A28" s="752" t="s">
        <v>515</v>
      </c>
      <c r="B28" s="58"/>
      <c r="C28" s="752">
        <v>200</v>
      </c>
      <c r="D28" s="73"/>
      <c r="E28" s="73"/>
      <c r="F28" s="73">
        <v>1500000</v>
      </c>
      <c r="G28" s="73"/>
      <c r="H28" s="73"/>
      <c r="I28" s="73"/>
    </row>
    <row r="29" spans="1:10" ht="12.75" customHeight="1" x14ac:dyDescent="0.35">
      <c r="A29" s="293" t="s">
        <v>514</v>
      </c>
      <c r="B29" s="294"/>
      <c r="C29" s="239" t="s">
        <v>167</v>
      </c>
      <c r="D29" s="240"/>
      <c r="E29" s="142"/>
      <c r="F29" s="142">
        <v>100000</v>
      </c>
      <c r="G29" s="142"/>
      <c r="H29" s="142"/>
      <c r="I29" s="142"/>
    </row>
    <row r="30" spans="1:10" ht="12.75" customHeight="1" x14ac:dyDescent="0.35">
      <c r="A30" s="752" t="s">
        <v>593</v>
      </c>
      <c r="B30" s="58"/>
      <c r="C30" s="752">
        <v>100</v>
      </c>
      <c r="D30" s="73"/>
      <c r="E30" s="73">
        <v>43536</v>
      </c>
      <c r="F30" s="73"/>
      <c r="G30" s="73"/>
      <c r="H30" s="73"/>
      <c r="I30" s="73"/>
    </row>
    <row r="31" spans="1:10" ht="12.75" customHeight="1" x14ac:dyDescent="0.35">
      <c r="A31" s="756" t="s">
        <v>596</v>
      </c>
      <c r="B31" s="294"/>
      <c r="C31" s="239"/>
      <c r="D31" s="240"/>
      <c r="E31" s="142"/>
      <c r="F31" s="142"/>
      <c r="G31" s="142"/>
      <c r="H31" s="142"/>
      <c r="I31" s="142"/>
    </row>
    <row r="32" spans="1:10" ht="12.75" customHeight="1" x14ac:dyDescent="0.35">
      <c r="A32" s="752" t="s">
        <v>615</v>
      </c>
      <c r="B32" s="58"/>
      <c r="C32" s="752">
        <v>100</v>
      </c>
      <c r="D32" s="73"/>
      <c r="E32" s="73"/>
      <c r="F32" s="73">
        <v>-2567945</v>
      </c>
      <c r="G32" s="73">
        <v>2567945</v>
      </c>
      <c r="H32" s="73"/>
      <c r="I32" s="73"/>
    </row>
    <row r="33" spans="1:9" ht="12.75" customHeight="1" x14ac:dyDescent="0.35">
      <c r="A33" s="293"/>
      <c r="B33" s="294"/>
      <c r="C33" s="239">
        <v>200</v>
      </c>
      <c r="D33" s="240"/>
      <c r="E33" s="142"/>
      <c r="F33" s="142">
        <v>-1500000</v>
      </c>
      <c r="G33" s="142">
        <v>1500000</v>
      </c>
      <c r="H33" s="142"/>
      <c r="I33" s="142"/>
    </row>
    <row r="34" spans="1:9" ht="12.75" customHeight="1" x14ac:dyDescent="0.35">
      <c r="A34" s="752"/>
      <c r="B34" s="58"/>
      <c r="C34" s="802" t="s">
        <v>167</v>
      </c>
      <c r="D34" s="73"/>
      <c r="E34" s="73"/>
      <c r="F34" s="73">
        <v>-100000</v>
      </c>
      <c r="G34" s="73">
        <v>100000</v>
      </c>
      <c r="H34" s="73"/>
      <c r="I34" s="73"/>
    </row>
    <row r="35" spans="1:9" ht="12.75" customHeight="1" x14ac:dyDescent="0.35">
      <c r="A35" s="756" t="s">
        <v>748</v>
      </c>
      <c r="B35" s="294"/>
      <c r="C35" s="239"/>
      <c r="D35" s="240"/>
      <c r="E35" s="142"/>
      <c r="F35" s="142"/>
      <c r="G35" s="142"/>
      <c r="H35" s="142"/>
      <c r="I35" s="142"/>
    </row>
    <row r="36" spans="1:9" ht="12.75" customHeight="1" x14ac:dyDescent="0.35">
      <c r="A36" s="752" t="s">
        <v>780</v>
      </c>
      <c r="B36" s="58"/>
      <c r="C36" s="752">
        <v>200</v>
      </c>
      <c r="D36" s="73"/>
      <c r="E36" s="73">
        <v>391299</v>
      </c>
      <c r="F36" s="73"/>
      <c r="G36" s="73"/>
      <c r="H36" s="73"/>
      <c r="I36" s="73"/>
    </row>
    <row r="37" spans="1:9" ht="12.75" customHeight="1" x14ac:dyDescent="0.35">
      <c r="A37" s="293" t="s">
        <v>862</v>
      </c>
      <c r="B37" s="294"/>
      <c r="C37" s="239">
        <v>100</v>
      </c>
      <c r="D37" s="240"/>
      <c r="E37" s="142">
        <v>305295</v>
      </c>
      <c r="F37" s="142"/>
      <c r="G37" s="142"/>
      <c r="H37" s="142"/>
      <c r="I37" s="142"/>
    </row>
    <row r="38" spans="1:9" ht="12.75" customHeight="1" x14ac:dyDescent="0.35">
      <c r="A38" s="752" t="s">
        <v>781</v>
      </c>
      <c r="B38" s="58"/>
      <c r="C38" s="752">
        <v>100</v>
      </c>
      <c r="D38" s="73"/>
      <c r="E38" s="73">
        <v>289758</v>
      </c>
      <c r="F38" s="73"/>
      <c r="G38" s="73"/>
      <c r="H38" s="73"/>
      <c r="I38" s="73"/>
    </row>
    <row r="39" spans="1:9" ht="12.75" customHeight="1" x14ac:dyDescent="0.35">
      <c r="A39" s="293"/>
      <c r="B39" s="294"/>
      <c r="C39" s="239">
        <v>200</v>
      </c>
      <c r="D39" s="240"/>
      <c r="E39" s="142">
        <v>75000</v>
      </c>
      <c r="F39" s="142"/>
      <c r="G39" s="142"/>
      <c r="H39" s="142"/>
      <c r="I39" s="142"/>
    </row>
    <row r="40" spans="1:9" ht="12.75" customHeight="1" x14ac:dyDescent="0.35">
      <c r="A40" s="752" t="s">
        <v>857</v>
      </c>
      <c r="B40" s="58"/>
      <c r="C40" s="752">
        <v>100</v>
      </c>
      <c r="D40" s="73"/>
      <c r="E40" s="73"/>
      <c r="F40" s="73"/>
      <c r="G40" s="73">
        <v>-2567945</v>
      </c>
      <c r="H40" s="73"/>
      <c r="I40" s="73"/>
    </row>
    <row r="41" spans="1:9" ht="12.75" customHeight="1" x14ac:dyDescent="0.35">
      <c r="A41" s="293"/>
      <c r="B41" s="294"/>
      <c r="C41" s="239">
        <v>200</v>
      </c>
      <c r="D41" s="240"/>
      <c r="E41" s="142"/>
      <c r="F41" s="142"/>
      <c r="G41" s="142">
        <v>-1500000</v>
      </c>
      <c r="H41" s="142"/>
      <c r="I41" s="142"/>
    </row>
    <row r="42" spans="1:9" ht="12.75" customHeight="1" x14ac:dyDescent="0.35">
      <c r="A42" s="752"/>
      <c r="B42" s="58"/>
      <c r="C42" s="857" t="s">
        <v>167</v>
      </c>
      <c r="D42" s="73"/>
      <c r="E42" s="73"/>
      <c r="F42" s="73"/>
      <c r="G42" s="73">
        <v>-100000</v>
      </c>
      <c r="H42" s="73"/>
      <c r="I42" s="73"/>
    </row>
    <row r="43" spans="1:9" ht="12.75" customHeight="1" x14ac:dyDescent="0.35">
      <c r="A43" s="293"/>
      <c r="B43" s="294"/>
      <c r="C43" s="239"/>
      <c r="D43" s="240"/>
      <c r="E43" s="142"/>
      <c r="F43" s="142"/>
      <c r="G43" s="142"/>
      <c r="H43" s="142"/>
      <c r="I43" s="142"/>
    </row>
    <row r="44" spans="1:9" ht="12.75" customHeight="1" x14ac:dyDescent="0.35">
      <c r="A44" s="752"/>
      <c r="B44" s="58"/>
      <c r="C44" s="752"/>
      <c r="D44" s="73"/>
      <c r="E44" s="73"/>
      <c r="F44" s="73"/>
      <c r="G44" s="73"/>
      <c r="H44" s="73"/>
      <c r="I44" s="73"/>
    </row>
    <row r="45" spans="1:9" ht="12.75" customHeight="1" x14ac:dyDescent="0.35">
      <c r="A45" s="293"/>
      <c r="B45" s="294"/>
      <c r="C45" s="239"/>
      <c r="D45" s="240"/>
      <c r="E45" s="142"/>
      <c r="F45" s="142"/>
      <c r="G45" s="142"/>
      <c r="H45" s="142"/>
      <c r="I45" s="142"/>
    </row>
    <row r="46" spans="1:9" ht="12.75" customHeight="1" x14ac:dyDescent="0.35">
      <c r="A46" s="752"/>
      <c r="B46" s="58"/>
      <c r="C46" s="752"/>
      <c r="D46" s="73"/>
      <c r="E46" s="73"/>
      <c r="F46" s="73"/>
      <c r="G46" s="73"/>
      <c r="H46" s="73"/>
      <c r="I46" s="73"/>
    </row>
    <row r="47" spans="1:9" ht="12.75" customHeight="1" x14ac:dyDescent="0.35">
      <c r="A47" s="293"/>
      <c r="B47" s="294"/>
      <c r="C47" s="239"/>
      <c r="D47" s="240"/>
      <c r="E47" s="142"/>
      <c r="F47" s="142"/>
      <c r="G47" s="142"/>
      <c r="H47" s="142"/>
      <c r="I47" s="142"/>
    </row>
    <row r="48" spans="1:9" ht="12.75" customHeight="1" x14ac:dyDescent="0.35">
      <c r="A48" s="752"/>
      <c r="B48" s="58"/>
      <c r="C48" s="752"/>
      <c r="D48" s="73"/>
      <c r="E48" s="73"/>
      <c r="F48" s="73"/>
      <c r="G48" s="73"/>
      <c r="H48" s="73"/>
      <c r="I48" s="73"/>
    </row>
    <row r="49" spans="1:9" ht="12.75" customHeight="1" x14ac:dyDescent="0.35">
      <c r="A49" s="293"/>
      <c r="B49" s="294"/>
      <c r="C49" s="239"/>
      <c r="D49" s="240"/>
      <c r="E49" s="142"/>
      <c r="F49" s="142"/>
      <c r="G49" s="142"/>
      <c r="H49" s="142"/>
      <c r="I49" s="142"/>
    </row>
    <row r="50" spans="1:9" ht="12.75" customHeight="1" x14ac:dyDescent="0.35">
      <c r="A50" s="752"/>
      <c r="B50" s="58"/>
      <c r="C50" s="752"/>
      <c r="D50" s="73"/>
      <c r="E50" s="73"/>
      <c r="F50" s="73"/>
      <c r="G50" s="73"/>
      <c r="H50" s="73"/>
      <c r="I50" s="73"/>
    </row>
    <row r="51" spans="1:9" ht="12.75" customHeight="1" x14ac:dyDescent="0.35">
      <c r="A51" s="581"/>
      <c r="B51" s="81"/>
      <c r="C51" s="102"/>
      <c r="D51" s="72"/>
      <c r="E51" s="72"/>
      <c r="F51" s="72"/>
      <c r="G51" s="72"/>
      <c r="H51" s="72"/>
      <c r="I51" s="72"/>
    </row>
    <row r="52" spans="1:9" ht="12.75" customHeight="1" x14ac:dyDescent="0.35"/>
    <row r="53" spans="1:9" ht="12.75" customHeight="1" x14ac:dyDescent="0.35"/>
    <row r="54" spans="1:9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7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theme="3"/>
  </sheetPr>
  <dimension ref="A1:K60"/>
  <sheetViews>
    <sheetView topLeftCell="A5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29</v>
      </c>
      <c r="C6" s="880" t="s">
        <v>136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79592</v>
      </c>
      <c r="C9" s="33">
        <v>82018</v>
      </c>
      <c r="D9" s="219">
        <f t="shared" ref="D9:D15" si="0">+C9+SUMIF($C$20:$C$58,K9,$D$20:$D$58)</f>
        <v>82018</v>
      </c>
      <c r="E9" s="114">
        <f t="shared" ref="E9:E15" si="1">+D9+SUMIF($C$20:$C$58,K9,$E$20:$E$58)</f>
        <v>82018</v>
      </c>
      <c r="F9" s="396">
        <f t="shared" ref="F9:F15" si="2">+E9+SUMIF($C$20:$C$58,K9,$F$20:$F$58)</f>
        <v>82018</v>
      </c>
      <c r="G9" s="33">
        <f t="shared" ref="G9:G15" si="3">+F9+SUMIF($C$20:$C$58,K9,$G$20:$G$58)</f>
        <v>82018</v>
      </c>
      <c r="H9" s="219">
        <f t="shared" ref="H9:H15" si="4">+G9+SUMIF($C$20:$C$58,K9,$H$20:$H$58)</f>
        <v>82018</v>
      </c>
      <c r="I9" s="50">
        <f t="shared" ref="I9:I15" si="5">+H9+SUMIF($C$20:$C$58,K9,$I$20:$I$58)</f>
        <v>82018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2"/>
        <v>0</v>
      </c>
      <c r="G10" s="35">
        <f t="shared" si="3"/>
        <v>0</v>
      </c>
      <c r="H10" s="222">
        <f t="shared" si="4"/>
        <v>0</v>
      </c>
      <c r="I10" s="36">
        <f t="shared" si="5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79592</v>
      </c>
      <c r="C16" s="39">
        <f t="shared" ref="C16:I16" si="6">SUM(C9:C15)</f>
        <v>82018</v>
      </c>
      <c r="D16" s="39">
        <f t="shared" si="6"/>
        <v>82018</v>
      </c>
      <c r="E16" s="529">
        <f t="shared" si="6"/>
        <v>82018</v>
      </c>
      <c r="F16" s="39">
        <f t="shared" si="6"/>
        <v>82018</v>
      </c>
      <c r="G16" s="39">
        <f t="shared" si="6"/>
        <v>82018</v>
      </c>
      <c r="H16" s="39">
        <f t="shared" si="6"/>
        <v>82018</v>
      </c>
      <c r="I16" s="39">
        <f t="shared" si="6"/>
        <v>82018</v>
      </c>
    </row>
    <row r="18" spans="1:11" x14ac:dyDescent="0.35">
      <c r="E18" s="400">
        <f>+E16-D16</f>
        <v>0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187" t="s">
        <v>370</v>
      </c>
      <c r="B20" s="78"/>
      <c r="C20" s="71"/>
      <c r="D20" s="72"/>
      <c r="E20" s="72"/>
      <c r="F20" s="72"/>
      <c r="G20" s="72"/>
      <c r="H20" s="72"/>
      <c r="I20" s="73"/>
    </row>
    <row r="21" spans="1:11" ht="13" customHeight="1" x14ac:dyDescent="0.35">
      <c r="A21" s="778"/>
      <c r="B21" s="84"/>
      <c r="C21" s="67"/>
      <c r="D21" s="777"/>
      <c r="E21" s="777"/>
      <c r="F21" s="68"/>
      <c r="G21" s="68"/>
      <c r="H21" s="69"/>
      <c r="I21" s="69"/>
      <c r="J21" s="17"/>
    </row>
    <row r="22" spans="1:11" s="58" customFormat="1" ht="13" customHeight="1" x14ac:dyDescent="0.35">
      <c r="A22" s="119"/>
      <c r="B22" s="78"/>
      <c r="C22" s="71"/>
      <c r="D22" s="72"/>
      <c r="E22" s="72"/>
      <c r="F22" s="72"/>
      <c r="G22" s="72"/>
      <c r="H22" s="73"/>
      <c r="I22" s="73"/>
      <c r="J22" s="81"/>
      <c r="K22" s="7"/>
    </row>
    <row r="23" spans="1:11" ht="13" customHeight="1" x14ac:dyDescent="0.35">
      <c r="A23" s="104"/>
      <c r="B23" s="92"/>
      <c r="C23" s="102"/>
      <c r="D23" s="103"/>
      <c r="E23" s="105"/>
      <c r="F23" s="103"/>
      <c r="G23" s="103"/>
      <c r="H23" s="94"/>
      <c r="I23" s="94"/>
      <c r="J23" s="17"/>
    </row>
    <row r="24" spans="1:11" ht="13" customHeight="1" x14ac:dyDescent="0.35">
      <c r="A24" s="77"/>
      <c r="B24" s="78"/>
      <c r="C24" s="71"/>
      <c r="D24" s="72"/>
      <c r="E24" s="72"/>
      <c r="F24" s="72"/>
      <c r="G24" s="72"/>
      <c r="H24" s="73"/>
      <c r="I24" s="73"/>
      <c r="J24" s="17"/>
    </row>
    <row r="25" spans="1:11" ht="12.75" customHeight="1" x14ac:dyDescent="0.35">
      <c r="A25" s="77"/>
      <c r="B25" s="78"/>
      <c r="C25" s="71"/>
      <c r="D25" s="72"/>
      <c r="E25" s="72"/>
      <c r="F25" s="72"/>
      <c r="G25" s="72"/>
      <c r="H25" s="73"/>
      <c r="I25" s="73"/>
      <c r="J25" s="17"/>
    </row>
    <row r="26" spans="1:11" ht="12.75" customHeight="1" x14ac:dyDescent="0.35">
      <c r="A26" s="77"/>
      <c r="B26" s="78"/>
      <c r="C26" s="71"/>
      <c r="D26" s="72"/>
      <c r="E26" s="72"/>
      <c r="F26" s="72"/>
      <c r="G26" s="72"/>
      <c r="H26" s="73"/>
      <c r="I26" s="73"/>
      <c r="J26" s="17"/>
    </row>
    <row r="27" spans="1:11" ht="12.75" customHeight="1" x14ac:dyDescent="0.35">
      <c r="A27" s="77"/>
      <c r="B27" s="78"/>
      <c r="C27" s="71"/>
      <c r="D27" s="72"/>
      <c r="E27" s="72"/>
      <c r="F27" s="72"/>
      <c r="G27" s="72"/>
      <c r="H27" s="73"/>
      <c r="I27" s="73"/>
      <c r="J27" s="17"/>
    </row>
    <row r="28" spans="1:11" ht="12.75" customHeight="1" x14ac:dyDescent="0.35">
      <c r="A28" s="77"/>
      <c r="B28" s="78"/>
      <c r="C28" s="71"/>
      <c r="D28" s="72"/>
      <c r="E28" s="72"/>
      <c r="F28" s="72"/>
      <c r="G28" s="72"/>
      <c r="H28" s="73"/>
      <c r="I28" s="73"/>
      <c r="J28" s="17"/>
    </row>
    <row r="29" spans="1:11" ht="12.75" customHeight="1" x14ac:dyDescent="0.35">
      <c r="A29" s="77"/>
      <c r="B29" s="78"/>
      <c r="C29" s="71"/>
      <c r="D29" s="72"/>
      <c r="E29" s="72"/>
      <c r="F29" s="72"/>
      <c r="G29" s="72"/>
      <c r="H29" s="73"/>
      <c r="I29" s="73"/>
      <c r="J29" s="17"/>
    </row>
    <row r="30" spans="1:11" ht="12.75" customHeight="1" x14ac:dyDescent="0.35">
      <c r="A30" s="77"/>
      <c r="B30" s="78"/>
      <c r="C30" s="71"/>
      <c r="D30" s="72"/>
      <c r="E30" s="72"/>
      <c r="F30" s="72"/>
      <c r="G30" s="72"/>
      <c r="H30" s="73"/>
      <c r="I30" s="73"/>
      <c r="J30" s="17"/>
    </row>
    <row r="31" spans="1:11" ht="12.75" customHeight="1" x14ac:dyDescent="0.35">
      <c r="A31" s="77"/>
      <c r="B31" s="78"/>
      <c r="C31" s="71"/>
      <c r="D31" s="72"/>
      <c r="E31" s="72"/>
      <c r="F31" s="72"/>
      <c r="G31" s="72"/>
      <c r="H31" s="73"/>
      <c r="I31" s="73"/>
      <c r="J31" s="17"/>
    </row>
    <row r="32" spans="1:11" ht="12.75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17"/>
    </row>
    <row r="33" spans="1:10" ht="12.75" customHeight="1" x14ac:dyDescent="0.35">
      <c r="A33" s="77"/>
      <c r="B33" s="78"/>
      <c r="C33" s="75"/>
      <c r="D33" s="73"/>
      <c r="E33" s="73"/>
      <c r="F33" s="73"/>
      <c r="G33" s="73"/>
      <c r="H33" s="73"/>
      <c r="I33" s="73"/>
      <c r="J33" s="17"/>
    </row>
    <row r="34" spans="1:10" ht="12.75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2.75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2.75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2.75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2.75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2.75" customHeight="1" x14ac:dyDescent="0.35">
      <c r="A41" s="79"/>
      <c r="B41" s="78"/>
      <c r="C41" s="71"/>
      <c r="D41" s="72"/>
      <c r="E41" s="72"/>
      <c r="F41" s="72"/>
      <c r="G41" s="72"/>
      <c r="H41" s="73"/>
      <c r="I41" s="73"/>
      <c r="J41" s="17"/>
    </row>
    <row r="42" spans="1:10" ht="12.75" customHeight="1" x14ac:dyDescent="0.35">
      <c r="A42" s="77"/>
      <c r="B42" s="78"/>
      <c r="C42" s="71"/>
      <c r="D42" s="72"/>
      <c r="E42" s="72"/>
      <c r="F42" s="72"/>
      <c r="G42" s="72"/>
      <c r="H42" s="73"/>
      <c r="I42" s="73"/>
      <c r="J42" s="17"/>
    </row>
    <row r="43" spans="1:10" ht="12.75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2.75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2.75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2.75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2.75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2.75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2.75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2.75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81"/>
      <c r="B59" s="81"/>
      <c r="C59" s="81"/>
      <c r="D59" s="81"/>
      <c r="E59" s="81"/>
      <c r="F59" s="81"/>
      <c r="G59" s="81"/>
      <c r="H59" s="81"/>
      <c r="I59" s="81"/>
      <c r="J59" s="17"/>
    </row>
    <row r="60" spans="1:10" ht="13" customHeight="1" x14ac:dyDescent="0.35">
      <c r="A60" s="81"/>
      <c r="B60" s="81"/>
      <c r="C60" s="81"/>
      <c r="D60" s="81"/>
      <c r="E60" s="81"/>
      <c r="F60" s="81"/>
      <c r="G60" s="81"/>
      <c r="H60" s="81"/>
      <c r="I60" s="81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A21">
    <cfRule type="expression" dxfId="173" priority="3">
      <formula>MOD(ROW(),2)=1</formula>
    </cfRule>
  </conditionalFormatting>
  <conditionalFormatting sqref="D21:E21">
    <cfRule type="expression" dxfId="172" priority="2">
      <formula>MOD(ROW(),2)=1</formula>
    </cfRule>
  </conditionalFormatting>
  <conditionalFormatting sqref="C9:I15">
    <cfRule type="cellIs" dxfId="17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5"/>
  <sheetViews>
    <sheetView topLeftCell="B2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1">
        <v>18</v>
      </c>
      <c r="C6" s="880" t="s">
        <v>111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>+C9</f>
        <v>0</v>
      </c>
      <c r="E9" s="114">
        <f>+D9+E21+E23</f>
        <v>0</v>
      </c>
      <c r="F9" s="396">
        <f>+E9+F21+F23</f>
        <v>0</v>
      </c>
      <c r="G9" s="33">
        <f t="shared" ref="G9:I9" si="0">+F9</f>
        <v>0</v>
      </c>
      <c r="H9" s="33">
        <f t="shared" si="0"/>
        <v>0</v>
      </c>
      <c r="I9" s="33">
        <f t="shared" si="0"/>
        <v>0</v>
      </c>
      <c r="K9" s="7">
        <v>100</v>
      </c>
    </row>
    <row r="10" spans="1:11" x14ac:dyDescent="0.35">
      <c r="A10" s="10" t="s">
        <v>5</v>
      </c>
      <c r="B10" s="42">
        <v>0</v>
      </c>
      <c r="C10" s="35">
        <v>0</v>
      </c>
      <c r="D10" s="222">
        <f>+C10+D22</f>
        <v>0</v>
      </c>
      <c r="E10" s="506">
        <f>+D10+E22</f>
        <v>0</v>
      </c>
      <c r="F10" s="504">
        <f t="shared" ref="F10:I10" si="1">+E10</f>
        <v>0</v>
      </c>
      <c r="G10" s="35">
        <f t="shared" si="1"/>
        <v>0</v>
      </c>
      <c r="H10" s="35">
        <f t="shared" si="1"/>
        <v>0</v>
      </c>
      <c r="I10" s="35">
        <f t="shared" si="1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ref="D11:E15" si="2">+C11</f>
        <v>0</v>
      </c>
      <c r="E11" s="114">
        <f t="shared" si="2"/>
        <v>0</v>
      </c>
      <c r="F11" s="396">
        <f t="shared" ref="F11:I11" si="3">+E11</f>
        <v>0</v>
      </c>
      <c r="G11" s="33">
        <f t="shared" si="3"/>
        <v>0</v>
      </c>
      <c r="H11" s="33">
        <f t="shared" si="3"/>
        <v>0</v>
      </c>
      <c r="I11" s="33">
        <f t="shared" si="3"/>
        <v>0</v>
      </c>
      <c r="K11" s="7" t="s">
        <v>167</v>
      </c>
    </row>
    <row r="12" spans="1:11" x14ac:dyDescent="0.35">
      <c r="A12" s="10" t="s">
        <v>7</v>
      </c>
      <c r="B12" s="42">
        <v>0</v>
      </c>
      <c r="C12" s="35">
        <v>0</v>
      </c>
      <c r="D12" s="222">
        <f>+C12+D26</f>
        <v>0</v>
      </c>
      <c r="E12" s="506">
        <v>0</v>
      </c>
      <c r="F12" s="504">
        <f>+E12</f>
        <v>0</v>
      </c>
      <c r="G12" s="35">
        <f t="shared" ref="G12:I12" si="4">+F12</f>
        <v>0</v>
      </c>
      <c r="H12" s="35">
        <f t="shared" si="4"/>
        <v>0</v>
      </c>
      <c r="I12" s="35">
        <f t="shared" si="4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2"/>
        <v>0</v>
      </c>
      <c r="E13" s="114">
        <f t="shared" si="2"/>
        <v>0</v>
      </c>
      <c r="F13" s="396">
        <f t="shared" ref="F13:I13" si="5">+E13</f>
        <v>0</v>
      </c>
      <c r="G13" s="33">
        <f t="shared" si="5"/>
        <v>0</v>
      </c>
      <c r="H13" s="33">
        <f t="shared" si="5"/>
        <v>0</v>
      </c>
      <c r="I13" s="33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2"/>
        <v>0</v>
      </c>
      <c r="E14" s="506">
        <f t="shared" si="2"/>
        <v>0</v>
      </c>
      <c r="F14" s="504">
        <f t="shared" ref="F14:I14" si="6">+E14</f>
        <v>0</v>
      </c>
      <c r="G14" s="35">
        <f t="shared" si="6"/>
        <v>0</v>
      </c>
      <c r="H14" s="35">
        <f t="shared" si="6"/>
        <v>0</v>
      </c>
      <c r="I14" s="35">
        <f t="shared" si="6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2"/>
        <v>0</v>
      </c>
      <c r="E15" s="507">
        <f t="shared" si="2"/>
        <v>0</v>
      </c>
      <c r="F15" s="505">
        <f t="shared" ref="F15:I15" si="7">+E15</f>
        <v>0</v>
      </c>
      <c r="G15" s="37">
        <f t="shared" si="7"/>
        <v>0</v>
      </c>
      <c r="H15" s="37">
        <f t="shared" si="7"/>
        <v>0</v>
      </c>
      <c r="I15" s="37">
        <f t="shared" si="7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0</v>
      </c>
      <c r="C16" s="39">
        <f t="shared" ref="C16:I16" si="8">SUM(C9:C15)</f>
        <v>0</v>
      </c>
      <c r="D16" s="39">
        <f t="shared" si="8"/>
        <v>0</v>
      </c>
      <c r="E16" s="529">
        <f t="shared" si="8"/>
        <v>0</v>
      </c>
      <c r="F16" s="39">
        <f t="shared" si="8"/>
        <v>0</v>
      </c>
      <c r="G16" s="39">
        <f t="shared" si="8"/>
        <v>0</v>
      </c>
      <c r="H16" s="39">
        <f t="shared" si="8"/>
        <v>0</v>
      </c>
      <c r="I16" s="39">
        <f t="shared" si="8"/>
        <v>0</v>
      </c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45" t="s">
        <v>89</v>
      </c>
      <c r="E19" s="45" t="s">
        <v>205</v>
      </c>
      <c r="F19" s="45" t="s">
        <v>224</v>
      </c>
      <c r="G19" s="45" t="s">
        <v>243</v>
      </c>
      <c r="H19" s="45" t="s">
        <v>293</v>
      </c>
      <c r="I19" s="45" t="s">
        <v>361</v>
      </c>
    </row>
    <row r="20" spans="1:10" ht="15" customHeight="1" thickTop="1" x14ac:dyDescent="0.35">
      <c r="A20" s="228"/>
      <c r="B20" s="125"/>
      <c r="C20" s="125"/>
      <c r="D20" s="126"/>
      <c r="E20" s="126"/>
      <c r="F20" s="126"/>
      <c r="G20" s="126"/>
      <c r="H20" s="126"/>
      <c r="I20" s="126"/>
    </row>
    <row r="21" spans="1:10" ht="13" customHeight="1" x14ac:dyDescent="0.35">
      <c r="A21" s="432"/>
      <c r="B21" s="694"/>
      <c r="C21" s="695" t="s">
        <v>470</v>
      </c>
      <c r="D21" s="433"/>
      <c r="E21" s="433"/>
      <c r="F21" s="196"/>
      <c r="G21" s="434"/>
      <c r="H21" s="434"/>
      <c r="I21" s="434"/>
      <c r="J21" s="17"/>
    </row>
    <row r="22" spans="1:10" ht="13" customHeight="1" x14ac:dyDescent="0.35">
      <c r="A22" s="624"/>
      <c r="B22" s="85"/>
      <c r="C22" s="85"/>
      <c r="D22" s="73"/>
      <c r="E22" s="73"/>
      <c r="F22" s="73"/>
      <c r="G22" s="72"/>
      <c r="H22" s="72"/>
      <c r="I22" s="72"/>
      <c r="J22" s="17"/>
    </row>
    <row r="23" spans="1:10" ht="13" customHeight="1" x14ac:dyDescent="0.35">
      <c r="A23" s="182"/>
      <c r="B23" s="131"/>
      <c r="C23" s="131"/>
      <c r="D23" s="69"/>
      <c r="E23" s="69"/>
      <c r="F23" s="69"/>
      <c r="G23" s="68"/>
      <c r="H23" s="68"/>
      <c r="I23" s="68"/>
      <c r="J23" s="17"/>
    </row>
    <row r="24" spans="1:10" ht="13" customHeight="1" x14ac:dyDescent="0.35">
      <c r="A24" s="104"/>
      <c r="B24" s="279"/>
      <c r="C24" s="279"/>
      <c r="D24" s="94"/>
      <c r="E24" s="94"/>
      <c r="F24" s="94"/>
      <c r="G24" s="103"/>
      <c r="H24" s="103"/>
      <c r="I24" s="103"/>
      <c r="J24" s="17"/>
    </row>
    <row r="25" spans="1:10" ht="13" customHeight="1" x14ac:dyDescent="0.35">
      <c r="A25" s="623"/>
      <c r="B25" s="84"/>
      <c r="C25" s="74"/>
      <c r="D25" s="68"/>
      <c r="E25" s="68"/>
      <c r="F25" s="68"/>
      <c r="G25" s="68"/>
      <c r="H25" s="68"/>
      <c r="I25" s="68"/>
      <c r="J25" s="17"/>
    </row>
    <row r="26" spans="1:10" ht="13" customHeight="1" x14ac:dyDescent="0.35">
      <c r="A26" s="620"/>
      <c r="B26" s="78"/>
      <c r="C26" s="75"/>
      <c r="D26" s="72"/>
      <c r="E26" s="72"/>
      <c r="F26" s="72"/>
      <c r="G26" s="72"/>
      <c r="H26" s="72"/>
      <c r="I26" s="72"/>
      <c r="J26" s="17"/>
    </row>
    <row r="27" spans="1:10" ht="13" customHeight="1" x14ac:dyDescent="0.35">
      <c r="A27" s="83"/>
      <c r="B27" s="84"/>
      <c r="C27" s="74"/>
      <c r="D27" s="68"/>
      <c r="E27" s="68"/>
      <c r="F27" s="68"/>
      <c r="G27" s="68"/>
      <c r="H27" s="68"/>
      <c r="I27" s="68"/>
      <c r="J27" s="17"/>
    </row>
    <row r="28" spans="1:10" ht="13" customHeight="1" x14ac:dyDescent="0.35">
      <c r="A28" s="77"/>
      <c r="B28" s="78"/>
      <c r="C28" s="75"/>
      <c r="D28" s="72"/>
      <c r="E28" s="72"/>
      <c r="F28" s="72"/>
      <c r="G28" s="72"/>
      <c r="H28" s="72"/>
      <c r="I28" s="72"/>
      <c r="J28" s="17"/>
    </row>
    <row r="29" spans="1:10" ht="13" customHeight="1" x14ac:dyDescent="0.35">
      <c r="A29" s="77"/>
      <c r="B29" s="78"/>
      <c r="C29" s="75"/>
      <c r="D29" s="72"/>
      <c r="E29" s="72"/>
      <c r="F29" s="72"/>
      <c r="G29" s="72"/>
      <c r="H29" s="72"/>
      <c r="I29" s="72"/>
      <c r="J29" s="17"/>
    </row>
    <row r="30" spans="1:10" ht="13" customHeight="1" x14ac:dyDescent="0.35">
      <c r="A30" s="77"/>
      <c r="B30" s="78"/>
      <c r="C30" s="75"/>
      <c r="D30" s="72"/>
      <c r="E30" s="72"/>
      <c r="F30" s="72"/>
      <c r="G30" s="72"/>
      <c r="H30" s="72"/>
      <c r="I30" s="72"/>
      <c r="J30" s="17"/>
    </row>
    <row r="31" spans="1:10" ht="13" customHeight="1" x14ac:dyDescent="0.35">
      <c r="A31" s="77"/>
      <c r="B31" s="78"/>
      <c r="C31" s="75"/>
      <c r="D31" s="73"/>
      <c r="E31" s="73"/>
      <c r="F31" s="73"/>
      <c r="G31" s="73"/>
      <c r="H31" s="73"/>
      <c r="I31" s="73"/>
      <c r="J31" s="17"/>
    </row>
    <row r="32" spans="1:10" ht="13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8"/>
      <c r="C33" s="75"/>
      <c r="D33" s="73"/>
      <c r="E33" s="73"/>
      <c r="F33" s="73"/>
      <c r="G33" s="73"/>
      <c r="H33" s="73"/>
      <c r="I33" s="73"/>
      <c r="J33" s="17"/>
    </row>
    <row r="34" spans="1:10" ht="16.5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2"/>
      <c r="E39" s="72"/>
      <c r="F39" s="72"/>
      <c r="G39" s="72"/>
      <c r="H39" s="72"/>
      <c r="I39" s="72"/>
      <c r="J39" s="17"/>
    </row>
    <row r="40" spans="1:10" ht="13" customHeight="1" x14ac:dyDescent="0.35">
      <c r="A40" s="77"/>
      <c r="B40" s="78"/>
      <c r="C40" s="75"/>
      <c r="D40" s="72"/>
      <c r="E40" s="72"/>
      <c r="F40" s="72"/>
      <c r="G40" s="72"/>
      <c r="H40" s="72"/>
      <c r="I40" s="72"/>
      <c r="J40" s="17"/>
    </row>
    <row r="41" spans="1:10" ht="13" customHeight="1" x14ac:dyDescent="0.35">
      <c r="A41" s="77"/>
      <c r="B41" s="78"/>
      <c r="C41" s="75"/>
      <c r="D41" s="72"/>
      <c r="E41" s="72"/>
      <c r="F41" s="72"/>
      <c r="G41" s="72"/>
      <c r="H41" s="72"/>
      <c r="I41" s="72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81"/>
      <c r="B45" s="81"/>
      <c r="C45" s="81"/>
      <c r="D45" s="81"/>
      <c r="E45" s="81"/>
      <c r="F45" s="81"/>
      <c r="G45" s="81"/>
      <c r="H45" s="81"/>
      <c r="I45" s="81"/>
      <c r="J45" s="17"/>
    </row>
    <row r="46" spans="1:10" ht="13" customHeight="1" x14ac:dyDescent="0.35">
      <c r="A46" s="81"/>
      <c r="B46" s="81"/>
      <c r="C46" s="81"/>
      <c r="D46" s="81"/>
      <c r="E46" s="81"/>
      <c r="F46" s="81"/>
      <c r="G46" s="81"/>
      <c r="H46" s="81"/>
      <c r="I46" s="81"/>
      <c r="J46" s="17"/>
    </row>
    <row r="47" spans="1:10" ht="13" customHeight="1" x14ac:dyDescent="0.35">
      <c r="A47" s="81"/>
      <c r="B47" s="81"/>
      <c r="C47" s="81"/>
      <c r="D47" s="81"/>
      <c r="E47" s="81"/>
      <c r="F47" s="81"/>
      <c r="G47" s="81"/>
      <c r="H47" s="81"/>
      <c r="I47" s="81"/>
      <c r="J47" s="17"/>
    </row>
    <row r="48" spans="1:10" ht="13" customHeight="1" x14ac:dyDescent="0.35">
      <c r="A48" s="81"/>
      <c r="B48" s="81"/>
      <c r="C48" s="81"/>
      <c r="D48" s="81"/>
      <c r="E48" s="81"/>
      <c r="F48" s="81"/>
      <c r="G48" s="81"/>
      <c r="H48" s="81"/>
      <c r="I48" s="81"/>
      <c r="J48" s="17"/>
    </row>
    <row r="49" spans="1:10" ht="13" customHeight="1" x14ac:dyDescent="0.35">
      <c r="A49" s="81"/>
      <c r="B49" s="81"/>
      <c r="C49" s="81"/>
      <c r="D49" s="81"/>
      <c r="E49" s="81"/>
      <c r="F49" s="81"/>
      <c r="G49" s="81"/>
      <c r="H49" s="81"/>
      <c r="I49" s="81"/>
      <c r="J49" s="17"/>
    </row>
    <row r="50" spans="1:10" ht="13" customHeight="1" x14ac:dyDescent="0.35">
      <c r="A50" s="81"/>
      <c r="B50" s="81"/>
      <c r="C50" s="81"/>
      <c r="D50" s="81"/>
      <c r="E50" s="81"/>
      <c r="F50" s="81"/>
      <c r="G50" s="81"/>
      <c r="H50" s="81"/>
      <c r="I50" s="81"/>
      <c r="J50" s="17"/>
    </row>
    <row r="51" spans="1:10" ht="13" customHeight="1" x14ac:dyDescent="0.35">
      <c r="A51" s="81"/>
      <c r="B51" s="81"/>
      <c r="C51" s="81"/>
      <c r="D51" s="81"/>
      <c r="E51" s="81"/>
      <c r="F51" s="81"/>
      <c r="G51" s="81"/>
      <c r="H51" s="81"/>
      <c r="I51" s="81"/>
      <c r="J51" s="17"/>
    </row>
    <row r="52" spans="1:10" ht="13" customHeight="1" x14ac:dyDescent="0.35">
      <c r="A52" s="81"/>
      <c r="B52" s="81"/>
      <c r="C52" s="81"/>
      <c r="D52" s="81"/>
      <c r="E52" s="81"/>
      <c r="F52" s="81"/>
      <c r="G52" s="81"/>
      <c r="H52" s="81"/>
      <c r="I52" s="81"/>
      <c r="J52" s="17"/>
    </row>
    <row r="53" spans="1:10" ht="13" customHeight="1" x14ac:dyDescent="0.35">
      <c r="A53" s="81"/>
      <c r="B53" s="81"/>
      <c r="C53" s="81"/>
      <c r="D53" s="81"/>
      <c r="E53" s="81"/>
      <c r="F53" s="81"/>
      <c r="G53" s="81"/>
      <c r="H53" s="81"/>
      <c r="I53" s="81"/>
      <c r="J53" s="17"/>
    </row>
    <row r="54" spans="1:10" ht="13" customHeight="1" x14ac:dyDescent="0.35">
      <c r="A54" s="81"/>
      <c r="B54" s="81"/>
      <c r="C54" s="81"/>
      <c r="D54" s="81"/>
      <c r="E54" s="81"/>
      <c r="F54" s="81"/>
      <c r="G54" s="81"/>
      <c r="H54" s="81"/>
      <c r="I54" s="81"/>
      <c r="J54" s="17"/>
    </row>
    <row r="55" spans="1:10" ht="13" customHeight="1" x14ac:dyDescent="0.35">
      <c r="A55" s="81"/>
      <c r="B55" s="81"/>
      <c r="C55" s="81"/>
      <c r="D55" s="81"/>
      <c r="E55" s="81"/>
      <c r="F55" s="81"/>
      <c r="G55" s="81"/>
      <c r="H55" s="81"/>
      <c r="I55" s="81"/>
      <c r="J55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9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theme="3"/>
  </sheetPr>
  <dimension ref="A1:K60"/>
  <sheetViews>
    <sheetView topLeftCell="A9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27</v>
      </c>
      <c r="C6" s="880" t="s">
        <v>135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126329</v>
      </c>
      <c r="C9" s="33">
        <v>165635</v>
      </c>
      <c r="D9" s="219">
        <f t="shared" ref="D9:D15" si="0">+C9+SUMIF($C$20:$C$58,K9,$D$20:$D$58)</f>
        <v>165635</v>
      </c>
      <c r="E9" s="114">
        <f t="shared" ref="E9:E15" si="1">+D9+SUMIF($C$20:$C$58,K9,$E$20:$E$58)</f>
        <v>165635</v>
      </c>
      <c r="F9" s="396">
        <f t="shared" ref="F9:F15" si="2">+E9+SUMIF($C$20:$C$58,K9,$F$20:$F$58)</f>
        <v>165635</v>
      </c>
      <c r="G9" s="33">
        <f t="shared" ref="G9:G15" si="3">+F9+SUMIF($C$20:$C$58,K9,$G$20:$G$58)</f>
        <v>165635</v>
      </c>
      <c r="H9" s="219">
        <f t="shared" ref="H9:H15" si="4">+G9+SUMIF($C$20:$C$58,K9,$H$20:$H$58)</f>
        <v>165635</v>
      </c>
      <c r="I9" s="50">
        <f t="shared" ref="I9:I15" si="5">+H9+SUMIF($C$20:$C$58,K9,$I$20:$I$58)</f>
        <v>165635</v>
      </c>
      <c r="K9" s="7">
        <v>100</v>
      </c>
    </row>
    <row r="10" spans="1:11" x14ac:dyDescent="0.35">
      <c r="A10" s="10" t="s">
        <v>5</v>
      </c>
      <c r="B10" s="42">
        <v>10436</v>
      </c>
      <c r="C10" s="35">
        <v>10436</v>
      </c>
      <c r="D10" s="222">
        <f t="shared" si="0"/>
        <v>10436</v>
      </c>
      <c r="E10" s="506">
        <f t="shared" si="1"/>
        <v>10436</v>
      </c>
      <c r="F10" s="504">
        <f t="shared" si="2"/>
        <v>10436</v>
      </c>
      <c r="G10" s="35">
        <f t="shared" si="3"/>
        <v>10436</v>
      </c>
      <c r="H10" s="222">
        <f t="shared" si="4"/>
        <v>10436</v>
      </c>
      <c r="I10" s="36">
        <f t="shared" si="5"/>
        <v>10436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136765</v>
      </c>
      <c r="C16" s="39">
        <f t="shared" ref="C16:I16" si="6">SUM(C9:C15)</f>
        <v>176071</v>
      </c>
      <c r="D16" s="39">
        <f t="shared" si="6"/>
        <v>176071</v>
      </c>
      <c r="E16" s="529">
        <f t="shared" si="6"/>
        <v>176071</v>
      </c>
      <c r="F16" s="39">
        <f t="shared" si="6"/>
        <v>176071</v>
      </c>
      <c r="G16" s="39">
        <f t="shared" si="6"/>
        <v>176071</v>
      </c>
      <c r="H16" s="39">
        <f t="shared" si="6"/>
        <v>176071</v>
      </c>
      <c r="I16" s="39">
        <f t="shared" si="6"/>
        <v>176071</v>
      </c>
    </row>
    <row r="17" spans="1:10" x14ac:dyDescent="0.35">
      <c r="E17" s="206"/>
      <c r="F17" s="206"/>
    </row>
    <row r="18" spans="1:10" x14ac:dyDescent="0.35">
      <c r="E18" s="400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370</v>
      </c>
      <c r="B20" s="78"/>
      <c r="C20" s="71"/>
      <c r="D20" s="72"/>
      <c r="E20" s="72"/>
      <c r="F20" s="72"/>
      <c r="G20" s="72"/>
      <c r="H20" s="72"/>
      <c r="I20" s="73"/>
    </row>
    <row r="21" spans="1:10" ht="12.75" customHeight="1" x14ac:dyDescent="0.35">
      <c r="A21" s="778"/>
      <c r="B21" s="84"/>
      <c r="C21" s="67"/>
      <c r="D21" s="777"/>
      <c r="E21" s="777"/>
      <c r="F21" s="68"/>
      <c r="G21" s="68"/>
      <c r="H21" s="69"/>
      <c r="I21" s="69"/>
    </row>
    <row r="22" spans="1:10" ht="13" customHeight="1" x14ac:dyDescent="0.35">
      <c r="A22" s="778"/>
      <c r="B22" s="92"/>
      <c r="C22" s="102"/>
      <c r="D22" s="777"/>
      <c r="E22" s="777"/>
      <c r="F22" s="103"/>
      <c r="G22" s="103"/>
      <c r="H22" s="94"/>
      <c r="I22" s="94"/>
      <c r="J22" s="17"/>
    </row>
    <row r="23" spans="1:10" ht="13" customHeight="1" x14ac:dyDescent="0.35">
      <c r="A23" s="298"/>
      <c r="B23" s="151"/>
      <c r="C23" s="152"/>
      <c r="D23" s="141"/>
      <c r="E23" s="129"/>
      <c r="F23" s="141"/>
      <c r="G23" s="141"/>
      <c r="H23" s="142"/>
      <c r="I23" s="142"/>
      <c r="J23" s="17"/>
    </row>
    <row r="24" spans="1:10" ht="13" customHeight="1" x14ac:dyDescent="0.35">
      <c r="A24" s="296"/>
      <c r="B24" s="78"/>
      <c r="C24" s="71"/>
      <c r="D24" s="72"/>
      <c r="E24" s="105"/>
      <c r="F24" s="72"/>
      <c r="G24" s="72"/>
      <c r="H24" s="73"/>
      <c r="I24" s="73"/>
      <c r="J24" s="17"/>
    </row>
    <row r="25" spans="1:10" ht="13" customHeight="1" x14ac:dyDescent="0.35">
      <c r="A25" s="100"/>
      <c r="B25" s="78"/>
      <c r="C25" s="71"/>
      <c r="D25" s="72"/>
      <c r="E25" s="105"/>
      <c r="F25" s="72"/>
      <c r="G25" s="72"/>
      <c r="H25" s="73"/>
      <c r="I25" s="73"/>
      <c r="J25" s="17"/>
    </row>
    <row r="26" spans="1:10" ht="13" customHeight="1" x14ac:dyDescent="0.35">
      <c r="A26" s="100"/>
      <c r="B26" s="78"/>
      <c r="C26" s="71"/>
      <c r="D26" s="72"/>
      <c r="E26" s="105"/>
      <c r="F26" s="72"/>
      <c r="G26" s="72"/>
      <c r="H26" s="73"/>
      <c r="I26" s="73"/>
      <c r="J26" s="17"/>
    </row>
    <row r="27" spans="1:10" ht="13" customHeight="1" x14ac:dyDescent="0.35">
      <c r="A27" s="100"/>
      <c r="B27" s="78"/>
      <c r="C27" s="71"/>
      <c r="D27" s="72"/>
      <c r="E27" s="105"/>
      <c r="F27" s="72"/>
      <c r="G27" s="72"/>
      <c r="H27" s="73"/>
      <c r="I27" s="73"/>
      <c r="J27" s="17"/>
    </row>
    <row r="28" spans="1:10" ht="13" customHeight="1" x14ac:dyDescent="0.35">
      <c r="A28" s="104"/>
      <c r="B28" s="92"/>
      <c r="C28" s="102"/>
      <c r="D28" s="103"/>
      <c r="E28" s="105"/>
      <c r="F28" s="103"/>
      <c r="G28" s="103"/>
      <c r="H28" s="94"/>
      <c r="I28" s="94"/>
      <c r="J28" s="17"/>
    </row>
    <row r="29" spans="1:10" ht="13" customHeight="1" x14ac:dyDescent="0.35">
      <c r="A29" s="171"/>
      <c r="B29" s="92"/>
      <c r="C29" s="102"/>
      <c r="D29" s="103"/>
      <c r="E29" s="103"/>
      <c r="F29" s="103"/>
      <c r="G29" s="103"/>
      <c r="H29" s="94"/>
      <c r="I29" s="94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3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3"/>
      <c r="I31" s="73"/>
      <c r="J31" s="17"/>
    </row>
    <row r="32" spans="1:10" ht="13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17"/>
    </row>
    <row r="33" spans="1:10" ht="13" customHeight="1" x14ac:dyDescent="0.35">
      <c r="A33" s="77"/>
      <c r="B33" s="78"/>
      <c r="C33" s="75"/>
      <c r="D33" s="73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9"/>
      <c r="B41" s="78"/>
      <c r="C41" s="71"/>
      <c r="D41" s="72"/>
      <c r="E41" s="72"/>
      <c r="F41" s="72"/>
      <c r="G41" s="72"/>
      <c r="H41" s="73"/>
      <c r="I41" s="73"/>
      <c r="J41" s="17"/>
    </row>
    <row r="42" spans="1:10" ht="13" customHeight="1" x14ac:dyDescent="0.35">
      <c r="A42" s="77"/>
      <c r="B42" s="78"/>
      <c r="C42" s="71"/>
      <c r="D42" s="72"/>
      <c r="E42" s="72"/>
      <c r="F42" s="72"/>
      <c r="G42" s="72"/>
      <c r="H42" s="73"/>
      <c r="I42" s="73"/>
      <c r="J42" s="17"/>
    </row>
    <row r="43" spans="1:10" ht="13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81"/>
      <c r="B59" s="81"/>
      <c r="C59" s="81"/>
      <c r="D59" s="81"/>
      <c r="E59" s="81"/>
      <c r="F59" s="81"/>
      <c r="G59" s="81"/>
      <c r="H59" s="81"/>
      <c r="I59" s="81"/>
      <c r="J59" s="17"/>
    </row>
    <row r="60" spans="1:10" ht="13" customHeight="1" x14ac:dyDescent="0.35">
      <c r="A60" s="81"/>
      <c r="B60" s="81"/>
      <c r="C60" s="81"/>
      <c r="D60" s="81"/>
      <c r="E60" s="81"/>
      <c r="F60" s="81"/>
      <c r="G60" s="81"/>
      <c r="H60" s="81"/>
      <c r="I60" s="81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A21:A22">
    <cfRule type="expression" dxfId="170" priority="3">
      <formula>MOD(ROW(),2)=1</formula>
    </cfRule>
  </conditionalFormatting>
  <conditionalFormatting sqref="D21:E22">
    <cfRule type="expression" dxfId="169" priority="2">
      <formula>MOD(ROW(),2)=1</formula>
    </cfRule>
  </conditionalFormatting>
  <conditionalFormatting sqref="C9:I15">
    <cfRule type="cellIs" dxfId="16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theme="3"/>
  </sheetPr>
  <dimension ref="A1:K181"/>
  <sheetViews>
    <sheetView topLeftCell="A61" zoomScaleNormal="100" zoomScaleSheetLayoutView="90" workbookViewId="0">
      <selection activeCell="B75" sqref="B7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2" width="9.1796875" style="7"/>
    <col min="13" max="14" width="9.453125" style="7" bestFit="1" customWidth="1"/>
    <col min="15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10</v>
      </c>
      <c r="C6" s="880" t="s">
        <v>134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40052290</v>
      </c>
      <c r="C9" s="33">
        <v>36119907</v>
      </c>
      <c r="D9" s="219">
        <f t="shared" ref="D9:D15" si="0">+C9+SUMIF($C$20:$C$118,K9,$D$20:$D$118)</f>
        <v>42562601</v>
      </c>
      <c r="E9" s="114">
        <f t="shared" ref="E9:E15" si="1">+D9+SUMIF($C$20:$C$118,K9,$E$20:$E$118)</f>
        <v>42224013</v>
      </c>
      <c r="F9" s="396">
        <f t="shared" ref="F9:F15" si="2">+E9+SUMIF($C$20:$C$118,K9,$F$20:$F$118)</f>
        <v>43211806</v>
      </c>
      <c r="G9" s="33">
        <f t="shared" ref="G9:G15" si="3">+F9+SUMIF($C$20:$C$118,K9,$G$20:$G$118)</f>
        <v>43479114</v>
      </c>
      <c r="H9" s="219">
        <f t="shared" ref="H9:H15" si="4">+G9+SUMIF($C$20:$C$118,K9,$H$20:$H$118)</f>
        <v>42861459</v>
      </c>
      <c r="I9" s="50">
        <f t="shared" ref="I9:I15" si="5">+H9+SUMIF($C$20:$C$118,K9,$I$20:$I$118)</f>
        <v>42963134</v>
      </c>
      <c r="K9" s="7">
        <v>100</v>
      </c>
    </row>
    <row r="10" spans="1:11" x14ac:dyDescent="0.35">
      <c r="A10" s="10" t="s">
        <v>5</v>
      </c>
      <c r="B10" s="35">
        <f>98482029-'10LS-MDO-Legal Svcs'!B10+15538-45000</f>
        <v>47514026</v>
      </c>
      <c r="C10" s="35">
        <v>31588550</v>
      </c>
      <c r="D10" s="222">
        <f t="shared" si="0"/>
        <v>53881717</v>
      </c>
      <c r="E10" s="506">
        <f t="shared" si="1"/>
        <v>44477850</v>
      </c>
      <c r="F10" s="504">
        <f t="shared" si="2"/>
        <v>42253809</v>
      </c>
      <c r="G10" s="35">
        <f t="shared" si="3"/>
        <v>43541769</v>
      </c>
      <c r="H10" s="222">
        <f t="shared" si="4"/>
        <v>41651769</v>
      </c>
      <c r="I10" s="36">
        <f t="shared" si="5"/>
        <v>41651769</v>
      </c>
      <c r="K10" s="7">
        <v>200</v>
      </c>
    </row>
    <row r="11" spans="1:11" x14ac:dyDescent="0.35">
      <c r="A11" s="9" t="s">
        <v>6</v>
      </c>
      <c r="B11" s="33">
        <f>10704273+5991959+110905</f>
        <v>16807137</v>
      </c>
      <c r="C11" s="33">
        <v>1556787</v>
      </c>
      <c r="D11" s="219">
        <f t="shared" si="0"/>
        <v>26438745</v>
      </c>
      <c r="E11" s="114">
        <f t="shared" si="1"/>
        <v>4059265</v>
      </c>
      <c r="F11" s="396">
        <f t="shared" si="2"/>
        <v>1383059</v>
      </c>
      <c r="G11" s="33">
        <f t="shared" si="3"/>
        <v>1383059</v>
      </c>
      <c r="H11" s="219">
        <f t="shared" si="4"/>
        <v>1190059</v>
      </c>
      <c r="I11" s="34">
        <f t="shared" si="5"/>
        <v>1190059</v>
      </c>
      <c r="K11" s="7" t="s">
        <v>167</v>
      </c>
    </row>
    <row r="12" spans="1:11" x14ac:dyDescent="0.35">
      <c r="A12" s="10" t="s">
        <v>7</v>
      </c>
      <c r="B12" s="35">
        <v>603507</v>
      </c>
      <c r="C12" s="35">
        <v>1350000</v>
      </c>
      <c r="D12" s="222">
        <f t="shared" si="0"/>
        <v>1350000</v>
      </c>
      <c r="E12" s="506">
        <f t="shared" si="1"/>
        <v>2500000</v>
      </c>
      <c r="F12" s="504">
        <f t="shared" si="2"/>
        <v>2500000</v>
      </c>
      <c r="G12" s="35">
        <f t="shared" si="3"/>
        <v>2500000</v>
      </c>
      <c r="H12" s="222">
        <f t="shared" si="4"/>
        <v>2500000</v>
      </c>
      <c r="I12" s="36">
        <f t="shared" si="5"/>
        <v>2500000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f>1946659+341+849</f>
        <v>1947849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106924809</v>
      </c>
      <c r="C16" s="39">
        <f t="shared" ref="C16:I16" si="6">SUM(C9:C15)</f>
        <v>70615244</v>
      </c>
      <c r="D16" s="39">
        <f t="shared" si="6"/>
        <v>124233063</v>
      </c>
      <c r="E16" s="529">
        <f t="shared" si="6"/>
        <v>93261128</v>
      </c>
      <c r="F16" s="39">
        <f t="shared" si="6"/>
        <v>89348674</v>
      </c>
      <c r="G16" s="39">
        <f t="shared" si="6"/>
        <v>90903942</v>
      </c>
      <c r="H16" s="39">
        <f t="shared" si="6"/>
        <v>88203287</v>
      </c>
      <c r="I16" s="39">
        <f t="shared" si="6"/>
        <v>88304962</v>
      </c>
    </row>
    <row r="17" spans="1:10" x14ac:dyDescent="0.35">
      <c r="B17" s="718">
        <f>+'10LS-MDO-Legal Svcs'!B16</f>
        <v>50938541</v>
      </c>
      <c r="D17" s="422"/>
      <c r="E17" s="423"/>
    </row>
    <row r="18" spans="1:10" x14ac:dyDescent="0.35">
      <c r="B18" s="717">
        <f>+B17+B16</f>
        <v>157863350</v>
      </c>
      <c r="D18" s="422"/>
      <c r="E18" s="400">
        <f>+E16-D16</f>
        <v>-30971935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thickTop="1" x14ac:dyDescent="0.35">
      <c r="A20" s="228" t="s">
        <v>635</v>
      </c>
      <c r="B20" s="78"/>
      <c r="C20" s="71"/>
      <c r="D20" s="72"/>
      <c r="E20" s="72"/>
      <c r="F20" s="72"/>
      <c r="G20" s="72"/>
      <c r="H20" s="72"/>
      <c r="I20" s="73"/>
    </row>
    <row r="21" spans="1:10" ht="12.75" customHeight="1" x14ac:dyDescent="0.35">
      <c r="A21" s="387" t="s">
        <v>294</v>
      </c>
      <c r="B21" s="143"/>
      <c r="C21" s="233"/>
      <c r="D21" s="143"/>
      <c r="E21" s="143"/>
      <c r="F21" s="143"/>
      <c r="G21" s="143"/>
      <c r="H21" s="143"/>
      <c r="I21" s="143"/>
    </row>
    <row r="22" spans="1:10" ht="12.75" customHeight="1" x14ac:dyDescent="0.35">
      <c r="A22" s="328" t="s">
        <v>330</v>
      </c>
      <c r="C22" s="75">
        <v>200</v>
      </c>
      <c r="D22" s="73"/>
      <c r="E22" s="73">
        <v>17462</v>
      </c>
      <c r="F22" s="73">
        <v>17898</v>
      </c>
      <c r="G22" s="73">
        <v>18345</v>
      </c>
      <c r="H22" s="73"/>
      <c r="I22" s="73"/>
      <c r="J22" s="73"/>
    </row>
    <row r="23" spans="1:10" ht="12.75" customHeight="1" x14ac:dyDescent="0.35">
      <c r="A23" s="820" t="s">
        <v>332</v>
      </c>
      <c r="B23" s="143"/>
      <c r="C23" s="74"/>
      <c r="D23" s="69"/>
      <c r="E23" s="69"/>
      <c r="F23" s="143"/>
      <c r="G23" s="143"/>
      <c r="H23" s="143"/>
      <c r="I23" s="143"/>
    </row>
    <row r="24" spans="1:10" ht="12.75" customHeight="1" x14ac:dyDescent="0.35">
      <c r="A24" s="179" t="s">
        <v>335</v>
      </c>
      <c r="C24" s="75">
        <v>200</v>
      </c>
      <c r="D24" s="73"/>
      <c r="E24" s="242"/>
      <c r="F24" s="242">
        <v>250000</v>
      </c>
      <c r="G24" s="242">
        <v>-250000</v>
      </c>
      <c r="H24" s="242"/>
      <c r="I24" s="242"/>
    </row>
    <row r="25" spans="1:10" ht="12.75" customHeight="1" x14ac:dyDescent="0.35">
      <c r="A25" s="182" t="s">
        <v>336</v>
      </c>
      <c r="B25" s="143"/>
      <c r="C25" s="74">
        <v>100</v>
      </c>
      <c r="D25" s="69"/>
      <c r="E25" s="69">
        <v>73303</v>
      </c>
      <c r="F25" s="69"/>
      <c r="G25" s="69"/>
      <c r="H25" s="69"/>
      <c r="I25" s="69"/>
    </row>
    <row r="26" spans="1:10" ht="12.75" customHeight="1" x14ac:dyDescent="0.35">
      <c r="A26" s="179"/>
      <c r="C26" s="75">
        <v>200</v>
      </c>
      <c r="D26" s="73"/>
      <c r="E26" s="242">
        <v>1747117</v>
      </c>
      <c r="F26" s="242">
        <v>4604</v>
      </c>
      <c r="G26" s="242">
        <v>52669</v>
      </c>
      <c r="H26" s="242"/>
      <c r="I26" s="242"/>
    </row>
    <row r="27" spans="1:10" ht="12.75" customHeight="1" x14ac:dyDescent="0.35">
      <c r="A27" s="182" t="s">
        <v>376</v>
      </c>
      <c r="B27" s="143"/>
      <c r="C27" s="74">
        <v>100</v>
      </c>
      <c r="D27" s="69"/>
      <c r="E27" s="69">
        <v>-329166</v>
      </c>
      <c r="F27" s="69"/>
      <c r="G27" s="69"/>
      <c r="H27" s="69"/>
      <c r="I27" s="69"/>
    </row>
    <row r="28" spans="1:10" ht="12.75" customHeight="1" x14ac:dyDescent="0.35">
      <c r="A28" s="179"/>
      <c r="C28" s="75">
        <v>200</v>
      </c>
      <c r="D28" s="73"/>
      <c r="E28" s="242">
        <v>-93000</v>
      </c>
      <c r="F28" s="242"/>
      <c r="G28" s="242"/>
      <c r="H28" s="242"/>
      <c r="I28" s="242"/>
    </row>
    <row r="29" spans="1:10" ht="12.75" customHeight="1" x14ac:dyDescent="0.35">
      <c r="A29" s="182"/>
      <c r="B29" s="143"/>
      <c r="C29" s="74" t="s">
        <v>167</v>
      </c>
      <c r="D29" s="69"/>
      <c r="E29" s="69">
        <v>-15000</v>
      </c>
      <c r="F29" s="69"/>
      <c r="G29" s="69"/>
      <c r="H29" s="69"/>
      <c r="I29" s="69"/>
    </row>
    <row r="30" spans="1:10" ht="12.75" customHeight="1" x14ac:dyDescent="0.35">
      <c r="A30" s="187" t="s">
        <v>332</v>
      </c>
      <c r="C30" s="75"/>
      <c r="D30" s="73"/>
      <c r="E30" s="242"/>
      <c r="F30" s="242"/>
      <c r="G30" s="242"/>
      <c r="H30" s="242"/>
      <c r="I30" s="242"/>
    </row>
    <row r="31" spans="1:10" ht="12.75" customHeight="1" x14ac:dyDescent="0.35">
      <c r="A31" s="182" t="s">
        <v>375</v>
      </c>
      <c r="B31" s="143"/>
      <c r="C31" s="74">
        <v>200</v>
      </c>
      <c r="D31" s="69"/>
      <c r="E31" s="69"/>
      <c r="F31" s="69">
        <v>-250000</v>
      </c>
      <c r="G31" s="69"/>
      <c r="H31" s="69"/>
      <c r="I31" s="69"/>
    </row>
    <row r="32" spans="1:10" ht="12.75" customHeight="1" x14ac:dyDescent="0.35">
      <c r="A32" s="187" t="s">
        <v>414</v>
      </c>
      <c r="C32" s="75"/>
      <c r="D32" s="73"/>
      <c r="E32" s="242"/>
      <c r="F32" s="242"/>
      <c r="G32" s="242"/>
      <c r="H32" s="242"/>
      <c r="I32" s="242"/>
    </row>
    <row r="33" spans="1:9" ht="12.75" customHeight="1" x14ac:dyDescent="0.35">
      <c r="A33" s="182" t="s">
        <v>455</v>
      </c>
      <c r="B33" s="143"/>
      <c r="C33" s="74">
        <v>100</v>
      </c>
      <c r="D33" s="69"/>
      <c r="E33" s="69">
        <v>508269</v>
      </c>
      <c r="F33" s="69"/>
      <c r="G33" s="69"/>
      <c r="H33" s="69"/>
      <c r="I33" s="69"/>
    </row>
    <row r="34" spans="1:9" ht="12.75" customHeight="1" x14ac:dyDescent="0.35">
      <c r="A34" s="179"/>
      <c r="C34" s="75" t="s">
        <v>167</v>
      </c>
      <c r="D34" s="73"/>
      <c r="E34" s="242">
        <v>-32000</v>
      </c>
      <c r="F34" s="242"/>
      <c r="G34" s="242"/>
      <c r="H34" s="242"/>
      <c r="I34" s="242"/>
    </row>
    <row r="35" spans="1:9" ht="12.75" customHeight="1" x14ac:dyDescent="0.35">
      <c r="A35" s="182" t="s">
        <v>450</v>
      </c>
      <c r="B35" s="143"/>
      <c r="C35" s="74">
        <v>200</v>
      </c>
      <c r="D35" s="69"/>
      <c r="E35" s="69">
        <v>-250000</v>
      </c>
      <c r="F35" s="69"/>
      <c r="G35" s="69"/>
      <c r="H35" s="69"/>
      <c r="I35" s="69"/>
    </row>
    <row r="36" spans="1:9" ht="12.75" customHeight="1" x14ac:dyDescent="0.35">
      <c r="A36" s="179" t="s">
        <v>456</v>
      </c>
      <c r="C36" s="75">
        <v>100</v>
      </c>
      <c r="D36" s="73"/>
      <c r="E36" s="242">
        <v>504413</v>
      </c>
      <c r="F36" s="242">
        <v>228593</v>
      </c>
      <c r="G36" s="242">
        <v>42708</v>
      </c>
      <c r="H36" s="242">
        <v>37345</v>
      </c>
      <c r="I36" s="242"/>
    </row>
    <row r="37" spans="1:9" ht="12.75" customHeight="1" x14ac:dyDescent="0.35">
      <c r="A37" s="182"/>
      <c r="B37" s="143"/>
      <c r="C37" s="74">
        <v>200</v>
      </c>
      <c r="D37" s="69"/>
      <c r="E37" s="69">
        <v>420000</v>
      </c>
      <c r="F37" s="69"/>
      <c r="G37" s="69"/>
      <c r="H37" s="69"/>
      <c r="I37" s="69"/>
    </row>
    <row r="38" spans="1:9" ht="12.75" customHeight="1" x14ac:dyDescent="0.35">
      <c r="A38" s="179" t="s">
        <v>458</v>
      </c>
      <c r="C38" s="75">
        <v>100</v>
      </c>
      <c r="D38" s="73"/>
      <c r="E38" s="242">
        <v>-355983</v>
      </c>
      <c r="F38" s="242"/>
      <c r="G38" s="242"/>
      <c r="H38" s="242"/>
      <c r="I38" s="242"/>
    </row>
    <row r="39" spans="1:9" ht="12.75" customHeight="1" x14ac:dyDescent="0.35">
      <c r="A39" s="182" t="s">
        <v>638</v>
      </c>
      <c r="B39" s="143"/>
      <c r="C39" s="74">
        <v>200</v>
      </c>
      <c r="D39" s="69"/>
      <c r="E39" s="69">
        <v>-250000</v>
      </c>
      <c r="F39" s="69"/>
      <c r="G39" s="69"/>
      <c r="H39" s="69"/>
      <c r="I39" s="69"/>
    </row>
    <row r="40" spans="1:9" ht="12.75" customHeight="1" x14ac:dyDescent="0.35">
      <c r="A40" s="187" t="s">
        <v>487</v>
      </c>
      <c r="C40" s="75"/>
      <c r="D40" s="73"/>
      <c r="E40" s="242"/>
      <c r="F40" s="242"/>
      <c r="G40" s="242"/>
      <c r="H40" s="242"/>
      <c r="I40" s="242"/>
    </row>
    <row r="41" spans="1:9" ht="12.75" customHeight="1" x14ac:dyDescent="0.35">
      <c r="A41" s="182" t="s">
        <v>580</v>
      </c>
      <c r="B41" s="143"/>
      <c r="C41" s="74">
        <v>100</v>
      </c>
      <c r="D41" s="69"/>
      <c r="E41" s="69"/>
      <c r="F41" s="69">
        <v>5245317</v>
      </c>
      <c r="G41" s="69"/>
      <c r="H41" s="69"/>
      <c r="I41" s="69"/>
    </row>
    <row r="42" spans="1:9" ht="12.75" customHeight="1" x14ac:dyDescent="0.35">
      <c r="A42" s="179" t="s">
        <v>528</v>
      </c>
      <c r="C42" s="75">
        <v>200</v>
      </c>
      <c r="D42" s="73"/>
      <c r="E42" s="242"/>
      <c r="F42" s="242">
        <v>3497671</v>
      </c>
      <c r="G42" s="242"/>
      <c r="H42" s="242"/>
      <c r="I42" s="242"/>
    </row>
    <row r="43" spans="1:9" ht="12.75" customHeight="1" x14ac:dyDescent="0.35">
      <c r="A43" s="182" t="s">
        <v>540</v>
      </c>
      <c r="B43" s="143"/>
      <c r="C43" s="74" t="s">
        <v>167</v>
      </c>
      <c r="D43" s="69"/>
      <c r="E43" s="69"/>
      <c r="F43" s="69">
        <v>408920</v>
      </c>
      <c r="G43" s="69"/>
      <c r="H43" s="69"/>
      <c r="I43" s="69"/>
    </row>
    <row r="44" spans="1:9" ht="12.75" customHeight="1" x14ac:dyDescent="0.35">
      <c r="A44" s="179" t="s">
        <v>593</v>
      </c>
      <c r="C44" s="75">
        <v>100</v>
      </c>
      <c r="D44" s="73"/>
      <c r="E44" s="242">
        <v>304696</v>
      </c>
      <c r="F44" s="242"/>
      <c r="G44" s="242"/>
      <c r="H44" s="242"/>
      <c r="I44" s="242"/>
    </row>
    <row r="45" spans="1:9" ht="12.75" customHeight="1" x14ac:dyDescent="0.35">
      <c r="A45" s="182" t="s">
        <v>562</v>
      </c>
      <c r="B45" s="143"/>
      <c r="C45" s="74">
        <v>200</v>
      </c>
      <c r="D45" s="69"/>
      <c r="E45" s="69"/>
      <c r="F45" s="69">
        <v>5505629</v>
      </c>
      <c r="G45" s="69"/>
      <c r="H45" s="69"/>
      <c r="I45" s="69"/>
    </row>
    <row r="46" spans="1:9" ht="12.75" customHeight="1" x14ac:dyDescent="0.35">
      <c r="A46" s="187" t="s">
        <v>596</v>
      </c>
      <c r="C46" s="75"/>
      <c r="D46" s="73"/>
      <c r="E46" s="242"/>
      <c r="F46" s="242"/>
      <c r="G46" s="242"/>
      <c r="H46" s="242"/>
      <c r="I46" s="242"/>
    </row>
    <row r="47" spans="1:9" ht="12.75" customHeight="1" x14ac:dyDescent="0.35">
      <c r="A47" s="182" t="s">
        <v>601</v>
      </c>
      <c r="B47" s="143"/>
      <c r="C47" s="74">
        <v>200</v>
      </c>
      <c r="D47" s="69"/>
      <c r="E47" s="69">
        <v>-448191</v>
      </c>
      <c r="F47" s="69"/>
      <c r="G47" s="69"/>
      <c r="H47" s="69"/>
      <c r="I47" s="69"/>
    </row>
    <row r="48" spans="1:9" ht="12.75" customHeight="1" x14ac:dyDescent="0.35">
      <c r="A48" s="179" t="s">
        <v>639</v>
      </c>
      <c r="C48" s="75" t="s">
        <v>167</v>
      </c>
      <c r="D48" s="73"/>
      <c r="E48" s="242">
        <v>-319728</v>
      </c>
      <c r="F48" s="242"/>
      <c r="G48" s="242"/>
      <c r="H48" s="242"/>
      <c r="I48" s="242"/>
    </row>
    <row r="49" spans="1:9" ht="12.75" customHeight="1" x14ac:dyDescent="0.35">
      <c r="A49" s="182" t="s">
        <v>611</v>
      </c>
      <c r="B49" s="143"/>
      <c r="C49" s="74">
        <v>100</v>
      </c>
      <c r="D49" s="69"/>
      <c r="E49" s="69">
        <v>-609297</v>
      </c>
      <c r="F49" s="69"/>
      <c r="G49" s="69"/>
      <c r="H49" s="69"/>
      <c r="I49" s="69"/>
    </row>
    <row r="50" spans="1:9" ht="12.75" customHeight="1" x14ac:dyDescent="0.35">
      <c r="A50" s="179" t="s">
        <v>622</v>
      </c>
      <c r="C50" s="75">
        <v>100</v>
      </c>
      <c r="D50" s="73"/>
      <c r="E50" s="242"/>
      <c r="F50" s="242">
        <v>-5245317</v>
      </c>
      <c r="G50" s="242">
        <v>5245317</v>
      </c>
      <c r="H50" s="242"/>
      <c r="I50" s="242"/>
    </row>
    <row r="51" spans="1:9" ht="12.75" customHeight="1" x14ac:dyDescent="0.35">
      <c r="A51" s="182"/>
      <c r="B51" s="143"/>
      <c r="C51" s="74">
        <v>200</v>
      </c>
      <c r="D51" s="69"/>
      <c r="E51" s="69"/>
      <c r="F51" s="69">
        <v>-9003300</v>
      </c>
      <c r="G51" s="69">
        <v>9003300</v>
      </c>
      <c r="H51" s="69"/>
      <c r="I51" s="69"/>
    </row>
    <row r="52" spans="1:9" ht="12.75" customHeight="1" x14ac:dyDescent="0.35">
      <c r="A52" s="179"/>
      <c r="C52" s="75" t="s">
        <v>167</v>
      </c>
      <c r="D52" s="73"/>
      <c r="E52" s="242"/>
      <c r="F52" s="242">
        <v>-408920</v>
      </c>
      <c r="G52" s="242">
        <v>408920</v>
      </c>
      <c r="H52" s="242"/>
      <c r="I52" s="242"/>
    </row>
    <row r="53" spans="1:9" ht="12.75" customHeight="1" x14ac:dyDescent="0.35">
      <c r="A53" s="820" t="s">
        <v>642</v>
      </c>
      <c r="B53" s="143"/>
      <c r="C53" s="74"/>
      <c r="D53" s="69"/>
      <c r="E53" s="69"/>
      <c r="F53" s="69"/>
      <c r="G53" s="69"/>
      <c r="H53" s="69"/>
      <c r="I53" s="69"/>
    </row>
    <row r="54" spans="1:9" ht="12.75" customHeight="1" x14ac:dyDescent="0.35">
      <c r="A54" s="179" t="s">
        <v>655</v>
      </c>
      <c r="C54" s="75">
        <v>100</v>
      </c>
      <c r="D54" s="73">
        <v>-665620</v>
      </c>
      <c r="E54" s="242"/>
      <c r="F54" s="242"/>
      <c r="G54" s="242"/>
      <c r="H54" s="242"/>
      <c r="I54" s="242"/>
    </row>
    <row r="55" spans="1:9" ht="12.75" customHeight="1" x14ac:dyDescent="0.35">
      <c r="A55" s="182"/>
      <c r="B55" s="143"/>
      <c r="C55" s="74">
        <v>200</v>
      </c>
      <c r="D55" s="69">
        <v>-788000</v>
      </c>
      <c r="E55" s="69"/>
      <c r="F55" s="69"/>
      <c r="G55" s="69"/>
      <c r="H55" s="69"/>
      <c r="I55" s="69"/>
    </row>
    <row r="56" spans="1:9" ht="12.75" customHeight="1" x14ac:dyDescent="0.35">
      <c r="A56" s="179" t="s">
        <v>656</v>
      </c>
      <c r="C56" s="75">
        <v>200</v>
      </c>
      <c r="D56" s="73">
        <v>431167</v>
      </c>
      <c r="E56" s="242"/>
      <c r="F56" s="242"/>
      <c r="G56" s="242"/>
      <c r="H56" s="242"/>
      <c r="I56" s="242"/>
    </row>
    <row r="57" spans="1:9" ht="12.75" customHeight="1" x14ac:dyDescent="0.35">
      <c r="A57" s="182" t="s">
        <v>657</v>
      </c>
      <c r="B57" s="143"/>
      <c r="C57" s="74">
        <v>200</v>
      </c>
      <c r="D57" s="69">
        <v>800000</v>
      </c>
      <c r="E57" s="69">
        <v>-800000</v>
      </c>
      <c r="F57" s="69"/>
      <c r="G57" s="69"/>
      <c r="H57" s="69"/>
      <c r="I57" s="69"/>
    </row>
    <row r="58" spans="1:9" ht="12.75" customHeight="1" x14ac:dyDescent="0.35">
      <c r="A58" s="179" t="s">
        <v>705</v>
      </c>
      <c r="C58" s="75">
        <v>100</v>
      </c>
      <c r="D58" s="73">
        <v>365000</v>
      </c>
      <c r="E58" s="242">
        <v>-365000</v>
      </c>
      <c r="F58" s="242"/>
      <c r="G58" s="242"/>
      <c r="H58" s="242"/>
      <c r="I58" s="242"/>
    </row>
    <row r="59" spans="1:9" ht="12.75" customHeight="1" x14ac:dyDescent="0.35">
      <c r="A59" s="182"/>
      <c r="B59" s="143"/>
      <c r="C59" s="74">
        <v>200</v>
      </c>
      <c r="D59" s="69">
        <v>650000</v>
      </c>
      <c r="E59" s="69">
        <v>-650000</v>
      </c>
      <c r="F59" s="69"/>
      <c r="G59" s="69"/>
      <c r="H59" s="69"/>
      <c r="I59" s="69"/>
    </row>
    <row r="60" spans="1:9" ht="12.75" customHeight="1" x14ac:dyDescent="0.35">
      <c r="A60" s="179"/>
      <c r="C60" s="754" t="s">
        <v>167</v>
      </c>
      <c r="D60" s="73">
        <v>45000</v>
      </c>
      <c r="E60" s="242">
        <v>-45000</v>
      </c>
      <c r="F60" s="242"/>
      <c r="G60" s="242"/>
      <c r="H60" s="242"/>
      <c r="I60" s="242"/>
    </row>
    <row r="61" spans="1:9" ht="12.75" customHeight="1" x14ac:dyDescent="0.35">
      <c r="A61" s="778" t="s">
        <v>736</v>
      </c>
      <c r="B61" s="143"/>
      <c r="C61" s="74">
        <v>100</v>
      </c>
      <c r="D61" s="69">
        <v>1000000</v>
      </c>
      <c r="E61" s="69">
        <v>-1000000</v>
      </c>
      <c r="F61" s="69"/>
      <c r="G61" s="69"/>
      <c r="H61" s="69"/>
      <c r="I61" s="69"/>
    </row>
    <row r="62" spans="1:9" x14ac:dyDescent="0.35">
      <c r="A62" s="179"/>
      <c r="C62" s="75">
        <v>200</v>
      </c>
      <c r="D62" s="73">
        <v>1300000</v>
      </c>
      <c r="E62" s="242">
        <v>-1300000</v>
      </c>
      <c r="F62" s="242"/>
      <c r="G62" s="242"/>
      <c r="H62" s="242"/>
      <c r="I62" s="242"/>
    </row>
    <row r="63" spans="1:9" x14ac:dyDescent="0.35">
      <c r="A63" s="182" t="s">
        <v>739</v>
      </c>
      <c r="B63" s="143"/>
      <c r="C63" s="74">
        <v>200</v>
      </c>
      <c r="D63" s="69">
        <v>1300000</v>
      </c>
      <c r="E63" s="69">
        <v>-1300000</v>
      </c>
      <c r="F63" s="69"/>
      <c r="G63" s="69"/>
      <c r="H63" s="69"/>
      <c r="I63" s="69"/>
    </row>
    <row r="64" spans="1:9" x14ac:dyDescent="0.35">
      <c r="A64" s="179" t="s">
        <v>878</v>
      </c>
      <c r="C64" s="75">
        <v>100</v>
      </c>
      <c r="D64" s="73">
        <v>10000000</v>
      </c>
      <c r="E64" s="242">
        <v>-10000000</v>
      </c>
      <c r="F64" s="242"/>
      <c r="G64" s="242"/>
      <c r="H64" s="242"/>
      <c r="I64" s="242"/>
    </row>
    <row r="65" spans="1:9" x14ac:dyDescent="0.35">
      <c r="A65" s="182"/>
      <c r="B65" s="143"/>
      <c r="C65" s="74">
        <v>200</v>
      </c>
      <c r="D65" s="69">
        <v>20000000</v>
      </c>
      <c r="E65" s="69">
        <v>-20000000</v>
      </c>
      <c r="F65" s="69"/>
      <c r="G65" s="69"/>
      <c r="H65" s="69"/>
      <c r="I65" s="69"/>
    </row>
    <row r="66" spans="1:9" x14ac:dyDescent="0.35">
      <c r="A66" s="179"/>
      <c r="C66" s="75" t="s">
        <v>167</v>
      </c>
      <c r="D66" s="73">
        <v>20000000</v>
      </c>
      <c r="E66" s="242">
        <v>-20000000</v>
      </c>
      <c r="F66" s="242"/>
      <c r="G66" s="242"/>
      <c r="H66" s="242"/>
      <c r="I66" s="242"/>
    </row>
    <row r="67" spans="1:9" x14ac:dyDescent="0.35">
      <c r="A67" s="182" t="s">
        <v>879</v>
      </c>
      <c r="B67" s="143"/>
      <c r="C67" s="74">
        <v>200</v>
      </c>
      <c r="D67" s="69">
        <v>-500000</v>
      </c>
      <c r="E67" s="69">
        <v>500000</v>
      </c>
      <c r="F67" s="69"/>
      <c r="G67" s="69"/>
      <c r="H67" s="69"/>
      <c r="I67" s="69"/>
    </row>
    <row r="68" spans="1:9" ht="12.75" customHeight="1" x14ac:dyDescent="0.35">
      <c r="A68" s="179" t="s">
        <v>880</v>
      </c>
      <c r="C68" s="75">
        <v>100</v>
      </c>
      <c r="D68" s="73">
        <v>-4331686</v>
      </c>
      <c r="E68" s="242">
        <v>4331686</v>
      </c>
      <c r="F68" s="242"/>
      <c r="G68" s="242"/>
      <c r="H68" s="242"/>
      <c r="I68" s="242"/>
    </row>
    <row r="69" spans="1:9" ht="12.75" customHeight="1" x14ac:dyDescent="0.35">
      <c r="A69" s="182"/>
      <c r="B69" s="143"/>
      <c r="C69" s="751" t="s">
        <v>167</v>
      </c>
      <c r="D69" s="69">
        <v>4331686</v>
      </c>
      <c r="E69" s="69">
        <v>-4331686</v>
      </c>
      <c r="F69" s="69"/>
      <c r="G69" s="69"/>
      <c r="H69" s="69"/>
      <c r="I69" s="69"/>
    </row>
    <row r="70" spans="1:9" ht="12.75" customHeight="1" x14ac:dyDescent="0.35">
      <c r="A70" s="179" t="s">
        <v>898</v>
      </c>
      <c r="C70" s="75">
        <v>100</v>
      </c>
      <c r="D70" s="73">
        <v>75000</v>
      </c>
      <c r="E70" s="242">
        <v>-75000</v>
      </c>
      <c r="F70" s="242"/>
      <c r="G70" s="242"/>
      <c r="H70" s="242"/>
      <c r="I70" s="242"/>
    </row>
    <row r="71" spans="1:9" x14ac:dyDescent="0.35">
      <c r="A71" s="182"/>
      <c r="B71" s="143"/>
      <c r="C71" s="751">
        <v>200</v>
      </c>
      <c r="D71" s="69">
        <v>-900000</v>
      </c>
      <c r="E71" s="69">
        <v>900000</v>
      </c>
      <c r="F71" s="69"/>
      <c r="G71" s="69"/>
      <c r="H71" s="69"/>
      <c r="I71" s="69"/>
    </row>
    <row r="72" spans="1:9" ht="12.75" customHeight="1" x14ac:dyDescent="0.35">
      <c r="A72" s="179"/>
      <c r="C72" s="75" t="s">
        <v>167</v>
      </c>
      <c r="D72" s="73">
        <v>825000</v>
      </c>
      <c r="E72" s="242">
        <v>-825000</v>
      </c>
      <c r="F72" s="242"/>
      <c r="G72" s="242"/>
      <c r="H72" s="242"/>
      <c r="I72" s="242"/>
    </row>
    <row r="73" spans="1:9" ht="12.75" customHeight="1" x14ac:dyDescent="0.35">
      <c r="A73" s="820" t="s">
        <v>748</v>
      </c>
      <c r="B73" s="143"/>
      <c r="C73" s="751"/>
      <c r="D73" s="69"/>
      <c r="E73" s="69"/>
      <c r="F73" s="69"/>
      <c r="G73" s="69"/>
      <c r="H73" s="69"/>
      <c r="I73" s="69"/>
    </row>
    <row r="74" spans="1:9" ht="12.75" customHeight="1" x14ac:dyDescent="0.35">
      <c r="A74" s="179" t="s">
        <v>782</v>
      </c>
      <c r="C74" s="75">
        <v>100</v>
      </c>
      <c r="D74" s="73"/>
      <c r="E74" s="242"/>
      <c r="F74" s="242">
        <v>60000</v>
      </c>
      <c r="G74" s="242">
        <f>185000-60000</f>
        <v>125000</v>
      </c>
      <c r="H74" s="242">
        <f>305000-G74-F74</f>
        <v>120000</v>
      </c>
      <c r="I74" s="242"/>
    </row>
    <row r="75" spans="1:9" ht="12.75" customHeight="1" x14ac:dyDescent="0.35">
      <c r="A75" s="182"/>
      <c r="B75" s="143"/>
      <c r="C75" s="751">
        <v>200</v>
      </c>
      <c r="D75" s="69"/>
      <c r="E75" s="69">
        <v>125000</v>
      </c>
      <c r="F75" s="69">
        <f>580000-125000</f>
        <v>455000</v>
      </c>
      <c r="G75" s="69">
        <f>2020000-F75-E75</f>
        <v>1440000</v>
      </c>
      <c r="H75" s="69">
        <f>1840000-G75-F75-E75</f>
        <v>-180000</v>
      </c>
      <c r="I75" s="69"/>
    </row>
    <row r="76" spans="1:9" ht="12.75" customHeight="1" x14ac:dyDescent="0.35">
      <c r="A76" s="179" t="s">
        <v>852</v>
      </c>
      <c r="C76" s="75">
        <v>100</v>
      </c>
      <c r="D76" s="73"/>
      <c r="E76" s="242">
        <v>95000</v>
      </c>
      <c r="F76" s="242"/>
      <c r="G76" s="242"/>
      <c r="H76" s="242"/>
      <c r="I76" s="242"/>
    </row>
    <row r="77" spans="1:9" ht="12.75" customHeight="1" x14ac:dyDescent="0.35">
      <c r="A77" s="182"/>
      <c r="B77" s="143"/>
      <c r="C77" s="751">
        <v>200</v>
      </c>
      <c r="D77" s="69"/>
      <c r="E77" s="69">
        <v>4735358</v>
      </c>
      <c r="F77" s="69">
        <f>2405180-E77</f>
        <v>-2330178</v>
      </c>
      <c r="G77" s="69"/>
      <c r="H77" s="69"/>
      <c r="I77" s="69"/>
    </row>
    <row r="78" spans="1:9" ht="12.75" customHeight="1" x14ac:dyDescent="0.35">
      <c r="A78" s="179"/>
      <c r="C78" s="75" t="s">
        <v>167</v>
      </c>
      <c r="D78" s="73"/>
      <c r="E78" s="242">
        <v>385000</v>
      </c>
      <c r="F78" s="242">
        <v>-385000</v>
      </c>
      <c r="G78" s="242"/>
      <c r="H78" s="242"/>
      <c r="I78" s="242"/>
    </row>
    <row r="79" spans="1:9" ht="12.75" customHeight="1" x14ac:dyDescent="0.35">
      <c r="A79" s="182" t="s">
        <v>783</v>
      </c>
      <c r="B79" s="143"/>
      <c r="C79" s="751" t="s">
        <v>167</v>
      </c>
      <c r="D79" s="69">
        <v>-319728</v>
      </c>
      <c r="E79" s="69">
        <f>319728+319728</f>
        <v>639456</v>
      </c>
      <c r="F79" s="69">
        <v>-319728</v>
      </c>
      <c r="G79" s="69"/>
      <c r="H79" s="69"/>
      <c r="I79" s="69"/>
    </row>
    <row r="80" spans="1:9" ht="12.75" customHeight="1" x14ac:dyDescent="0.35">
      <c r="A80" s="179" t="s">
        <v>784</v>
      </c>
      <c r="C80" s="75">
        <v>200</v>
      </c>
      <c r="D80" s="73"/>
      <c r="E80" s="242">
        <v>501050</v>
      </c>
      <c r="F80" s="242"/>
      <c r="G80" s="242"/>
      <c r="H80" s="242"/>
      <c r="I80" s="242"/>
    </row>
    <row r="81" spans="1:9" ht="12.75" customHeight="1" x14ac:dyDescent="0.35">
      <c r="A81" s="182" t="s">
        <v>785</v>
      </c>
      <c r="B81" s="143"/>
      <c r="C81" s="751">
        <v>100</v>
      </c>
      <c r="D81" s="69"/>
      <c r="E81" s="69">
        <v>-144519</v>
      </c>
      <c r="F81" s="69">
        <f>144519+27731</f>
        <v>172250</v>
      </c>
      <c r="G81" s="69"/>
      <c r="H81" s="69"/>
      <c r="I81" s="69"/>
    </row>
    <row r="82" spans="1:9" ht="12.75" customHeight="1" x14ac:dyDescent="0.35">
      <c r="A82" s="179"/>
      <c r="C82" s="75">
        <v>200</v>
      </c>
      <c r="D82" s="73"/>
      <c r="E82" s="242">
        <v>44519</v>
      </c>
      <c r="F82" s="242">
        <f>-44519+38571</f>
        <v>-5948</v>
      </c>
      <c r="G82" s="242">
        <f>2500-38571</f>
        <v>-36071</v>
      </c>
      <c r="H82" s="242"/>
      <c r="I82" s="242"/>
    </row>
    <row r="83" spans="1:9" ht="12.75" customHeight="1" x14ac:dyDescent="0.35">
      <c r="A83" s="182"/>
      <c r="B83" s="143"/>
      <c r="C83" s="751" t="s">
        <v>167</v>
      </c>
      <c r="D83" s="69"/>
      <c r="E83" s="69">
        <v>100000</v>
      </c>
      <c r="F83" s="69">
        <v>-100000</v>
      </c>
      <c r="G83" s="69"/>
      <c r="H83" s="69"/>
      <c r="I83" s="69"/>
    </row>
    <row r="84" spans="1:9" ht="12.75" customHeight="1" x14ac:dyDescent="0.35">
      <c r="A84" s="179" t="s">
        <v>794</v>
      </c>
      <c r="C84" s="75">
        <v>100</v>
      </c>
      <c r="D84" s="73"/>
      <c r="E84" s="242">
        <v>568000</v>
      </c>
      <c r="F84" s="242"/>
      <c r="G84" s="242"/>
      <c r="H84" s="242"/>
      <c r="I84" s="242"/>
    </row>
    <row r="85" spans="1:9" ht="12.75" customHeight="1" x14ac:dyDescent="0.35">
      <c r="A85" s="182"/>
      <c r="B85" s="143"/>
      <c r="C85" s="751">
        <v>200</v>
      </c>
      <c r="D85" s="69"/>
      <c r="E85" s="69">
        <v>382000</v>
      </c>
      <c r="F85" s="69"/>
      <c r="G85" s="69"/>
      <c r="H85" s="69"/>
      <c r="I85" s="69"/>
    </row>
    <row r="86" spans="1:9" x14ac:dyDescent="0.35">
      <c r="A86" s="179" t="s">
        <v>786</v>
      </c>
      <c r="C86" s="75">
        <v>200</v>
      </c>
      <c r="D86" s="73"/>
      <c r="E86" s="242">
        <v>133153</v>
      </c>
      <c r="F86" s="242">
        <f>181736-133153</f>
        <v>48583</v>
      </c>
      <c r="G86" s="242">
        <f>244753-F86-E86</f>
        <v>63017</v>
      </c>
      <c r="H86" s="242"/>
      <c r="I86" s="242"/>
    </row>
    <row r="87" spans="1:9" x14ac:dyDescent="0.35">
      <c r="A87" s="182" t="s">
        <v>787</v>
      </c>
      <c r="B87" s="143"/>
      <c r="C87" s="751">
        <v>200</v>
      </c>
      <c r="D87" s="69"/>
      <c r="E87" s="69">
        <v>500000</v>
      </c>
      <c r="F87" s="69"/>
      <c r="G87" s="69"/>
      <c r="H87" s="69"/>
      <c r="I87" s="69"/>
    </row>
    <row r="88" spans="1:9" x14ac:dyDescent="0.35">
      <c r="A88" s="179" t="s">
        <v>788</v>
      </c>
      <c r="C88" s="75">
        <v>200</v>
      </c>
      <c r="D88" s="73"/>
      <c r="E88" s="242">
        <v>300000</v>
      </c>
      <c r="F88" s="242">
        <v>-300000</v>
      </c>
      <c r="G88" s="242"/>
      <c r="H88" s="242"/>
      <c r="I88" s="242"/>
    </row>
    <row r="89" spans="1:9" x14ac:dyDescent="0.35">
      <c r="A89" s="182" t="s">
        <v>789</v>
      </c>
      <c r="B89" s="143"/>
      <c r="C89" s="751">
        <v>200</v>
      </c>
      <c r="D89" s="69"/>
      <c r="E89" s="69">
        <v>656864</v>
      </c>
      <c r="F89" s="69"/>
      <c r="G89" s="69"/>
      <c r="H89" s="69"/>
      <c r="I89" s="69"/>
    </row>
    <row r="90" spans="1:9" x14ac:dyDescent="0.35">
      <c r="A90" s="179" t="s">
        <v>790</v>
      </c>
      <c r="C90" s="75">
        <v>200</v>
      </c>
      <c r="D90" s="73"/>
      <c r="E90" s="242">
        <v>244000</v>
      </c>
      <c r="F90" s="242">
        <f>130000-E90</f>
        <v>-114000</v>
      </c>
      <c r="G90" s="242"/>
      <c r="H90" s="242">
        <v>-130000</v>
      </c>
      <c r="I90" s="242"/>
    </row>
    <row r="91" spans="1:9" x14ac:dyDescent="0.35">
      <c r="A91" s="182" t="s">
        <v>792</v>
      </c>
      <c r="B91" s="143"/>
      <c r="C91" s="751">
        <v>500</v>
      </c>
      <c r="D91" s="69"/>
      <c r="E91" s="69">
        <v>150000</v>
      </c>
      <c r="F91" s="69"/>
      <c r="G91" s="69"/>
      <c r="H91" s="69"/>
      <c r="I91" s="69"/>
    </row>
    <row r="92" spans="1:9" x14ac:dyDescent="0.35">
      <c r="A92" s="179" t="s">
        <v>791</v>
      </c>
      <c r="C92" s="75">
        <v>500</v>
      </c>
      <c r="D92" s="73"/>
      <c r="E92" s="242">
        <v>1000000</v>
      </c>
      <c r="F92" s="242"/>
      <c r="G92" s="242"/>
      <c r="H92" s="242"/>
      <c r="I92" s="242"/>
    </row>
    <row r="93" spans="1:9" x14ac:dyDescent="0.35">
      <c r="A93" s="182" t="s">
        <v>793</v>
      </c>
      <c r="B93" s="143"/>
      <c r="C93" s="751">
        <v>100</v>
      </c>
      <c r="D93" s="69"/>
      <c r="E93" s="69">
        <v>575000</v>
      </c>
      <c r="F93" s="69"/>
      <c r="G93" s="69"/>
      <c r="H93" s="69">
        <v>-575000</v>
      </c>
      <c r="I93" s="69"/>
    </row>
    <row r="94" spans="1:9" x14ac:dyDescent="0.35">
      <c r="A94" s="179"/>
      <c r="C94" s="75">
        <v>200</v>
      </c>
      <c r="D94" s="73"/>
      <c r="E94" s="242">
        <v>580000</v>
      </c>
      <c r="F94" s="242"/>
      <c r="G94" s="242"/>
      <c r="H94" s="242">
        <v>-580000</v>
      </c>
      <c r="I94" s="242"/>
    </row>
    <row r="95" spans="1:9" x14ac:dyDescent="0.35">
      <c r="A95" s="182"/>
      <c r="B95" s="143"/>
      <c r="C95" s="751" t="s">
        <v>167</v>
      </c>
      <c r="D95" s="69"/>
      <c r="E95" s="69">
        <v>193000</v>
      </c>
      <c r="F95" s="69"/>
      <c r="G95" s="69"/>
      <c r="H95" s="69">
        <v>-193000</v>
      </c>
      <c r="I95" s="69"/>
    </row>
    <row r="96" spans="1:9" x14ac:dyDescent="0.35">
      <c r="A96" s="179" t="s">
        <v>795</v>
      </c>
      <c r="C96" s="75">
        <v>100</v>
      </c>
      <c r="D96" s="73"/>
      <c r="E96" s="242">
        <v>300000</v>
      </c>
      <c r="F96" s="242"/>
      <c r="G96" s="242"/>
      <c r="H96" s="242">
        <v>-300000</v>
      </c>
      <c r="I96" s="242"/>
    </row>
    <row r="97" spans="1:9" x14ac:dyDescent="0.35">
      <c r="A97" s="182"/>
      <c r="B97" s="143"/>
      <c r="C97" s="751">
        <v>200</v>
      </c>
      <c r="D97" s="69"/>
      <c r="E97" s="69">
        <v>1000000</v>
      </c>
      <c r="F97" s="69"/>
      <c r="G97" s="69"/>
      <c r="H97" s="69">
        <v>-1000000</v>
      </c>
      <c r="I97" s="69"/>
    </row>
    <row r="98" spans="1:9" x14ac:dyDescent="0.35">
      <c r="A98" s="179" t="s">
        <v>796</v>
      </c>
      <c r="C98" s="75">
        <v>100</v>
      </c>
      <c r="D98" s="73"/>
      <c r="E98" s="242">
        <v>470000</v>
      </c>
      <c r="F98" s="242"/>
      <c r="G98" s="242"/>
      <c r="H98" s="242"/>
      <c r="I98" s="242"/>
    </row>
    <row r="99" spans="1:9" x14ac:dyDescent="0.35">
      <c r="A99" s="182"/>
      <c r="B99" s="143"/>
      <c r="C99" s="751">
        <v>200</v>
      </c>
      <c r="D99" s="69"/>
      <c r="E99" s="69">
        <v>1555000</v>
      </c>
      <c r="F99" s="69"/>
      <c r="G99" s="69"/>
      <c r="H99" s="69"/>
      <c r="I99" s="69"/>
    </row>
    <row r="100" spans="1:9" x14ac:dyDescent="0.35">
      <c r="A100" s="179" t="s">
        <v>797</v>
      </c>
      <c r="C100" s="75">
        <v>100</v>
      </c>
      <c r="D100" s="73"/>
      <c r="E100" s="242">
        <v>70000</v>
      </c>
      <c r="F100" s="242"/>
      <c r="G100" s="242"/>
      <c r="H100" s="242"/>
      <c r="I100" s="242"/>
    </row>
    <row r="101" spans="1:9" x14ac:dyDescent="0.35">
      <c r="A101" s="182" t="s">
        <v>798</v>
      </c>
      <c r="B101" s="143"/>
      <c r="C101" s="751">
        <v>100</v>
      </c>
      <c r="D101" s="69"/>
      <c r="E101" s="69">
        <v>2680725</v>
      </c>
      <c r="F101" s="69">
        <f>3207675-E101</f>
        <v>526950</v>
      </c>
      <c r="G101" s="69">
        <f>3307275-F101-E101</f>
        <v>99600</v>
      </c>
      <c r="H101" s="69">
        <f>3407275-G101-F101-E101</f>
        <v>100000</v>
      </c>
      <c r="I101" s="69">
        <f>3508950-H101-G101-F101-E101</f>
        <v>101675</v>
      </c>
    </row>
    <row r="102" spans="1:9" x14ac:dyDescent="0.35">
      <c r="A102" s="179" t="s">
        <v>799</v>
      </c>
      <c r="C102" s="75">
        <v>200</v>
      </c>
      <c r="D102" s="73"/>
      <c r="E102" s="242">
        <v>400000</v>
      </c>
      <c r="F102" s="242"/>
      <c r="G102" s="242"/>
      <c r="H102" s="242"/>
      <c r="I102" s="242"/>
    </row>
    <row r="103" spans="1:9" x14ac:dyDescent="0.35">
      <c r="A103" s="182" t="s">
        <v>800</v>
      </c>
      <c r="B103" s="143"/>
      <c r="C103" s="751">
        <v>200</v>
      </c>
      <c r="D103" s="69"/>
      <c r="E103" s="69">
        <v>750000</v>
      </c>
      <c r="F103" s="69"/>
      <c r="G103" s="69"/>
      <c r="H103" s="69"/>
      <c r="I103" s="69"/>
    </row>
    <row r="104" spans="1:9" x14ac:dyDescent="0.35">
      <c r="A104" s="179" t="s">
        <v>801</v>
      </c>
      <c r="C104" s="75">
        <v>200</v>
      </c>
      <c r="D104" s="73"/>
      <c r="E104" s="242">
        <v>195801</v>
      </c>
      <c r="F104" s="242"/>
      <c r="G104" s="242"/>
      <c r="H104" s="242"/>
      <c r="I104" s="242"/>
    </row>
    <row r="105" spans="1:9" x14ac:dyDescent="0.35">
      <c r="A105" s="182"/>
      <c r="B105" s="143"/>
      <c r="C105" s="751" t="s">
        <v>167</v>
      </c>
      <c r="D105" s="69"/>
      <c r="E105" s="69">
        <f>5171478-3300000</f>
        <v>1871478</v>
      </c>
      <c r="F105" s="69">
        <v>-1871478</v>
      </c>
      <c r="G105" s="69"/>
      <c r="H105" s="69"/>
      <c r="I105" s="69"/>
    </row>
    <row r="106" spans="1:9" x14ac:dyDescent="0.35">
      <c r="A106" s="179" t="s">
        <v>855</v>
      </c>
      <c r="C106" s="75">
        <v>100</v>
      </c>
      <c r="D106" s="73"/>
      <c r="E106" s="242">
        <v>2059285</v>
      </c>
      <c r="F106" s="242"/>
      <c r="G106" s="242"/>
      <c r="H106" s="242"/>
      <c r="I106" s="242"/>
    </row>
    <row r="107" spans="1:9" x14ac:dyDescent="0.35">
      <c r="A107" s="182" t="s">
        <v>863</v>
      </c>
      <c r="B107" s="143"/>
      <c r="C107" s="751">
        <v>100</v>
      </c>
      <c r="D107" s="69"/>
      <c r="E107" s="69"/>
      <c r="F107" s="69"/>
      <c r="G107" s="69">
        <v>-5245317</v>
      </c>
      <c r="H107" s="69"/>
      <c r="I107" s="69"/>
    </row>
    <row r="108" spans="1:9" x14ac:dyDescent="0.35">
      <c r="A108" s="179"/>
      <c r="C108" s="75">
        <v>200</v>
      </c>
      <c r="D108" s="73"/>
      <c r="E108" s="242"/>
      <c r="F108" s="242"/>
      <c r="G108" s="242">
        <v>-9003300</v>
      </c>
      <c r="H108" s="242"/>
      <c r="I108" s="242"/>
    </row>
    <row r="109" spans="1:9" x14ac:dyDescent="0.35">
      <c r="A109" s="182"/>
      <c r="B109" s="143"/>
      <c r="C109" s="751" t="s">
        <v>167</v>
      </c>
      <c r="D109" s="69"/>
      <c r="E109" s="69"/>
      <c r="F109" s="69"/>
      <c r="G109" s="69">
        <v>-408920</v>
      </c>
      <c r="H109" s="69"/>
      <c r="I109" s="69"/>
    </row>
    <row r="110" spans="1:9" x14ac:dyDescent="0.35">
      <c r="A110" s="179"/>
      <c r="C110" s="75"/>
      <c r="D110" s="73"/>
      <c r="E110" s="242"/>
      <c r="F110" s="242"/>
      <c r="G110" s="242"/>
      <c r="H110" s="242"/>
      <c r="I110" s="242"/>
    </row>
    <row r="111" spans="1:9" x14ac:dyDescent="0.35">
      <c r="A111" s="182"/>
      <c r="B111" s="143"/>
      <c r="C111" s="751"/>
      <c r="D111" s="69"/>
      <c r="E111" s="69"/>
      <c r="F111" s="69"/>
      <c r="G111" s="69"/>
      <c r="H111" s="69"/>
      <c r="I111" s="69"/>
    </row>
    <row r="112" spans="1:9" x14ac:dyDescent="0.35">
      <c r="A112" s="179"/>
      <c r="C112" s="75"/>
      <c r="D112" s="73"/>
      <c r="E112" s="242"/>
      <c r="F112" s="242"/>
      <c r="G112" s="242"/>
      <c r="H112" s="242"/>
      <c r="I112" s="242"/>
    </row>
    <row r="113" spans="1:9" x14ac:dyDescent="0.35">
      <c r="A113" s="182"/>
      <c r="B113" s="143"/>
      <c r="C113" s="751"/>
      <c r="D113" s="69"/>
      <c r="E113" s="69"/>
      <c r="F113" s="69"/>
      <c r="G113" s="69"/>
      <c r="H113" s="69"/>
      <c r="I113" s="69"/>
    </row>
    <row r="114" spans="1:9" x14ac:dyDescent="0.35">
      <c r="A114" s="179"/>
      <c r="C114" s="75"/>
      <c r="D114" s="73"/>
      <c r="E114" s="242"/>
      <c r="F114" s="242"/>
      <c r="G114" s="242"/>
      <c r="H114" s="242"/>
      <c r="I114" s="242"/>
    </row>
    <row r="115" spans="1:9" x14ac:dyDescent="0.35">
      <c r="A115" s="182"/>
      <c r="B115" s="143"/>
      <c r="C115" s="751"/>
      <c r="D115" s="69"/>
      <c r="E115" s="69"/>
      <c r="F115" s="69"/>
      <c r="G115" s="69"/>
      <c r="H115" s="69"/>
      <c r="I115" s="69"/>
    </row>
    <row r="116" spans="1:9" x14ac:dyDescent="0.35">
      <c r="A116" s="179"/>
      <c r="C116" s="75"/>
      <c r="D116" s="73"/>
      <c r="E116" s="242"/>
      <c r="F116" s="242"/>
      <c r="G116" s="242"/>
      <c r="H116" s="242"/>
      <c r="I116" s="242"/>
    </row>
    <row r="117" spans="1:9" x14ac:dyDescent="0.35">
      <c r="A117" s="182"/>
      <c r="B117" s="143"/>
      <c r="C117" s="751"/>
      <c r="D117" s="69"/>
      <c r="E117" s="69"/>
      <c r="F117" s="69"/>
      <c r="G117" s="69"/>
      <c r="H117" s="69"/>
      <c r="I117" s="69"/>
    </row>
    <row r="118" spans="1:9" x14ac:dyDescent="0.35">
      <c r="A118" s="179"/>
      <c r="C118" s="75"/>
      <c r="D118" s="73"/>
      <c r="E118" s="242"/>
      <c r="F118" s="242"/>
      <c r="G118" s="242"/>
      <c r="H118" s="242"/>
      <c r="I118" s="242"/>
    </row>
    <row r="119" spans="1:9" x14ac:dyDescent="0.35">
      <c r="A119" s="182"/>
      <c r="B119" s="143"/>
      <c r="C119" s="751"/>
      <c r="D119" s="69"/>
      <c r="E119" s="69"/>
      <c r="F119" s="69"/>
      <c r="G119" s="69"/>
      <c r="H119" s="69"/>
      <c r="I119" s="69"/>
    </row>
    <row r="120" spans="1:9" x14ac:dyDescent="0.35">
      <c r="A120" s="179"/>
      <c r="C120" s="75"/>
      <c r="D120" s="73"/>
      <c r="E120" s="242"/>
      <c r="F120" s="242"/>
      <c r="G120" s="242"/>
      <c r="H120" s="242"/>
      <c r="I120" s="242"/>
    </row>
    <row r="121" spans="1:9" x14ac:dyDescent="0.35">
      <c r="A121" s="182"/>
      <c r="B121" s="143"/>
      <c r="C121" s="751"/>
      <c r="D121" s="69"/>
      <c r="E121" s="69"/>
      <c r="F121" s="69"/>
      <c r="G121" s="69"/>
      <c r="H121" s="69"/>
      <c r="I121" s="69"/>
    </row>
    <row r="122" spans="1:9" x14ac:dyDescent="0.35">
      <c r="A122" s="179"/>
      <c r="C122" s="75"/>
      <c r="D122" s="73"/>
      <c r="E122" s="242"/>
      <c r="F122" s="242"/>
      <c r="G122" s="242"/>
      <c r="H122" s="242"/>
      <c r="I122" s="242"/>
    </row>
    <row r="123" spans="1:9" x14ac:dyDescent="0.35">
      <c r="A123" s="182"/>
      <c r="B123" s="143"/>
      <c r="C123" s="751"/>
      <c r="D123" s="69"/>
      <c r="E123" s="69"/>
      <c r="F123" s="69"/>
      <c r="G123" s="69"/>
      <c r="H123" s="69"/>
      <c r="I123" s="69"/>
    </row>
    <row r="124" spans="1:9" x14ac:dyDescent="0.35">
      <c r="A124" s="179"/>
      <c r="C124" s="75"/>
      <c r="D124" s="73"/>
      <c r="E124" s="242"/>
      <c r="F124" s="242"/>
      <c r="G124" s="242"/>
      <c r="H124" s="242"/>
      <c r="I124" s="242"/>
    </row>
    <row r="125" spans="1:9" x14ac:dyDescent="0.35">
      <c r="A125" s="182"/>
      <c r="B125" s="143"/>
      <c r="C125" s="751"/>
      <c r="D125" s="69"/>
      <c r="E125" s="69"/>
      <c r="F125" s="69"/>
      <c r="G125" s="69"/>
      <c r="H125" s="69"/>
      <c r="I125" s="69"/>
    </row>
    <row r="126" spans="1:9" x14ac:dyDescent="0.35">
      <c r="A126" s="179"/>
      <c r="C126" s="75"/>
      <c r="D126" s="73"/>
      <c r="E126" s="242"/>
      <c r="F126" s="242"/>
      <c r="G126" s="242"/>
      <c r="H126" s="242"/>
      <c r="I126" s="242"/>
    </row>
    <row r="127" spans="1:9" x14ac:dyDescent="0.35">
      <c r="A127" s="182"/>
      <c r="B127" s="143"/>
      <c r="C127" s="751"/>
      <c r="D127" s="69"/>
      <c r="E127" s="69"/>
      <c r="F127" s="69"/>
      <c r="G127" s="69"/>
      <c r="H127" s="69"/>
      <c r="I127" s="69"/>
    </row>
    <row r="128" spans="1:9" x14ac:dyDescent="0.35">
      <c r="A128" s="179"/>
      <c r="C128" s="75"/>
      <c r="D128" s="73"/>
      <c r="E128" s="242"/>
      <c r="F128" s="242"/>
      <c r="G128" s="242"/>
      <c r="H128" s="242"/>
      <c r="I128" s="242"/>
    </row>
    <row r="129" spans="1:9" x14ac:dyDescent="0.35">
      <c r="A129" s="182"/>
      <c r="B129" s="143"/>
      <c r="C129" s="751"/>
      <c r="D129" s="69"/>
      <c r="E129" s="69"/>
      <c r="F129" s="69"/>
      <c r="G129" s="69"/>
      <c r="H129" s="69"/>
      <c r="I129" s="69"/>
    </row>
    <row r="130" spans="1:9" x14ac:dyDescent="0.35">
      <c r="A130" s="179"/>
      <c r="C130" s="75"/>
      <c r="D130" s="73"/>
      <c r="E130" s="242"/>
      <c r="F130" s="242"/>
      <c r="G130" s="242"/>
      <c r="H130" s="242"/>
      <c r="I130" s="242"/>
    </row>
    <row r="131" spans="1:9" x14ac:dyDescent="0.35">
      <c r="A131" s="182"/>
      <c r="B131" s="143"/>
      <c r="C131" s="751"/>
      <c r="D131" s="69"/>
      <c r="E131" s="69"/>
      <c r="F131" s="69"/>
      <c r="G131" s="69"/>
      <c r="H131" s="69"/>
      <c r="I131" s="69"/>
    </row>
    <row r="132" spans="1:9" x14ac:dyDescent="0.35">
      <c r="A132" s="179"/>
      <c r="C132" s="75"/>
      <c r="D132" s="73"/>
      <c r="E132" s="242"/>
      <c r="F132" s="242"/>
      <c r="G132" s="242"/>
      <c r="H132" s="242"/>
      <c r="I132" s="242"/>
    </row>
    <row r="133" spans="1:9" x14ac:dyDescent="0.35">
      <c r="A133" s="182"/>
      <c r="B133" s="143"/>
      <c r="C133" s="751"/>
      <c r="D133" s="69"/>
      <c r="E133" s="69"/>
      <c r="F133" s="69"/>
      <c r="G133" s="69"/>
      <c r="H133" s="69"/>
      <c r="I133" s="69"/>
    </row>
    <row r="134" spans="1:9" x14ac:dyDescent="0.35">
      <c r="A134" s="179"/>
      <c r="C134" s="75"/>
      <c r="D134" s="73"/>
      <c r="E134" s="242"/>
      <c r="F134" s="242"/>
      <c r="G134" s="242"/>
      <c r="H134" s="242"/>
      <c r="I134" s="242"/>
    </row>
    <row r="135" spans="1:9" x14ac:dyDescent="0.35">
      <c r="A135" s="182"/>
      <c r="B135" s="143"/>
      <c r="C135" s="751"/>
      <c r="D135" s="69"/>
      <c r="E135" s="69"/>
      <c r="F135" s="69"/>
      <c r="G135" s="69"/>
      <c r="H135" s="69"/>
      <c r="I135" s="69"/>
    </row>
    <row r="136" spans="1:9" x14ac:dyDescent="0.35">
      <c r="A136" s="179"/>
      <c r="C136" s="75"/>
      <c r="D136" s="73"/>
      <c r="E136" s="242"/>
      <c r="F136" s="242"/>
      <c r="G136" s="242"/>
      <c r="H136" s="242"/>
      <c r="I136" s="242"/>
    </row>
    <row r="137" spans="1:9" x14ac:dyDescent="0.35">
      <c r="A137" s="182"/>
      <c r="B137" s="143"/>
      <c r="C137" s="751"/>
      <c r="D137" s="69"/>
      <c r="E137" s="69"/>
      <c r="F137" s="69"/>
      <c r="G137" s="69"/>
      <c r="H137" s="69"/>
      <c r="I137" s="69"/>
    </row>
    <row r="138" spans="1:9" x14ac:dyDescent="0.35">
      <c r="A138" s="179"/>
      <c r="C138" s="75"/>
      <c r="D138" s="73"/>
      <c r="E138" s="242"/>
      <c r="F138" s="242"/>
      <c r="G138" s="242"/>
      <c r="H138" s="242"/>
      <c r="I138" s="242"/>
    </row>
    <row r="139" spans="1:9" x14ac:dyDescent="0.35">
      <c r="A139" s="182"/>
      <c r="B139" s="143"/>
      <c r="C139" s="751"/>
      <c r="D139" s="69"/>
      <c r="E139" s="69"/>
      <c r="F139" s="69"/>
      <c r="G139" s="69"/>
      <c r="H139" s="69"/>
      <c r="I139" s="69"/>
    </row>
    <row r="140" spans="1:9" x14ac:dyDescent="0.35">
      <c r="A140" s="179"/>
      <c r="C140" s="75"/>
      <c r="D140" s="73"/>
      <c r="E140" s="242"/>
      <c r="F140" s="242"/>
      <c r="G140" s="242"/>
      <c r="H140" s="242"/>
      <c r="I140" s="242"/>
    </row>
    <row r="141" spans="1:9" x14ac:dyDescent="0.35">
      <c r="A141" s="182"/>
      <c r="B141" s="143"/>
      <c r="C141" s="751"/>
      <c r="D141" s="69"/>
      <c r="E141" s="69"/>
      <c r="F141" s="69"/>
      <c r="G141" s="69"/>
      <c r="H141" s="69"/>
      <c r="I141" s="69"/>
    </row>
    <row r="142" spans="1:9" x14ac:dyDescent="0.35">
      <c r="A142" s="179"/>
      <c r="C142" s="75"/>
      <c r="D142" s="73"/>
      <c r="E142" s="242"/>
      <c r="F142" s="242"/>
      <c r="G142" s="242"/>
      <c r="H142" s="242"/>
      <c r="I142" s="242"/>
    </row>
    <row r="143" spans="1:9" x14ac:dyDescent="0.35">
      <c r="A143" s="182"/>
      <c r="B143" s="143"/>
      <c r="C143" s="751"/>
      <c r="D143" s="69"/>
      <c r="E143" s="69"/>
      <c r="F143" s="69"/>
      <c r="G143" s="69"/>
      <c r="H143" s="69"/>
      <c r="I143" s="69"/>
    </row>
    <row r="144" spans="1:9" x14ac:dyDescent="0.35">
      <c r="A144" s="179"/>
      <c r="C144" s="75"/>
      <c r="D144" s="73"/>
      <c r="E144" s="242"/>
      <c r="F144" s="242"/>
      <c r="G144" s="242"/>
      <c r="H144" s="242"/>
      <c r="I144" s="242"/>
    </row>
    <row r="145" spans="1:9" x14ac:dyDescent="0.35">
      <c r="A145" s="182"/>
      <c r="B145" s="143"/>
      <c r="C145" s="751"/>
      <c r="D145" s="69"/>
      <c r="E145" s="69"/>
      <c r="F145" s="69"/>
      <c r="G145" s="69"/>
      <c r="H145" s="69"/>
      <c r="I145" s="69"/>
    </row>
    <row r="146" spans="1:9" x14ac:dyDescent="0.35">
      <c r="A146" s="179"/>
      <c r="C146" s="75"/>
      <c r="D146" s="73"/>
      <c r="E146" s="242"/>
      <c r="F146" s="242"/>
      <c r="G146" s="242"/>
      <c r="H146" s="242"/>
      <c r="I146" s="242"/>
    </row>
    <row r="147" spans="1:9" x14ac:dyDescent="0.35">
      <c r="A147" s="182"/>
      <c r="B147" s="143"/>
      <c r="C147" s="751"/>
      <c r="D147" s="69"/>
      <c r="E147" s="69"/>
      <c r="F147" s="69"/>
      <c r="G147" s="69"/>
      <c r="H147" s="69"/>
      <c r="I147" s="69"/>
    </row>
    <row r="148" spans="1:9" x14ac:dyDescent="0.35">
      <c r="A148" s="179"/>
      <c r="C148" s="75"/>
      <c r="D148" s="73"/>
      <c r="E148" s="242"/>
      <c r="F148" s="242"/>
      <c r="G148" s="242"/>
      <c r="H148" s="242"/>
      <c r="I148" s="242"/>
    </row>
    <row r="149" spans="1:9" x14ac:dyDescent="0.35">
      <c r="A149" s="182"/>
      <c r="B149" s="143"/>
      <c r="C149" s="751"/>
      <c r="D149" s="69"/>
      <c r="E149" s="69"/>
      <c r="F149" s="69"/>
      <c r="G149" s="69"/>
      <c r="H149" s="69"/>
      <c r="I149" s="69"/>
    </row>
    <row r="150" spans="1:9" x14ac:dyDescent="0.35">
      <c r="A150" s="179"/>
      <c r="C150" s="75"/>
      <c r="D150" s="73"/>
      <c r="E150" s="242"/>
      <c r="F150" s="242"/>
      <c r="G150" s="242"/>
      <c r="H150" s="242"/>
      <c r="I150" s="242"/>
    </row>
    <row r="151" spans="1:9" x14ac:dyDescent="0.35">
      <c r="A151" s="182"/>
      <c r="B151" s="143"/>
      <c r="C151" s="751"/>
      <c r="D151" s="69"/>
      <c r="E151" s="69"/>
      <c r="F151" s="69"/>
      <c r="G151" s="69"/>
      <c r="H151" s="69"/>
      <c r="I151" s="69"/>
    </row>
    <row r="152" spans="1:9" x14ac:dyDescent="0.35">
      <c r="A152" s="179"/>
      <c r="C152" s="75"/>
      <c r="D152" s="73"/>
      <c r="E152" s="242"/>
      <c r="F152" s="242"/>
      <c r="G152" s="242"/>
      <c r="H152" s="242"/>
      <c r="I152" s="242"/>
    </row>
    <row r="153" spans="1:9" x14ac:dyDescent="0.35">
      <c r="A153" s="182"/>
      <c r="B153" s="143"/>
      <c r="C153" s="751"/>
      <c r="D153" s="69"/>
      <c r="E153" s="69"/>
      <c r="F153" s="69"/>
      <c r="G153" s="69"/>
      <c r="H153" s="69"/>
      <c r="I153" s="69"/>
    </row>
    <row r="154" spans="1:9" x14ac:dyDescent="0.35">
      <c r="A154" s="179"/>
      <c r="C154" s="75"/>
      <c r="D154" s="73"/>
      <c r="E154" s="242"/>
      <c r="F154" s="242"/>
      <c r="G154" s="242"/>
      <c r="H154" s="242"/>
      <c r="I154" s="242"/>
    </row>
    <row r="155" spans="1:9" x14ac:dyDescent="0.35">
      <c r="A155" s="182"/>
      <c r="B155" s="143"/>
      <c r="C155" s="751"/>
      <c r="D155" s="69"/>
      <c r="E155" s="69"/>
      <c r="F155" s="69"/>
      <c r="G155" s="69"/>
      <c r="H155" s="69"/>
      <c r="I155" s="69"/>
    </row>
    <row r="156" spans="1:9" x14ac:dyDescent="0.35">
      <c r="A156" s="179"/>
      <c r="C156" s="75"/>
      <c r="D156" s="73"/>
      <c r="E156" s="242"/>
      <c r="F156" s="242"/>
      <c r="G156" s="242"/>
      <c r="H156" s="242"/>
      <c r="I156" s="242"/>
    </row>
    <row r="157" spans="1:9" x14ac:dyDescent="0.35">
      <c r="A157" s="182"/>
      <c r="B157" s="143"/>
      <c r="C157" s="751"/>
      <c r="D157" s="69"/>
      <c r="E157" s="69"/>
      <c r="F157" s="69"/>
      <c r="G157" s="69"/>
      <c r="H157" s="69"/>
      <c r="I157" s="69"/>
    </row>
    <row r="158" spans="1:9" x14ac:dyDescent="0.35">
      <c r="A158" s="179"/>
      <c r="C158" s="75"/>
      <c r="D158" s="73"/>
      <c r="E158" s="242"/>
      <c r="F158" s="242"/>
      <c r="G158" s="242"/>
      <c r="H158" s="242"/>
      <c r="I158" s="242"/>
    </row>
    <row r="159" spans="1:9" x14ac:dyDescent="0.35">
      <c r="A159" s="182"/>
      <c r="B159" s="143"/>
      <c r="C159" s="751"/>
      <c r="D159" s="69"/>
      <c r="E159" s="69"/>
      <c r="F159" s="69"/>
      <c r="G159" s="69"/>
      <c r="H159" s="69"/>
      <c r="I159" s="69"/>
    </row>
    <row r="160" spans="1:9" x14ac:dyDescent="0.35">
      <c r="A160" s="179"/>
      <c r="C160" s="75"/>
      <c r="D160" s="73"/>
      <c r="E160" s="242"/>
      <c r="F160" s="242"/>
      <c r="G160" s="242"/>
      <c r="H160" s="242"/>
      <c r="I160" s="242"/>
    </row>
    <row r="161" spans="1:9" x14ac:dyDescent="0.35">
      <c r="A161" s="182"/>
      <c r="B161" s="143"/>
      <c r="C161" s="751"/>
      <c r="D161" s="69"/>
      <c r="E161" s="69"/>
      <c r="F161" s="69"/>
      <c r="G161" s="69"/>
      <c r="H161" s="69"/>
      <c r="I161" s="69"/>
    </row>
    <row r="162" spans="1:9" x14ac:dyDescent="0.35">
      <c r="A162" s="179"/>
      <c r="C162" s="75"/>
      <c r="D162" s="73"/>
      <c r="E162" s="242"/>
      <c r="F162" s="242"/>
      <c r="G162" s="242"/>
      <c r="H162" s="242"/>
      <c r="I162" s="242"/>
    </row>
    <row r="163" spans="1:9" x14ac:dyDescent="0.35">
      <c r="A163" s="182"/>
      <c r="B163" s="143"/>
      <c r="C163" s="751"/>
      <c r="D163" s="69"/>
      <c r="E163" s="69"/>
      <c r="F163" s="69"/>
      <c r="G163" s="69"/>
      <c r="H163" s="69"/>
      <c r="I163" s="69"/>
    </row>
    <row r="164" spans="1:9" x14ac:dyDescent="0.35">
      <c r="A164" s="179"/>
      <c r="C164" s="75"/>
      <c r="D164" s="73"/>
      <c r="E164" s="242"/>
      <c r="F164" s="242"/>
      <c r="G164" s="242"/>
      <c r="H164" s="242"/>
      <c r="I164" s="242"/>
    </row>
    <row r="165" spans="1:9" x14ac:dyDescent="0.35">
      <c r="A165" s="182"/>
      <c r="B165" s="143"/>
      <c r="C165" s="751"/>
      <c r="D165" s="69"/>
      <c r="E165" s="69"/>
      <c r="F165" s="69"/>
      <c r="G165" s="69"/>
      <c r="H165" s="69"/>
      <c r="I165" s="69"/>
    </row>
    <row r="166" spans="1:9" x14ac:dyDescent="0.35">
      <c r="A166" s="179"/>
      <c r="C166" s="75"/>
      <c r="D166" s="73"/>
      <c r="E166" s="242"/>
      <c r="F166" s="242"/>
      <c r="G166" s="242"/>
      <c r="H166" s="242"/>
      <c r="I166" s="242"/>
    </row>
    <row r="167" spans="1:9" x14ac:dyDescent="0.35">
      <c r="A167" s="182"/>
      <c r="B167" s="143"/>
      <c r="C167" s="751"/>
      <c r="D167" s="69"/>
      <c r="E167" s="69"/>
      <c r="F167" s="69"/>
      <c r="G167" s="69"/>
      <c r="H167" s="69"/>
      <c r="I167" s="69"/>
    </row>
    <row r="168" spans="1:9" x14ac:dyDescent="0.35">
      <c r="A168" s="179"/>
      <c r="C168" s="75"/>
      <c r="D168" s="73"/>
      <c r="E168" s="242"/>
      <c r="F168" s="242"/>
      <c r="G168" s="242"/>
      <c r="H168" s="242"/>
      <c r="I168" s="242"/>
    </row>
    <row r="169" spans="1:9" x14ac:dyDescent="0.35">
      <c r="A169" s="182"/>
      <c r="B169" s="143"/>
      <c r="C169" s="751"/>
      <c r="D169" s="69"/>
      <c r="E169" s="69"/>
      <c r="F169" s="69"/>
      <c r="G169" s="69"/>
      <c r="H169" s="69"/>
      <c r="I169" s="69"/>
    </row>
    <row r="170" spans="1:9" x14ac:dyDescent="0.35">
      <c r="A170" s="179"/>
      <c r="C170" s="75"/>
      <c r="D170" s="73"/>
      <c r="E170" s="242"/>
      <c r="F170" s="242"/>
      <c r="G170" s="242"/>
      <c r="H170" s="242"/>
      <c r="I170" s="242"/>
    </row>
    <row r="171" spans="1:9" x14ac:dyDescent="0.35">
      <c r="A171" s="182"/>
      <c r="B171" s="143"/>
      <c r="C171" s="751"/>
      <c r="D171" s="69"/>
      <c r="E171" s="69"/>
      <c r="F171" s="69"/>
      <c r="G171" s="69"/>
      <c r="H171" s="69"/>
      <c r="I171" s="69"/>
    </row>
    <row r="172" spans="1:9" x14ac:dyDescent="0.35">
      <c r="A172" s="179"/>
      <c r="C172" s="75"/>
      <c r="D172" s="73"/>
      <c r="E172" s="242"/>
      <c r="F172" s="242"/>
      <c r="G172" s="242"/>
      <c r="H172" s="242"/>
      <c r="I172" s="242"/>
    </row>
    <row r="173" spans="1:9" x14ac:dyDescent="0.35">
      <c r="A173" s="179"/>
      <c r="C173" s="75"/>
      <c r="D173" s="73"/>
      <c r="E173" s="242"/>
      <c r="F173" s="242"/>
      <c r="G173" s="242"/>
      <c r="H173" s="242"/>
      <c r="I173" s="242"/>
    </row>
    <row r="174" spans="1:9" x14ac:dyDescent="0.35">
      <c r="A174" s="179"/>
      <c r="C174" s="75"/>
      <c r="D174" s="73"/>
      <c r="E174" s="242"/>
      <c r="F174" s="242"/>
      <c r="G174" s="242"/>
      <c r="H174" s="242"/>
      <c r="I174" s="242"/>
    </row>
    <row r="175" spans="1:9" x14ac:dyDescent="0.35">
      <c r="A175" s="179"/>
      <c r="C175" s="75"/>
      <c r="D175" s="73"/>
      <c r="E175" s="242"/>
      <c r="F175" s="242"/>
      <c r="G175" s="242"/>
      <c r="H175" s="242"/>
      <c r="I175" s="242"/>
    </row>
    <row r="176" spans="1:9" x14ac:dyDescent="0.35">
      <c r="A176" s="179"/>
      <c r="C176" s="75"/>
      <c r="D176" s="73"/>
      <c r="E176" s="242"/>
      <c r="F176" s="242"/>
      <c r="G176" s="242"/>
      <c r="H176" s="242"/>
      <c r="I176" s="242"/>
    </row>
    <row r="177" spans="1:9" x14ac:dyDescent="0.35">
      <c r="A177" s="179"/>
      <c r="B177" s="58"/>
      <c r="C177" s="75"/>
      <c r="D177" s="73"/>
      <c r="E177" s="73"/>
      <c r="F177" s="77"/>
      <c r="G177" s="77"/>
      <c r="H177" s="77"/>
      <c r="I177" s="77"/>
    </row>
    <row r="178" spans="1:9" x14ac:dyDescent="0.35">
      <c r="A178" s="166"/>
      <c r="B178" s="58"/>
      <c r="C178" s="75"/>
      <c r="D178" s="73"/>
      <c r="E178" s="73"/>
      <c r="F178" s="77"/>
      <c r="G178" s="77"/>
      <c r="H178" s="77"/>
      <c r="I178" s="77"/>
    </row>
    <row r="179" spans="1:9" x14ac:dyDescent="0.35">
      <c r="A179" s="752"/>
      <c r="B179" s="58"/>
      <c r="C179" s="754"/>
      <c r="D179" s="489"/>
      <c r="E179" s="73"/>
      <c r="F179" s="73"/>
      <c r="G179" s="73"/>
      <c r="H179" s="73"/>
      <c r="I179" s="73"/>
    </row>
    <row r="180" spans="1:9" x14ac:dyDescent="0.35">
      <c r="A180" s="752"/>
      <c r="B180" s="58"/>
      <c r="C180" s="754"/>
      <c r="D180" s="489"/>
      <c r="E180" s="73"/>
      <c r="F180" s="73"/>
      <c r="G180" s="73"/>
      <c r="H180" s="73"/>
      <c r="I180" s="73"/>
    </row>
    <row r="181" spans="1:9" x14ac:dyDescent="0.35">
      <c r="A181" s="739"/>
      <c r="B181" s="58"/>
      <c r="C181" s="754"/>
      <c r="D181" s="489"/>
      <c r="E181" s="73"/>
      <c r="F181" s="73"/>
      <c r="G181" s="73"/>
      <c r="H181" s="73"/>
      <c r="I181" s="73"/>
    </row>
  </sheetData>
  <mergeCells count="6">
    <mergeCell ref="A1:I1"/>
    <mergeCell ref="A2:I2"/>
    <mergeCell ref="A3:I3"/>
    <mergeCell ref="A4:I4"/>
    <mergeCell ref="C6:I6"/>
    <mergeCell ref="C5:I5"/>
  </mergeCells>
  <conditionalFormatting sqref="A61">
    <cfRule type="expression" dxfId="167" priority="2">
      <formula>MOD(ROW(),2)=1</formula>
    </cfRule>
  </conditionalFormatting>
  <conditionalFormatting sqref="C9:I15">
    <cfRule type="cellIs" dxfId="166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theme="3"/>
  </sheetPr>
  <dimension ref="A1:K62"/>
  <sheetViews>
    <sheetView zoomScaleNormal="100" zoomScaleSheetLayoutView="90" workbookViewId="0">
      <selection activeCell="C12" sqref="C1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57</v>
      </c>
      <c r="C6" s="880" t="s">
        <v>395</v>
      </c>
      <c r="D6" s="880"/>
      <c r="E6" s="880"/>
      <c r="F6" s="880"/>
      <c r="G6" s="880"/>
      <c r="H6" s="880"/>
      <c r="I6" s="880"/>
    </row>
    <row r="7" spans="1:11" ht="15" thickBot="1" x14ac:dyDescent="0.4">
      <c r="A7" s="96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+C9+SUMIF($C$20:$C$58,K9,$D$20:$D$58)</f>
        <v>0</v>
      </c>
      <c r="E9" s="114">
        <f t="shared" ref="E9:E15" si="1">+D9+SUMIF($C$20:$C$58,K9,$E$20:$E$58)</f>
        <v>0</v>
      </c>
      <c r="F9" s="396">
        <f t="shared" ref="F9:F15" si="2">+E9+SUMIF($C$20:$C$58,K9,$F$20:$F$58)</f>
        <v>0</v>
      </c>
      <c r="G9" s="33">
        <f t="shared" ref="G9:G15" si="3">+F9+SUMIF($C$20:$C$58,K9,$G$20:$G$58)</f>
        <v>0</v>
      </c>
      <c r="H9" s="219">
        <f t="shared" ref="H9:H15" si="4">+G9+SUMIF($C$20:$C$58,K9,$H$20:$H$58)</f>
        <v>0</v>
      </c>
      <c r="I9" s="50">
        <f t="shared" ref="I9:I15" si="5">+H9+SUMIF($C$20:$C$58,K9,$I$20:$I$58)</f>
        <v>0</v>
      </c>
      <c r="K9" s="7">
        <v>100</v>
      </c>
    </row>
    <row r="10" spans="1:11" x14ac:dyDescent="0.35">
      <c r="A10" s="10" t="s">
        <v>5</v>
      </c>
      <c r="B10" s="42">
        <f>49138459+1800082</f>
        <v>50938541</v>
      </c>
      <c r="C10" s="54">
        <v>50104181</v>
      </c>
      <c r="D10" s="222">
        <f t="shared" si="0"/>
        <v>50104181</v>
      </c>
      <c r="E10" s="506">
        <f t="shared" si="1"/>
        <v>50938782</v>
      </c>
      <c r="F10" s="504">
        <f t="shared" si="2"/>
        <v>50938782</v>
      </c>
      <c r="G10" s="35">
        <f t="shared" si="3"/>
        <v>50938782</v>
      </c>
      <c r="H10" s="222">
        <f t="shared" si="4"/>
        <v>50938782</v>
      </c>
      <c r="I10" s="36">
        <f t="shared" si="5"/>
        <v>50938782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50938541</v>
      </c>
      <c r="C16" s="39">
        <f t="shared" ref="C16:I16" si="6">SUM(C9:C15)</f>
        <v>50104181</v>
      </c>
      <c r="D16" s="39">
        <f t="shared" si="6"/>
        <v>50104181</v>
      </c>
      <c r="E16" s="529">
        <f t="shared" si="6"/>
        <v>50938782</v>
      </c>
      <c r="F16" s="39">
        <f t="shared" si="6"/>
        <v>50938782</v>
      </c>
      <c r="G16" s="39">
        <f t="shared" si="6"/>
        <v>50938782</v>
      </c>
      <c r="H16" s="39">
        <f t="shared" si="6"/>
        <v>50938782</v>
      </c>
      <c r="I16" s="39">
        <f t="shared" si="6"/>
        <v>50938782</v>
      </c>
    </row>
    <row r="18" spans="1:10" x14ac:dyDescent="0.35">
      <c r="E18" s="401">
        <f>+E16-D16</f>
        <v>834601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370</v>
      </c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437" t="s">
        <v>487</v>
      </c>
      <c r="B21" s="140"/>
      <c r="C21" s="140"/>
      <c r="D21" s="140"/>
      <c r="E21" s="129"/>
      <c r="F21" s="129"/>
      <c r="G21" s="142"/>
      <c r="H21" s="142"/>
      <c r="I21" s="142"/>
      <c r="J21" s="17"/>
    </row>
    <row r="22" spans="1:10" ht="13" customHeight="1" x14ac:dyDescent="0.35">
      <c r="A22" s="748" t="s">
        <v>546</v>
      </c>
      <c r="B22" s="20"/>
      <c r="C22" s="20">
        <v>200</v>
      </c>
      <c r="D22" s="20"/>
      <c r="E22" s="105"/>
      <c r="F22" s="94">
        <v>2034360</v>
      </c>
      <c r="G22" s="94"/>
      <c r="H22" s="94"/>
      <c r="I22" s="94"/>
      <c r="J22" s="17"/>
    </row>
    <row r="23" spans="1:10" ht="13" customHeight="1" x14ac:dyDescent="0.35">
      <c r="A23" s="692" t="s">
        <v>596</v>
      </c>
      <c r="B23" s="140"/>
      <c r="C23" s="140"/>
      <c r="D23" s="339"/>
      <c r="E23" s="129"/>
      <c r="F23" s="142"/>
      <c r="G23" s="142"/>
      <c r="H23" s="142"/>
      <c r="I23" s="142"/>
      <c r="J23" s="17"/>
    </row>
    <row r="24" spans="1:10" ht="13" customHeight="1" x14ac:dyDescent="0.35">
      <c r="A24" s="748" t="s">
        <v>338</v>
      </c>
      <c r="B24" s="20"/>
      <c r="C24" s="20"/>
      <c r="D24" s="645"/>
      <c r="E24" s="105"/>
      <c r="F24" s="94"/>
      <c r="G24" s="94"/>
      <c r="H24" s="94"/>
      <c r="I24" s="94"/>
      <c r="J24" s="17"/>
    </row>
    <row r="25" spans="1:10" ht="13" customHeight="1" x14ac:dyDescent="0.35">
      <c r="A25" s="432" t="s">
        <v>615</v>
      </c>
      <c r="B25" s="196"/>
      <c r="C25" s="764">
        <v>200</v>
      </c>
      <c r="D25" s="196"/>
      <c r="E25" s="196"/>
      <c r="F25" s="142">
        <v>-2034360</v>
      </c>
      <c r="G25" s="142">
        <v>2034360</v>
      </c>
      <c r="H25" s="142"/>
      <c r="I25" s="142"/>
      <c r="J25" s="17"/>
    </row>
    <row r="26" spans="1:10" ht="13" customHeight="1" x14ac:dyDescent="0.35">
      <c r="A26" s="442" t="s">
        <v>748</v>
      </c>
      <c r="B26" s="20"/>
      <c r="C26" s="20"/>
      <c r="D26" s="105"/>
      <c r="E26" s="105"/>
      <c r="F26" s="94"/>
      <c r="G26" s="94"/>
      <c r="H26" s="94"/>
      <c r="I26" s="94"/>
      <c r="J26" s="17"/>
    </row>
    <row r="27" spans="1:10" ht="13" customHeight="1" x14ac:dyDescent="0.35">
      <c r="A27" s="182" t="s">
        <v>864</v>
      </c>
      <c r="B27" s="143"/>
      <c r="C27" s="74">
        <v>200</v>
      </c>
      <c r="D27" s="69"/>
      <c r="E27" s="69">
        <v>834601</v>
      </c>
      <c r="F27" s="142"/>
      <c r="G27" s="142"/>
      <c r="H27" s="142"/>
      <c r="I27" s="142"/>
      <c r="J27" s="17"/>
    </row>
    <row r="28" spans="1:10" ht="13" customHeight="1" x14ac:dyDescent="0.35">
      <c r="A28" s="800" t="s">
        <v>858</v>
      </c>
      <c r="B28" s="20"/>
      <c r="C28" s="20">
        <v>200</v>
      </c>
      <c r="D28" s="20"/>
      <c r="E28" s="105"/>
      <c r="F28" s="105"/>
      <c r="G28" s="94">
        <v>-2034360</v>
      </c>
      <c r="H28" s="94"/>
      <c r="I28" s="94"/>
      <c r="J28" s="17"/>
    </row>
    <row r="29" spans="1:10" ht="13" customHeight="1" x14ac:dyDescent="0.35">
      <c r="A29" s="646"/>
      <c r="B29" s="140"/>
      <c r="C29" s="140"/>
      <c r="D29" s="140"/>
      <c r="E29" s="129"/>
      <c r="F29" s="129"/>
      <c r="G29" s="142"/>
      <c r="H29" s="142"/>
      <c r="I29" s="142"/>
      <c r="J29" s="17"/>
    </row>
    <row r="30" spans="1:10" ht="13" customHeight="1" x14ac:dyDescent="0.35">
      <c r="A30" s="613"/>
      <c r="F30" s="82"/>
      <c r="G30" s="73"/>
      <c r="H30" s="94"/>
      <c r="I30" s="94"/>
      <c r="J30" s="17"/>
    </row>
    <row r="31" spans="1:10" ht="13" customHeight="1" x14ac:dyDescent="0.35">
      <c r="A31" s="616"/>
      <c r="B31" s="140"/>
      <c r="C31" s="140"/>
      <c r="D31" s="129"/>
      <c r="E31" s="129"/>
      <c r="F31" s="129"/>
      <c r="G31" s="129"/>
      <c r="H31" s="129"/>
      <c r="I31" s="129"/>
      <c r="J31" s="17"/>
    </row>
    <row r="32" spans="1:10" ht="13" customHeight="1" x14ac:dyDescent="0.35">
      <c r="A32" s="625" t="s">
        <v>358</v>
      </c>
      <c r="F32" s="82"/>
      <c r="G32" s="73"/>
      <c r="H32" s="94"/>
      <c r="I32" s="94"/>
      <c r="J32" s="17"/>
    </row>
    <row r="33" spans="1:10" ht="13" customHeight="1" x14ac:dyDescent="0.35">
      <c r="A33" s="77"/>
      <c r="B33" s="70"/>
      <c r="C33" s="71"/>
      <c r="D33" s="72"/>
      <c r="E33" s="72"/>
      <c r="F33" s="73"/>
      <c r="G33" s="73"/>
      <c r="H33" s="73"/>
      <c r="I33" s="73"/>
      <c r="J33" s="17"/>
    </row>
    <row r="34" spans="1:10" ht="13" customHeight="1" x14ac:dyDescent="0.35">
      <c r="A34" s="144" t="s">
        <v>177</v>
      </c>
      <c r="B34" s="145"/>
      <c r="C34" s="146"/>
      <c r="D34" s="147"/>
      <c r="E34" s="147"/>
      <c r="F34" s="148"/>
      <c r="G34" s="148"/>
      <c r="H34" s="149"/>
      <c r="I34" s="149"/>
      <c r="J34" s="17"/>
    </row>
    <row r="35" spans="1:10" ht="13" customHeight="1" x14ac:dyDescent="0.35">
      <c r="A35" s="150" t="s">
        <v>175</v>
      </c>
      <c r="B35" s="151"/>
      <c r="C35" s="141">
        <v>48483359</v>
      </c>
      <c r="D35" s="141">
        <v>48483359</v>
      </c>
      <c r="E35" s="141">
        <v>48483359</v>
      </c>
      <c r="F35" s="141">
        <v>48483359</v>
      </c>
      <c r="G35" s="141">
        <v>48483359</v>
      </c>
      <c r="H35" s="141">
        <v>48483359</v>
      </c>
      <c r="I35" s="141">
        <v>48483359</v>
      </c>
      <c r="J35" s="17"/>
    </row>
    <row r="36" spans="1:10" ht="13" customHeight="1" x14ac:dyDescent="0.35">
      <c r="A36" s="150" t="s">
        <v>176</v>
      </c>
      <c r="B36" s="151"/>
      <c r="C36" s="141">
        <v>2389482</v>
      </c>
      <c r="D36" s="141">
        <v>2389482</v>
      </c>
      <c r="E36" s="141">
        <v>2389482</v>
      </c>
      <c r="F36" s="141">
        <v>2389482</v>
      </c>
      <c r="G36" s="141">
        <v>2389482</v>
      </c>
      <c r="H36" s="141">
        <v>2389482</v>
      </c>
      <c r="I36" s="141">
        <v>2389482</v>
      </c>
      <c r="J36" s="17"/>
    </row>
    <row r="37" spans="1:10" ht="13" customHeight="1" x14ac:dyDescent="0.35">
      <c r="A37" s="150" t="s">
        <v>178</v>
      </c>
      <c r="B37" s="151"/>
      <c r="C37" s="142">
        <v>65700</v>
      </c>
      <c r="D37" s="142">
        <v>65700</v>
      </c>
      <c r="E37" s="142">
        <v>65700</v>
      </c>
      <c r="F37" s="142">
        <v>65700</v>
      </c>
      <c r="G37" s="142">
        <v>65700</v>
      </c>
      <c r="H37" s="142">
        <v>65700</v>
      </c>
      <c r="I37" s="142">
        <v>65700</v>
      </c>
      <c r="J37" s="17"/>
    </row>
    <row r="38" spans="1:10" ht="13" customHeight="1" x14ac:dyDescent="0.35">
      <c r="A38" s="153"/>
      <c r="B38" s="154"/>
      <c r="C38" s="154">
        <f t="shared" ref="C38:D38" si="7">+C37+C36+C35</f>
        <v>50938541</v>
      </c>
      <c r="D38" s="154">
        <f t="shared" si="7"/>
        <v>50938541</v>
      </c>
      <c r="E38" s="154">
        <f t="shared" ref="E38:H38" si="8">+E37+E36+E35</f>
        <v>50938541</v>
      </c>
      <c r="F38" s="154">
        <f t="shared" si="8"/>
        <v>50938541</v>
      </c>
      <c r="G38" s="154">
        <f t="shared" si="8"/>
        <v>50938541</v>
      </c>
      <c r="H38" s="155">
        <f t="shared" si="8"/>
        <v>50938541</v>
      </c>
      <c r="I38" s="155">
        <f>SUM(I35:I37)</f>
        <v>50938541</v>
      </c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3">
        <f t="shared" ref="C40:D40" si="9">+C38-C16</f>
        <v>834360</v>
      </c>
      <c r="D40" s="73">
        <f t="shared" si="9"/>
        <v>834360</v>
      </c>
      <c r="E40" s="73">
        <f t="shared" ref="E40:H40" si="10">+E38-E16</f>
        <v>-241</v>
      </c>
      <c r="F40" s="73">
        <f t="shared" si="10"/>
        <v>-241</v>
      </c>
      <c r="G40" s="73">
        <f t="shared" si="10"/>
        <v>-241</v>
      </c>
      <c r="H40" s="73">
        <f t="shared" si="10"/>
        <v>-241</v>
      </c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1"/>
      <c r="D46" s="72"/>
      <c r="E46" s="72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1"/>
      <c r="D47" s="72"/>
      <c r="E47" s="72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1"/>
      <c r="D48" s="72"/>
      <c r="E48" s="72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1"/>
      <c r="D49" s="72"/>
      <c r="E49" s="72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1"/>
      <c r="D50" s="72"/>
      <c r="E50" s="72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1"/>
      <c r="D51" s="72"/>
      <c r="E51" s="72"/>
      <c r="F51" s="73"/>
      <c r="G51" s="73"/>
      <c r="H51" s="73"/>
      <c r="I51" s="73"/>
      <c r="J51" s="17"/>
    </row>
    <row r="52" spans="1:10" ht="13" customHeight="1" x14ac:dyDescent="0.35">
      <c r="A52" s="77"/>
      <c r="B52" s="70"/>
      <c r="C52" s="71"/>
      <c r="D52" s="72"/>
      <c r="E52" s="72"/>
      <c r="F52" s="73"/>
      <c r="G52" s="73"/>
      <c r="H52" s="73"/>
      <c r="I52" s="73"/>
      <c r="J52" s="17"/>
    </row>
    <row r="53" spans="1:10" ht="13" customHeight="1" x14ac:dyDescent="0.35">
      <c r="A53" s="77"/>
      <c r="B53" s="70"/>
      <c r="C53" s="71"/>
      <c r="D53" s="72"/>
      <c r="E53" s="72"/>
      <c r="F53" s="73"/>
      <c r="G53" s="73"/>
      <c r="H53" s="73"/>
      <c r="I53" s="73"/>
      <c r="J53" s="17"/>
    </row>
    <row r="54" spans="1:10" ht="13" customHeight="1" x14ac:dyDescent="0.35">
      <c r="A54" s="77"/>
      <c r="B54" s="70"/>
      <c r="C54" s="71"/>
      <c r="D54" s="72"/>
      <c r="E54" s="72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  <row r="61" spans="1:10" ht="13" customHeight="1" x14ac:dyDescent="0.35">
      <c r="A61" s="81"/>
      <c r="B61" s="81"/>
      <c r="C61" s="81"/>
      <c r="D61" s="81"/>
      <c r="E61" s="81"/>
      <c r="F61" s="81"/>
      <c r="G61" s="81"/>
      <c r="H61" s="81"/>
      <c r="I61" s="81"/>
      <c r="J61" s="17"/>
    </row>
    <row r="62" spans="1:10" ht="13" customHeight="1" x14ac:dyDescent="0.35">
      <c r="A62" s="81"/>
      <c r="B62" s="81"/>
      <c r="C62" s="81"/>
      <c r="D62" s="81"/>
      <c r="E62" s="81"/>
      <c r="F62" s="81"/>
      <c r="G62" s="81"/>
      <c r="H62" s="81"/>
      <c r="I62" s="81"/>
      <c r="J62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6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theme="3"/>
  </sheetPr>
  <dimension ref="A1:K50"/>
  <sheetViews>
    <sheetView topLeftCell="A4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 t="s">
        <v>59</v>
      </c>
      <c r="C6" s="880" t="s">
        <v>133</v>
      </c>
      <c r="D6" s="880"/>
      <c r="E6" s="880"/>
      <c r="F6" s="880"/>
      <c r="G6" s="880"/>
      <c r="H6" s="880"/>
      <c r="I6" s="880"/>
    </row>
    <row r="7" spans="1:11" ht="15" thickBot="1" x14ac:dyDescent="0.4">
      <c r="E7" s="46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5526097+1</f>
        <v>5526098</v>
      </c>
      <c r="C9" s="33">
        <v>5775991</v>
      </c>
      <c r="D9" s="219">
        <f t="shared" ref="D9:D15" si="0">+C9+SUMIF($C$20:$C$58,K9,$D$20:$D$58)</f>
        <v>5808491</v>
      </c>
      <c r="E9" s="114">
        <f t="shared" ref="E9:E15" si="1">+D9+SUMIF($C$20:$C$58,K9,$E$20:$E$58)</f>
        <v>5892600</v>
      </c>
      <c r="F9" s="396">
        <f t="shared" ref="F9:F15" si="2">+E9+SUMIF($C$20:$C$58,K9,$F$20:$F$58)</f>
        <v>5892600</v>
      </c>
      <c r="G9" s="33">
        <f t="shared" ref="G9:G15" si="3">+F9+SUMIF($C$20:$C$58,K9,$G$20:$G$58)</f>
        <v>5892600</v>
      </c>
      <c r="H9" s="219">
        <f t="shared" ref="H9:H15" si="4">+G9+SUMIF($C$20:$C$58,K9,$H$20:$H$58)</f>
        <v>5892600</v>
      </c>
      <c r="I9" s="50">
        <f t="shared" ref="I9:I15" si="5">+H9+SUMIF($C$20:$C$58,K9,$I$20:$I$58)</f>
        <v>5892600</v>
      </c>
      <c r="K9" s="7">
        <v>100</v>
      </c>
    </row>
    <row r="10" spans="1:11" x14ac:dyDescent="0.35">
      <c r="A10" s="10" t="s">
        <v>5</v>
      </c>
      <c r="B10" s="35">
        <f>565685+20505</f>
        <v>586190</v>
      </c>
      <c r="C10" s="35">
        <v>646260</v>
      </c>
      <c r="D10" s="222">
        <f t="shared" si="0"/>
        <v>930260</v>
      </c>
      <c r="E10" s="506">
        <f t="shared" si="1"/>
        <v>780260</v>
      </c>
      <c r="F10" s="504">
        <f t="shared" si="2"/>
        <v>730260</v>
      </c>
      <c r="G10" s="35">
        <f t="shared" si="3"/>
        <v>680260</v>
      </c>
      <c r="H10" s="222">
        <f t="shared" si="4"/>
        <v>680260</v>
      </c>
      <c r="I10" s="36">
        <f t="shared" si="5"/>
        <v>680260</v>
      </c>
      <c r="K10" s="7">
        <v>200</v>
      </c>
    </row>
    <row r="11" spans="1:11" x14ac:dyDescent="0.35">
      <c r="A11" s="9" t="s">
        <v>6</v>
      </c>
      <c r="B11" s="33">
        <f>23306+1135</f>
        <v>24441</v>
      </c>
      <c r="C11" s="33">
        <v>41341</v>
      </c>
      <c r="D11" s="219">
        <f t="shared" si="0"/>
        <v>41341</v>
      </c>
      <c r="E11" s="114">
        <f t="shared" si="1"/>
        <v>41341</v>
      </c>
      <c r="F11" s="396">
        <f t="shared" si="2"/>
        <v>41341</v>
      </c>
      <c r="G11" s="33">
        <f t="shared" si="3"/>
        <v>41341</v>
      </c>
      <c r="H11" s="219">
        <f t="shared" si="4"/>
        <v>41341</v>
      </c>
      <c r="I11" s="34">
        <f t="shared" si="5"/>
        <v>41341</v>
      </c>
      <c r="K11" s="7" t="s">
        <v>167</v>
      </c>
    </row>
    <row r="12" spans="1:11" x14ac:dyDescent="0.35">
      <c r="A12" s="10" t="s">
        <v>7</v>
      </c>
      <c r="B12" s="42">
        <v>500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6137229</v>
      </c>
      <c r="C16" s="39">
        <f t="shared" ref="C16:I16" si="6">SUM(C9:C15)</f>
        <v>6463592</v>
      </c>
      <c r="D16" s="39">
        <f t="shared" si="6"/>
        <v>6780092</v>
      </c>
      <c r="E16" s="529">
        <f t="shared" si="6"/>
        <v>6714201</v>
      </c>
      <c r="F16" s="39">
        <f t="shared" si="6"/>
        <v>6664201</v>
      </c>
      <c r="G16" s="39">
        <f t="shared" si="6"/>
        <v>6614201</v>
      </c>
      <c r="H16" s="39">
        <f t="shared" si="6"/>
        <v>6614201</v>
      </c>
      <c r="I16" s="39">
        <f t="shared" si="6"/>
        <v>6614201</v>
      </c>
    </row>
    <row r="17" spans="1:10" x14ac:dyDescent="0.35">
      <c r="B17" s="718">
        <f>+'05S-Mayor-Schol'!B16</f>
        <v>200000</v>
      </c>
    </row>
    <row r="18" spans="1:10" x14ac:dyDescent="0.35">
      <c r="B18" s="717">
        <f>+B17+B16</f>
        <v>6337229</v>
      </c>
      <c r="E18" s="401">
        <f>+E16-D16</f>
        <v>-65891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204"/>
      <c r="C20" s="204"/>
      <c r="D20" s="204"/>
      <c r="E20" s="204"/>
      <c r="F20" s="204"/>
      <c r="G20" s="204"/>
      <c r="H20" s="204"/>
      <c r="I20" s="204"/>
    </row>
    <row r="21" spans="1:10" ht="12.75" customHeight="1" x14ac:dyDescent="0.35">
      <c r="A21" s="180" t="s">
        <v>423</v>
      </c>
      <c r="B21" s="151"/>
      <c r="C21" s="181">
        <v>200</v>
      </c>
      <c r="D21" s="142"/>
      <c r="E21" s="142"/>
      <c r="F21" s="142">
        <v>-50000</v>
      </c>
      <c r="G21" s="142">
        <v>-50000</v>
      </c>
      <c r="H21" s="142"/>
      <c r="I21" s="142"/>
      <c r="J21" s="17"/>
    </row>
    <row r="22" spans="1:10" ht="12.75" customHeight="1" x14ac:dyDescent="0.35">
      <c r="A22" s="701" t="s">
        <v>487</v>
      </c>
      <c r="B22" s="702"/>
      <c r="C22" s="232"/>
      <c r="D22" s="703"/>
      <c r="E22" s="73"/>
      <c r="F22" s="73"/>
      <c r="G22" s="73"/>
      <c r="H22" s="73"/>
      <c r="I22" s="73"/>
      <c r="J22" s="17"/>
    </row>
    <row r="23" spans="1:10" ht="12.75" customHeight="1" x14ac:dyDescent="0.35">
      <c r="A23" s="293" t="s">
        <v>473</v>
      </c>
      <c r="B23" s="294"/>
      <c r="C23" s="239">
        <v>100</v>
      </c>
      <c r="D23" s="240"/>
      <c r="E23" s="69"/>
      <c r="F23" s="69">
        <v>580330</v>
      </c>
      <c r="G23" s="69"/>
      <c r="H23" s="69"/>
      <c r="I23" s="69"/>
      <c r="J23" s="17"/>
    </row>
    <row r="24" spans="1:10" ht="12.75" customHeight="1" x14ac:dyDescent="0.35">
      <c r="A24" s="780" t="s">
        <v>474</v>
      </c>
      <c r="B24" s="702"/>
      <c r="C24" s="232">
        <v>200</v>
      </c>
      <c r="D24" s="703"/>
      <c r="E24" s="73"/>
      <c r="F24" s="73">
        <v>138705</v>
      </c>
      <c r="G24" s="73"/>
      <c r="H24" s="73"/>
      <c r="I24" s="73"/>
      <c r="J24" s="17"/>
    </row>
    <row r="25" spans="1:10" ht="12.75" customHeight="1" x14ac:dyDescent="0.35">
      <c r="A25" s="293" t="s">
        <v>475</v>
      </c>
      <c r="B25" s="294"/>
      <c r="C25" s="239" t="s">
        <v>167</v>
      </c>
      <c r="D25" s="240"/>
      <c r="E25" s="69"/>
      <c r="F25" s="69">
        <v>10500</v>
      </c>
      <c r="G25" s="69"/>
      <c r="H25" s="69"/>
      <c r="I25" s="69"/>
      <c r="J25" s="17"/>
    </row>
    <row r="26" spans="1:10" ht="12.75" customHeight="1" x14ac:dyDescent="0.35">
      <c r="A26" s="780" t="s">
        <v>592</v>
      </c>
      <c r="B26" s="702"/>
      <c r="C26" s="232">
        <v>100</v>
      </c>
      <c r="D26" s="703"/>
      <c r="E26" s="73">
        <v>116609</v>
      </c>
      <c r="F26" s="73"/>
      <c r="G26" s="73"/>
      <c r="H26" s="73"/>
      <c r="I26" s="73"/>
      <c r="J26" s="17"/>
    </row>
    <row r="27" spans="1:10" ht="12.75" customHeight="1" x14ac:dyDescent="0.35">
      <c r="A27" s="756" t="s">
        <v>596</v>
      </c>
      <c r="B27" s="294"/>
      <c r="C27" s="239"/>
      <c r="D27" s="240"/>
      <c r="E27" s="69"/>
      <c r="F27" s="69"/>
      <c r="G27" s="69"/>
      <c r="H27" s="69"/>
      <c r="I27" s="69"/>
      <c r="J27" s="17"/>
    </row>
    <row r="28" spans="1:10" ht="12.75" customHeight="1" x14ac:dyDescent="0.35">
      <c r="A28" s="780" t="s">
        <v>623</v>
      </c>
      <c r="B28" s="702"/>
      <c r="C28" s="232">
        <v>100</v>
      </c>
      <c r="D28" s="703"/>
      <c r="E28" s="73"/>
      <c r="F28" s="73"/>
      <c r="G28" s="73"/>
      <c r="H28" s="73"/>
      <c r="I28" s="73"/>
    </row>
    <row r="29" spans="1:10" ht="12.75" customHeight="1" x14ac:dyDescent="0.35">
      <c r="A29" s="293" t="s">
        <v>615</v>
      </c>
      <c r="B29" s="294"/>
      <c r="C29" s="239">
        <v>100</v>
      </c>
      <c r="D29" s="240"/>
      <c r="E29" s="69"/>
      <c r="F29" s="69">
        <v>-580330</v>
      </c>
      <c r="G29" s="69">
        <v>580330</v>
      </c>
      <c r="H29" s="69"/>
      <c r="I29" s="69"/>
    </row>
    <row r="30" spans="1:10" ht="12.75" customHeight="1" x14ac:dyDescent="0.35">
      <c r="A30" s="780"/>
      <c r="B30" s="702"/>
      <c r="C30" s="232">
        <v>200</v>
      </c>
      <c r="D30" s="703"/>
      <c r="E30" s="73"/>
      <c r="F30" s="73">
        <v>-138705</v>
      </c>
      <c r="G30" s="73">
        <v>138705</v>
      </c>
      <c r="H30" s="73"/>
      <c r="I30" s="73"/>
    </row>
    <row r="31" spans="1:10" ht="12.75" customHeight="1" x14ac:dyDescent="0.35">
      <c r="A31" s="293"/>
      <c r="B31" s="294"/>
      <c r="C31" s="239" t="s">
        <v>167</v>
      </c>
      <c r="D31" s="240"/>
      <c r="E31" s="69"/>
      <c r="F31" s="69">
        <v>-10500</v>
      </c>
      <c r="G31" s="69">
        <v>10500</v>
      </c>
      <c r="H31" s="69"/>
      <c r="I31" s="69"/>
    </row>
    <row r="32" spans="1:10" ht="12.75" customHeight="1" x14ac:dyDescent="0.35">
      <c r="A32" s="701" t="s">
        <v>648</v>
      </c>
      <c r="B32" s="702"/>
      <c r="C32" s="232"/>
      <c r="D32" s="703"/>
      <c r="E32" s="73"/>
      <c r="F32" s="73"/>
      <c r="G32" s="73"/>
      <c r="H32" s="73"/>
      <c r="I32" s="73"/>
    </row>
    <row r="33" spans="1:9" ht="12.75" customHeight="1" x14ac:dyDescent="0.35">
      <c r="A33" s="293" t="s">
        <v>651</v>
      </c>
      <c r="B33" s="294"/>
      <c r="C33" s="239">
        <v>200</v>
      </c>
      <c r="D33" s="240">
        <v>100000</v>
      </c>
      <c r="E33" s="69"/>
      <c r="F33" s="69"/>
      <c r="G33" s="69"/>
      <c r="H33" s="69"/>
      <c r="I33" s="69"/>
    </row>
    <row r="34" spans="1:9" ht="12.75" customHeight="1" x14ac:dyDescent="0.35">
      <c r="A34" s="780" t="s">
        <v>652</v>
      </c>
      <c r="B34" s="702"/>
      <c r="C34" s="232">
        <v>200</v>
      </c>
      <c r="D34" s="703">
        <v>150000</v>
      </c>
      <c r="E34" s="73">
        <v>-150000</v>
      </c>
      <c r="F34" s="73"/>
      <c r="G34" s="73"/>
      <c r="H34" s="73"/>
      <c r="I34" s="73"/>
    </row>
    <row r="35" spans="1:9" ht="12.75" customHeight="1" x14ac:dyDescent="0.35">
      <c r="A35" s="293" t="s">
        <v>653</v>
      </c>
      <c r="B35" s="294"/>
      <c r="C35" s="239">
        <v>100</v>
      </c>
      <c r="D35" s="240">
        <v>32500</v>
      </c>
      <c r="E35" s="69">
        <v>-32500</v>
      </c>
      <c r="F35" s="69"/>
      <c r="G35" s="69"/>
      <c r="H35" s="69"/>
      <c r="I35" s="69"/>
    </row>
    <row r="36" spans="1:9" ht="12.75" customHeight="1" x14ac:dyDescent="0.35">
      <c r="A36" s="780" t="s">
        <v>870</v>
      </c>
      <c r="B36" s="702"/>
      <c r="C36" s="232">
        <v>200</v>
      </c>
      <c r="D36" s="703">
        <v>34000</v>
      </c>
      <c r="E36" s="73"/>
      <c r="F36" s="73"/>
      <c r="G36" s="73"/>
      <c r="H36" s="73"/>
      <c r="I36" s="73"/>
    </row>
    <row r="37" spans="1:9" ht="12.75" customHeight="1" x14ac:dyDescent="0.35">
      <c r="A37" s="756" t="s">
        <v>748</v>
      </c>
      <c r="B37" s="294"/>
      <c r="C37" s="239"/>
      <c r="D37" s="240"/>
      <c r="E37" s="69"/>
      <c r="F37" s="69"/>
      <c r="G37" s="69"/>
      <c r="H37" s="69"/>
      <c r="I37" s="69"/>
    </row>
    <row r="38" spans="1:9" ht="12.75" customHeight="1" x14ac:dyDescent="0.35">
      <c r="A38" s="780" t="s">
        <v>853</v>
      </c>
      <c r="B38" s="702"/>
      <c r="C38" s="232">
        <v>100</v>
      </c>
      <c r="D38" s="703"/>
      <c r="E38" s="73"/>
      <c r="F38" s="73"/>
      <c r="G38" s="73">
        <v>-580330</v>
      </c>
      <c r="H38" s="73"/>
      <c r="I38" s="73"/>
    </row>
    <row r="39" spans="1:9" ht="12.75" customHeight="1" x14ac:dyDescent="0.35">
      <c r="A39" s="293"/>
      <c r="B39" s="294"/>
      <c r="C39" s="239">
        <v>200</v>
      </c>
      <c r="D39" s="240"/>
      <c r="E39" s="69"/>
      <c r="F39" s="69"/>
      <c r="G39" s="69">
        <v>-138705</v>
      </c>
      <c r="H39" s="69"/>
      <c r="I39" s="69"/>
    </row>
    <row r="40" spans="1:9" ht="12.75" customHeight="1" x14ac:dyDescent="0.35">
      <c r="A40" s="780"/>
      <c r="B40" s="702"/>
      <c r="C40" s="232" t="s">
        <v>167</v>
      </c>
      <c r="D40" s="703"/>
      <c r="E40" s="73"/>
      <c r="F40" s="73"/>
      <c r="G40" s="73">
        <v>-10500</v>
      </c>
      <c r="H40" s="73"/>
      <c r="I40" s="73"/>
    </row>
    <row r="41" spans="1:9" ht="12.75" customHeight="1" x14ac:dyDescent="0.35">
      <c r="A41" s="293"/>
      <c r="B41" s="294"/>
      <c r="C41" s="239"/>
      <c r="D41" s="240"/>
      <c r="E41" s="69"/>
      <c r="F41" s="69"/>
      <c r="G41" s="69"/>
      <c r="H41" s="69"/>
      <c r="I41" s="69"/>
    </row>
    <row r="42" spans="1:9" ht="12.75" customHeight="1" x14ac:dyDescent="0.35">
      <c r="A42" s="780"/>
      <c r="B42" s="702"/>
      <c r="C42" s="232"/>
      <c r="D42" s="703"/>
      <c r="E42" s="73"/>
      <c r="F42" s="73"/>
      <c r="G42" s="73"/>
      <c r="H42" s="73"/>
      <c r="I42" s="73"/>
    </row>
    <row r="43" spans="1:9" ht="12.75" customHeight="1" x14ac:dyDescent="0.35">
      <c r="A43" s="293"/>
      <c r="B43" s="294"/>
      <c r="C43" s="239"/>
      <c r="D43" s="240"/>
      <c r="E43" s="69"/>
      <c r="F43" s="69"/>
      <c r="G43" s="69"/>
      <c r="H43" s="69"/>
      <c r="I43" s="69"/>
    </row>
    <row r="44" spans="1:9" ht="12.75" customHeight="1" x14ac:dyDescent="0.35">
      <c r="A44" s="780"/>
      <c r="B44" s="702"/>
      <c r="C44" s="232"/>
      <c r="D44" s="703"/>
      <c r="E44" s="73"/>
      <c r="F44" s="73"/>
      <c r="G44" s="73"/>
      <c r="H44" s="73"/>
      <c r="I44" s="73"/>
    </row>
    <row r="45" spans="1:9" ht="12.75" customHeight="1" x14ac:dyDescent="0.35">
      <c r="A45" s="293"/>
      <c r="B45" s="294"/>
      <c r="C45" s="239"/>
      <c r="D45" s="240"/>
      <c r="E45" s="69"/>
      <c r="F45" s="69"/>
      <c r="G45" s="69"/>
      <c r="H45" s="69"/>
      <c r="I45" s="69"/>
    </row>
    <row r="46" spans="1:9" ht="12.75" customHeight="1" x14ac:dyDescent="0.35">
      <c r="A46" s="780"/>
      <c r="B46" s="702"/>
      <c r="C46" s="232"/>
      <c r="D46" s="703"/>
      <c r="E46" s="73"/>
      <c r="F46" s="73"/>
      <c r="G46" s="73"/>
      <c r="H46" s="73"/>
      <c r="I46" s="73"/>
    </row>
    <row r="47" spans="1:9" ht="12.75" customHeight="1" x14ac:dyDescent="0.35">
      <c r="A47" s="293"/>
      <c r="B47" s="294"/>
      <c r="C47" s="239"/>
      <c r="D47" s="240"/>
      <c r="E47" s="69"/>
      <c r="F47" s="69"/>
      <c r="G47" s="69"/>
      <c r="H47" s="69"/>
      <c r="I47" s="69"/>
    </row>
    <row r="48" spans="1:9" ht="12.75" customHeight="1" x14ac:dyDescent="0.35">
      <c r="B48" s="702"/>
      <c r="C48" s="232"/>
      <c r="D48" s="703"/>
      <c r="E48" s="73"/>
      <c r="F48" s="73"/>
      <c r="G48" s="73"/>
      <c r="H48" s="73"/>
      <c r="I48" s="73"/>
    </row>
    <row r="49" ht="12.75" customHeight="1" x14ac:dyDescent="0.35"/>
    <row r="50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6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theme="3"/>
  </sheetPr>
  <dimension ref="A1:K60"/>
  <sheetViews>
    <sheetView zoomScaleNormal="100" zoomScaleSheetLayoutView="90" workbookViewId="0">
      <selection activeCell="C15" sqref="C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 t="s">
        <v>61</v>
      </c>
      <c r="C6" s="880" t="s">
        <v>132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+C9+SUMIF($C$20:$C$58,K9,$D$20:$D$58)</f>
        <v>0</v>
      </c>
      <c r="E9" s="114">
        <f t="shared" ref="E9:E15" si="1">+D9+SUMIF($C$20:$C$58,K9,$E$20:$E$58)</f>
        <v>0</v>
      </c>
      <c r="F9" s="396">
        <f t="shared" ref="F9:F15" si="2">+E9+SUMIF($C$20:$C$58,K9,$F$20:$F$58)</f>
        <v>0</v>
      </c>
      <c r="G9" s="33">
        <f t="shared" ref="G9:G15" si="3">+F9+SUMIF($C$20:$C$58,K9,$G$20:$G$58)</f>
        <v>0</v>
      </c>
      <c r="H9" s="219">
        <f t="shared" ref="H9:H15" si="4">+G9+SUMIF($C$20:$C$58,K9,$H$20:$H$58)</f>
        <v>0</v>
      </c>
      <c r="I9" s="50">
        <f t="shared" ref="I9:I15" si="5">+H9+SUMIF($C$20:$C$58,K9,$I$20:$I$58)</f>
        <v>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2"/>
        <v>0</v>
      </c>
      <c r="G10" s="35">
        <f t="shared" si="3"/>
        <v>0</v>
      </c>
      <c r="H10" s="222">
        <f t="shared" si="4"/>
        <v>0</v>
      </c>
      <c r="I10" s="36">
        <f t="shared" si="5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35">
        <v>200000</v>
      </c>
      <c r="C12" s="35">
        <v>100000</v>
      </c>
      <c r="D12" s="222">
        <f t="shared" si="0"/>
        <v>200000</v>
      </c>
      <c r="E12" s="506">
        <f t="shared" si="1"/>
        <v>100000</v>
      </c>
      <c r="F12" s="504">
        <f t="shared" si="2"/>
        <v>100000</v>
      </c>
      <c r="G12" s="35">
        <f t="shared" si="3"/>
        <v>100000</v>
      </c>
      <c r="H12" s="222">
        <f t="shared" si="4"/>
        <v>100000</v>
      </c>
      <c r="I12" s="36">
        <f t="shared" si="5"/>
        <v>100000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200000</v>
      </c>
      <c r="C16" s="39">
        <f t="shared" ref="C16:I16" si="6">SUM(C9:C15)</f>
        <v>100000</v>
      </c>
      <c r="D16" s="39">
        <f t="shared" si="6"/>
        <v>200000</v>
      </c>
      <c r="E16" s="529">
        <f t="shared" si="6"/>
        <v>100000</v>
      </c>
      <c r="F16" s="39">
        <f t="shared" si="6"/>
        <v>100000</v>
      </c>
      <c r="G16" s="39">
        <f t="shared" si="6"/>
        <v>100000</v>
      </c>
      <c r="H16" s="39">
        <f t="shared" si="6"/>
        <v>100000</v>
      </c>
      <c r="I16" s="39">
        <f t="shared" si="6"/>
        <v>100000</v>
      </c>
    </row>
    <row r="18" spans="1:11" x14ac:dyDescent="0.35">
      <c r="E18" s="401">
        <f>+E16-D16</f>
        <v>-100000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121" t="s">
        <v>476</v>
      </c>
      <c r="B20" s="78"/>
      <c r="C20" s="71"/>
      <c r="D20" s="72"/>
      <c r="E20" s="72"/>
      <c r="F20" s="72"/>
      <c r="G20" s="72"/>
      <c r="H20" s="72"/>
      <c r="I20" s="73"/>
    </row>
    <row r="21" spans="1:11" ht="13" customHeight="1" x14ac:dyDescent="0.35">
      <c r="A21" s="753" t="s">
        <v>477</v>
      </c>
      <c r="B21" s="84"/>
      <c r="C21" s="67">
        <v>500</v>
      </c>
      <c r="D21" s="68"/>
      <c r="E21" s="68"/>
      <c r="F21" s="68">
        <v>100000</v>
      </c>
      <c r="G21" s="68"/>
      <c r="H21" s="69"/>
      <c r="I21" s="69"/>
      <c r="J21" s="17"/>
    </row>
    <row r="22" spans="1:11" s="58" customFormat="1" ht="13" customHeight="1" x14ac:dyDescent="0.35">
      <c r="A22" s="157" t="s">
        <v>624</v>
      </c>
      <c r="B22" s="78"/>
      <c r="C22" s="71"/>
      <c r="D22" s="72"/>
      <c r="E22" s="72"/>
      <c r="F22" s="72"/>
      <c r="G22" s="72"/>
      <c r="H22" s="73"/>
      <c r="I22" s="73"/>
      <c r="J22" s="81"/>
      <c r="K22" s="7"/>
    </row>
    <row r="23" spans="1:11" ht="13" customHeight="1" x14ac:dyDescent="0.35">
      <c r="A23" s="753" t="s">
        <v>616</v>
      </c>
      <c r="B23" s="84"/>
      <c r="C23" s="67">
        <v>500</v>
      </c>
      <c r="D23" s="68"/>
      <c r="E23" s="68"/>
      <c r="F23" s="68">
        <v>-100000</v>
      </c>
      <c r="G23" s="68">
        <v>100000</v>
      </c>
      <c r="H23" s="69"/>
      <c r="I23" s="69"/>
      <c r="J23" s="17"/>
    </row>
    <row r="24" spans="1:11" s="58" customFormat="1" ht="13" customHeight="1" x14ac:dyDescent="0.35">
      <c r="A24" s="157" t="s">
        <v>649</v>
      </c>
      <c r="B24" s="78"/>
      <c r="C24" s="71"/>
      <c r="D24" s="72"/>
      <c r="E24" s="72"/>
      <c r="F24" s="72"/>
      <c r="G24" s="72"/>
      <c r="H24" s="73"/>
      <c r="I24" s="73"/>
      <c r="J24" s="81"/>
      <c r="K24" s="7"/>
    </row>
    <row r="25" spans="1:11" ht="13" customHeight="1" x14ac:dyDescent="0.35">
      <c r="A25" s="753" t="s">
        <v>650</v>
      </c>
      <c r="B25" s="84"/>
      <c r="C25" s="67">
        <v>500</v>
      </c>
      <c r="D25" s="68">
        <v>100000</v>
      </c>
      <c r="E25" s="68">
        <v>-100000</v>
      </c>
      <c r="F25" s="68"/>
      <c r="G25" s="68"/>
      <c r="H25" s="69"/>
      <c r="I25" s="69"/>
      <c r="J25" s="17"/>
    </row>
    <row r="26" spans="1:11" ht="13" customHeight="1" x14ac:dyDescent="0.35">
      <c r="A26" s="157" t="s">
        <v>758</v>
      </c>
      <c r="B26" s="78"/>
      <c r="C26" s="71"/>
      <c r="D26" s="72"/>
      <c r="E26" s="72"/>
      <c r="F26" s="72"/>
      <c r="G26" s="72"/>
      <c r="H26" s="73"/>
      <c r="I26" s="73"/>
      <c r="J26" s="17"/>
    </row>
    <row r="27" spans="1:11" ht="13" customHeight="1" x14ac:dyDescent="0.35">
      <c r="A27" s="753" t="s">
        <v>853</v>
      </c>
      <c r="B27" s="84"/>
      <c r="C27" s="67">
        <v>500</v>
      </c>
      <c r="D27" s="68"/>
      <c r="E27" s="68"/>
      <c r="F27" s="68"/>
      <c r="G27" s="68">
        <v>-100000</v>
      </c>
      <c r="H27" s="69"/>
      <c r="I27" s="69"/>
      <c r="J27" s="17"/>
    </row>
    <row r="28" spans="1:11" ht="13" customHeight="1" x14ac:dyDescent="0.35">
      <c r="A28" s="77"/>
      <c r="B28" s="78"/>
      <c r="C28" s="71"/>
      <c r="D28" s="72"/>
      <c r="E28" s="72"/>
      <c r="F28" s="72"/>
      <c r="G28" s="72"/>
      <c r="H28" s="73"/>
      <c r="I28" s="73"/>
      <c r="J28" s="17"/>
    </row>
    <row r="29" spans="1:11" ht="13" customHeight="1" x14ac:dyDescent="0.35">
      <c r="A29" s="77"/>
      <c r="B29" s="78"/>
      <c r="C29" s="71"/>
      <c r="D29" s="72"/>
      <c r="E29" s="72"/>
      <c r="F29" s="72"/>
      <c r="G29" s="72"/>
      <c r="H29" s="73"/>
      <c r="I29" s="73"/>
      <c r="J29" s="17"/>
    </row>
    <row r="30" spans="1:11" ht="13" customHeight="1" x14ac:dyDescent="0.35">
      <c r="A30" s="77"/>
      <c r="B30" s="78"/>
      <c r="C30" s="71"/>
      <c r="D30" s="72"/>
      <c r="E30" s="72"/>
      <c r="F30" s="72"/>
      <c r="G30" s="72"/>
      <c r="H30" s="73"/>
      <c r="I30" s="73"/>
      <c r="J30" s="17"/>
    </row>
    <row r="31" spans="1:11" ht="13" customHeight="1" x14ac:dyDescent="0.35">
      <c r="A31" s="77"/>
      <c r="B31" s="78"/>
      <c r="C31" s="71"/>
      <c r="D31" s="72"/>
      <c r="E31" s="72"/>
      <c r="F31" s="72"/>
      <c r="G31" s="72"/>
      <c r="H31" s="73"/>
      <c r="I31" s="73"/>
      <c r="J31" s="17"/>
    </row>
    <row r="32" spans="1:11" ht="13" customHeight="1" x14ac:dyDescent="0.35">
      <c r="A32" s="77"/>
      <c r="B32" s="78"/>
      <c r="C32" s="71"/>
      <c r="D32" s="72"/>
      <c r="E32" s="72"/>
      <c r="F32" s="72"/>
      <c r="G32" s="72"/>
      <c r="H32" s="73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63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1">
    <tabColor theme="3"/>
  </sheetPr>
  <dimension ref="A1:K54"/>
  <sheetViews>
    <sheetView zoomScaleNormal="100" zoomScaleSheetLayoutView="90" workbookViewId="0">
      <selection activeCell="K29" sqref="K29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50</v>
      </c>
      <c r="C6" s="880" t="s">
        <v>131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598178</v>
      </c>
      <c r="C9" s="33">
        <v>578952</v>
      </c>
      <c r="D9" s="219">
        <f t="shared" ref="D9:D15" si="0">+C9+SUMIF($C$20:$C$58,K9,$D$20:$D$58)</f>
        <v>578952</v>
      </c>
      <c r="E9" s="114">
        <f t="shared" ref="E9:E15" si="1">+D9+SUMIF($C$20:$C$58,K9,$E$20:$E$58)</f>
        <v>629992</v>
      </c>
      <c r="F9" s="396">
        <f t="shared" ref="F9:F15" si="2">+E9+SUMIF($C$20:$C$58,K9,$F$20:$F$58)</f>
        <v>629992</v>
      </c>
      <c r="G9" s="33">
        <f t="shared" ref="G9:G15" si="3">+F9+SUMIF($C$20:$C$58,K9,$G$20:$G$58)</f>
        <v>629992</v>
      </c>
      <c r="H9" s="219">
        <f t="shared" ref="H9:H15" si="4">+G9+SUMIF($C$20:$C$58,K9,$H$20:$H$58)</f>
        <v>629992</v>
      </c>
      <c r="I9" s="50">
        <f t="shared" ref="I9:I15" si="5">+H9+SUMIF($C$20:$C$58,K9,$I$20:$I$58)</f>
        <v>629992</v>
      </c>
      <c r="K9" s="7">
        <v>100</v>
      </c>
    </row>
    <row r="10" spans="1:11" x14ac:dyDescent="0.35">
      <c r="A10" s="10" t="s">
        <v>5</v>
      </c>
      <c r="B10" s="35">
        <f>1860615-328681</f>
        <v>1531934</v>
      </c>
      <c r="C10" s="35">
        <v>1545610</v>
      </c>
      <c r="D10" s="222">
        <f t="shared" si="0"/>
        <v>1545610</v>
      </c>
      <c r="E10" s="506">
        <f t="shared" si="1"/>
        <v>1695610</v>
      </c>
      <c r="F10" s="504">
        <f t="shared" si="2"/>
        <v>1695610</v>
      </c>
      <c r="G10" s="35">
        <f t="shared" si="3"/>
        <v>1695610</v>
      </c>
      <c r="H10" s="222">
        <f t="shared" si="4"/>
        <v>1695610</v>
      </c>
      <c r="I10" s="36">
        <f t="shared" si="5"/>
        <v>1695610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2130112</v>
      </c>
      <c r="C16" s="39">
        <f t="shared" ref="C16:I16" si="6">SUM(C9:C15)</f>
        <v>2124562</v>
      </c>
      <c r="D16" s="39">
        <f t="shared" si="6"/>
        <v>2124562</v>
      </c>
      <c r="E16" s="529">
        <f t="shared" si="6"/>
        <v>2325602</v>
      </c>
      <c r="F16" s="39">
        <f t="shared" si="6"/>
        <v>2325602</v>
      </c>
      <c r="G16" s="39">
        <f t="shared" si="6"/>
        <v>2325602</v>
      </c>
      <c r="H16" s="39">
        <f t="shared" si="6"/>
        <v>2325602</v>
      </c>
      <c r="I16" s="39">
        <f t="shared" si="6"/>
        <v>2325602</v>
      </c>
    </row>
    <row r="17" spans="1:10" x14ac:dyDescent="0.35">
      <c r="B17" s="218"/>
    </row>
    <row r="18" spans="1:10" x14ac:dyDescent="0.35">
      <c r="E18" s="401">
        <f>+E16-D16</f>
        <v>201040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70"/>
      <c r="C20" s="71"/>
      <c r="D20" s="72"/>
      <c r="E20" s="73"/>
      <c r="F20" s="73"/>
      <c r="G20" s="73"/>
      <c r="H20" s="73"/>
      <c r="I20" s="73"/>
    </row>
    <row r="21" spans="1:10" ht="12.75" customHeight="1" x14ac:dyDescent="0.35">
      <c r="A21" s="756" t="s">
        <v>487</v>
      </c>
      <c r="B21" s="294"/>
      <c r="C21" s="239"/>
      <c r="D21" s="240"/>
      <c r="E21" s="142"/>
      <c r="F21" s="142"/>
      <c r="G21" s="142"/>
      <c r="H21" s="142"/>
      <c r="I21" s="142"/>
      <c r="J21" s="17"/>
    </row>
    <row r="22" spans="1:10" ht="12.75" customHeight="1" x14ac:dyDescent="0.35">
      <c r="A22" s="746" t="s">
        <v>536</v>
      </c>
      <c r="B22" s="78"/>
      <c r="C22" s="75">
        <v>100</v>
      </c>
      <c r="D22" s="73"/>
      <c r="E22" s="73"/>
      <c r="F22" s="73">
        <v>43000</v>
      </c>
      <c r="G22" s="103"/>
      <c r="H22" s="94"/>
      <c r="I22" s="94"/>
      <c r="J22" s="17"/>
    </row>
    <row r="23" spans="1:10" ht="12.75" customHeight="1" x14ac:dyDescent="0.35">
      <c r="A23" s="293" t="s">
        <v>528</v>
      </c>
      <c r="B23" s="294"/>
      <c r="C23" s="239">
        <v>200</v>
      </c>
      <c r="D23" s="240"/>
      <c r="E23" s="142"/>
      <c r="F23" s="142">
        <v>455005</v>
      </c>
      <c r="G23" s="142"/>
      <c r="H23" s="142"/>
      <c r="I23" s="142"/>
      <c r="J23" s="17"/>
    </row>
    <row r="24" spans="1:10" ht="12.75" customHeight="1" x14ac:dyDescent="0.35">
      <c r="A24" s="746" t="s">
        <v>588</v>
      </c>
      <c r="B24" s="78"/>
      <c r="C24" s="75">
        <v>100</v>
      </c>
      <c r="D24" s="73"/>
      <c r="E24" s="73">
        <v>7617</v>
      </c>
      <c r="F24" s="73"/>
      <c r="G24" s="103"/>
      <c r="H24" s="94"/>
      <c r="I24" s="94"/>
      <c r="J24" s="17"/>
    </row>
    <row r="25" spans="1:10" ht="12.75" customHeight="1" x14ac:dyDescent="0.35">
      <c r="A25" s="756" t="s">
        <v>596</v>
      </c>
      <c r="B25" s="294"/>
      <c r="C25" s="239"/>
      <c r="D25" s="240"/>
      <c r="E25" s="142"/>
      <c r="F25" s="142"/>
      <c r="G25" s="142"/>
      <c r="H25" s="142"/>
      <c r="I25" s="142"/>
      <c r="J25" s="17"/>
    </row>
    <row r="26" spans="1:10" ht="12.75" customHeight="1" x14ac:dyDescent="0.35">
      <c r="A26" s="746" t="s">
        <v>610</v>
      </c>
      <c r="B26" s="78"/>
      <c r="C26" s="75">
        <v>200</v>
      </c>
      <c r="D26" s="73"/>
      <c r="E26" s="73"/>
      <c r="F26" s="73"/>
      <c r="G26" s="103"/>
      <c r="H26" s="94"/>
      <c r="I26" s="94"/>
      <c r="J26" s="17"/>
    </row>
    <row r="27" spans="1:10" ht="12.75" customHeight="1" x14ac:dyDescent="0.35">
      <c r="A27" s="293" t="s">
        <v>615</v>
      </c>
      <c r="B27" s="294"/>
      <c r="C27" s="239">
        <v>100</v>
      </c>
      <c r="D27" s="240"/>
      <c r="E27" s="142"/>
      <c r="F27" s="142">
        <v>-43000</v>
      </c>
      <c r="G27" s="142">
        <v>43000</v>
      </c>
      <c r="H27" s="142"/>
      <c r="I27" s="142"/>
      <c r="J27" s="17"/>
    </row>
    <row r="28" spans="1:10" ht="12.75" customHeight="1" x14ac:dyDescent="0.35">
      <c r="A28" s="77"/>
      <c r="B28" s="70"/>
      <c r="C28" s="71">
        <v>200</v>
      </c>
      <c r="D28" s="72"/>
      <c r="E28" s="73"/>
      <c r="F28" s="73">
        <v>-455005</v>
      </c>
      <c r="G28" s="72">
        <v>455005</v>
      </c>
      <c r="H28" s="73"/>
      <c r="I28" s="73"/>
      <c r="J28" s="17"/>
    </row>
    <row r="29" spans="1:10" ht="12.75" customHeight="1" x14ac:dyDescent="0.35">
      <c r="A29" s="756" t="s">
        <v>748</v>
      </c>
      <c r="B29" s="294"/>
      <c r="C29" s="239"/>
      <c r="D29" s="240"/>
      <c r="E29" s="142"/>
      <c r="F29" s="142"/>
      <c r="G29" s="142"/>
      <c r="H29" s="142"/>
      <c r="I29" s="142"/>
      <c r="J29" s="17"/>
    </row>
    <row r="30" spans="1:10" ht="12.75" customHeight="1" x14ac:dyDescent="0.35">
      <c r="A30" s="746" t="s">
        <v>913</v>
      </c>
      <c r="B30" s="78"/>
      <c r="C30" s="75">
        <v>100</v>
      </c>
      <c r="D30" s="73"/>
      <c r="E30" s="73">
        <v>43423</v>
      </c>
      <c r="F30" s="73"/>
      <c r="G30" s="103"/>
      <c r="H30" s="94"/>
      <c r="I30" s="94"/>
      <c r="J30" s="17"/>
    </row>
    <row r="31" spans="1:10" ht="12.75" customHeight="1" x14ac:dyDescent="0.35">
      <c r="A31" s="293" t="s">
        <v>802</v>
      </c>
      <c r="B31" s="294"/>
      <c r="C31" s="239">
        <v>200</v>
      </c>
      <c r="D31" s="240"/>
      <c r="E31" s="142">
        <v>150000</v>
      </c>
      <c r="F31" s="142"/>
      <c r="G31" s="142"/>
      <c r="H31" s="142"/>
      <c r="I31" s="142"/>
      <c r="J31" s="17"/>
    </row>
    <row r="32" spans="1:10" ht="12.75" customHeight="1" x14ac:dyDescent="0.35">
      <c r="A32" s="746" t="s">
        <v>859</v>
      </c>
      <c r="B32" s="78"/>
      <c r="C32" s="75">
        <v>100</v>
      </c>
      <c r="D32" s="73"/>
      <c r="E32" s="73"/>
      <c r="F32" s="73"/>
      <c r="G32" s="103">
        <v>-43000</v>
      </c>
      <c r="H32" s="94"/>
      <c r="I32" s="94"/>
      <c r="J32" s="17"/>
    </row>
    <row r="33" spans="1:10" ht="12.75" customHeight="1" x14ac:dyDescent="0.35">
      <c r="A33" s="756"/>
      <c r="B33" s="294"/>
      <c r="C33" s="239">
        <v>200</v>
      </c>
      <c r="D33" s="240"/>
      <c r="E33" s="142"/>
      <c r="F33" s="142"/>
      <c r="G33" s="142">
        <v>-455005</v>
      </c>
      <c r="H33" s="142"/>
      <c r="I33" s="142"/>
      <c r="J33" s="17"/>
    </row>
    <row r="34" spans="1:10" ht="12.75" customHeight="1" x14ac:dyDescent="0.35">
      <c r="A34" s="746"/>
      <c r="B34" s="78"/>
      <c r="C34" s="75"/>
      <c r="D34" s="73"/>
      <c r="E34" s="73"/>
      <c r="F34" s="73"/>
      <c r="G34" s="103"/>
      <c r="H34" s="94"/>
      <c r="I34" s="94"/>
      <c r="J34" s="17"/>
    </row>
    <row r="35" spans="1:10" ht="12.75" customHeight="1" x14ac:dyDescent="0.35">
      <c r="A35" s="293"/>
      <c r="B35" s="294"/>
      <c r="C35" s="239"/>
      <c r="D35" s="240"/>
      <c r="E35" s="142"/>
      <c r="F35" s="142"/>
      <c r="G35" s="142"/>
      <c r="H35" s="142"/>
      <c r="I35" s="142"/>
      <c r="J35" s="17"/>
    </row>
    <row r="36" spans="1:10" ht="12.75" customHeight="1" x14ac:dyDescent="0.35">
      <c r="A36" s="746"/>
      <c r="B36" s="78"/>
      <c r="C36" s="75"/>
      <c r="D36" s="73"/>
      <c r="E36" s="73"/>
      <c r="F36" s="73"/>
      <c r="G36" s="103"/>
      <c r="H36" s="94"/>
      <c r="I36" s="94"/>
      <c r="J36" s="17"/>
    </row>
    <row r="37" spans="1:10" ht="12.75" customHeight="1" x14ac:dyDescent="0.35">
      <c r="A37" s="756"/>
      <c r="B37" s="294"/>
      <c r="C37" s="239"/>
      <c r="D37" s="240"/>
      <c r="E37" s="142"/>
      <c r="F37" s="142"/>
      <c r="G37" s="142"/>
      <c r="H37" s="142"/>
      <c r="I37" s="142"/>
      <c r="J37" s="17"/>
    </row>
    <row r="38" spans="1:10" ht="12.75" customHeight="1" x14ac:dyDescent="0.35">
      <c r="A38" s="746"/>
      <c r="B38" s="78"/>
      <c r="C38" s="75"/>
      <c r="D38" s="73"/>
      <c r="E38" s="73"/>
      <c r="F38" s="73"/>
      <c r="G38" s="103"/>
      <c r="H38" s="94"/>
      <c r="I38" s="94"/>
      <c r="J38" s="17"/>
    </row>
    <row r="39" spans="1:10" ht="12.75" customHeight="1" x14ac:dyDescent="0.35">
      <c r="A39" s="293"/>
      <c r="B39" s="294"/>
      <c r="C39" s="239"/>
      <c r="D39" s="240"/>
      <c r="E39" s="142"/>
      <c r="F39" s="142"/>
      <c r="G39" s="142"/>
      <c r="H39" s="142"/>
      <c r="I39" s="142"/>
      <c r="J39" s="17"/>
    </row>
    <row r="40" spans="1:10" ht="12.75" customHeight="1" x14ac:dyDescent="0.35">
      <c r="A40" s="77"/>
      <c r="B40" s="70"/>
      <c r="C40" s="71"/>
      <c r="D40" s="72"/>
      <c r="E40" s="73"/>
      <c r="F40" s="73"/>
      <c r="G40" s="72"/>
      <c r="H40" s="73"/>
      <c r="I40" s="73"/>
      <c r="J40" s="17"/>
    </row>
    <row r="41" spans="1:10" ht="12.75" customHeight="1" x14ac:dyDescent="0.35">
      <c r="A41" s="77"/>
      <c r="B41" s="70"/>
      <c r="C41" s="71"/>
      <c r="D41" s="72"/>
      <c r="E41" s="73"/>
      <c r="F41" s="73"/>
      <c r="G41" s="72"/>
      <c r="H41" s="73"/>
      <c r="I41" s="73"/>
      <c r="J41" s="17"/>
    </row>
    <row r="42" spans="1:10" ht="12.75" customHeight="1" x14ac:dyDescent="0.35">
      <c r="A42" s="77"/>
      <c r="B42" s="70"/>
      <c r="C42" s="71"/>
      <c r="D42" s="72"/>
      <c r="E42" s="73"/>
      <c r="F42" s="73"/>
      <c r="G42" s="72"/>
      <c r="H42" s="73"/>
      <c r="I42" s="73"/>
      <c r="J42" s="17"/>
    </row>
    <row r="43" spans="1:10" ht="12.75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2.75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2.75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2.75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2.75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2.75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2.75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x14ac:dyDescent="0.35">
      <c r="A53" s="77"/>
      <c r="B53" s="78"/>
      <c r="C53" s="75"/>
      <c r="D53" s="73"/>
      <c r="E53" s="73"/>
      <c r="F53" s="73"/>
      <c r="G53" s="73"/>
      <c r="H53" s="73"/>
      <c r="I53" s="73"/>
    </row>
    <row r="54" spans="1:10" x14ac:dyDescent="0.35">
      <c r="A54" s="81"/>
      <c r="B54" s="81"/>
      <c r="C54" s="81"/>
      <c r="D54" s="81"/>
      <c r="E54" s="81"/>
      <c r="F54" s="81"/>
      <c r="G54" s="81"/>
      <c r="H54" s="81"/>
      <c r="I54" s="81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6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2">
    <tabColor theme="3"/>
  </sheetPr>
  <dimension ref="A1:K54"/>
  <sheetViews>
    <sheetView topLeftCell="A4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58</v>
      </c>
      <c r="C6" s="880" t="s">
        <v>130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544982</v>
      </c>
      <c r="C9" s="33">
        <v>0</v>
      </c>
      <c r="D9" s="219">
        <f t="shared" ref="D9:D15" si="0">+C9+SUMIF($C$20:$C$58,K9,$D$20:$D$58)</f>
        <v>0</v>
      </c>
      <c r="E9" s="114">
        <f t="shared" ref="E9:E15" si="1">+D9+SUMIF($C$20:$C$58,K9,$E$20:$E$58)</f>
        <v>0</v>
      </c>
      <c r="F9" s="396">
        <f t="shared" ref="F9:F15" si="2">+E9+SUMIF($C$20:$C$58,K9,$F$20:$F$58)</f>
        <v>0</v>
      </c>
      <c r="G9" s="33">
        <f t="shared" ref="G9:G15" si="3">+F9+SUMIF($C$20:$C$58,K9,$G$20:$G$58)</f>
        <v>0</v>
      </c>
      <c r="H9" s="219">
        <f t="shared" ref="H9:H15" si="4">+G9+SUMIF($C$20:$C$58,K9,$H$20:$H$58)</f>
        <v>0</v>
      </c>
      <c r="I9" s="50">
        <f t="shared" ref="I9:I15" si="5">+H9+SUMIF($C$20:$C$58,K9,$I$20:$I$58)</f>
        <v>0</v>
      </c>
      <c r="K9" s="7">
        <v>100</v>
      </c>
    </row>
    <row r="10" spans="1:11" x14ac:dyDescent="0.35">
      <c r="A10" s="10" t="s">
        <v>5</v>
      </c>
      <c r="B10" s="35">
        <v>203114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2"/>
        <v>0</v>
      </c>
      <c r="G10" s="35">
        <f t="shared" si="3"/>
        <v>0</v>
      </c>
      <c r="H10" s="222">
        <f t="shared" si="4"/>
        <v>0</v>
      </c>
      <c r="I10" s="36">
        <f t="shared" si="5"/>
        <v>0</v>
      </c>
      <c r="K10" s="7">
        <v>200</v>
      </c>
    </row>
    <row r="11" spans="1:11" x14ac:dyDescent="0.35">
      <c r="A11" s="9" t="s">
        <v>6</v>
      </c>
      <c r="B11" s="33">
        <f>3447+3198</f>
        <v>6645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43" t="s">
        <v>7</v>
      </c>
      <c r="B12" s="35">
        <v>3620688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4375429</v>
      </c>
      <c r="C16" s="39">
        <f t="shared" ref="C16:I16" si="6">SUM(C9:C15)</f>
        <v>0</v>
      </c>
      <c r="D16" s="39">
        <f t="shared" si="6"/>
        <v>0</v>
      </c>
      <c r="E16" s="529">
        <f t="shared" si="6"/>
        <v>0</v>
      </c>
      <c r="F16" s="39">
        <f t="shared" si="6"/>
        <v>0</v>
      </c>
      <c r="G16" s="39">
        <f t="shared" si="6"/>
        <v>0</v>
      </c>
      <c r="H16" s="39">
        <f t="shared" si="6"/>
        <v>0</v>
      </c>
      <c r="I16" s="39">
        <f t="shared" si="6"/>
        <v>0</v>
      </c>
    </row>
    <row r="18" spans="1:10" x14ac:dyDescent="0.35">
      <c r="E18" s="400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701"/>
      <c r="B20" s="702"/>
      <c r="C20" s="232"/>
      <c r="D20" s="703"/>
      <c r="E20" s="242"/>
      <c r="F20" s="72"/>
      <c r="G20" s="73"/>
      <c r="H20" s="73"/>
      <c r="I20" s="73"/>
    </row>
    <row r="21" spans="1:10" ht="13" customHeight="1" x14ac:dyDescent="0.35">
      <c r="A21" s="293"/>
      <c r="B21" s="294"/>
      <c r="C21" s="239"/>
      <c r="D21" s="240"/>
      <c r="E21" s="68"/>
      <c r="F21" s="68"/>
      <c r="G21" s="68"/>
      <c r="H21" s="69"/>
      <c r="I21" s="69"/>
      <c r="J21" s="17"/>
    </row>
    <row r="22" spans="1:10" ht="13" customHeight="1" x14ac:dyDescent="0.35">
      <c r="A22" s="699"/>
      <c r="B22" s="78"/>
      <c r="C22" s="75"/>
      <c r="D22" s="73"/>
      <c r="E22" s="73"/>
      <c r="F22" s="73"/>
      <c r="G22" s="103"/>
      <c r="H22" s="94"/>
      <c r="I22" s="94"/>
      <c r="J22" s="17"/>
    </row>
    <row r="23" spans="1:10" ht="13" customHeight="1" x14ac:dyDescent="0.35">
      <c r="A23" s="744"/>
      <c r="B23" s="151"/>
      <c r="C23" s="785"/>
      <c r="D23" s="786"/>
      <c r="E23" s="141"/>
      <c r="F23" s="141"/>
      <c r="G23" s="141"/>
      <c r="H23" s="142"/>
      <c r="I23" s="142"/>
      <c r="J23" s="17"/>
    </row>
    <row r="24" spans="1:10" ht="13" customHeight="1" x14ac:dyDescent="0.35">
      <c r="A24" s="316"/>
      <c r="B24" s="317"/>
      <c r="C24" s="279"/>
      <c r="D24" s="315"/>
      <c r="E24" s="315"/>
      <c r="F24" s="315"/>
      <c r="G24" s="315"/>
      <c r="H24" s="315"/>
      <c r="I24" s="315"/>
      <c r="J24" s="17"/>
    </row>
    <row r="25" spans="1:10" ht="13" customHeight="1" x14ac:dyDescent="0.35">
      <c r="A25" s="787"/>
      <c r="B25" s="151"/>
      <c r="C25" s="152"/>
      <c r="D25" s="788"/>
      <c r="E25" s="788"/>
      <c r="F25" s="141"/>
      <c r="G25" s="141"/>
      <c r="H25" s="142"/>
      <c r="I25" s="142"/>
      <c r="J25" s="17"/>
    </row>
    <row r="26" spans="1:10" ht="13" customHeight="1" x14ac:dyDescent="0.35">
      <c r="A26" s="495"/>
      <c r="B26" s="78"/>
      <c r="C26" s="747"/>
      <c r="D26" s="72"/>
      <c r="E26" s="72"/>
      <c r="F26" s="72"/>
      <c r="G26" s="72"/>
      <c r="H26" s="73"/>
      <c r="I26" s="73"/>
      <c r="J26" s="17"/>
    </row>
    <row r="27" spans="1:10" ht="12.75" customHeight="1" x14ac:dyDescent="0.35">
      <c r="A27" s="83"/>
      <c r="B27" s="84"/>
      <c r="C27" s="67"/>
      <c r="D27" s="68"/>
      <c r="E27" s="68"/>
      <c r="F27" s="68"/>
      <c r="G27" s="68"/>
      <c r="H27" s="69"/>
      <c r="I27" s="69"/>
      <c r="J27" s="17"/>
    </row>
    <row r="28" spans="1:10" ht="13" customHeight="1" x14ac:dyDescent="0.35">
      <c r="A28" s="77"/>
      <c r="B28" s="78"/>
      <c r="C28" s="75"/>
      <c r="D28" s="73"/>
      <c r="E28" s="73"/>
      <c r="F28" s="73"/>
      <c r="G28" s="73"/>
      <c r="H28" s="73"/>
      <c r="I28" s="73"/>
      <c r="J28" s="17"/>
    </row>
    <row r="29" spans="1:10" ht="13" customHeight="1" x14ac:dyDescent="0.35">
      <c r="A29" s="501"/>
      <c r="B29" s="78"/>
      <c r="C29" s="500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171"/>
      <c r="B30" s="92"/>
      <c r="C30" s="93"/>
      <c r="D30" s="94"/>
      <c r="E30" s="94"/>
      <c r="F30" s="94"/>
      <c r="G30" s="94"/>
      <c r="H30" s="94"/>
      <c r="I30" s="94"/>
      <c r="J30" s="17"/>
    </row>
    <row r="31" spans="1:10" ht="13" customHeight="1" x14ac:dyDescent="0.35">
      <c r="A31" s="666"/>
      <c r="B31" s="102"/>
      <c r="C31" s="103"/>
      <c r="D31" s="667"/>
      <c r="E31" s="668"/>
      <c r="F31" s="668"/>
      <c r="G31" s="668"/>
      <c r="H31" s="668"/>
      <c r="I31" s="669"/>
      <c r="J31" s="17"/>
    </row>
    <row r="32" spans="1:10" ht="13" customHeight="1" x14ac:dyDescent="0.35">
      <c r="A32" s="77"/>
      <c r="B32" s="78"/>
      <c r="C32" s="75"/>
      <c r="D32" s="103"/>
      <c r="E32" s="73"/>
      <c r="F32" s="73"/>
      <c r="G32" s="73"/>
      <c r="H32" s="73"/>
      <c r="I32" s="73"/>
      <c r="J32" s="17"/>
    </row>
    <row r="33" spans="1:10" ht="12.75" customHeight="1" x14ac:dyDescent="0.35">
      <c r="A33" s="499"/>
      <c r="B33" s="78"/>
      <c r="C33" s="75"/>
      <c r="D33" s="502"/>
      <c r="E33" s="73"/>
      <c r="F33" s="73"/>
      <c r="G33" s="73"/>
      <c r="H33" s="73"/>
      <c r="I33" s="73"/>
      <c r="J33" s="17"/>
    </row>
    <row r="34" spans="1:10" ht="13" customHeight="1" x14ac:dyDescent="0.35">
      <c r="A34" s="77"/>
      <c r="B34" s="78"/>
      <c r="C34" s="75"/>
      <c r="D34" s="539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9"/>
      <c r="B37" s="70"/>
      <c r="C37" s="71"/>
      <c r="D37" s="72"/>
      <c r="E37" s="72"/>
      <c r="F37" s="73"/>
      <c r="G37" s="73"/>
      <c r="H37" s="73"/>
      <c r="I37" s="73"/>
      <c r="J37" s="17"/>
    </row>
    <row r="38" spans="1:10" ht="13" customHeight="1" x14ac:dyDescent="0.35">
      <c r="A38" s="77"/>
      <c r="B38" s="70"/>
      <c r="C38" s="71"/>
      <c r="D38" s="72"/>
      <c r="E38" s="72"/>
      <c r="F38" s="73"/>
      <c r="G38" s="73"/>
      <c r="H38" s="73"/>
      <c r="I38" s="73"/>
      <c r="J38" s="17"/>
    </row>
    <row r="39" spans="1:10" ht="13" customHeight="1" x14ac:dyDescent="0.35">
      <c r="A39" s="77"/>
      <c r="B39" s="70"/>
      <c r="C39" s="71"/>
      <c r="D39" s="72"/>
      <c r="E39" s="72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1"/>
      <c r="D40" s="72"/>
      <c r="E40" s="72"/>
      <c r="F40" s="72"/>
      <c r="G40" s="72"/>
      <c r="H40" s="73"/>
      <c r="I40" s="73"/>
      <c r="J40" s="17"/>
    </row>
    <row r="41" spans="1:10" ht="13" customHeight="1" x14ac:dyDescent="0.35">
      <c r="A41" s="77"/>
      <c r="B41" s="78"/>
      <c r="C41" s="71"/>
      <c r="D41" s="72"/>
      <c r="E41" s="72"/>
      <c r="F41" s="72"/>
      <c r="G41" s="72"/>
      <c r="H41" s="73"/>
      <c r="I41" s="73"/>
      <c r="J41" s="17"/>
    </row>
    <row r="42" spans="1:10" ht="13" customHeight="1" x14ac:dyDescent="0.35">
      <c r="A42" s="77"/>
      <c r="B42" s="78"/>
      <c r="C42" s="71"/>
      <c r="D42" s="72"/>
      <c r="E42" s="72"/>
      <c r="F42" s="72"/>
      <c r="G42" s="72"/>
      <c r="H42" s="73"/>
      <c r="I42" s="73"/>
      <c r="J42" s="17"/>
    </row>
    <row r="43" spans="1:10" ht="13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6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3"/>
  <dimension ref="A1:K50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4.81640625" style="7" bestFit="1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2">
        <v>15</v>
      </c>
      <c r="C6" s="880" t="s">
        <v>129</v>
      </c>
      <c r="D6" s="880"/>
      <c r="E6" s="880"/>
      <c r="F6" s="880"/>
      <c r="G6" s="880"/>
      <c r="H6" s="880"/>
      <c r="I6" s="880"/>
    </row>
    <row r="7" spans="1:11" ht="15" thickBot="1" x14ac:dyDescent="0.4">
      <c r="B7" s="46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1550431</v>
      </c>
      <c r="C9" s="33">
        <v>1546510</v>
      </c>
      <c r="D9" s="388">
        <f t="shared" ref="D9:D15" si="0">+C9+SUMIF($C$20:$C$58,K9,$D$20:$D$58)</f>
        <v>1546510</v>
      </c>
      <c r="E9" s="114">
        <f t="shared" ref="E9:E15" si="1">+D9+SUMIF($C$20:$C$58,K9,$E$20:$E$58)</f>
        <v>2980922</v>
      </c>
      <c r="F9" s="396">
        <f t="shared" ref="F9:F15" si="2">+E9+SUMIF($C$20:$C$58,K9,$F$20:$F$58)</f>
        <v>3026120</v>
      </c>
      <c r="G9" s="33">
        <f t="shared" ref="G9:G15" si="3">+F9+SUMIF($C$20:$C$58,K9,$G$20:$G$58)</f>
        <v>3026120</v>
      </c>
      <c r="H9" s="219">
        <f t="shared" ref="H9:H15" si="4">+G9+SUMIF($C$20:$C$58,K9,$H$20:$H$58)</f>
        <v>3026120</v>
      </c>
      <c r="I9" s="50">
        <f t="shared" ref="I9:I15" si="5">+H9+SUMIF($C$20:$C$58,K9,$I$20:$I$58)</f>
        <v>3026120</v>
      </c>
      <c r="K9" s="7">
        <v>100</v>
      </c>
    </row>
    <row r="10" spans="1:11" x14ac:dyDescent="0.35">
      <c r="A10" s="10" t="s">
        <v>5</v>
      </c>
      <c r="B10" s="35">
        <v>14360976</v>
      </c>
      <c r="C10" s="35">
        <v>13930892</v>
      </c>
      <c r="D10" s="222">
        <f t="shared" si="0"/>
        <v>13930892</v>
      </c>
      <c r="E10" s="506">
        <f t="shared" si="1"/>
        <v>20522810</v>
      </c>
      <c r="F10" s="504">
        <f t="shared" si="2"/>
        <v>17142012</v>
      </c>
      <c r="G10" s="35">
        <f t="shared" si="3"/>
        <v>17142012</v>
      </c>
      <c r="H10" s="222">
        <f t="shared" si="4"/>
        <v>17142012</v>
      </c>
      <c r="I10" s="36">
        <f t="shared" si="5"/>
        <v>17142012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43200</v>
      </c>
      <c r="F11" s="396">
        <f t="shared" si="2"/>
        <v>43200</v>
      </c>
      <c r="G11" s="33">
        <f t="shared" si="3"/>
        <v>43200</v>
      </c>
      <c r="H11" s="219">
        <f t="shared" si="4"/>
        <v>43200</v>
      </c>
      <c r="I11" s="34">
        <f t="shared" si="5"/>
        <v>43200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15911407</v>
      </c>
      <c r="C16" s="39">
        <f t="shared" ref="C16:I16" si="6">SUM(C9:C15)</f>
        <v>15477402</v>
      </c>
      <c r="D16" s="39">
        <f t="shared" si="6"/>
        <v>15477402</v>
      </c>
      <c r="E16" s="529">
        <f t="shared" si="6"/>
        <v>23546932</v>
      </c>
      <c r="F16" s="39">
        <f t="shared" si="6"/>
        <v>20211332</v>
      </c>
      <c r="G16" s="39">
        <f t="shared" si="6"/>
        <v>20211332</v>
      </c>
      <c r="H16" s="39">
        <f t="shared" si="6"/>
        <v>20211332</v>
      </c>
      <c r="I16" s="39">
        <f t="shared" si="6"/>
        <v>20211332</v>
      </c>
    </row>
    <row r="18" spans="1:10" x14ac:dyDescent="0.35">
      <c r="E18" s="401">
        <f>+E16-D16</f>
        <v>8069530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180" t="s">
        <v>592</v>
      </c>
      <c r="B21" s="189"/>
      <c r="C21" s="152">
        <v>100</v>
      </c>
      <c r="D21" s="141"/>
      <c r="E21" s="141">
        <v>15178</v>
      </c>
      <c r="F21" s="142"/>
      <c r="G21" s="142"/>
      <c r="H21" s="142"/>
      <c r="I21" s="142"/>
      <c r="J21" s="17"/>
    </row>
    <row r="22" spans="1:10" ht="13" customHeight="1" x14ac:dyDescent="0.35">
      <c r="A22" s="791"/>
      <c r="B22" s="89"/>
      <c r="C22" s="97"/>
      <c r="D22" s="98"/>
      <c r="E22" s="98"/>
      <c r="F22" s="91"/>
      <c r="G22" s="91"/>
      <c r="H22" s="91"/>
      <c r="I22" s="91"/>
      <c r="J22" s="17"/>
    </row>
    <row r="23" spans="1:10" ht="13" customHeight="1" x14ac:dyDescent="0.35">
      <c r="A23" s="704" t="s">
        <v>715</v>
      </c>
      <c r="B23" s="538"/>
      <c r="C23" s="705"/>
      <c r="D23" s="194"/>
      <c r="E23" s="69"/>
      <c r="F23" s="69"/>
      <c r="G23" s="69"/>
      <c r="H23" s="69"/>
      <c r="I23" s="69"/>
      <c r="J23" s="17"/>
    </row>
    <row r="24" spans="1:10" ht="13" customHeight="1" x14ac:dyDescent="0.35">
      <c r="A24" s="296" t="s">
        <v>803</v>
      </c>
      <c r="B24" s="295"/>
      <c r="C24" s="241">
        <v>100</v>
      </c>
      <c r="D24" s="242"/>
      <c r="E24" s="73">
        <v>659234</v>
      </c>
      <c r="F24" s="73">
        <f>704432-E24</f>
        <v>45198</v>
      </c>
      <c r="G24" s="73"/>
      <c r="H24" s="73"/>
      <c r="I24" s="73"/>
      <c r="J24" s="17"/>
    </row>
    <row r="25" spans="1:10" ht="13" customHeight="1" x14ac:dyDescent="0.35">
      <c r="A25" s="738"/>
      <c r="B25" s="84"/>
      <c r="C25" s="74">
        <v>200</v>
      </c>
      <c r="D25" s="69"/>
      <c r="E25" s="69">
        <v>6584958</v>
      </c>
      <c r="F25" s="69">
        <f>3205360-E25</f>
        <v>-3379598</v>
      </c>
      <c r="G25" s="69"/>
      <c r="H25" s="69"/>
      <c r="I25" s="69"/>
      <c r="J25" s="17"/>
    </row>
    <row r="26" spans="1:10" ht="13" customHeight="1" x14ac:dyDescent="0.35">
      <c r="A26" s="746"/>
      <c r="B26" s="78"/>
      <c r="C26" s="754" t="s">
        <v>167</v>
      </c>
      <c r="D26" s="73"/>
      <c r="E26" s="72">
        <v>21600</v>
      </c>
      <c r="F26" s="73"/>
      <c r="G26" s="73"/>
      <c r="H26" s="73"/>
      <c r="I26" s="73"/>
      <c r="J26" s="17"/>
    </row>
    <row r="27" spans="1:10" ht="12.75" customHeight="1" x14ac:dyDescent="0.35">
      <c r="A27" s="753" t="s">
        <v>851</v>
      </c>
      <c r="B27" s="84"/>
      <c r="C27" s="74">
        <v>100</v>
      </c>
      <c r="D27" s="69"/>
      <c r="E27" s="69">
        <v>760000</v>
      </c>
      <c r="F27" s="69"/>
      <c r="G27" s="69"/>
      <c r="H27" s="69"/>
      <c r="I27" s="69"/>
      <c r="J27" s="17"/>
    </row>
    <row r="28" spans="1:10" ht="12.75" customHeight="1" x14ac:dyDescent="0.35">
      <c r="A28" s="778"/>
      <c r="B28" s="70"/>
      <c r="C28" s="71">
        <v>200</v>
      </c>
      <c r="D28" s="72"/>
      <c r="E28" s="777">
        <v>6960</v>
      </c>
      <c r="F28" s="73">
        <f>5760-6960</f>
        <v>-1200</v>
      </c>
      <c r="G28" s="73"/>
      <c r="H28" s="73"/>
      <c r="I28" s="73"/>
      <c r="J28" s="17"/>
    </row>
    <row r="29" spans="1:10" ht="12.75" customHeight="1" x14ac:dyDescent="0.35">
      <c r="A29" s="753"/>
      <c r="B29" s="66"/>
      <c r="C29" s="803" t="s">
        <v>167</v>
      </c>
      <c r="D29" s="68"/>
      <c r="E29" s="68">
        <v>21600</v>
      </c>
      <c r="F29" s="69"/>
      <c r="G29" s="69"/>
      <c r="H29" s="69"/>
      <c r="I29" s="69"/>
      <c r="J29" s="17"/>
    </row>
    <row r="30" spans="1:10" ht="12.75" customHeight="1" x14ac:dyDescent="0.35">
      <c r="A30" s="201"/>
      <c r="B30" s="78"/>
      <c r="C30" s="71"/>
      <c r="D30" s="72"/>
      <c r="E30" s="72"/>
      <c r="F30" s="72"/>
      <c r="G30" s="72"/>
      <c r="H30" s="73"/>
      <c r="I30" s="73"/>
      <c r="J30" s="17"/>
    </row>
    <row r="31" spans="1:10" ht="12.75" customHeight="1" x14ac:dyDescent="0.35">
      <c r="A31" s="753"/>
      <c r="B31" s="84"/>
      <c r="C31" s="67"/>
      <c r="D31" s="68"/>
      <c r="E31" s="68"/>
      <c r="F31" s="68"/>
      <c r="G31" s="68"/>
      <c r="H31" s="69"/>
      <c r="I31" s="69"/>
      <c r="J31" s="17"/>
    </row>
    <row r="32" spans="1:10" ht="12.75" customHeight="1" x14ac:dyDescent="0.35">
      <c r="A32" s="77"/>
      <c r="B32" s="78"/>
      <c r="C32" s="71"/>
      <c r="D32" s="72"/>
      <c r="E32" s="72"/>
      <c r="F32" s="72"/>
      <c r="G32" s="72"/>
      <c r="H32" s="73"/>
      <c r="I32" s="73"/>
      <c r="J32" s="17"/>
    </row>
    <row r="33" spans="1:10" ht="13" customHeight="1" x14ac:dyDescent="0.35">
      <c r="A33" s="605"/>
      <c r="B33" s="84"/>
      <c r="C33" s="67"/>
      <c r="D33" s="68"/>
      <c r="E33" s="606"/>
      <c r="F33" s="68"/>
      <c r="G33" s="68"/>
      <c r="H33" s="69"/>
      <c r="I33" s="69"/>
      <c r="J33" s="17"/>
    </row>
    <row r="34" spans="1:10" ht="13" customHeight="1" x14ac:dyDescent="0.35">
      <c r="A34" s="604"/>
      <c r="B34" s="78"/>
      <c r="C34" s="71"/>
      <c r="D34" s="72"/>
      <c r="E34" s="72"/>
      <c r="F34" s="72"/>
      <c r="G34" s="72"/>
      <c r="H34" s="73"/>
      <c r="I34" s="73"/>
      <c r="J34" s="17"/>
    </row>
    <row r="35" spans="1:10" ht="13" customHeight="1" x14ac:dyDescent="0.35">
      <c r="A35" s="83"/>
      <c r="B35" s="84"/>
      <c r="C35" s="67"/>
      <c r="D35" s="68"/>
      <c r="E35" s="68"/>
      <c r="F35" s="68"/>
      <c r="G35" s="68"/>
      <c r="H35" s="69"/>
      <c r="I35" s="69"/>
      <c r="J35" s="17"/>
    </row>
    <row r="36" spans="1:10" ht="13" customHeight="1" x14ac:dyDescent="0.35">
      <c r="A36" s="77"/>
      <c r="B36" s="78"/>
      <c r="C36" s="71"/>
      <c r="D36" s="72"/>
      <c r="E36" s="72"/>
      <c r="F36" s="72"/>
      <c r="G36" s="72"/>
      <c r="H36" s="73"/>
      <c r="I36" s="73"/>
      <c r="J36" s="17"/>
    </row>
    <row r="37" spans="1:10" ht="13" customHeight="1" x14ac:dyDescent="0.35">
      <c r="A37" s="77"/>
      <c r="B37" s="78"/>
      <c r="C37" s="71"/>
      <c r="D37" s="72"/>
      <c r="E37" s="72"/>
      <c r="F37" s="72"/>
      <c r="G37" s="72"/>
      <c r="H37" s="73"/>
      <c r="I37" s="73"/>
      <c r="J37" s="17"/>
    </row>
    <row r="38" spans="1:10" ht="13" customHeight="1" x14ac:dyDescent="0.35">
      <c r="A38" s="77"/>
      <c r="B38" s="78"/>
      <c r="C38" s="71"/>
      <c r="D38" s="72"/>
      <c r="E38" s="72"/>
      <c r="F38" s="72"/>
      <c r="G38" s="72"/>
      <c r="H38" s="73"/>
      <c r="I38" s="73"/>
      <c r="J38" s="17"/>
    </row>
    <row r="39" spans="1:10" ht="13" customHeight="1" x14ac:dyDescent="0.35">
      <c r="A39" s="77"/>
      <c r="B39" s="78"/>
      <c r="C39" s="71"/>
      <c r="D39" s="72"/>
      <c r="E39" s="72"/>
      <c r="F39" s="72"/>
      <c r="G39" s="72"/>
      <c r="H39" s="73"/>
      <c r="I39" s="73"/>
      <c r="J39" s="17"/>
    </row>
    <row r="40" spans="1:10" ht="13" customHeight="1" x14ac:dyDescent="0.35">
      <c r="A40" s="77"/>
      <c r="B40" s="78"/>
      <c r="C40" s="71"/>
      <c r="D40" s="72"/>
      <c r="E40" s="72"/>
      <c r="F40" s="72"/>
      <c r="G40" s="72"/>
      <c r="H40" s="73"/>
      <c r="I40" s="73"/>
      <c r="J40" s="17"/>
    </row>
    <row r="41" spans="1:10" ht="12.75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2.75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2.75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2.75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2.75" customHeight="1" x14ac:dyDescent="0.35">
      <c r="A45" s="81"/>
      <c r="B45" s="81"/>
      <c r="C45" s="81"/>
      <c r="D45" s="81"/>
      <c r="E45" s="81"/>
      <c r="F45" s="81"/>
      <c r="G45" s="81"/>
      <c r="H45" s="81"/>
      <c r="I45" s="81"/>
      <c r="J45" s="17"/>
    </row>
    <row r="46" spans="1:10" ht="12.75" customHeight="1" x14ac:dyDescent="0.35">
      <c r="A46" s="81"/>
      <c r="B46" s="81"/>
      <c r="C46" s="81"/>
      <c r="D46" s="81"/>
      <c r="E46" s="81"/>
      <c r="F46" s="81"/>
      <c r="G46" s="81"/>
      <c r="H46" s="81"/>
      <c r="I46" s="81"/>
      <c r="J46" s="17"/>
    </row>
    <row r="47" spans="1:10" ht="12.75" customHeight="1" x14ac:dyDescent="0.35">
      <c r="A47" s="81"/>
      <c r="B47" s="81"/>
      <c r="C47" s="81"/>
      <c r="D47" s="81"/>
      <c r="E47" s="81"/>
      <c r="F47" s="81"/>
      <c r="G47" s="81"/>
      <c r="H47" s="81"/>
      <c r="I47" s="81"/>
      <c r="J47" s="17"/>
    </row>
    <row r="48" spans="1:10" ht="12.75" customHeight="1" x14ac:dyDescent="0.35">
      <c r="A48" s="81"/>
      <c r="B48" s="81"/>
      <c r="C48" s="81"/>
      <c r="D48" s="81"/>
      <c r="E48" s="81"/>
      <c r="F48" s="81"/>
      <c r="G48" s="81"/>
      <c r="H48" s="81"/>
      <c r="I48" s="81"/>
      <c r="J48" s="17"/>
    </row>
    <row r="49" spans="1:10" ht="12.75" customHeight="1" x14ac:dyDescent="0.35">
      <c r="A49" s="81"/>
      <c r="B49" s="81"/>
      <c r="C49" s="81"/>
      <c r="D49" s="81"/>
      <c r="E49" s="81"/>
      <c r="F49" s="81"/>
      <c r="G49" s="81"/>
      <c r="H49" s="81"/>
      <c r="I49" s="81"/>
      <c r="J49" s="17"/>
    </row>
    <row r="50" spans="1:10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A28">
    <cfRule type="expression" dxfId="160" priority="3">
      <formula>MOD(ROW(),2)=1</formula>
    </cfRule>
  </conditionalFormatting>
  <conditionalFormatting sqref="E28">
    <cfRule type="expression" dxfId="159" priority="2">
      <formula>MOD(ROW(),2)=1</formula>
    </cfRule>
  </conditionalFormatting>
  <conditionalFormatting sqref="C9:I15">
    <cfRule type="cellIs" dxfId="15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6">
    <tabColor theme="3"/>
  </sheetPr>
  <dimension ref="A1:V53"/>
  <sheetViews>
    <sheetView topLeftCell="A7" zoomScaleNormal="100" zoomScaleSheetLayoutView="90" workbookViewId="0">
      <selection activeCell="C15" sqref="C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" width="9.1796875" style="7"/>
    <col min="17" max="17" width="10" style="7" bestFit="1" customWidth="1"/>
    <col min="18" max="18" width="10.453125" style="7" bestFit="1" customWidth="1"/>
    <col min="19" max="20" width="9.1796875" style="7"/>
    <col min="21" max="21" width="10.453125" style="7" bestFit="1" customWidth="1"/>
    <col min="22" max="22" width="28.453125" style="7" bestFit="1" customWidth="1"/>
    <col min="23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190" t="s">
        <v>14</v>
      </c>
      <c r="B6" s="32">
        <v>65</v>
      </c>
      <c r="C6" s="880" t="s">
        <v>257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4435378</v>
      </c>
      <c r="C9" s="33">
        <v>4256565</v>
      </c>
      <c r="D9" s="219">
        <f t="shared" ref="D9:D15" si="0">+C9+SUMIF($C$20:$C$58,K9,$D$20:$D$58)</f>
        <v>4256565</v>
      </c>
      <c r="E9" s="114">
        <f t="shared" ref="E9:E15" si="1">+D9+SUMIF($C$20:$C$58,K9,$E$20:$E$58)</f>
        <v>5062173</v>
      </c>
      <c r="F9" s="396">
        <f t="shared" ref="F9:F15" si="2">+E9+SUMIF($C$20:$C$58,K9,$F$20:$F$58)</f>
        <v>5002173</v>
      </c>
      <c r="G9" s="33">
        <f t="shared" ref="G9:G15" si="3">+F9+SUMIF($C$20:$C$58,K9,$G$20:$G$58)</f>
        <v>5002173</v>
      </c>
      <c r="H9" s="219">
        <f t="shared" ref="H9:H15" si="4">+G9+SUMIF($C$20:$C$58,K9,$H$20:$H$58)</f>
        <v>5002173</v>
      </c>
      <c r="I9" s="50">
        <f t="shared" ref="I9:I15" si="5">+H9+SUMIF($C$20:$C$58,K9,$I$20:$I$58)</f>
        <v>5002173</v>
      </c>
      <c r="K9" s="7">
        <v>100</v>
      </c>
    </row>
    <row r="10" spans="1:11" x14ac:dyDescent="0.35">
      <c r="A10" s="10" t="s">
        <v>5</v>
      </c>
      <c r="B10" s="35">
        <v>2315960</v>
      </c>
      <c r="C10" s="35">
        <v>2050549</v>
      </c>
      <c r="D10" s="222">
        <f t="shared" si="0"/>
        <v>2050549</v>
      </c>
      <c r="E10" s="506">
        <f t="shared" si="1"/>
        <v>3865698</v>
      </c>
      <c r="F10" s="504">
        <f t="shared" si="2"/>
        <v>3865698</v>
      </c>
      <c r="G10" s="35">
        <f t="shared" si="3"/>
        <v>3865698</v>
      </c>
      <c r="H10" s="222">
        <f t="shared" si="4"/>
        <v>3865698</v>
      </c>
      <c r="I10" s="36">
        <f t="shared" si="5"/>
        <v>3865698</v>
      </c>
      <c r="K10" s="7">
        <v>200</v>
      </c>
    </row>
    <row r="11" spans="1:11" x14ac:dyDescent="0.35">
      <c r="A11" s="9" t="s">
        <v>6</v>
      </c>
      <c r="B11" s="33">
        <f>10972+2535</f>
        <v>13507</v>
      </c>
      <c r="C11" s="33">
        <v>26665</v>
      </c>
      <c r="D11" s="219">
        <f t="shared" si="0"/>
        <v>26665</v>
      </c>
      <c r="E11" s="114">
        <f t="shared" si="1"/>
        <v>2016665</v>
      </c>
      <c r="F11" s="396">
        <f t="shared" si="2"/>
        <v>2016665</v>
      </c>
      <c r="G11" s="33">
        <f t="shared" si="3"/>
        <v>16665</v>
      </c>
      <c r="H11" s="219">
        <f t="shared" si="4"/>
        <v>16665</v>
      </c>
      <c r="I11" s="34">
        <f t="shared" si="5"/>
        <v>16665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6764845</v>
      </c>
      <c r="C16" s="39">
        <f t="shared" ref="C16:I16" si="6">SUM(C9:C15)</f>
        <v>6333779</v>
      </c>
      <c r="D16" s="39">
        <f t="shared" si="6"/>
        <v>6333779</v>
      </c>
      <c r="E16" s="529">
        <f t="shared" si="6"/>
        <v>10944536</v>
      </c>
      <c r="F16" s="39">
        <f t="shared" si="6"/>
        <v>10884536</v>
      </c>
      <c r="G16" s="39">
        <f t="shared" si="6"/>
        <v>8884536</v>
      </c>
      <c r="H16" s="39">
        <f t="shared" si="6"/>
        <v>8884536</v>
      </c>
      <c r="I16" s="39">
        <f t="shared" si="6"/>
        <v>8884536</v>
      </c>
    </row>
    <row r="18" spans="1:22" x14ac:dyDescent="0.35">
      <c r="E18" s="391">
        <f>+E16-D16</f>
        <v>4610757</v>
      </c>
    </row>
    <row r="19" spans="1:22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  <c r="L19"/>
      <c r="M19"/>
      <c r="N19"/>
      <c r="O19" s="191"/>
      <c r="P19" s="192"/>
      <c r="Q19" s="192"/>
      <c r="R19" s="192"/>
      <c r="S19" s="192"/>
      <c r="T19" s="192"/>
      <c r="U19" s="192"/>
      <c r="V19" s="192"/>
    </row>
    <row r="20" spans="1:22" ht="15" customHeight="1" thickTop="1" x14ac:dyDescent="0.35">
      <c r="A20" s="228" t="s">
        <v>366</v>
      </c>
      <c r="B20" s="70"/>
      <c r="C20" s="71"/>
      <c r="D20" s="72"/>
      <c r="E20" s="72"/>
      <c r="F20" s="72"/>
      <c r="G20" s="73"/>
      <c r="H20" s="73"/>
      <c r="I20" s="73"/>
      <c r="L20"/>
      <c r="M20"/>
      <c r="N20"/>
      <c r="O20" s="191"/>
      <c r="P20" s="192"/>
      <c r="Q20" s="192"/>
      <c r="R20" s="192"/>
      <c r="S20" s="192"/>
      <c r="T20" s="192"/>
      <c r="U20" s="192"/>
      <c r="V20" s="192"/>
    </row>
    <row r="21" spans="1:22" ht="12.75" customHeight="1" x14ac:dyDescent="0.35">
      <c r="A21" s="165" t="s">
        <v>285</v>
      </c>
      <c r="B21" s="130"/>
      <c r="C21" s="130"/>
      <c r="D21" s="130"/>
      <c r="E21" s="142"/>
      <c r="F21" s="142"/>
      <c r="G21" s="142"/>
      <c r="H21" s="142"/>
      <c r="I21" s="142"/>
      <c r="J21" s="17"/>
    </row>
    <row r="22" spans="1:22" ht="12.75" customHeight="1" x14ac:dyDescent="0.35">
      <c r="A22" s="461" t="s">
        <v>296</v>
      </c>
      <c r="B22" s="17"/>
      <c r="C22" s="17">
        <v>100</v>
      </c>
      <c r="D22" s="72"/>
      <c r="E22" s="82">
        <v>-60000</v>
      </c>
      <c r="F22" s="82">
        <v>-60000</v>
      </c>
      <c r="G22" s="82"/>
      <c r="H22" s="82"/>
      <c r="I22" s="82"/>
    </row>
    <row r="23" spans="1:22" ht="12.75" customHeight="1" x14ac:dyDescent="0.35">
      <c r="A23" s="312" t="s">
        <v>428</v>
      </c>
      <c r="B23" s="143"/>
      <c r="C23" s="130"/>
      <c r="D23" s="68"/>
      <c r="E23" s="128"/>
      <c r="F23" s="128"/>
      <c r="G23" s="128"/>
      <c r="H23" s="128"/>
      <c r="I23" s="128"/>
    </row>
    <row r="24" spans="1:22" ht="12.75" customHeight="1" x14ac:dyDescent="0.35">
      <c r="A24" s="591" t="s">
        <v>447</v>
      </c>
      <c r="B24" s="81"/>
      <c r="C24" s="81">
        <v>200</v>
      </c>
      <c r="D24" s="82"/>
      <c r="E24" s="82">
        <v>-400000</v>
      </c>
      <c r="F24" s="58"/>
      <c r="G24" s="58"/>
      <c r="H24" s="58"/>
      <c r="I24" s="58"/>
    </row>
    <row r="25" spans="1:22" ht="12.75" customHeight="1" x14ac:dyDescent="0.35">
      <c r="A25" s="312" t="s">
        <v>487</v>
      </c>
      <c r="B25" s="143"/>
      <c r="C25" s="484"/>
      <c r="D25" s="69"/>
      <c r="E25" s="69"/>
      <c r="F25" s="69"/>
      <c r="G25" s="69"/>
      <c r="H25" s="69"/>
      <c r="I25" s="69"/>
    </row>
    <row r="26" spans="1:22" ht="12.75" customHeight="1" x14ac:dyDescent="0.35">
      <c r="A26" s="591" t="s">
        <v>581</v>
      </c>
      <c r="B26" s="81"/>
      <c r="C26" s="81">
        <v>100</v>
      </c>
      <c r="D26" s="82"/>
      <c r="E26" s="82"/>
      <c r="F26" s="82">
        <v>419165</v>
      </c>
      <c r="G26" s="82"/>
      <c r="H26" s="82"/>
      <c r="I26" s="82"/>
    </row>
    <row r="27" spans="1:22" ht="12.75" customHeight="1" x14ac:dyDescent="0.35">
      <c r="A27" s="298" t="s">
        <v>528</v>
      </c>
      <c r="B27" s="143"/>
      <c r="C27" s="484">
        <v>200</v>
      </c>
      <c r="D27" s="69"/>
      <c r="E27" s="69"/>
      <c r="F27" s="69">
        <v>851500</v>
      </c>
      <c r="G27" s="143"/>
      <c r="H27" s="143"/>
      <c r="I27" s="143"/>
    </row>
    <row r="28" spans="1:22" ht="12.75" customHeight="1" x14ac:dyDescent="0.35">
      <c r="A28" s="601" t="s">
        <v>588</v>
      </c>
      <c r="B28" s="81"/>
      <c r="C28" s="81">
        <v>100</v>
      </c>
      <c r="D28" s="72"/>
      <c r="E28" s="82">
        <v>63232</v>
      </c>
      <c r="F28" s="82"/>
      <c r="G28" s="82"/>
      <c r="H28" s="82"/>
      <c r="I28" s="82"/>
    </row>
    <row r="29" spans="1:22" ht="12.75" customHeight="1" x14ac:dyDescent="0.35">
      <c r="A29" s="774" t="s">
        <v>596</v>
      </c>
      <c r="B29" s="196"/>
      <c r="C29" s="140"/>
      <c r="D29" s="141"/>
      <c r="E29" s="129"/>
      <c r="F29" s="129"/>
      <c r="G29" s="196"/>
      <c r="H29" s="196"/>
      <c r="I29" s="196"/>
    </row>
    <row r="30" spans="1:22" ht="12.75" customHeight="1" x14ac:dyDescent="0.35">
      <c r="A30" s="780" t="s">
        <v>616</v>
      </c>
      <c r="B30" s="702"/>
      <c r="C30" s="232">
        <v>100</v>
      </c>
      <c r="D30" s="82"/>
      <c r="E30" s="82"/>
      <c r="F30" s="82">
        <v>-419165</v>
      </c>
      <c r="G30" s="82">
        <v>419165</v>
      </c>
      <c r="H30" s="82"/>
      <c r="I30" s="82"/>
    </row>
    <row r="31" spans="1:22" ht="12.75" customHeight="1" x14ac:dyDescent="0.35">
      <c r="A31" s="293"/>
      <c r="B31" s="294"/>
      <c r="C31" s="239">
        <v>200</v>
      </c>
      <c r="D31" s="69"/>
      <c r="E31" s="69"/>
      <c r="F31" s="69">
        <v>-851500</v>
      </c>
      <c r="G31" s="69">
        <v>851500</v>
      </c>
      <c r="H31" s="69"/>
      <c r="I31" s="69"/>
    </row>
    <row r="32" spans="1:22" ht="12.75" customHeight="1" x14ac:dyDescent="0.35">
      <c r="A32" s="700" t="s">
        <v>748</v>
      </c>
      <c r="B32" s="81"/>
      <c r="C32" s="81"/>
      <c r="D32" s="82"/>
      <c r="E32" s="82"/>
      <c r="F32" s="82"/>
      <c r="G32" s="82"/>
      <c r="H32" s="82"/>
      <c r="I32" s="82"/>
    </row>
    <row r="33" spans="1:9" ht="12.75" customHeight="1" x14ac:dyDescent="0.35">
      <c r="A33" s="298" t="s">
        <v>804</v>
      </c>
      <c r="B33" s="143"/>
      <c r="C33" s="484">
        <v>200</v>
      </c>
      <c r="D33" s="69"/>
      <c r="E33" s="69">
        <v>-286851</v>
      </c>
      <c r="F33" s="69"/>
      <c r="G33" s="69"/>
      <c r="H33" s="69"/>
      <c r="I33" s="69"/>
    </row>
    <row r="34" spans="1:9" ht="12.75" customHeight="1" x14ac:dyDescent="0.35">
      <c r="A34" s="752"/>
      <c r="B34" s="81"/>
      <c r="C34" s="857" t="s">
        <v>167</v>
      </c>
      <c r="D34" s="82"/>
      <c r="E34" s="82">
        <v>-10000</v>
      </c>
      <c r="F34" s="82"/>
      <c r="G34" s="82"/>
      <c r="H34" s="82"/>
      <c r="I34" s="82"/>
    </row>
    <row r="35" spans="1:9" ht="12.75" customHeight="1" x14ac:dyDescent="0.35">
      <c r="A35" s="298" t="s">
        <v>805</v>
      </c>
      <c r="B35" s="143"/>
      <c r="C35" s="484">
        <v>100</v>
      </c>
      <c r="D35" s="69"/>
      <c r="E35" s="69">
        <v>1000000</v>
      </c>
      <c r="F35" s="69"/>
      <c r="G35" s="69"/>
      <c r="H35" s="69"/>
      <c r="I35" s="69"/>
    </row>
    <row r="36" spans="1:9" ht="12.75" customHeight="1" x14ac:dyDescent="0.35">
      <c r="A36" s="591"/>
      <c r="B36" s="81"/>
      <c r="C36" s="81">
        <v>200</v>
      </c>
      <c r="D36" s="82"/>
      <c r="E36" s="82">
        <v>2000000</v>
      </c>
      <c r="F36" s="82"/>
      <c r="G36" s="82"/>
      <c r="H36" s="82"/>
      <c r="I36" s="82"/>
    </row>
    <row r="37" spans="1:9" ht="12.75" customHeight="1" x14ac:dyDescent="0.35">
      <c r="A37" s="298"/>
      <c r="B37" s="143"/>
      <c r="C37" s="751" t="s">
        <v>167</v>
      </c>
      <c r="D37" s="69"/>
      <c r="E37" s="69">
        <v>2000000</v>
      </c>
      <c r="F37" s="69"/>
      <c r="G37" s="69">
        <v>-2000000</v>
      </c>
      <c r="H37" s="69"/>
      <c r="I37" s="69"/>
    </row>
    <row r="38" spans="1:9" ht="12.75" customHeight="1" x14ac:dyDescent="0.35">
      <c r="A38" s="752" t="s">
        <v>806</v>
      </c>
      <c r="B38" s="81"/>
      <c r="C38" s="81">
        <v>200</v>
      </c>
      <c r="D38" s="82"/>
      <c r="E38" s="82">
        <v>502000</v>
      </c>
      <c r="F38" s="82"/>
      <c r="G38" s="82"/>
      <c r="H38" s="82"/>
      <c r="I38" s="82"/>
    </row>
    <row r="39" spans="1:9" ht="12.75" customHeight="1" x14ac:dyDescent="0.35">
      <c r="A39" s="298" t="s">
        <v>833</v>
      </c>
      <c r="B39" s="143"/>
      <c r="C39" s="484">
        <v>100</v>
      </c>
      <c r="D39" s="69"/>
      <c r="E39" s="69">
        <v>-197624</v>
      </c>
      <c r="F39" s="69"/>
      <c r="G39" s="69"/>
      <c r="H39" s="69"/>
      <c r="I39" s="69"/>
    </row>
    <row r="40" spans="1:9" ht="12.75" customHeight="1" x14ac:dyDescent="0.35">
      <c r="A40" s="752" t="s">
        <v>860</v>
      </c>
      <c r="B40" s="81"/>
      <c r="C40" s="81">
        <v>100</v>
      </c>
      <c r="D40" s="82"/>
      <c r="E40" s="82"/>
      <c r="F40" s="82"/>
      <c r="G40" s="82">
        <v>-419165</v>
      </c>
      <c r="H40" s="82"/>
      <c r="I40" s="82"/>
    </row>
    <row r="41" spans="1:9" ht="12.75" customHeight="1" x14ac:dyDescent="0.35">
      <c r="A41" s="298"/>
      <c r="B41" s="143"/>
      <c r="C41" s="484">
        <v>200</v>
      </c>
      <c r="D41" s="69"/>
      <c r="E41" s="69"/>
      <c r="F41" s="69"/>
      <c r="G41" s="69">
        <v>-851500</v>
      </c>
      <c r="H41" s="69"/>
      <c r="I41" s="69"/>
    </row>
    <row r="42" spans="1:9" ht="12.75" customHeight="1" x14ac:dyDescent="0.35">
      <c r="A42" s="591"/>
      <c r="B42" s="81"/>
      <c r="C42" s="81"/>
      <c r="D42" s="82"/>
      <c r="E42" s="82"/>
      <c r="F42" s="82"/>
      <c r="G42" s="82"/>
      <c r="H42" s="82"/>
      <c r="I42" s="82"/>
    </row>
    <row r="43" spans="1:9" ht="12.75" customHeight="1" x14ac:dyDescent="0.35">
      <c r="A43" s="298"/>
      <c r="B43" s="143"/>
      <c r="C43" s="484"/>
      <c r="D43" s="69"/>
      <c r="E43" s="69"/>
      <c r="F43" s="69"/>
      <c r="G43" s="69"/>
      <c r="H43" s="69"/>
      <c r="I43" s="69"/>
    </row>
    <row r="44" spans="1:9" ht="12.75" customHeight="1" x14ac:dyDescent="0.35">
      <c r="A44" s="700"/>
      <c r="D44" s="82"/>
      <c r="E44" s="82"/>
      <c r="F44" s="82"/>
      <c r="G44" s="82"/>
      <c r="H44" s="82"/>
      <c r="I44" s="82"/>
    </row>
    <row r="45" spans="1:9" ht="12.75" customHeight="1" x14ac:dyDescent="0.35">
      <c r="A45" s="298"/>
      <c r="B45" s="143"/>
      <c r="C45" s="484"/>
      <c r="D45" s="69"/>
      <c r="E45" s="69"/>
      <c r="F45" s="69"/>
      <c r="G45" s="69"/>
      <c r="H45" s="69"/>
      <c r="I45" s="69"/>
    </row>
    <row r="46" spans="1:9" ht="12.75" customHeight="1" x14ac:dyDescent="0.35">
      <c r="A46" s="591"/>
      <c r="B46" s="81"/>
      <c r="C46" s="81"/>
      <c r="D46" s="82"/>
      <c r="E46" s="82"/>
      <c r="F46" s="82"/>
      <c r="G46" s="82"/>
      <c r="H46" s="82"/>
      <c r="I46" s="82"/>
    </row>
    <row r="47" spans="1:9" ht="12.75" customHeight="1" x14ac:dyDescent="0.35">
      <c r="A47" s="298"/>
      <c r="B47" s="143"/>
      <c r="C47" s="484"/>
      <c r="D47" s="69"/>
      <c r="E47" s="69"/>
      <c r="F47" s="69"/>
      <c r="G47" s="69"/>
      <c r="H47" s="69"/>
      <c r="I47" s="69"/>
    </row>
    <row r="48" spans="1:9" ht="12.75" customHeight="1" x14ac:dyDescent="0.35">
      <c r="A48" s="591"/>
      <c r="B48" s="81"/>
      <c r="C48" s="81"/>
      <c r="D48" s="82"/>
      <c r="E48" s="82"/>
      <c r="F48" s="82"/>
      <c r="G48" s="82"/>
      <c r="H48" s="82"/>
      <c r="I48" s="82"/>
    </row>
    <row r="49" spans="1:9" ht="12.75" customHeight="1" x14ac:dyDescent="0.35">
      <c r="A49" s="298"/>
      <c r="B49" s="143"/>
      <c r="C49" s="484"/>
      <c r="D49" s="69"/>
      <c r="E49" s="69"/>
      <c r="F49" s="69"/>
      <c r="G49" s="69"/>
      <c r="H49" s="69"/>
      <c r="I49" s="69"/>
    </row>
    <row r="50" spans="1:9" ht="12.75" customHeight="1" x14ac:dyDescent="0.35"/>
    <row r="51" spans="1:9" ht="12.75" customHeight="1" x14ac:dyDescent="0.35"/>
    <row r="52" spans="1:9" ht="12.75" customHeight="1" x14ac:dyDescent="0.35"/>
    <row r="53" spans="1:9" ht="12.75" customHeight="1" x14ac:dyDescent="0.35"/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15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tabColor rgb="FF92D050"/>
  </sheetPr>
  <dimension ref="A1:K57"/>
  <sheetViews>
    <sheetView topLeftCell="A10"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 t="s">
        <v>63</v>
      </c>
      <c r="C6" s="880" t="s">
        <v>323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90000</f>
        <v>90000</v>
      </c>
      <c r="C9" s="33">
        <v>45000</v>
      </c>
      <c r="D9" s="219">
        <f t="shared" ref="D9:D15" si="0">+C9+SUMIF($C$20:$C$58,K9,$D$20:$D$58)</f>
        <v>45000</v>
      </c>
      <c r="E9" s="114">
        <f t="shared" ref="E9:E15" si="1">+D9+SUMIF($C$20:$C$58,K9,$E$20:$E$58)</f>
        <v>45000</v>
      </c>
      <c r="F9" s="396">
        <f t="shared" ref="F9:F15" si="2">+E9+SUMIF($C$20:$C$58,K9,$F$20:$F$58)</f>
        <v>45000</v>
      </c>
      <c r="G9" s="33">
        <f t="shared" ref="G9:G15" si="3">+F9+SUMIF($C$20:$C$58,K9,$G$20:$G$58)</f>
        <v>45000</v>
      </c>
      <c r="H9" s="219">
        <f t="shared" ref="H9:H15" si="4">+G9+SUMIF($C$20:$C$58,K9,$H$20:$H$58)</f>
        <v>45000</v>
      </c>
      <c r="I9" s="50">
        <f t="shared" ref="I9:I15" si="5">+H9+SUMIF($C$20:$C$58,K9,$I$20:$I$58)</f>
        <v>45000</v>
      </c>
      <c r="K9" s="7">
        <v>100</v>
      </c>
    </row>
    <row r="10" spans="1:11" x14ac:dyDescent="0.35">
      <c r="A10" s="10" t="s">
        <v>5</v>
      </c>
      <c r="B10" s="35">
        <v>0</v>
      </c>
      <c r="C10" s="35">
        <v>0</v>
      </c>
      <c r="D10" s="222">
        <f t="shared" si="0"/>
        <v>0</v>
      </c>
      <c r="E10" s="506">
        <f t="shared" si="1"/>
        <v>0</v>
      </c>
      <c r="F10" s="504">
        <f t="shared" si="2"/>
        <v>0</v>
      </c>
      <c r="G10" s="35">
        <f t="shared" si="3"/>
        <v>0</v>
      </c>
      <c r="H10" s="222">
        <f t="shared" si="4"/>
        <v>0</v>
      </c>
      <c r="I10" s="36">
        <f t="shared" si="5"/>
        <v>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K11" s="7" t="s">
        <v>167</v>
      </c>
    </row>
    <row r="12" spans="1:11" x14ac:dyDescent="0.35">
      <c r="A12" s="10" t="s">
        <v>7</v>
      </c>
      <c r="B12" s="35">
        <v>500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90500</v>
      </c>
      <c r="C16" s="39">
        <f t="shared" ref="C16:I16" si="6">SUM(C9:C15)</f>
        <v>45000</v>
      </c>
      <c r="D16" s="39">
        <f t="shared" si="6"/>
        <v>45000</v>
      </c>
      <c r="E16" s="529">
        <f t="shared" si="6"/>
        <v>45000</v>
      </c>
      <c r="F16" s="39">
        <f t="shared" si="6"/>
        <v>45000</v>
      </c>
      <c r="G16" s="39">
        <f t="shared" si="6"/>
        <v>45000</v>
      </c>
      <c r="H16" s="39">
        <f t="shared" si="6"/>
        <v>45000</v>
      </c>
      <c r="I16" s="39">
        <f t="shared" si="6"/>
        <v>45000</v>
      </c>
    </row>
    <row r="18" spans="1:11" x14ac:dyDescent="0.35">
      <c r="E18" s="391">
        <f>+E16-D16</f>
        <v>0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436" t="s">
        <v>392</v>
      </c>
      <c r="B20" s="70"/>
      <c r="C20" s="71"/>
      <c r="D20" s="72"/>
      <c r="E20" s="72"/>
      <c r="F20" s="72"/>
      <c r="G20" s="73"/>
      <c r="H20" s="73"/>
      <c r="I20" s="73"/>
    </row>
    <row r="21" spans="1:11" ht="13" customHeight="1" x14ac:dyDescent="0.35">
      <c r="A21" s="756" t="s">
        <v>486</v>
      </c>
      <c r="B21" s="66"/>
      <c r="C21" s="67"/>
      <c r="D21" s="68"/>
      <c r="E21" s="68"/>
      <c r="F21" s="129"/>
      <c r="G21" s="69"/>
      <c r="H21" s="69"/>
      <c r="I21" s="69"/>
      <c r="J21" s="17"/>
    </row>
    <row r="22" spans="1:11" s="58" customFormat="1" ht="13" customHeight="1" x14ac:dyDescent="0.35">
      <c r="A22" s="348" t="s">
        <v>498</v>
      </c>
      <c r="B22" s="101"/>
      <c r="C22" s="102">
        <v>100</v>
      </c>
      <c r="D22" s="103"/>
      <c r="E22" s="103"/>
      <c r="F22" s="94">
        <v>45000</v>
      </c>
      <c r="G22" s="94"/>
      <c r="H22" s="94"/>
      <c r="I22" s="94"/>
      <c r="J22" s="81"/>
      <c r="K22" s="7"/>
    </row>
    <row r="23" spans="1:11" ht="13" customHeight="1" x14ac:dyDescent="0.35">
      <c r="A23" s="756" t="s">
        <v>594</v>
      </c>
      <c r="B23" s="66"/>
      <c r="C23" s="67"/>
      <c r="D23" s="68"/>
      <c r="E23" s="68"/>
      <c r="F23" s="129"/>
      <c r="G23" s="69"/>
      <c r="H23" s="69"/>
      <c r="I23" s="69"/>
      <c r="J23" s="17"/>
    </row>
    <row r="24" spans="1:11" ht="13" customHeight="1" x14ac:dyDescent="0.35">
      <c r="A24" s="746" t="s">
        <v>616</v>
      </c>
      <c r="B24" s="78"/>
      <c r="C24" s="71">
        <v>100</v>
      </c>
      <c r="D24" s="72"/>
      <c r="E24" s="72"/>
      <c r="F24" s="72">
        <v>-45000</v>
      </c>
      <c r="G24" s="72">
        <v>45000</v>
      </c>
      <c r="H24" s="73"/>
      <c r="I24" s="73"/>
      <c r="J24" s="17"/>
    </row>
    <row r="25" spans="1:11" ht="12.75" customHeight="1" x14ac:dyDescent="0.35">
      <c r="A25" s="756" t="s">
        <v>758</v>
      </c>
      <c r="B25" s="66"/>
      <c r="C25" s="67"/>
      <c r="D25" s="68"/>
      <c r="E25" s="68"/>
      <c r="F25" s="129"/>
      <c r="G25" s="69"/>
      <c r="H25" s="69"/>
      <c r="I25" s="69"/>
      <c r="J25" s="17"/>
    </row>
    <row r="26" spans="1:11" ht="12.75" customHeight="1" x14ac:dyDescent="0.35">
      <c r="A26" s="746" t="s">
        <v>853</v>
      </c>
      <c r="B26" s="78"/>
      <c r="C26" s="71">
        <v>100</v>
      </c>
      <c r="D26" s="72"/>
      <c r="E26" s="72"/>
      <c r="F26" s="72"/>
      <c r="G26" s="72">
        <v>-45000</v>
      </c>
      <c r="H26" s="73"/>
      <c r="I26" s="73"/>
      <c r="J26" s="81"/>
    </row>
    <row r="27" spans="1:11" ht="12.75" customHeight="1" x14ac:dyDescent="0.35">
      <c r="A27" s="157"/>
      <c r="B27" s="78"/>
      <c r="C27" s="71"/>
      <c r="D27" s="72"/>
      <c r="E27" s="72"/>
      <c r="F27" s="72"/>
      <c r="G27" s="72"/>
      <c r="H27" s="73"/>
      <c r="I27" s="73"/>
      <c r="J27" s="81"/>
    </row>
    <row r="28" spans="1:11" ht="12.75" customHeight="1" x14ac:dyDescent="0.35">
      <c r="A28" s="296"/>
      <c r="B28" s="81"/>
      <c r="C28" s="81"/>
      <c r="D28" s="72"/>
      <c r="E28" s="72"/>
      <c r="F28" s="72"/>
      <c r="G28" s="72"/>
      <c r="H28" s="73"/>
      <c r="I28" s="73"/>
      <c r="J28" s="81"/>
    </row>
    <row r="29" spans="1:11" ht="12.75" customHeight="1" x14ac:dyDescent="0.35">
      <c r="A29" s="81"/>
      <c r="B29" s="81"/>
      <c r="C29" s="81"/>
      <c r="D29" s="81"/>
      <c r="E29" s="72"/>
      <c r="F29" s="72"/>
      <c r="G29" s="72"/>
      <c r="H29" s="73"/>
      <c r="I29" s="73"/>
      <c r="J29" s="81"/>
    </row>
    <row r="30" spans="1:11" ht="12.75" customHeight="1" x14ac:dyDescent="0.35">
      <c r="A30" s="187"/>
      <c r="B30" s="81"/>
      <c r="C30" s="81"/>
      <c r="D30" s="81"/>
      <c r="E30" s="72"/>
      <c r="F30" s="72"/>
      <c r="G30" s="72"/>
      <c r="H30" s="73"/>
      <c r="I30" s="73"/>
      <c r="J30" s="81"/>
    </row>
    <row r="31" spans="1:11" ht="12.75" customHeight="1" x14ac:dyDescent="0.35">
      <c r="A31" s="77"/>
      <c r="B31" s="78"/>
      <c r="C31" s="75"/>
      <c r="D31" s="73"/>
      <c r="E31" s="73"/>
      <c r="F31" s="73"/>
      <c r="G31" s="73"/>
      <c r="H31" s="73"/>
      <c r="I31" s="73"/>
      <c r="J31" s="81"/>
    </row>
    <row r="32" spans="1:11" ht="12.75" customHeight="1" x14ac:dyDescent="0.35">
      <c r="A32" s="77"/>
      <c r="B32" s="78"/>
      <c r="C32" s="75"/>
      <c r="D32" s="73"/>
      <c r="E32" s="73"/>
      <c r="F32" s="73"/>
      <c r="G32" s="73"/>
      <c r="H32" s="73"/>
      <c r="I32" s="73"/>
      <c r="J32" s="81"/>
    </row>
    <row r="33" spans="1:10" ht="12.75" customHeight="1" x14ac:dyDescent="0.35">
      <c r="A33" s="77"/>
      <c r="B33" s="78"/>
      <c r="C33" s="75"/>
      <c r="D33" s="73"/>
      <c r="E33" s="73"/>
      <c r="F33" s="73"/>
      <c r="G33" s="73"/>
      <c r="H33" s="73"/>
      <c r="I33" s="73"/>
      <c r="J33" s="17"/>
    </row>
    <row r="34" spans="1:10" ht="12.75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2.75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2.75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2.75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2.75" customHeight="1" x14ac:dyDescent="0.35">
      <c r="A40" s="79"/>
      <c r="B40" s="70"/>
      <c r="C40" s="71"/>
      <c r="D40" s="72"/>
      <c r="E40" s="72"/>
      <c r="F40" s="73"/>
      <c r="G40" s="73"/>
      <c r="H40" s="73"/>
      <c r="I40" s="73"/>
      <c r="J40" s="17"/>
    </row>
    <row r="41" spans="1:10" ht="12.75" customHeight="1" x14ac:dyDescent="0.35">
      <c r="A41" s="77"/>
      <c r="B41" s="70"/>
      <c r="C41" s="71"/>
      <c r="D41" s="72"/>
      <c r="E41" s="72"/>
      <c r="F41" s="73"/>
      <c r="G41" s="73"/>
      <c r="H41" s="73"/>
      <c r="I41" s="73"/>
      <c r="J41" s="17"/>
    </row>
    <row r="42" spans="1:10" ht="12.75" customHeight="1" x14ac:dyDescent="0.35">
      <c r="A42" s="77"/>
      <c r="B42" s="70"/>
      <c r="C42" s="71"/>
      <c r="D42" s="72"/>
      <c r="E42" s="72"/>
      <c r="F42" s="73"/>
      <c r="G42" s="73"/>
      <c r="H42" s="73"/>
      <c r="I42" s="73"/>
      <c r="J42" s="17"/>
    </row>
    <row r="43" spans="1:10" ht="12.75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2.75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2.75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2.75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2.75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2.75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2.75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2.75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2.75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2.75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56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66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367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61</v>
      </c>
      <c r="C6" s="880" t="s">
        <v>166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9466389</v>
      </c>
      <c r="C9" s="33">
        <v>9045839</v>
      </c>
      <c r="D9" s="219">
        <f t="shared" ref="D9:D15" si="0">+C9+SUMIF($C$20:$C$51,K9,$D$20:$D$51)</f>
        <v>9045839</v>
      </c>
      <c r="E9" s="114">
        <f>+D9+SUMIF($C$20:$C$51,K9,$E$20:$E$51)</f>
        <v>8955839</v>
      </c>
      <c r="F9" s="396">
        <f>+E9+SUMIF($C$20:$C$51,K9,$F$20:$F$51)</f>
        <v>8955839</v>
      </c>
      <c r="G9" s="33">
        <f>+F9+SUMIF($C$20:$C$51,K9,$G$20:$G$51)</f>
        <v>8955839</v>
      </c>
      <c r="H9" s="219">
        <f>+G9+SUMIF($C$20:$C$51,K9,$H$20:$H$51)</f>
        <v>8955839</v>
      </c>
      <c r="I9" s="50">
        <f>+H9+SUMIF($C$20:$C$51,K9,$I$20:$I$51)</f>
        <v>8955839</v>
      </c>
      <c r="K9" s="7">
        <v>100</v>
      </c>
    </row>
    <row r="10" spans="1:11" x14ac:dyDescent="0.35">
      <c r="A10" s="10" t="s">
        <v>5</v>
      </c>
      <c r="B10" s="35">
        <v>496971</v>
      </c>
      <c r="C10" s="35">
        <v>497450</v>
      </c>
      <c r="D10" s="222">
        <f t="shared" si="0"/>
        <v>497450</v>
      </c>
      <c r="E10" s="506">
        <f t="shared" ref="E10:E15" si="1">+D10+SUMIF($C$20:$C$51,K10,$E$20:$E$51)</f>
        <v>497450</v>
      </c>
      <c r="F10" s="504">
        <f t="shared" ref="F10:F15" si="2">+E10+SUMIF($C$20:$C$51,K10,$F$20:$F$51)</f>
        <v>497450</v>
      </c>
      <c r="G10" s="35">
        <f t="shared" ref="G10:G15" si="3">+F10+SUMIF($C$20:$C$51,K10,$G$20:$G$51)</f>
        <v>497450</v>
      </c>
      <c r="H10" s="222">
        <f t="shared" ref="H10:H15" si="4">+G10+SUMIF($C$20:$C$51,K10,$H$20:$H$51)</f>
        <v>497450</v>
      </c>
      <c r="I10" s="36">
        <f t="shared" ref="I10:I15" si="5">+H10+SUMIF($C$20:$C$51,K10,$I$20:$I$51)</f>
        <v>497450</v>
      </c>
      <c r="K10" s="7">
        <v>200</v>
      </c>
    </row>
    <row r="11" spans="1:11" x14ac:dyDescent="0.35">
      <c r="A11" s="9" t="s">
        <v>6</v>
      </c>
      <c r="B11" s="33">
        <f>17973+2630</f>
        <v>20603</v>
      </c>
      <c r="C11" s="33">
        <v>25000</v>
      </c>
      <c r="D11" s="219">
        <f t="shared" si="0"/>
        <v>25000</v>
      </c>
      <c r="E11" s="114">
        <f t="shared" si="1"/>
        <v>25000</v>
      </c>
      <c r="F11" s="396">
        <f t="shared" si="2"/>
        <v>25000</v>
      </c>
      <c r="G11" s="33">
        <f t="shared" si="3"/>
        <v>25000</v>
      </c>
      <c r="H11" s="219">
        <f t="shared" si="4"/>
        <v>25000</v>
      </c>
      <c r="I11" s="34">
        <f t="shared" si="5"/>
        <v>25000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9983963</v>
      </c>
      <c r="C16" s="39">
        <f t="shared" ref="C16:I16" si="6">SUM(C9:C15)</f>
        <v>9568289</v>
      </c>
      <c r="D16" s="39">
        <f t="shared" si="6"/>
        <v>9568289</v>
      </c>
      <c r="E16" s="529">
        <f t="shared" si="6"/>
        <v>9478289</v>
      </c>
      <c r="F16" s="39">
        <f t="shared" si="6"/>
        <v>9478289</v>
      </c>
      <c r="G16" s="39">
        <f t="shared" si="6"/>
        <v>9478289</v>
      </c>
      <c r="H16" s="39">
        <f t="shared" si="6"/>
        <v>9478289</v>
      </c>
      <c r="I16" s="39">
        <f t="shared" si="6"/>
        <v>9478289</v>
      </c>
    </row>
    <row r="18" spans="1:10" x14ac:dyDescent="0.35">
      <c r="B18" s="14"/>
      <c r="E18" s="401">
        <f>+E16-D16</f>
        <v>-90000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00" t="s">
        <v>370</v>
      </c>
      <c r="B20" s="78"/>
      <c r="C20" s="71"/>
      <c r="D20" s="72"/>
      <c r="E20" s="72"/>
      <c r="F20" s="72"/>
      <c r="G20" s="72"/>
      <c r="H20" s="72"/>
      <c r="I20" s="73"/>
    </row>
    <row r="21" spans="1:10" ht="13" customHeight="1" x14ac:dyDescent="0.35">
      <c r="A21" s="203" t="s">
        <v>487</v>
      </c>
      <c r="B21" s="151"/>
      <c r="C21" s="152"/>
      <c r="D21" s="141"/>
      <c r="E21" s="141"/>
      <c r="F21" s="141"/>
      <c r="G21" s="141"/>
      <c r="H21" s="142"/>
      <c r="I21" s="142"/>
      <c r="J21" s="17"/>
    </row>
    <row r="22" spans="1:10" ht="13" customHeight="1" x14ac:dyDescent="0.35">
      <c r="A22" s="314" t="s">
        <v>517</v>
      </c>
      <c r="B22" s="78"/>
      <c r="C22" s="71">
        <v>100</v>
      </c>
      <c r="D22" s="72"/>
      <c r="E22" s="72"/>
      <c r="F22" s="72">
        <v>571814</v>
      </c>
      <c r="G22" s="72"/>
      <c r="H22" s="73"/>
      <c r="I22" s="73"/>
      <c r="J22" s="17"/>
    </row>
    <row r="23" spans="1:10" s="58" customFormat="1" ht="13" customHeight="1" x14ac:dyDescent="0.35">
      <c r="A23" s="779" t="s">
        <v>596</v>
      </c>
      <c r="B23" s="143"/>
      <c r="C23" s="745"/>
      <c r="D23" s="777"/>
      <c r="E23" s="777"/>
      <c r="F23" s="68"/>
      <c r="G23" s="68"/>
      <c r="H23" s="69"/>
      <c r="I23" s="69"/>
      <c r="J23" s="81"/>
    </row>
    <row r="24" spans="1:10" ht="13" customHeight="1" x14ac:dyDescent="0.35">
      <c r="A24" s="778" t="s">
        <v>613</v>
      </c>
      <c r="B24" s="201"/>
      <c r="C24" s="232">
        <v>100</v>
      </c>
      <c r="D24" s="777"/>
      <c r="E24" s="777"/>
      <c r="F24" s="72">
        <v>-571814</v>
      </c>
      <c r="G24" s="72">
        <v>571814</v>
      </c>
      <c r="H24" s="73"/>
      <c r="I24" s="73"/>
      <c r="J24" s="17"/>
    </row>
    <row r="25" spans="1:10" ht="13" customHeight="1" x14ac:dyDescent="0.35">
      <c r="A25" s="779" t="s">
        <v>748</v>
      </c>
      <c r="B25" s="143"/>
      <c r="C25" s="745"/>
      <c r="D25" s="777"/>
      <c r="E25" s="777"/>
      <c r="F25" s="68"/>
      <c r="G25" s="68"/>
      <c r="H25" s="69"/>
      <c r="I25" s="69"/>
      <c r="J25" s="17"/>
    </row>
    <row r="26" spans="1:10" ht="13" customHeight="1" x14ac:dyDescent="0.35">
      <c r="A26" s="314" t="s">
        <v>853</v>
      </c>
      <c r="B26" s="78"/>
      <c r="C26" s="71">
        <v>100</v>
      </c>
      <c r="D26" s="72"/>
      <c r="E26" s="72"/>
      <c r="F26" s="72"/>
      <c r="G26" s="73">
        <v>-571814</v>
      </c>
      <c r="H26" s="73"/>
      <c r="I26" s="73"/>
      <c r="J26" s="17"/>
    </row>
    <row r="27" spans="1:10" ht="13" customHeight="1" x14ac:dyDescent="0.35">
      <c r="A27" s="778" t="s">
        <v>890</v>
      </c>
      <c r="B27" s="143"/>
      <c r="C27" s="745">
        <v>100</v>
      </c>
      <c r="D27" s="777"/>
      <c r="E27" s="777">
        <v>-90000</v>
      </c>
      <c r="F27" s="68"/>
      <c r="G27" s="68"/>
      <c r="H27" s="69"/>
      <c r="I27" s="69"/>
      <c r="J27" s="17"/>
    </row>
    <row r="28" spans="1:10" s="58" customFormat="1" ht="13" customHeight="1" x14ac:dyDescent="0.35">
      <c r="A28" s="779"/>
      <c r="B28" s="201"/>
      <c r="C28" s="232"/>
      <c r="D28" s="777"/>
      <c r="E28" s="777"/>
      <c r="F28" s="72"/>
      <c r="G28" s="72"/>
      <c r="H28" s="73"/>
      <c r="I28" s="73"/>
      <c r="J28" s="81"/>
    </row>
    <row r="29" spans="1:10" ht="13" customHeight="1" x14ac:dyDescent="0.35">
      <c r="A29" s="778"/>
      <c r="B29" s="143"/>
      <c r="C29" s="745"/>
      <c r="D29" s="777"/>
      <c r="E29" s="777"/>
      <c r="F29" s="68"/>
      <c r="G29" s="68"/>
      <c r="H29" s="69"/>
      <c r="I29" s="69"/>
      <c r="J29" s="17"/>
    </row>
    <row r="30" spans="1:10" ht="13" customHeight="1" x14ac:dyDescent="0.35">
      <c r="A30" s="779"/>
      <c r="B30" s="201"/>
      <c r="C30" s="232"/>
      <c r="D30" s="777"/>
      <c r="E30" s="777"/>
      <c r="F30" s="72"/>
      <c r="G30" s="72"/>
      <c r="H30" s="73"/>
      <c r="I30" s="73"/>
      <c r="J30" s="17"/>
    </row>
    <row r="31" spans="1:10" ht="13" customHeight="1" x14ac:dyDescent="0.35">
      <c r="A31" s="778"/>
      <c r="B31" s="143"/>
      <c r="C31" s="745"/>
      <c r="D31" s="777"/>
      <c r="E31" s="777"/>
      <c r="F31" s="68"/>
      <c r="G31" s="68"/>
      <c r="H31" s="69"/>
      <c r="I31" s="69"/>
      <c r="J31" s="17"/>
    </row>
    <row r="32" spans="1:10" ht="13" customHeight="1" x14ac:dyDescent="0.35">
      <c r="A32" s="778"/>
      <c r="B32" s="201"/>
      <c r="C32" s="232"/>
      <c r="D32" s="777"/>
      <c r="E32" s="777"/>
      <c r="F32" s="72"/>
      <c r="G32" s="72"/>
      <c r="H32" s="73"/>
      <c r="I32" s="73"/>
      <c r="J32" s="17"/>
    </row>
    <row r="33" spans="1:10" ht="13" customHeight="1" x14ac:dyDescent="0.35">
      <c r="A33" s="210"/>
      <c r="B33" s="78"/>
      <c r="C33" s="71"/>
      <c r="D33" s="72"/>
      <c r="E33" s="72"/>
      <c r="F33" s="72"/>
      <c r="G33" s="72"/>
      <c r="H33" s="73"/>
      <c r="I33" s="73"/>
      <c r="J33" s="17"/>
    </row>
    <row r="34" spans="1:10" ht="13" customHeight="1" x14ac:dyDescent="0.35">
      <c r="A34" s="280"/>
      <c r="B34" s="78"/>
      <c r="C34" s="71"/>
      <c r="D34" s="72"/>
      <c r="E34" s="72"/>
      <c r="F34" s="72"/>
      <c r="G34" s="72"/>
      <c r="H34" s="73"/>
      <c r="I34" s="73"/>
      <c r="J34" s="17"/>
    </row>
    <row r="35" spans="1:10" ht="13" customHeight="1" x14ac:dyDescent="0.35">
      <c r="A35" s="122"/>
      <c r="B35" s="78"/>
      <c r="C35" s="71"/>
      <c r="D35" s="72"/>
      <c r="E35" s="72"/>
      <c r="F35" s="72"/>
      <c r="G35" s="72"/>
      <c r="H35" s="73"/>
      <c r="I35" s="73"/>
      <c r="J35" s="17"/>
    </row>
    <row r="36" spans="1:10" ht="13" customHeight="1" x14ac:dyDescent="0.35">
      <c r="A36" s="281"/>
      <c r="B36" s="92"/>
      <c r="C36" s="102"/>
      <c r="D36" s="103"/>
      <c r="E36" s="103"/>
      <c r="F36" s="103"/>
      <c r="G36" s="103"/>
      <c r="H36" s="94"/>
      <c r="I36" s="94"/>
      <c r="J36" s="17"/>
    </row>
    <row r="37" spans="1:10" ht="13" customHeight="1" x14ac:dyDescent="0.35">
      <c r="A37" s="77"/>
      <c r="B37" s="78"/>
      <c r="C37" s="71"/>
      <c r="D37" s="72"/>
      <c r="E37" s="72"/>
      <c r="F37" s="72"/>
      <c r="G37" s="72"/>
      <c r="H37" s="73"/>
      <c r="I37" s="73"/>
      <c r="J37" s="17"/>
    </row>
    <row r="38" spans="1:10" ht="13" customHeight="1" x14ac:dyDescent="0.35">
      <c r="A38" s="77"/>
      <c r="B38" s="78"/>
      <c r="C38" s="71"/>
      <c r="D38" s="72"/>
      <c r="E38" s="72"/>
      <c r="F38" s="72"/>
      <c r="G38" s="72"/>
      <c r="H38" s="73"/>
      <c r="I38" s="73"/>
      <c r="J38" s="17"/>
    </row>
    <row r="39" spans="1:10" ht="13" customHeight="1" x14ac:dyDescent="0.35">
      <c r="A39" s="77"/>
      <c r="B39" s="78"/>
      <c r="C39" s="71"/>
      <c r="D39" s="72"/>
      <c r="E39" s="72"/>
      <c r="F39" s="72"/>
      <c r="G39" s="72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6.5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3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0" ht="13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0" ht="13" customHeight="1" x14ac:dyDescent="0.35">
      <c r="A47" s="77"/>
      <c r="B47" s="78"/>
      <c r="C47" s="75"/>
      <c r="D47" s="73"/>
      <c r="E47" s="73"/>
      <c r="F47" s="73"/>
      <c r="G47" s="73"/>
      <c r="H47" s="73"/>
      <c r="I47" s="73"/>
      <c r="J47" s="17"/>
    </row>
    <row r="48" spans="1:10" ht="13" customHeight="1" x14ac:dyDescent="0.35">
      <c r="A48" s="77"/>
      <c r="B48" s="78"/>
      <c r="C48" s="75"/>
      <c r="D48" s="73"/>
      <c r="E48" s="73"/>
      <c r="F48" s="73"/>
      <c r="G48" s="73"/>
      <c r="H48" s="73"/>
      <c r="I48" s="73"/>
      <c r="J48" s="17"/>
    </row>
    <row r="49" spans="1:10" ht="13" customHeight="1" x14ac:dyDescent="0.35">
      <c r="A49" s="79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123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124"/>
      <c r="B51" s="78"/>
      <c r="C51" s="71"/>
      <c r="D51" s="72"/>
      <c r="E51" s="73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1"/>
      <c r="D57" s="72"/>
      <c r="E57" s="72"/>
      <c r="F57" s="72"/>
      <c r="G57" s="72"/>
      <c r="H57" s="73"/>
      <c r="I57" s="73"/>
      <c r="J57" s="17"/>
    </row>
    <row r="58" spans="1:10" ht="13" customHeight="1" x14ac:dyDescent="0.35">
      <c r="A58" s="77"/>
      <c r="B58" s="78"/>
      <c r="C58" s="71"/>
      <c r="D58" s="72"/>
      <c r="E58" s="72"/>
      <c r="F58" s="72"/>
      <c r="G58" s="72"/>
      <c r="H58" s="73"/>
      <c r="I58" s="73"/>
      <c r="J58" s="17"/>
    </row>
    <row r="59" spans="1:10" ht="13" customHeight="1" x14ac:dyDescent="0.35">
      <c r="A59" s="77"/>
      <c r="B59" s="78"/>
      <c r="C59" s="71"/>
      <c r="D59" s="72"/>
      <c r="E59" s="72"/>
      <c r="F59" s="72"/>
      <c r="G59" s="72"/>
      <c r="H59" s="73"/>
      <c r="I59" s="73"/>
      <c r="J59" s="17"/>
    </row>
    <row r="60" spans="1:10" ht="13" customHeight="1" x14ac:dyDescent="0.35">
      <c r="A60" s="77"/>
      <c r="B60" s="78"/>
      <c r="C60" s="71"/>
      <c r="D60" s="72"/>
      <c r="E60" s="72"/>
      <c r="F60" s="72"/>
      <c r="G60" s="72"/>
      <c r="H60" s="73"/>
      <c r="I60" s="73"/>
      <c r="J60" s="17"/>
    </row>
    <row r="61" spans="1:10" ht="13" customHeight="1" x14ac:dyDescent="0.35">
      <c r="A61" s="77"/>
      <c r="B61" s="78"/>
      <c r="C61" s="71"/>
      <c r="D61" s="72"/>
      <c r="E61" s="72"/>
      <c r="F61" s="72"/>
      <c r="G61" s="72"/>
      <c r="H61" s="73"/>
      <c r="I61" s="73"/>
      <c r="J61" s="17"/>
    </row>
    <row r="62" spans="1:10" ht="13" customHeight="1" x14ac:dyDescent="0.35">
      <c r="A62" s="77"/>
      <c r="B62" s="78"/>
      <c r="C62" s="71"/>
      <c r="D62" s="72"/>
      <c r="E62" s="72"/>
      <c r="F62" s="72"/>
      <c r="G62" s="72"/>
      <c r="H62" s="73"/>
      <c r="I62" s="73"/>
      <c r="J62" s="17"/>
    </row>
    <row r="63" spans="1:10" ht="13" customHeight="1" x14ac:dyDescent="0.35">
      <c r="A63" s="77"/>
      <c r="B63" s="78"/>
      <c r="C63" s="75"/>
      <c r="D63" s="73"/>
      <c r="E63" s="73"/>
      <c r="F63" s="73"/>
      <c r="G63" s="73"/>
      <c r="H63" s="73"/>
      <c r="I63" s="73"/>
      <c r="J63" s="17"/>
    </row>
    <row r="64" spans="1:10" x14ac:dyDescent="0.35">
      <c r="A64" s="77"/>
      <c r="B64" s="78"/>
      <c r="C64" s="75"/>
      <c r="D64" s="73"/>
      <c r="E64" s="73"/>
      <c r="F64" s="73"/>
      <c r="G64" s="73"/>
      <c r="H64" s="73"/>
      <c r="I64" s="73"/>
    </row>
    <row r="65" spans="1:9" x14ac:dyDescent="0.35">
      <c r="A65" s="77"/>
      <c r="B65" s="78"/>
      <c r="C65" s="75"/>
      <c r="D65" s="73"/>
      <c r="E65" s="73"/>
      <c r="F65" s="73"/>
      <c r="G65" s="73"/>
      <c r="H65" s="73"/>
      <c r="I65" s="73"/>
    </row>
    <row r="66" spans="1:9" x14ac:dyDescent="0.35">
      <c r="A66" s="83"/>
      <c r="B66" s="84"/>
      <c r="C66" s="74"/>
      <c r="D66" s="69"/>
      <c r="E66" s="69"/>
      <c r="F66" s="69"/>
      <c r="G66" s="69"/>
      <c r="H66" s="69"/>
      <c r="I66" s="69"/>
    </row>
  </sheetData>
  <mergeCells count="6">
    <mergeCell ref="A1:I1"/>
    <mergeCell ref="A2:I2"/>
    <mergeCell ref="A3:I3"/>
    <mergeCell ref="A4:I4"/>
    <mergeCell ref="C6:I6"/>
    <mergeCell ref="C5:I5"/>
  </mergeCells>
  <conditionalFormatting sqref="A23:A24">
    <cfRule type="expression" dxfId="296" priority="11">
      <formula>MOD(ROW(),2)=1</formula>
    </cfRule>
  </conditionalFormatting>
  <conditionalFormatting sqref="D23:E24">
    <cfRule type="expression" dxfId="295" priority="10">
      <formula>MOD(ROW(),2)=1</formula>
    </cfRule>
  </conditionalFormatting>
  <conditionalFormatting sqref="A25 A28:A30">
    <cfRule type="expression" dxfId="294" priority="7">
      <formula>MOD(ROW(),2)=1</formula>
    </cfRule>
  </conditionalFormatting>
  <conditionalFormatting sqref="D25:E25 D28:E30">
    <cfRule type="expression" dxfId="293" priority="6">
      <formula>MOD(ROW(),2)=1</formula>
    </cfRule>
  </conditionalFormatting>
  <conditionalFormatting sqref="A27">
    <cfRule type="expression" dxfId="292" priority="5">
      <formula>MOD(ROW(),2)=1</formula>
    </cfRule>
  </conditionalFormatting>
  <conditionalFormatting sqref="D27:E27">
    <cfRule type="expression" dxfId="291" priority="4">
      <formula>MOD(ROW(),2)=1</formula>
    </cfRule>
  </conditionalFormatting>
  <conditionalFormatting sqref="A31:A32">
    <cfRule type="expression" dxfId="290" priority="3">
      <formula>MOD(ROW(),2)=1</formula>
    </cfRule>
  </conditionalFormatting>
  <conditionalFormatting sqref="D31:E32">
    <cfRule type="expression" dxfId="289" priority="2">
      <formula>MOD(ROW(),2)=1</formula>
    </cfRule>
  </conditionalFormatting>
  <conditionalFormatting sqref="C9:I15">
    <cfRule type="cellIs" dxfId="28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7">
    <tabColor theme="3"/>
  </sheetPr>
  <dimension ref="A1:L57"/>
  <sheetViews>
    <sheetView topLeftCell="A3" zoomScaleNormal="100" zoomScaleSheetLayoutView="90" workbookViewId="0">
      <selection activeCell="C12" sqref="C1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8" style="7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202" t="s">
        <v>14</v>
      </c>
      <c r="B6" s="32">
        <v>66</v>
      </c>
      <c r="C6" s="880" t="s">
        <v>413</v>
      </c>
      <c r="D6" s="880"/>
      <c r="E6" s="880"/>
      <c r="F6" s="880"/>
      <c r="G6" s="880"/>
      <c r="H6" s="880"/>
      <c r="I6" s="880"/>
    </row>
    <row r="7" spans="1:11" ht="15" thickBot="1" x14ac:dyDescent="0.4">
      <c r="E7" s="491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2789271</f>
        <v>2789271</v>
      </c>
      <c r="C9" s="33">
        <v>418820</v>
      </c>
      <c r="D9" s="219">
        <f t="shared" ref="D9:D15" si="0">+C9+SUMIF($C$20:$C$58,K9,$D$20:$D$58)</f>
        <v>418820</v>
      </c>
      <c r="E9" s="114">
        <f t="shared" ref="E9:E15" si="1">+D9+SUMIF($C$20:$C$58,K9,$E$20:$E$58)</f>
        <v>442000</v>
      </c>
      <c r="F9" s="396">
        <f t="shared" ref="F9:F15" si="2">+E9+SUMIF($C$20:$C$58,K9,$F$20:$F$58)</f>
        <v>442000</v>
      </c>
      <c r="G9" s="33">
        <f t="shared" ref="G9:G15" si="3">+F9+SUMIF($C$20:$C$58,K9,$G$20:$G$58)</f>
        <v>442000</v>
      </c>
      <c r="H9" s="219">
        <f t="shared" ref="H9:H15" si="4">+G9+SUMIF($C$20:$C$58,K9,$H$20:$H$58)</f>
        <v>442000</v>
      </c>
      <c r="I9" s="50">
        <f t="shared" ref="I9:I15" si="5">+H9+SUMIF($C$20:$C$58,K9,$I$20:$I$58)</f>
        <v>442000</v>
      </c>
      <c r="J9" s="206"/>
      <c r="K9" s="7">
        <v>100</v>
      </c>
    </row>
    <row r="10" spans="1:11" x14ac:dyDescent="0.35">
      <c r="A10" s="10" t="s">
        <v>5</v>
      </c>
      <c r="B10" s="35">
        <v>38791702</v>
      </c>
      <c r="C10" s="35">
        <v>0</v>
      </c>
      <c r="D10" s="220">
        <f t="shared" si="0"/>
        <v>0</v>
      </c>
      <c r="E10" s="113">
        <f t="shared" si="1"/>
        <v>0</v>
      </c>
      <c r="F10" s="397">
        <f t="shared" si="2"/>
        <v>0</v>
      </c>
      <c r="G10" s="48">
        <f t="shared" si="3"/>
        <v>0</v>
      </c>
      <c r="H10" s="220">
        <f t="shared" si="4"/>
        <v>0</v>
      </c>
      <c r="I10" s="49">
        <f t="shared" si="5"/>
        <v>0</v>
      </c>
      <c r="J10" s="206"/>
      <c r="K10" s="7">
        <v>200</v>
      </c>
    </row>
    <row r="11" spans="1:11" x14ac:dyDescent="0.35">
      <c r="A11" s="9" t="s">
        <v>6</v>
      </c>
      <c r="B11" s="33">
        <v>7857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2"/>
        <v>0</v>
      </c>
      <c r="G11" s="33">
        <f t="shared" si="3"/>
        <v>0</v>
      </c>
      <c r="H11" s="219">
        <f t="shared" si="4"/>
        <v>0</v>
      </c>
      <c r="I11" s="34">
        <f t="shared" si="5"/>
        <v>0</v>
      </c>
      <c r="J11" s="206"/>
      <c r="K11" s="7" t="s">
        <v>167</v>
      </c>
    </row>
    <row r="12" spans="1:11" x14ac:dyDescent="0.35">
      <c r="A12" s="10" t="s">
        <v>7</v>
      </c>
      <c r="B12" s="35">
        <v>1500000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J12" s="206"/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J13" s="206"/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J14" s="206"/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J15" s="206"/>
      <c r="K15" s="7">
        <v>900</v>
      </c>
    </row>
    <row r="16" spans="1:11" ht="15" thickBot="1" x14ac:dyDescent="0.4">
      <c r="A16" s="4" t="s">
        <v>11</v>
      </c>
      <c r="B16" s="39">
        <f>SUM(B9:B15)</f>
        <v>43088830</v>
      </c>
      <c r="C16" s="39">
        <f t="shared" ref="C16:I16" si="6">SUM(C9:C15)</f>
        <v>418820</v>
      </c>
      <c r="D16" s="39">
        <f t="shared" si="6"/>
        <v>418820</v>
      </c>
      <c r="E16" s="529">
        <f t="shared" si="6"/>
        <v>442000</v>
      </c>
      <c r="F16" s="39">
        <f t="shared" si="6"/>
        <v>442000</v>
      </c>
      <c r="G16" s="39">
        <f t="shared" si="6"/>
        <v>442000</v>
      </c>
      <c r="H16" s="39">
        <f t="shared" si="6"/>
        <v>442000</v>
      </c>
      <c r="I16" s="39">
        <f t="shared" si="6"/>
        <v>442000</v>
      </c>
      <c r="J16" s="206"/>
    </row>
    <row r="17" spans="1:11" x14ac:dyDescent="0.35">
      <c r="D17" s="390"/>
      <c r="E17" s="390"/>
      <c r="F17" s="390"/>
      <c r="G17" s="390"/>
      <c r="H17" s="390"/>
      <c r="I17" s="390"/>
    </row>
    <row r="18" spans="1:11" x14ac:dyDescent="0.35">
      <c r="D18" s="391"/>
      <c r="E18" s="391">
        <f>+E16-D16</f>
        <v>23180</v>
      </c>
      <c r="F18" s="391"/>
      <c r="G18" s="391"/>
      <c r="H18" s="391"/>
      <c r="I18" s="391"/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2.75" customHeight="1" thickTop="1" x14ac:dyDescent="0.35">
      <c r="A20" s="228" t="s">
        <v>635</v>
      </c>
      <c r="B20" s="70"/>
      <c r="C20" s="71"/>
      <c r="D20" s="72"/>
      <c r="E20" s="72"/>
      <c r="F20" s="73"/>
      <c r="G20" s="73"/>
      <c r="H20" s="73"/>
      <c r="I20" s="73"/>
    </row>
    <row r="21" spans="1:11" ht="12.75" customHeight="1" x14ac:dyDescent="0.35">
      <c r="A21" s="387" t="s">
        <v>271</v>
      </c>
      <c r="B21" s="84"/>
      <c r="C21" s="67"/>
      <c r="D21" s="68"/>
      <c r="E21" s="68"/>
      <c r="F21" s="68"/>
      <c r="G21" s="68"/>
      <c r="H21" s="69"/>
      <c r="I21" s="142"/>
      <c r="J21" s="17"/>
    </row>
    <row r="22" spans="1:11" s="58" customFormat="1" ht="12.75" customHeight="1" x14ac:dyDescent="0.35">
      <c r="A22" s="77" t="s">
        <v>286</v>
      </c>
      <c r="B22" s="78"/>
      <c r="C22" s="71">
        <v>100</v>
      </c>
      <c r="D22" s="72"/>
      <c r="E22" s="72">
        <v>202000</v>
      </c>
      <c r="F22" s="72">
        <v>130000</v>
      </c>
      <c r="G22" s="73"/>
      <c r="H22" s="73"/>
      <c r="I22" s="73"/>
      <c r="J22" s="81"/>
      <c r="K22" s="7"/>
    </row>
    <row r="23" spans="1:11" ht="12.75" customHeight="1" x14ac:dyDescent="0.35">
      <c r="A23" s="83"/>
      <c r="B23" s="84"/>
      <c r="C23" s="67">
        <v>200</v>
      </c>
      <c r="D23" s="68"/>
      <c r="E23" s="68">
        <v>9888564</v>
      </c>
      <c r="F23" s="68">
        <v>4907856</v>
      </c>
      <c r="G23" s="69"/>
      <c r="H23" s="69"/>
      <c r="I23" s="142"/>
      <c r="J23" s="17"/>
    </row>
    <row r="24" spans="1:11" s="58" customFormat="1" ht="12.75" customHeight="1" x14ac:dyDescent="0.35">
      <c r="A24" s="77"/>
      <c r="B24" s="78"/>
      <c r="C24" s="95" t="s">
        <v>167</v>
      </c>
      <c r="D24" s="72"/>
      <c r="E24" s="72">
        <v>5000</v>
      </c>
      <c r="F24" s="72">
        <v>0</v>
      </c>
      <c r="G24" s="73"/>
      <c r="H24" s="73"/>
      <c r="I24" s="103"/>
      <c r="J24" s="81"/>
      <c r="K24" s="7"/>
    </row>
    <row r="25" spans="1:11" ht="12.75" customHeight="1" x14ac:dyDescent="0.35">
      <c r="A25" s="172"/>
      <c r="B25" s="151"/>
      <c r="C25" s="152">
        <v>500</v>
      </c>
      <c r="D25" s="141"/>
      <c r="E25" s="141">
        <v>20000</v>
      </c>
      <c r="F25" s="141">
        <v>15000</v>
      </c>
      <c r="G25" s="142"/>
      <c r="H25" s="142"/>
      <c r="I25" s="141"/>
      <c r="J25" s="17"/>
    </row>
    <row r="26" spans="1:11" ht="12.75" customHeight="1" x14ac:dyDescent="0.35">
      <c r="A26" s="821" t="s">
        <v>294</v>
      </c>
      <c r="B26" s="92"/>
      <c r="C26" s="93"/>
      <c r="D26" s="94"/>
      <c r="E26" s="94"/>
      <c r="F26" s="94"/>
      <c r="G26" s="94"/>
      <c r="H26" s="94"/>
      <c r="I26" s="94"/>
      <c r="J26" s="168"/>
    </row>
    <row r="27" spans="1:11" ht="12.75" customHeight="1" x14ac:dyDescent="0.35">
      <c r="A27" s="83" t="s">
        <v>309</v>
      </c>
      <c r="B27" s="84"/>
      <c r="C27" s="67">
        <v>500</v>
      </c>
      <c r="D27" s="68"/>
      <c r="E27" s="68">
        <v>-20000</v>
      </c>
      <c r="F27" s="68">
        <v>-15000</v>
      </c>
      <c r="G27" s="69"/>
      <c r="H27" s="69"/>
      <c r="I27" s="142"/>
      <c r="J27" s="168"/>
    </row>
    <row r="28" spans="1:11" ht="12.75" customHeight="1" x14ac:dyDescent="0.35">
      <c r="A28" s="77"/>
      <c r="B28" s="78"/>
      <c r="C28" s="95">
        <v>200</v>
      </c>
      <c r="D28" s="72"/>
      <c r="E28" s="72">
        <v>20000</v>
      </c>
      <c r="F28" s="72">
        <v>15000</v>
      </c>
      <c r="G28" s="73"/>
      <c r="H28" s="73"/>
      <c r="I28" s="103"/>
      <c r="J28" s="17"/>
    </row>
    <row r="29" spans="1:11" ht="12.75" customHeight="1" x14ac:dyDescent="0.35">
      <c r="A29" s="83" t="s">
        <v>307</v>
      </c>
      <c r="B29" s="84"/>
      <c r="C29" s="67">
        <v>200</v>
      </c>
      <c r="D29" s="68"/>
      <c r="E29" s="68">
        <v>-2885700</v>
      </c>
      <c r="F29" s="68">
        <v>435275</v>
      </c>
      <c r="G29" s="69">
        <v>-1766781</v>
      </c>
      <c r="H29" s="69"/>
      <c r="I29" s="142"/>
      <c r="J29" s="17"/>
    </row>
    <row r="30" spans="1:11" ht="12.75" customHeight="1" x14ac:dyDescent="0.35">
      <c r="A30" s="77" t="s">
        <v>326</v>
      </c>
      <c r="B30" s="78"/>
      <c r="C30" s="95">
        <v>100</v>
      </c>
      <c r="D30" s="72"/>
      <c r="E30" s="72">
        <v>-162000</v>
      </c>
      <c r="F30" s="72">
        <v>-115000</v>
      </c>
      <c r="G30" s="73">
        <v>0</v>
      </c>
      <c r="H30" s="73"/>
      <c r="I30" s="103"/>
      <c r="J30" s="17"/>
    </row>
    <row r="31" spans="1:11" ht="12.75" customHeight="1" x14ac:dyDescent="0.35">
      <c r="A31" s="83"/>
      <c r="B31" s="84"/>
      <c r="C31" s="67">
        <v>200</v>
      </c>
      <c r="D31" s="68"/>
      <c r="E31" s="68">
        <v>-475557</v>
      </c>
      <c r="F31" s="68">
        <v>-123034</v>
      </c>
      <c r="G31" s="69">
        <v>302771</v>
      </c>
      <c r="H31" s="69"/>
      <c r="I31" s="142"/>
      <c r="J31" s="17"/>
    </row>
    <row r="32" spans="1:11" ht="12.75" customHeight="1" x14ac:dyDescent="0.35">
      <c r="A32" s="77"/>
      <c r="B32" s="78"/>
      <c r="C32" s="95" t="s">
        <v>167</v>
      </c>
      <c r="D32" s="72"/>
      <c r="E32" s="72">
        <v>-5000</v>
      </c>
      <c r="F32" s="72"/>
      <c r="G32" s="73"/>
      <c r="H32" s="73"/>
      <c r="I32" s="103"/>
      <c r="J32" s="17"/>
    </row>
    <row r="33" spans="1:12" ht="12.75" customHeight="1" x14ac:dyDescent="0.35">
      <c r="A33" s="387" t="s">
        <v>387</v>
      </c>
      <c r="B33" s="84"/>
      <c r="C33" s="67"/>
      <c r="D33" s="68"/>
      <c r="E33" s="68"/>
      <c r="F33" s="68"/>
      <c r="G33" s="69"/>
      <c r="H33" s="69"/>
      <c r="I33" s="142"/>
      <c r="J33" s="17"/>
    </row>
    <row r="34" spans="1:12" ht="12.75" customHeight="1" x14ac:dyDescent="0.35">
      <c r="A34" s="77" t="s">
        <v>412</v>
      </c>
      <c r="B34" s="78"/>
      <c r="C34" s="95">
        <v>100</v>
      </c>
      <c r="D34" s="72"/>
      <c r="E34" s="72">
        <v>-40000</v>
      </c>
      <c r="F34" s="72">
        <v>-15000</v>
      </c>
      <c r="G34" s="73"/>
      <c r="H34" s="73"/>
      <c r="I34" s="103"/>
      <c r="J34" s="17"/>
    </row>
    <row r="35" spans="1:12" ht="13" customHeight="1" x14ac:dyDescent="0.35">
      <c r="A35" s="83"/>
      <c r="B35" s="84"/>
      <c r="C35" s="67">
        <v>200</v>
      </c>
      <c r="D35" s="68"/>
      <c r="E35" s="68">
        <v>-6547307</v>
      </c>
      <c r="F35" s="68">
        <v>-5235097</v>
      </c>
      <c r="G35" s="69">
        <v>1464010</v>
      </c>
      <c r="H35" s="69"/>
      <c r="I35" s="142"/>
      <c r="J35" s="17"/>
    </row>
    <row r="36" spans="1:12" ht="13" customHeight="1" x14ac:dyDescent="0.35">
      <c r="A36" s="157" t="s">
        <v>596</v>
      </c>
      <c r="B36" s="78"/>
      <c r="C36" s="95"/>
      <c r="D36" s="72"/>
      <c r="E36" s="72"/>
      <c r="F36" s="72"/>
      <c r="G36" s="73"/>
      <c r="H36" s="73"/>
      <c r="I36" s="103"/>
      <c r="J36" s="17"/>
    </row>
    <row r="37" spans="1:12" ht="13" customHeight="1" x14ac:dyDescent="0.35">
      <c r="A37" s="753" t="s">
        <v>599</v>
      </c>
      <c r="B37" s="84"/>
      <c r="C37" s="67">
        <v>100</v>
      </c>
      <c r="D37" s="68"/>
      <c r="E37" s="68">
        <v>23180</v>
      </c>
      <c r="F37" s="68"/>
      <c r="G37" s="69"/>
      <c r="H37" s="69"/>
      <c r="I37" s="142"/>
      <c r="J37" s="17"/>
    </row>
    <row r="38" spans="1:12" ht="13" customHeight="1" x14ac:dyDescent="0.35">
      <c r="A38" s="77"/>
      <c r="B38" s="78"/>
      <c r="C38" s="95"/>
      <c r="D38" s="72"/>
      <c r="E38" s="72"/>
      <c r="F38" s="72"/>
      <c r="G38" s="73"/>
      <c r="H38" s="73"/>
      <c r="I38" s="103"/>
      <c r="J38" s="17"/>
    </row>
    <row r="39" spans="1:12" ht="13" customHeight="1" x14ac:dyDescent="0.35">
      <c r="A39" s="83"/>
      <c r="B39" s="84"/>
      <c r="C39" s="67"/>
      <c r="D39" s="68"/>
      <c r="E39" s="68"/>
      <c r="F39" s="68"/>
      <c r="G39" s="69"/>
      <c r="H39" s="69"/>
      <c r="I39" s="142"/>
      <c r="J39" s="17"/>
    </row>
    <row r="40" spans="1:12" ht="13" customHeight="1" x14ac:dyDescent="0.35">
      <c r="A40" s="77"/>
      <c r="B40" s="78"/>
      <c r="C40" s="95"/>
      <c r="D40" s="72"/>
      <c r="E40" s="72"/>
      <c r="F40" s="72"/>
      <c r="G40" s="73"/>
      <c r="H40" s="73"/>
      <c r="I40" s="103"/>
      <c r="J40" s="17"/>
    </row>
    <row r="41" spans="1:12" ht="13" customHeight="1" x14ac:dyDescent="0.35">
      <c r="A41" s="83"/>
      <c r="B41" s="84"/>
      <c r="C41" s="67"/>
      <c r="D41" s="68"/>
      <c r="E41" s="68"/>
      <c r="F41" s="68"/>
      <c r="G41" s="69"/>
      <c r="H41" s="69"/>
      <c r="I41" s="142"/>
      <c r="J41" s="17"/>
    </row>
    <row r="42" spans="1:12" ht="13" customHeight="1" x14ac:dyDescent="0.35">
      <c r="A42" s="77"/>
      <c r="B42" s="78"/>
      <c r="C42" s="95"/>
      <c r="D42" s="72"/>
      <c r="E42" s="72"/>
      <c r="F42" s="72"/>
      <c r="G42" s="73"/>
      <c r="H42" s="73"/>
      <c r="I42" s="103"/>
      <c r="J42" s="607"/>
    </row>
    <row r="43" spans="1:12" ht="13" customHeight="1" x14ac:dyDescent="0.35">
      <c r="A43" s="77"/>
      <c r="B43" s="78"/>
      <c r="C43" s="95"/>
      <c r="D43" s="72"/>
      <c r="E43" s="72"/>
      <c r="F43" s="72"/>
      <c r="G43" s="73"/>
      <c r="H43" s="73"/>
      <c r="I43" s="103"/>
      <c r="J43" s="607"/>
      <c r="L43" s="7" t="s">
        <v>349</v>
      </c>
    </row>
    <row r="44" spans="1:12" ht="13" customHeight="1" x14ac:dyDescent="0.35">
      <c r="A44" s="77"/>
      <c r="B44" s="78"/>
      <c r="C44" s="95"/>
      <c r="D44" s="72"/>
      <c r="E44" s="72"/>
      <c r="F44" s="72"/>
      <c r="G44" s="73"/>
      <c r="H44" s="73"/>
      <c r="I44" s="103"/>
      <c r="J44" s="607"/>
    </row>
    <row r="45" spans="1:12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607"/>
    </row>
    <row r="46" spans="1:12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2" ht="13" customHeight="1" x14ac:dyDescent="0.35">
      <c r="A47" s="77"/>
      <c r="B47" s="78"/>
      <c r="C47" s="71"/>
      <c r="D47" s="72"/>
      <c r="J47" s="17"/>
    </row>
    <row r="48" spans="1:12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x14ac:dyDescent="0.35">
      <c r="E57" s="72"/>
      <c r="F57" s="72"/>
      <c r="G57" s="72"/>
      <c r="H57" s="73"/>
      <c r="I57" s="487"/>
    </row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15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0">
    <tabColor theme="3"/>
  </sheetPr>
  <dimension ref="A1:K56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24</v>
      </c>
      <c r="C6" s="880" t="s">
        <v>225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9589667</v>
      </c>
      <c r="C9" s="33">
        <v>8068689</v>
      </c>
      <c r="D9" s="219">
        <f t="shared" ref="D9:D15" si="0">+C9+SUMIF($C$20:$C$60,K9,$D$20:$D$60)</f>
        <v>7618135</v>
      </c>
      <c r="E9" s="114">
        <f t="shared" ref="E9:E15" si="1">+D9+SUMIF($C$20:$C$60,K9,$E$20:$E$60)</f>
        <v>9307467</v>
      </c>
      <c r="F9" s="396">
        <f t="shared" ref="F9:F15" si="2">+E9+SUMIF($C$20:$C$60,K9,$F$20:$F$60)</f>
        <v>9307467</v>
      </c>
      <c r="G9" s="33">
        <f t="shared" ref="G9:G15" si="3">+F9+SUMIF($C$20:$C$60,K9,$G$20:$G$60)</f>
        <v>7533791</v>
      </c>
      <c r="H9" s="219">
        <f t="shared" ref="H9:H15" si="4">+G9+SUMIF($C$20:$C$60,K9,$H$20:$H$60)</f>
        <v>7533791</v>
      </c>
      <c r="I9" s="50">
        <f t="shared" ref="I9:I15" si="5">+H9+SUMIF($C$20:$C$60,K9,$I$20:$I$60)</f>
        <v>7533791</v>
      </c>
      <c r="K9" s="7">
        <v>100</v>
      </c>
    </row>
    <row r="10" spans="1:11" x14ac:dyDescent="0.35">
      <c r="A10" s="10" t="s">
        <v>5</v>
      </c>
      <c r="B10" s="35">
        <f>49966128+219844</f>
        <v>50185972</v>
      </c>
      <c r="C10" s="35">
        <v>35593350</v>
      </c>
      <c r="D10" s="222">
        <f t="shared" si="0"/>
        <v>37043904</v>
      </c>
      <c r="E10" s="506">
        <f t="shared" si="1"/>
        <v>45637327</v>
      </c>
      <c r="F10" s="504">
        <f t="shared" si="2"/>
        <v>46304600</v>
      </c>
      <c r="G10" s="35">
        <f t="shared" si="3"/>
        <v>38795556</v>
      </c>
      <c r="H10" s="222">
        <f t="shared" si="4"/>
        <v>38795556</v>
      </c>
      <c r="I10" s="36">
        <f t="shared" si="5"/>
        <v>38795556</v>
      </c>
      <c r="K10" s="7">
        <v>200</v>
      </c>
    </row>
    <row r="11" spans="1:11" x14ac:dyDescent="0.35">
      <c r="A11" s="9" t="s">
        <v>6</v>
      </c>
      <c r="B11" s="33">
        <f>186986+132606</f>
        <v>319592</v>
      </c>
      <c r="C11" s="33">
        <v>344127</v>
      </c>
      <c r="D11" s="219">
        <f t="shared" si="0"/>
        <v>344127</v>
      </c>
      <c r="E11" s="114">
        <f t="shared" si="1"/>
        <v>344127</v>
      </c>
      <c r="F11" s="396">
        <f t="shared" si="2"/>
        <v>344127</v>
      </c>
      <c r="G11" s="33">
        <f t="shared" si="3"/>
        <v>344127</v>
      </c>
      <c r="H11" s="219">
        <f t="shared" si="4"/>
        <v>344127</v>
      </c>
      <c r="I11" s="34">
        <f t="shared" si="5"/>
        <v>344127</v>
      </c>
      <c r="K11" s="7" t="s">
        <v>167</v>
      </c>
    </row>
    <row r="12" spans="1:11" x14ac:dyDescent="0.35">
      <c r="A12" s="10" t="s">
        <v>7</v>
      </c>
      <c r="B12" s="35">
        <v>17806</v>
      </c>
      <c r="C12" s="35">
        <v>32421</v>
      </c>
      <c r="D12" s="222">
        <f t="shared" si="0"/>
        <v>32421</v>
      </c>
      <c r="E12" s="506">
        <f t="shared" si="1"/>
        <v>32421</v>
      </c>
      <c r="F12" s="504">
        <f t="shared" si="2"/>
        <v>32421</v>
      </c>
      <c r="G12" s="35">
        <f t="shared" si="3"/>
        <v>32421</v>
      </c>
      <c r="H12" s="222">
        <f t="shared" si="4"/>
        <v>32421</v>
      </c>
      <c r="I12" s="36">
        <f t="shared" si="5"/>
        <v>32421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60113037</v>
      </c>
      <c r="C16" s="39">
        <f t="shared" ref="C16:I16" si="6">SUM(C9:C15)</f>
        <v>44038587</v>
      </c>
      <c r="D16" s="39">
        <f t="shared" si="6"/>
        <v>45038587</v>
      </c>
      <c r="E16" s="529">
        <f t="shared" si="6"/>
        <v>55321342</v>
      </c>
      <c r="F16" s="39">
        <f t="shared" si="6"/>
        <v>55988615</v>
      </c>
      <c r="G16" s="39">
        <f t="shared" si="6"/>
        <v>46705895</v>
      </c>
      <c r="H16" s="39">
        <f t="shared" si="6"/>
        <v>46705895</v>
      </c>
      <c r="I16" s="39">
        <f t="shared" si="6"/>
        <v>46705895</v>
      </c>
    </row>
    <row r="18" spans="1:10" x14ac:dyDescent="0.35">
      <c r="E18" s="400">
        <f>+E16-D16</f>
        <v>10282755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692" t="s">
        <v>635</v>
      </c>
      <c r="B20" s="143"/>
      <c r="C20" s="745"/>
      <c r="D20" s="69"/>
      <c r="E20" s="69"/>
      <c r="F20" s="69"/>
      <c r="G20" s="69"/>
      <c r="H20" s="69"/>
      <c r="I20" s="69"/>
    </row>
    <row r="21" spans="1:10" ht="13" customHeight="1" x14ac:dyDescent="0.35">
      <c r="A21" s="740" t="s">
        <v>284</v>
      </c>
      <c r="B21" s="295"/>
      <c r="C21" s="241"/>
      <c r="D21" s="242"/>
      <c r="E21" s="242"/>
      <c r="F21" s="58"/>
      <c r="G21" s="58"/>
      <c r="H21" s="58"/>
      <c r="I21" s="58"/>
      <c r="J21" s="17"/>
    </row>
    <row r="22" spans="1:10" ht="26.5" x14ac:dyDescent="0.35">
      <c r="A22" s="822" t="s">
        <v>310</v>
      </c>
      <c r="B22" s="143"/>
      <c r="C22" s="745">
        <v>200</v>
      </c>
      <c r="D22" s="69"/>
      <c r="E22" s="69">
        <v>-1500000</v>
      </c>
      <c r="F22" s="69"/>
      <c r="G22" s="69"/>
      <c r="H22" s="69"/>
      <c r="I22" s="69"/>
      <c r="J22" s="17"/>
    </row>
    <row r="23" spans="1:10" ht="12.65" customHeight="1" x14ac:dyDescent="0.35">
      <c r="A23" s="740" t="s">
        <v>332</v>
      </c>
      <c r="B23" s="295"/>
      <c r="C23" s="241"/>
      <c r="D23" s="242"/>
      <c r="E23" s="242"/>
      <c r="F23" s="58"/>
      <c r="G23" s="58"/>
      <c r="H23" s="58"/>
      <c r="I23" s="58"/>
      <c r="J23" s="17"/>
    </row>
    <row r="24" spans="1:10" x14ac:dyDescent="0.35">
      <c r="A24" s="745" t="s">
        <v>339</v>
      </c>
      <c r="B24" s="143"/>
      <c r="C24" s="745">
        <v>200</v>
      </c>
      <c r="D24" s="69"/>
      <c r="E24" s="69">
        <v>38626</v>
      </c>
      <c r="F24" s="69">
        <v>667273</v>
      </c>
      <c r="G24" s="69"/>
      <c r="H24" s="69"/>
      <c r="I24" s="69"/>
      <c r="J24" s="17"/>
    </row>
    <row r="25" spans="1:10" ht="12.75" customHeight="1" x14ac:dyDescent="0.35">
      <c r="A25" s="740" t="s">
        <v>428</v>
      </c>
      <c r="B25" s="295"/>
      <c r="C25" s="241"/>
      <c r="D25" s="242"/>
      <c r="E25" s="242"/>
      <c r="F25" s="58"/>
      <c r="G25" s="58"/>
      <c r="H25" s="58"/>
      <c r="I25" s="58"/>
      <c r="J25" s="17"/>
    </row>
    <row r="26" spans="1:10" ht="12.75" customHeight="1" x14ac:dyDescent="0.35">
      <c r="A26" s="745" t="s">
        <v>438</v>
      </c>
      <c r="B26" s="143"/>
      <c r="C26" s="745">
        <v>200</v>
      </c>
      <c r="D26" s="69"/>
      <c r="E26" s="69"/>
      <c r="F26" s="69"/>
      <c r="G26" s="69">
        <v>-382720</v>
      </c>
      <c r="H26" s="69"/>
      <c r="I26" s="69"/>
      <c r="J26" s="17"/>
    </row>
    <row r="27" spans="1:10" ht="12.75" customHeight="1" x14ac:dyDescent="0.35">
      <c r="A27" s="296" t="s">
        <v>471</v>
      </c>
      <c r="B27" s="295"/>
      <c r="C27" s="241">
        <v>200</v>
      </c>
      <c r="D27" s="242"/>
      <c r="E27" s="242">
        <v>-71527</v>
      </c>
      <c r="F27" s="58"/>
      <c r="G27" s="58"/>
      <c r="H27" s="58"/>
      <c r="I27" s="58"/>
      <c r="J27" s="17"/>
    </row>
    <row r="28" spans="1:10" ht="12.75" customHeight="1" x14ac:dyDescent="0.35">
      <c r="A28" s="692" t="s">
        <v>486</v>
      </c>
      <c r="B28" s="143"/>
      <c r="C28" s="745"/>
      <c r="D28" s="69"/>
      <c r="E28" s="69"/>
      <c r="F28" s="69"/>
      <c r="G28" s="69"/>
      <c r="H28" s="69"/>
      <c r="I28" s="69"/>
      <c r="J28" s="17"/>
    </row>
    <row r="29" spans="1:10" ht="12.75" customHeight="1" x14ac:dyDescent="0.35">
      <c r="A29" s="296" t="s">
        <v>582</v>
      </c>
      <c r="B29" s="295"/>
      <c r="C29" s="241">
        <v>100</v>
      </c>
      <c r="D29" s="242"/>
      <c r="E29" s="242"/>
      <c r="F29" s="242">
        <v>1773676</v>
      </c>
      <c r="G29" s="242"/>
      <c r="H29" s="242"/>
      <c r="I29" s="242"/>
    </row>
    <row r="30" spans="1:10" ht="12.75" customHeight="1" x14ac:dyDescent="0.35">
      <c r="A30" s="745"/>
      <c r="B30" s="143"/>
      <c r="C30" s="745">
        <v>200</v>
      </c>
      <c r="D30" s="69"/>
      <c r="E30" s="69"/>
      <c r="F30" s="69">
        <v>9781145</v>
      </c>
      <c r="G30" s="69"/>
      <c r="H30" s="69"/>
      <c r="I30" s="69"/>
    </row>
    <row r="31" spans="1:10" ht="12.75" customHeight="1" x14ac:dyDescent="0.35">
      <c r="A31" s="296" t="s">
        <v>494</v>
      </c>
      <c r="B31" s="295"/>
      <c r="C31" s="241">
        <v>200</v>
      </c>
      <c r="D31" s="242"/>
      <c r="E31" s="242"/>
      <c r="F31" s="242">
        <v>1345179</v>
      </c>
      <c r="G31" s="242"/>
      <c r="H31" s="242"/>
      <c r="I31" s="242"/>
    </row>
    <row r="32" spans="1:10" ht="12.75" customHeight="1" x14ac:dyDescent="0.35">
      <c r="A32" s="745" t="s">
        <v>588</v>
      </c>
      <c r="B32" s="143"/>
      <c r="C32" s="745">
        <v>100</v>
      </c>
      <c r="D32" s="69"/>
      <c r="E32" s="69">
        <v>34177</v>
      </c>
      <c r="F32" s="69"/>
      <c r="G32" s="69"/>
      <c r="H32" s="69"/>
      <c r="I32" s="69"/>
    </row>
    <row r="33" spans="1:9" ht="12.75" customHeight="1" x14ac:dyDescent="0.35">
      <c r="A33" s="740" t="s">
        <v>594</v>
      </c>
      <c r="B33" s="295"/>
      <c r="C33" s="241"/>
      <c r="D33" s="242"/>
      <c r="E33" s="242"/>
      <c r="F33" s="242"/>
      <c r="G33" s="242"/>
      <c r="H33" s="242"/>
      <c r="I33" s="242"/>
    </row>
    <row r="34" spans="1:9" ht="12.75" customHeight="1" x14ac:dyDescent="0.35">
      <c r="A34" s="745" t="s">
        <v>605</v>
      </c>
      <c r="B34" s="143"/>
      <c r="C34" s="745">
        <v>200</v>
      </c>
      <c r="D34" s="69"/>
      <c r="E34" s="69"/>
      <c r="F34" s="69"/>
      <c r="G34" s="69">
        <v>4000000</v>
      </c>
      <c r="H34" s="69"/>
      <c r="I34" s="69"/>
    </row>
    <row r="35" spans="1:9" ht="12.75" customHeight="1" x14ac:dyDescent="0.35">
      <c r="A35" s="296" t="s">
        <v>615</v>
      </c>
      <c r="B35" s="295"/>
      <c r="C35" s="241">
        <v>100</v>
      </c>
      <c r="D35" s="242"/>
      <c r="E35" s="242"/>
      <c r="F35" s="242">
        <v>-1773676</v>
      </c>
      <c r="G35" s="242">
        <v>1773676</v>
      </c>
      <c r="H35" s="242"/>
      <c r="I35" s="242"/>
    </row>
    <row r="36" spans="1:9" ht="12.75" customHeight="1" x14ac:dyDescent="0.35">
      <c r="A36" s="745"/>
      <c r="B36" s="143"/>
      <c r="C36" s="745">
        <v>200</v>
      </c>
      <c r="D36" s="69"/>
      <c r="E36" s="69"/>
      <c r="F36" s="69">
        <v>-11126324</v>
      </c>
      <c r="G36" s="69">
        <v>11126324</v>
      </c>
      <c r="H36" s="69"/>
      <c r="I36" s="69"/>
    </row>
    <row r="37" spans="1:9" ht="12.75" customHeight="1" x14ac:dyDescent="0.35">
      <c r="A37" s="740" t="s">
        <v>648</v>
      </c>
      <c r="B37" s="295"/>
      <c r="C37" s="241"/>
      <c r="D37" s="242"/>
      <c r="E37" s="242"/>
      <c r="F37" s="242"/>
      <c r="G37" s="242"/>
      <c r="H37" s="242"/>
      <c r="I37" s="242"/>
    </row>
    <row r="38" spans="1:9" ht="12.75" customHeight="1" x14ac:dyDescent="0.35">
      <c r="A38" s="745" t="s">
        <v>676</v>
      </c>
      <c r="B38" s="143"/>
      <c r="C38" s="745">
        <v>100</v>
      </c>
      <c r="D38" s="69">
        <v>-450554</v>
      </c>
      <c r="E38" s="69"/>
      <c r="F38" s="69"/>
      <c r="G38" s="69"/>
      <c r="H38" s="69"/>
      <c r="I38" s="69"/>
    </row>
    <row r="39" spans="1:9" ht="12.75" customHeight="1" x14ac:dyDescent="0.35">
      <c r="A39" s="296"/>
      <c r="B39" s="295"/>
      <c r="C39" s="241">
        <v>200</v>
      </c>
      <c r="D39" s="242">
        <v>450554</v>
      </c>
      <c r="E39" s="242"/>
      <c r="F39" s="242"/>
      <c r="G39" s="242"/>
      <c r="H39" s="242"/>
      <c r="I39" s="242"/>
    </row>
    <row r="40" spans="1:9" ht="12.75" customHeight="1" x14ac:dyDescent="0.35">
      <c r="A40" s="745" t="s">
        <v>867</v>
      </c>
      <c r="B40" s="143"/>
      <c r="C40" s="745">
        <v>200</v>
      </c>
      <c r="D40" s="69">
        <v>500000</v>
      </c>
      <c r="E40" s="69">
        <v>-500000</v>
      </c>
      <c r="F40" s="69"/>
      <c r="G40" s="69"/>
      <c r="H40" s="69"/>
      <c r="I40" s="69"/>
    </row>
    <row r="41" spans="1:9" ht="12.75" customHeight="1" x14ac:dyDescent="0.35">
      <c r="A41" s="296" t="s">
        <v>869</v>
      </c>
      <c r="B41" s="295"/>
      <c r="C41" s="241">
        <v>200</v>
      </c>
      <c r="D41" s="242">
        <v>500000</v>
      </c>
      <c r="E41" s="242">
        <v>-500000</v>
      </c>
      <c r="F41" s="242"/>
      <c r="G41" s="242"/>
      <c r="H41" s="242"/>
      <c r="I41" s="242"/>
    </row>
    <row r="42" spans="1:9" ht="12.75" customHeight="1" x14ac:dyDescent="0.35">
      <c r="A42" s="692" t="s">
        <v>748</v>
      </c>
      <c r="B42" s="143"/>
      <c r="C42" s="745"/>
      <c r="D42" s="69"/>
      <c r="E42" s="69"/>
      <c r="F42" s="69"/>
      <c r="G42" s="69"/>
      <c r="H42" s="69"/>
      <c r="I42" s="69"/>
    </row>
    <row r="43" spans="1:9" ht="12.75" customHeight="1" x14ac:dyDescent="0.35">
      <c r="A43" s="296" t="s">
        <v>807</v>
      </c>
      <c r="B43" s="295"/>
      <c r="C43" s="241">
        <v>100</v>
      </c>
      <c r="D43" s="242"/>
      <c r="E43" s="242">
        <v>1773676</v>
      </c>
      <c r="F43" s="242"/>
      <c r="G43" s="242">
        <v>-1773676</v>
      </c>
      <c r="H43" s="242"/>
      <c r="I43" s="242"/>
    </row>
    <row r="44" spans="1:9" ht="12.75" customHeight="1" x14ac:dyDescent="0.35">
      <c r="A44" s="745"/>
      <c r="B44" s="143"/>
      <c r="C44" s="745">
        <v>200</v>
      </c>
      <c r="D44" s="69"/>
      <c r="E44" s="69">
        <v>11126324</v>
      </c>
      <c r="F44" s="69"/>
      <c r="G44" s="69">
        <v>-11126324</v>
      </c>
      <c r="H44" s="69"/>
      <c r="I44" s="69"/>
    </row>
    <row r="45" spans="1:9" ht="12.75" customHeight="1" x14ac:dyDescent="0.35">
      <c r="A45" s="296" t="s">
        <v>858</v>
      </c>
      <c r="B45" s="295"/>
      <c r="C45" s="241">
        <v>100</v>
      </c>
      <c r="D45" s="242"/>
      <c r="E45" s="242"/>
      <c r="F45" s="242"/>
      <c r="G45" s="242">
        <v>-1773676</v>
      </c>
      <c r="H45" s="242"/>
      <c r="I45" s="242"/>
    </row>
    <row r="46" spans="1:9" ht="12.75" customHeight="1" x14ac:dyDescent="0.35">
      <c r="A46" s="745"/>
      <c r="B46" s="143"/>
      <c r="C46" s="745">
        <v>200</v>
      </c>
      <c r="D46" s="69"/>
      <c r="E46" s="69"/>
      <c r="F46" s="69"/>
      <c r="G46" s="69">
        <f>-11126324</f>
        <v>-11126324</v>
      </c>
      <c r="H46" s="69"/>
      <c r="I46" s="69"/>
    </row>
    <row r="47" spans="1:9" ht="12.75" customHeight="1" x14ac:dyDescent="0.35">
      <c r="A47" s="296" t="s">
        <v>881</v>
      </c>
      <c r="B47" s="295"/>
      <c r="C47" s="241">
        <v>100</v>
      </c>
      <c r="D47" s="242"/>
      <c r="E47" s="242">
        <v>-118521</v>
      </c>
      <c r="F47" s="242"/>
      <c r="G47" s="242"/>
      <c r="H47" s="242"/>
      <c r="I47" s="242"/>
    </row>
    <row r="48" spans="1:9" ht="12.75" customHeight="1" x14ac:dyDescent="0.35">
      <c r="A48" s="745"/>
      <c r="B48" s="143"/>
      <c r="C48" s="745"/>
      <c r="D48" s="69"/>
      <c r="E48" s="69"/>
      <c r="F48" s="69"/>
      <c r="G48" s="69"/>
      <c r="H48" s="69"/>
      <c r="I48" s="69"/>
    </row>
    <row r="49" spans="1:9" ht="12.75" customHeight="1" x14ac:dyDescent="0.35">
      <c r="A49" s="296"/>
      <c r="B49" s="295"/>
      <c r="C49" s="241"/>
      <c r="D49" s="242"/>
      <c r="E49" s="242"/>
      <c r="F49" s="242"/>
      <c r="G49" s="242"/>
      <c r="H49" s="242"/>
      <c r="I49" s="242"/>
    </row>
    <row r="50" spans="1:9" ht="12.75" customHeight="1" x14ac:dyDescent="0.35">
      <c r="A50" s="745"/>
      <c r="B50" s="143"/>
      <c r="C50" s="745"/>
      <c r="D50" s="69"/>
      <c r="E50" s="69"/>
      <c r="F50" s="69"/>
      <c r="G50" s="69"/>
      <c r="H50" s="69"/>
      <c r="I50" s="69"/>
    </row>
    <row r="51" spans="1:9" ht="12.75" customHeight="1" x14ac:dyDescent="0.35">
      <c r="A51" s="296"/>
      <c r="B51" s="295"/>
      <c r="C51" s="241"/>
      <c r="D51" s="242"/>
      <c r="E51" s="242"/>
      <c r="F51" s="242"/>
      <c r="G51" s="242"/>
      <c r="H51" s="242"/>
      <c r="I51" s="242"/>
    </row>
    <row r="52" spans="1:9" ht="12.75" customHeight="1" x14ac:dyDescent="0.35">
      <c r="A52" s="745"/>
      <c r="B52" s="143"/>
      <c r="C52" s="745"/>
      <c r="D52" s="69"/>
      <c r="E52" s="69"/>
      <c r="F52" s="69"/>
      <c r="G52" s="69"/>
      <c r="H52" s="69"/>
      <c r="I52" s="69"/>
    </row>
    <row r="53" spans="1:9" ht="12.75" customHeight="1" x14ac:dyDescent="0.35">
      <c r="A53" s="296"/>
      <c r="B53" s="295"/>
      <c r="C53" s="241"/>
      <c r="D53" s="242"/>
      <c r="E53" s="242"/>
      <c r="F53" s="242"/>
      <c r="G53" s="242"/>
      <c r="H53" s="242"/>
      <c r="I53" s="242"/>
    </row>
    <row r="54" spans="1:9" x14ac:dyDescent="0.35">
      <c r="A54" s="745"/>
      <c r="B54" s="143"/>
      <c r="C54" s="745"/>
      <c r="D54" s="69"/>
      <c r="E54" s="69"/>
      <c r="F54" s="69"/>
      <c r="G54" s="69"/>
      <c r="H54" s="69"/>
      <c r="I54" s="69"/>
    </row>
    <row r="56" spans="1:9" x14ac:dyDescent="0.35">
      <c r="A56" s="649"/>
      <c r="B56" s="78"/>
      <c r="C56" s="75"/>
      <c r="D56" s="73"/>
      <c r="E56" s="73"/>
      <c r="F56" s="73"/>
      <c r="G56" s="73"/>
      <c r="H56" s="73"/>
      <c r="I56" s="73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5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5"/>
  <dimension ref="A1:K53"/>
  <sheetViews>
    <sheetView topLeftCell="A5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2">
        <v>56</v>
      </c>
      <c r="C6" s="880" t="s">
        <v>128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5185267</f>
        <v>5185267</v>
      </c>
      <c r="C9" s="33">
        <v>5290733</v>
      </c>
      <c r="D9" s="219">
        <f t="shared" ref="D9:D15" si="0">+C9+SUMIF($C$20:$C$58,K9,$D$20:$D$58)</f>
        <v>5290733</v>
      </c>
      <c r="E9" s="114">
        <f t="shared" ref="E9:E15" si="1">+D9+SUMIF($C$20:$C$58,K9,$E$20:$E$58)</f>
        <v>5053802</v>
      </c>
      <c r="F9" s="396">
        <f t="shared" ref="F9:F15" si="2">+E9+SUMIF($C$20:$C$58,K9,$F$20:$F$58)</f>
        <v>5053802</v>
      </c>
      <c r="G9" s="33">
        <f t="shared" ref="G9:G15" si="3">+F9+SUMIF($C$20:$C$58,K9,$G$20:$G$58)</f>
        <v>5053802</v>
      </c>
      <c r="H9" s="219">
        <f t="shared" ref="H9:H15" si="4">+G9+SUMIF($C$20:$C$58,K9,$H$20:$H$58)</f>
        <v>5053802</v>
      </c>
      <c r="I9" s="50">
        <f t="shared" ref="I9:I15" si="5">+H9+SUMIF($C$20:$C$58,K9,$I$20:$I$58)</f>
        <v>5053802</v>
      </c>
      <c r="K9" s="7">
        <v>100</v>
      </c>
    </row>
    <row r="10" spans="1:11" x14ac:dyDescent="0.35">
      <c r="A10" s="10" t="s">
        <v>5</v>
      </c>
      <c r="B10" s="35">
        <v>730911</v>
      </c>
      <c r="C10" s="35">
        <v>877570</v>
      </c>
      <c r="D10" s="222">
        <f t="shared" si="0"/>
        <v>877570</v>
      </c>
      <c r="E10" s="506">
        <f t="shared" si="1"/>
        <v>997570</v>
      </c>
      <c r="F10" s="504">
        <f t="shared" si="2"/>
        <v>747570</v>
      </c>
      <c r="G10" s="35">
        <f t="shared" si="3"/>
        <v>827570</v>
      </c>
      <c r="H10" s="220">
        <f t="shared" si="4"/>
        <v>827570</v>
      </c>
      <c r="I10" s="49">
        <f t="shared" si="5"/>
        <v>827570</v>
      </c>
      <c r="K10" s="7">
        <v>200</v>
      </c>
    </row>
    <row r="11" spans="1:11" x14ac:dyDescent="0.35">
      <c r="A11" s="9" t="s">
        <v>6</v>
      </c>
      <c r="B11" s="33">
        <f>43611+5412</f>
        <v>49023</v>
      </c>
      <c r="C11" s="33">
        <v>69432</v>
      </c>
      <c r="D11" s="219">
        <f t="shared" si="0"/>
        <v>69432</v>
      </c>
      <c r="E11" s="114">
        <f t="shared" si="1"/>
        <v>69432</v>
      </c>
      <c r="F11" s="396">
        <f t="shared" si="2"/>
        <v>69432</v>
      </c>
      <c r="G11" s="33">
        <f t="shared" si="3"/>
        <v>69432</v>
      </c>
      <c r="H11" s="219">
        <f t="shared" si="4"/>
        <v>69432</v>
      </c>
      <c r="I11" s="34">
        <f t="shared" si="5"/>
        <v>69432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5965201</v>
      </c>
      <c r="C16" s="39">
        <f t="shared" ref="C16:I16" si="6">SUM(C9:C15)</f>
        <v>6237735</v>
      </c>
      <c r="D16" s="39">
        <f t="shared" si="6"/>
        <v>6237735</v>
      </c>
      <c r="E16" s="529">
        <f t="shared" si="6"/>
        <v>6120804</v>
      </c>
      <c r="F16" s="39">
        <f t="shared" si="6"/>
        <v>5870804</v>
      </c>
      <c r="G16" s="39">
        <f t="shared" si="6"/>
        <v>5950804</v>
      </c>
      <c r="H16" s="39">
        <f t="shared" si="6"/>
        <v>5950804</v>
      </c>
      <c r="I16" s="39">
        <f t="shared" si="6"/>
        <v>5950804</v>
      </c>
    </row>
    <row r="18" spans="1:10" x14ac:dyDescent="0.35">
      <c r="E18" s="400">
        <f>+E16-D16</f>
        <v>-116931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387" t="s">
        <v>271</v>
      </c>
      <c r="B21" s="84"/>
      <c r="C21" s="67"/>
      <c r="D21" s="68"/>
      <c r="E21" s="68"/>
      <c r="F21" s="68"/>
      <c r="G21" s="68"/>
      <c r="H21" s="69"/>
      <c r="I21" s="69"/>
      <c r="J21" s="17"/>
    </row>
    <row r="22" spans="1:10" ht="13" customHeight="1" x14ac:dyDescent="0.35">
      <c r="A22" s="171" t="s">
        <v>275</v>
      </c>
      <c r="B22" s="92"/>
      <c r="C22" s="102">
        <v>200</v>
      </c>
      <c r="D22" s="103"/>
      <c r="E22" s="103"/>
      <c r="F22" s="103"/>
      <c r="G22" s="103">
        <v>80000</v>
      </c>
      <c r="H22" s="94"/>
      <c r="I22" s="94"/>
      <c r="J22" s="17" t="s">
        <v>287</v>
      </c>
    </row>
    <row r="23" spans="1:10" ht="13" customHeight="1" x14ac:dyDescent="0.35">
      <c r="A23" s="779" t="s">
        <v>428</v>
      </c>
      <c r="B23" s="143"/>
      <c r="C23" s="333"/>
      <c r="D23" s="777"/>
      <c r="E23" s="777"/>
      <c r="F23" s="68"/>
      <c r="G23" s="143"/>
      <c r="H23" s="143"/>
      <c r="I23" s="143"/>
    </row>
    <row r="24" spans="1:10" ht="13" customHeight="1" x14ac:dyDescent="0.35">
      <c r="A24" s="778" t="s">
        <v>444</v>
      </c>
      <c r="B24" s="78"/>
      <c r="C24" s="71">
        <v>200</v>
      </c>
      <c r="D24" s="777"/>
      <c r="E24" s="777">
        <v>-80000</v>
      </c>
      <c r="F24" s="72"/>
      <c r="G24" s="72"/>
      <c r="H24" s="73"/>
      <c r="I24" s="73"/>
    </row>
    <row r="25" spans="1:10" ht="13" customHeight="1" x14ac:dyDescent="0.35">
      <c r="A25" s="778" t="s">
        <v>590</v>
      </c>
      <c r="B25" s="143"/>
      <c r="C25" s="333">
        <v>100</v>
      </c>
      <c r="D25" s="777"/>
      <c r="E25" s="777">
        <v>22059</v>
      </c>
      <c r="F25" s="68"/>
      <c r="G25" s="143"/>
      <c r="H25" s="143"/>
      <c r="I25" s="143"/>
    </row>
    <row r="26" spans="1:10" ht="13" customHeight="1" x14ac:dyDescent="0.35">
      <c r="A26" s="778" t="s">
        <v>563</v>
      </c>
      <c r="B26" s="78"/>
      <c r="C26" s="71">
        <v>100</v>
      </c>
      <c r="D26" s="777"/>
      <c r="E26" s="777"/>
      <c r="F26" s="72">
        <v>1337063</v>
      </c>
      <c r="G26" s="72"/>
      <c r="H26" s="73"/>
      <c r="I26" s="73"/>
    </row>
    <row r="27" spans="1:10" ht="13" customHeight="1" x14ac:dyDescent="0.35">
      <c r="A27" s="779" t="s">
        <v>596</v>
      </c>
      <c r="B27" s="143"/>
      <c r="C27" s="333"/>
      <c r="D27" s="777"/>
      <c r="E27" s="777"/>
      <c r="F27" s="68"/>
      <c r="G27" s="143"/>
      <c r="H27" s="143"/>
      <c r="I27" s="143"/>
      <c r="J27" s="17"/>
    </row>
    <row r="28" spans="1:10" ht="13" customHeight="1" x14ac:dyDescent="0.35">
      <c r="A28" s="778" t="s">
        <v>598</v>
      </c>
      <c r="B28" s="78"/>
      <c r="C28" s="71">
        <v>100</v>
      </c>
      <c r="D28" s="777"/>
      <c r="E28" s="777"/>
      <c r="F28" s="72">
        <v>-973017</v>
      </c>
      <c r="G28" s="72"/>
      <c r="H28" s="73"/>
      <c r="I28" s="73"/>
      <c r="J28" s="17"/>
    </row>
    <row r="29" spans="1:10" ht="13" customHeight="1" x14ac:dyDescent="0.35">
      <c r="A29" s="778"/>
      <c r="B29" s="143"/>
      <c r="C29" s="333">
        <v>200</v>
      </c>
      <c r="D29" s="240"/>
      <c r="E29" s="68"/>
      <c r="F29" s="68">
        <v>361500</v>
      </c>
      <c r="G29" s="68"/>
      <c r="H29" s="69"/>
      <c r="I29" s="69"/>
      <c r="J29" s="73"/>
    </row>
    <row r="30" spans="1:10" ht="13" customHeight="1" x14ac:dyDescent="0.35">
      <c r="A30" s="778" t="s">
        <v>615</v>
      </c>
      <c r="B30" s="78"/>
      <c r="C30" s="71">
        <v>100</v>
      </c>
      <c r="D30" s="777"/>
      <c r="E30" s="777"/>
      <c r="F30" s="72">
        <v>-364046</v>
      </c>
      <c r="G30" s="72">
        <v>364046</v>
      </c>
      <c r="H30" s="73"/>
      <c r="I30" s="73"/>
      <c r="J30" s="73"/>
    </row>
    <row r="31" spans="1:10" ht="13" customHeight="1" x14ac:dyDescent="0.35">
      <c r="A31" s="778"/>
      <c r="B31" s="143"/>
      <c r="C31" s="333">
        <v>200</v>
      </c>
      <c r="D31" s="240"/>
      <c r="E31" s="68"/>
      <c r="F31" s="68">
        <v>-361500</v>
      </c>
      <c r="G31" s="68">
        <v>361500</v>
      </c>
      <c r="H31" s="69"/>
      <c r="I31" s="69"/>
      <c r="J31" s="73"/>
    </row>
    <row r="32" spans="1:10" ht="13" customHeight="1" x14ac:dyDescent="0.35">
      <c r="A32" s="779" t="s">
        <v>748</v>
      </c>
      <c r="B32" s="78"/>
      <c r="C32" s="71"/>
      <c r="D32" s="777"/>
      <c r="E32" s="777"/>
      <c r="F32" s="72"/>
      <c r="G32" s="72"/>
      <c r="H32" s="73"/>
      <c r="I32" s="73"/>
      <c r="J32" s="73"/>
    </row>
    <row r="33" spans="1:10" ht="13" customHeight="1" x14ac:dyDescent="0.35">
      <c r="A33" s="778" t="s">
        <v>865</v>
      </c>
      <c r="B33" s="143"/>
      <c r="C33" s="333">
        <v>100</v>
      </c>
      <c r="D33" s="240"/>
      <c r="E33" s="68">
        <v>-258990</v>
      </c>
      <c r="F33" s="68"/>
      <c r="G33" s="68"/>
      <c r="H33" s="69"/>
      <c r="I33" s="69"/>
      <c r="J33" s="17"/>
    </row>
    <row r="34" spans="1:10" ht="13" customHeight="1" x14ac:dyDescent="0.35">
      <c r="A34" s="778"/>
      <c r="B34" s="78"/>
      <c r="C34" s="71">
        <v>200</v>
      </c>
      <c r="D34" s="777"/>
      <c r="E34" s="777">
        <v>-50000</v>
      </c>
      <c r="F34" s="72"/>
      <c r="G34" s="72"/>
      <c r="H34" s="73"/>
      <c r="I34" s="73"/>
      <c r="J34" s="17"/>
    </row>
    <row r="35" spans="1:10" ht="13" customHeight="1" x14ac:dyDescent="0.35">
      <c r="A35" s="778" t="s">
        <v>808</v>
      </c>
      <c r="B35" s="143"/>
      <c r="C35" s="333">
        <v>200</v>
      </c>
      <c r="D35" s="240"/>
      <c r="E35" s="68">
        <v>250000</v>
      </c>
      <c r="F35" s="68">
        <v>-250000</v>
      </c>
      <c r="G35" s="68"/>
      <c r="H35" s="69"/>
      <c r="I35" s="69"/>
      <c r="J35" s="17"/>
    </row>
    <row r="36" spans="1:10" ht="13" customHeight="1" x14ac:dyDescent="0.35">
      <c r="A36" s="778" t="s">
        <v>859</v>
      </c>
      <c r="B36" s="78"/>
      <c r="C36" s="71">
        <v>100</v>
      </c>
      <c r="D36" s="777"/>
      <c r="E36" s="777"/>
      <c r="F36" s="72"/>
      <c r="G36" s="72">
        <v>-364046</v>
      </c>
      <c r="H36" s="73"/>
      <c r="I36" s="73"/>
      <c r="J36" s="17"/>
    </row>
    <row r="37" spans="1:10" ht="13" customHeight="1" x14ac:dyDescent="0.35">
      <c r="A37" s="779"/>
      <c r="B37" s="143"/>
      <c r="C37" s="333">
        <v>200</v>
      </c>
      <c r="D37" s="240"/>
      <c r="E37" s="68"/>
      <c r="F37" s="68"/>
      <c r="G37" s="68">
        <v>-361500</v>
      </c>
      <c r="H37" s="69"/>
      <c r="I37" s="69"/>
      <c r="J37" s="17"/>
    </row>
    <row r="38" spans="1:10" ht="13" customHeight="1" x14ac:dyDescent="0.35">
      <c r="A38" s="778"/>
      <c r="B38" s="78"/>
      <c r="C38" s="71"/>
      <c r="D38" s="777"/>
      <c r="E38" s="777"/>
      <c r="F38" s="72"/>
      <c r="G38" s="72"/>
      <c r="H38" s="73"/>
      <c r="I38" s="73"/>
      <c r="J38" s="17"/>
    </row>
    <row r="39" spans="1:10" ht="13" customHeight="1" x14ac:dyDescent="0.35">
      <c r="A39" s="778"/>
      <c r="B39" s="143"/>
      <c r="C39" s="333"/>
      <c r="D39" s="240"/>
      <c r="E39" s="68"/>
      <c r="F39" s="68"/>
      <c r="G39" s="68"/>
      <c r="H39" s="69"/>
      <c r="I39" s="69"/>
      <c r="J39" s="17"/>
    </row>
    <row r="40" spans="1:10" ht="12.75" customHeight="1" x14ac:dyDescent="0.35">
      <c r="A40" s="778"/>
      <c r="B40" s="78"/>
      <c r="C40" s="71"/>
      <c r="D40" s="777"/>
      <c r="E40" s="777"/>
      <c r="F40" s="72"/>
      <c r="G40" s="72"/>
      <c r="H40" s="73"/>
      <c r="I40" s="73"/>
      <c r="J40" s="17"/>
    </row>
    <row r="41" spans="1:10" ht="12.75" customHeight="1" x14ac:dyDescent="0.35">
      <c r="A41" s="778"/>
      <c r="B41" s="143"/>
      <c r="C41" s="333"/>
      <c r="D41" s="240"/>
      <c r="E41" s="68"/>
      <c r="F41" s="68"/>
      <c r="G41" s="68"/>
      <c r="H41" s="69"/>
      <c r="I41" s="69"/>
      <c r="J41" s="17"/>
    </row>
    <row r="42" spans="1:10" ht="12.75" customHeight="1" x14ac:dyDescent="0.35">
      <c r="A42" s="778"/>
      <c r="B42" s="78"/>
      <c r="C42" s="71"/>
      <c r="D42" s="777"/>
      <c r="E42" s="777"/>
      <c r="F42" s="72"/>
      <c r="G42" s="72"/>
      <c r="H42" s="73"/>
      <c r="I42" s="73"/>
      <c r="J42" s="17"/>
    </row>
    <row r="43" spans="1:10" ht="12.75" customHeight="1" x14ac:dyDescent="0.35">
      <c r="A43" s="81"/>
      <c r="B43" s="81"/>
      <c r="C43" s="81"/>
      <c r="D43" s="81"/>
      <c r="E43" s="81"/>
      <c r="F43" s="81"/>
      <c r="G43" s="81"/>
      <c r="H43" s="81"/>
      <c r="I43" s="81"/>
    </row>
    <row r="44" spans="1:10" ht="12.75" customHeight="1" x14ac:dyDescent="0.35">
      <c r="A44" s="81"/>
      <c r="B44" s="81"/>
      <c r="C44" s="81"/>
      <c r="D44" s="81"/>
      <c r="E44" s="81"/>
      <c r="F44" s="81"/>
      <c r="G44" s="81"/>
      <c r="H44" s="81"/>
      <c r="I44" s="81"/>
    </row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A33:A35">
    <cfRule type="expression" dxfId="153" priority="17">
      <formula>MOD(ROW(),2)=1</formula>
    </cfRule>
  </conditionalFormatting>
  <conditionalFormatting sqref="A36:A42">
    <cfRule type="expression" dxfId="152" priority="15">
      <formula>MOD(ROW(),2)=1</formula>
    </cfRule>
  </conditionalFormatting>
  <conditionalFormatting sqref="D42:E42">
    <cfRule type="expression" dxfId="151" priority="14">
      <formula>MOD(ROW(),2)=1</formula>
    </cfRule>
  </conditionalFormatting>
  <conditionalFormatting sqref="A32">
    <cfRule type="expression" dxfId="150" priority="9">
      <formula>MOD(ROW(),2)=1</formula>
    </cfRule>
  </conditionalFormatting>
  <conditionalFormatting sqref="D32:E32">
    <cfRule type="expression" dxfId="149" priority="8">
      <formula>MOD(ROW(),2)=1</formula>
    </cfRule>
  </conditionalFormatting>
  <conditionalFormatting sqref="A23:A25">
    <cfRule type="expression" dxfId="148" priority="7">
      <formula>MOD(ROW(),2)=1</formula>
    </cfRule>
  </conditionalFormatting>
  <conditionalFormatting sqref="D23:E25">
    <cfRule type="expression" dxfId="147" priority="6">
      <formula>MOD(ROW(),2)=1</formula>
    </cfRule>
  </conditionalFormatting>
  <conditionalFormatting sqref="D26:E28 D30:E30">
    <cfRule type="expression" dxfId="146" priority="4">
      <formula>MOD(ROW(),2)=1</formula>
    </cfRule>
  </conditionalFormatting>
  <conditionalFormatting sqref="A26:A31">
    <cfRule type="expression" dxfId="145" priority="5">
      <formula>MOD(ROW(),2)=1</formula>
    </cfRule>
  </conditionalFormatting>
  <conditionalFormatting sqref="D34:E34 D36:E36 D38:E38 D40:E40">
    <cfRule type="expression" dxfId="144" priority="2">
      <formula>MOD(ROW(),2)=1</formula>
    </cfRule>
  </conditionalFormatting>
  <conditionalFormatting sqref="C9:I15">
    <cfRule type="cellIs" dxfId="143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6">
    <tabColor theme="3"/>
  </sheetPr>
  <dimension ref="A1:K73"/>
  <sheetViews>
    <sheetView topLeftCell="A55" zoomScaleNormal="100" zoomScaleSheetLayoutView="90" workbookViewId="0">
      <selection activeCell="C9" sqref="C9:I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 t="s">
        <v>67</v>
      </c>
      <c r="C6" s="880" t="s">
        <v>169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24148702-'04-OIT-911'!B9</f>
        <v>22772627</v>
      </c>
      <c r="C9" s="33">
        <v>22822147</v>
      </c>
      <c r="D9" s="219">
        <f t="shared" ref="D9:D15" si="0">+C9+SUMIF($C$20:$C$79,K9,$D$20:$D$79)</f>
        <v>23487087</v>
      </c>
      <c r="E9" s="114">
        <f t="shared" ref="E9:E15" si="1">+D9+SUMIF($C$20:$C$79,K9,$E$20:$E$79)</f>
        <v>29657871</v>
      </c>
      <c r="F9" s="396">
        <f t="shared" ref="F9:F15" si="2">+E9+SUMIF($C$20:$C$79,K9,$F$20:$F$79)</f>
        <v>29331351</v>
      </c>
      <c r="G9" s="33">
        <f t="shared" ref="G9:G15" si="3">+F9+SUMIF($C$20:$C$79,K9,$G$20:$G$79)</f>
        <v>28606749</v>
      </c>
      <c r="H9" s="219">
        <f t="shared" ref="H9:H15" si="4">+G9+SUMIF($C$20:$C$79,K9,$H$20:$H$79)</f>
        <v>28645730</v>
      </c>
      <c r="I9" s="50">
        <f t="shared" ref="I9:I15" si="5">+H9+SUMIF($C$20:$C$79,K9,$I$20:$I$79)</f>
        <v>28645730</v>
      </c>
      <c r="K9" s="7">
        <v>100</v>
      </c>
    </row>
    <row r="10" spans="1:11" x14ac:dyDescent="0.35">
      <c r="A10" s="10" t="s">
        <v>5</v>
      </c>
      <c r="B10" s="48">
        <f>61407189-'04-OIT-911'!B10+222123</f>
        <v>47254784</v>
      </c>
      <c r="C10" s="35">
        <v>46576598</v>
      </c>
      <c r="D10" s="222">
        <f t="shared" si="0"/>
        <v>49983927</v>
      </c>
      <c r="E10" s="506">
        <f t="shared" si="1"/>
        <v>48514689</v>
      </c>
      <c r="F10" s="504">
        <f t="shared" si="2"/>
        <v>49645072</v>
      </c>
      <c r="G10" s="35">
        <f t="shared" si="3"/>
        <v>50973188</v>
      </c>
      <c r="H10" s="222">
        <f t="shared" si="4"/>
        <v>50961753</v>
      </c>
      <c r="I10" s="36">
        <f t="shared" si="5"/>
        <v>50961753</v>
      </c>
      <c r="K10" s="7">
        <v>200</v>
      </c>
    </row>
    <row r="11" spans="1:11" x14ac:dyDescent="0.35">
      <c r="A11" s="9" t="s">
        <v>6</v>
      </c>
      <c r="B11" s="33">
        <f>788450+8161140-'04-OIT-911'!B11+1164825</f>
        <v>5948249</v>
      </c>
      <c r="C11" s="33">
        <v>6396428</v>
      </c>
      <c r="D11" s="219">
        <f t="shared" si="0"/>
        <v>3846428</v>
      </c>
      <c r="E11" s="114">
        <f t="shared" si="1"/>
        <v>2983610</v>
      </c>
      <c r="F11" s="396">
        <f t="shared" si="2"/>
        <v>2983610</v>
      </c>
      <c r="G11" s="33">
        <f t="shared" si="3"/>
        <v>2983610</v>
      </c>
      <c r="H11" s="219">
        <f t="shared" si="4"/>
        <v>2983610</v>
      </c>
      <c r="I11" s="34">
        <f t="shared" si="5"/>
        <v>2983610</v>
      </c>
      <c r="K11" s="7" t="s">
        <v>167</v>
      </c>
    </row>
    <row r="12" spans="1:11" x14ac:dyDescent="0.35">
      <c r="A12" s="10" t="s">
        <v>7</v>
      </c>
      <c r="B12" s="35">
        <v>1970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75977630</v>
      </c>
      <c r="C16" s="39">
        <f t="shared" ref="C16:I16" si="6">SUM(C9:C15)</f>
        <v>75795173</v>
      </c>
      <c r="D16" s="39">
        <f t="shared" si="6"/>
        <v>77317442</v>
      </c>
      <c r="E16" s="529">
        <f t="shared" si="6"/>
        <v>81156170</v>
      </c>
      <c r="F16" s="39">
        <f t="shared" si="6"/>
        <v>81960033</v>
      </c>
      <c r="G16" s="39">
        <f t="shared" si="6"/>
        <v>82563547</v>
      </c>
      <c r="H16" s="39">
        <f t="shared" si="6"/>
        <v>82591093</v>
      </c>
      <c r="I16" s="39">
        <f t="shared" si="6"/>
        <v>82591093</v>
      </c>
    </row>
    <row r="17" spans="1:10" x14ac:dyDescent="0.35">
      <c r="B17" s="717">
        <f>+'04-OIT-911'!B16</f>
        <v>19916769</v>
      </c>
    </row>
    <row r="18" spans="1:10" x14ac:dyDescent="0.35">
      <c r="B18" s="717">
        <f>+B17+B16</f>
        <v>95894399</v>
      </c>
      <c r="E18" s="400">
        <f>+E16-D16</f>
        <v>3838728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9" t="s">
        <v>635</v>
      </c>
      <c r="B20" s="66"/>
      <c r="C20" s="67"/>
      <c r="D20" s="68"/>
      <c r="E20" s="68"/>
      <c r="F20" s="68"/>
      <c r="G20" s="69"/>
      <c r="H20" s="69"/>
      <c r="I20" s="69"/>
    </row>
    <row r="21" spans="1:10" ht="13" customHeight="1" x14ac:dyDescent="0.35">
      <c r="A21" s="157" t="s">
        <v>231</v>
      </c>
      <c r="B21" s="58"/>
      <c r="C21" s="58"/>
      <c r="D21" s="58"/>
      <c r="E21" s="58"/>
      <c r="F21" s="72"/>
      <c r="G21" s="72"/>
      <c r="H21" s="73"/>
      <c r="I21" s="73"/>
      <c r="J21" s="17"/>
    </row>
    <row r="22" spans="1:10" ht="13" customHeight="1" x14ac:dyDescent="0.35">
      <c r="A22" s="673" t="s">
        <v>380</v>
      </c>
      <c r="B22" s="143"/>
      <c r="C22" s="234">
        <v>200</v>
      </c>
      <c r="D22" s="143"/>
      <c r="E22" s="68">
        <v>2662000</v>
      </c>
      <c r="F22" s="68"/>
      <c r="G22" s="68"/>
      <c r="H22" s="69"/>
      <c r="I22" s="69"/>
      <c r="J22" s="17"/>
    </row>
    <row r="23" spans="1:10" ht="13" customHeight="1" x14ac:dyDescent="0.35">
      <c r="A23" s="671" t="s">
        <v>246</v>
      </c>
      <c r="B23" s="81"/>
      <c r="C23" s="81" t="s">
        <v>167</v>
      </c>
      <c r="D23" s="81"/>
      <c r="E23" s="72">
        <v>-1078312</v>
      </c>
      <c r="F23" s="72"/>
      <c r="G23" s="72"/>
      <c r="H23" s="73"/>
      <c r="I23" s="73"/>
      <c r="J23" s="17"/>
    </row>
    <row r="24" spans="1:10" ht="13" customHeight="1" x14ac:dyDescent="0.35">
      <c r="A24" s="692" t="s">
        <v>271</v>
      </c>
      <c r="B24" s="130"/>
      <c r="C24" s="234"/>
      <c r="D24" s="68"/>
      <c r="E24" s="68"/>
      <c r="F24" s="68"/>
      <c r="G24" s="68"/>
      <c r="H24" s="69"/>
      <c r="I24" s="69"/>
      <c r="J24" s="17"/>
    </row>
    <row r="25" spans="1:10" ht="12.75" customHeight="1" x14ac:dyDescent="0.35">
      <c r="A25" s="746" t="s">
        <v>297</v>
      </c>
      <c r="B25" s="58"/>
      <c r="C25" s="212">
        <v>200</v>
      </c>
      <c r="D25" s="72"/>
      <c r="E25" s="72">
        <v>-100000</v>
      </c>
      <c r="F25" s="72"/>
      <c r="G25" s="72"/>
      <c r="H25" s="72"/>
      <c r="I25" s="72"/>
    </row>
    <row r="26" spans="1:10" ht="12.75" customHeight="1" x14ac:dyDescent="0.35">
      <c r="A26" s="463" t="s">
        <v>276</v>
      </c>
      <c r="B26" s="143"/>
      <c r="C26" s="233">
        <v>200</v>
      </c>
      <c r="D26" s="68"/>
      <c r="E26" s="68">
        <v>-2426803</v>
      </c>
      <c r="F26" s="68">
        <v>4178904</v>
      </c>
      <c r="G26" s="68"/>
      <c r="H26" s="68"/>
      <c r="I26" s="68"/>
    </row>
    <row r="27" spans="1:10" ht="12.75" customHeight="1" x14ac:dyDescent="0.35">
      <c r="A27" s="81" t="s">
        <v>277</v>
      </c>
      <c r="B27" s="58"/>
      <c r="C27" s="212">
        <v>200</v>
      </c>
      <c r="D27" s="72"/>
      <c r="E27" s="72">
        <v>26774</v>
      </c>
      <c r="F27" s="72">
        <v>27577</v>
      </c>
      <c r="G27" s="72"/>
      <c r="H27" s="72"/>
      <c r="I27" s="72"/>
    </row>
    <row r="28" spans="1:10" ht="12.75" customHeight="1" x14ac:dyDescent="0.35">
      <c r="A28" s="130" t="s">
        <v>328</v>
      </c>
      <c r="B28" s="143"/>
      <c r="C28" s="233" t="s">
        <v>167</v>
      </c>
      <c r="D28" s="68"/>
      <c r="E28" s="68">
        <v>-1638126</v>
      </c>
      <c r="F28" s="68"/>
      <c r="G28" s="68"/>
      <c r="H28" s="68"/>
      <c r="I28" s="68"/>
    </row>
    <row r="29" spans="1:10" ht="12.75" customHeight="1" x14ac:dyDescent="0.35">
      <c r="A29" s="700" t="s">
        <v>294</v>
      </c>
      <c r="B29" s="58"/>
      <c r="C29" s="212"/>
      <c r="D29" s="72"/>
      <c r="E29" s="72"/>
      <c r="F29" s="72"/>
      <c r="G29" s="81"/>
      <c r="H29" s="81"/>
      <c r="I29" s="81"/>
    </row>
    <row r="30" spans="1:10" ht="12.75" customHeight="1" x14ac:dyDescent="0.35">
      <c r="A30" s="180" t="s">
        <v>329</v>
      </c>
      <c r="B30" s="143"/>
      <c r="C30" s="233">
        <v>200</v>
      </c>
      <c r="D30" s="68"/>
      <c r="E30" s="68">
        <v>-2280000</v>
      </c>
      <c r="F30" s="68"/>
      <c r="G30" s="68"/>
      <c r="H30" s="68"/>
      <c r="I30" s="68"/>
    </row>
    <row r="31" spans="1:10" ht="12.75" customHeight="1" x14ac:dyDescent="0.35">
      <c r="A31" s="577"/>
      <c r="B31" s="58"/>
      <c r="C31" s="573" t="s">
        <v>167</v>
      </c>
      <c r="D31" s="72"/>
      <c r="E31" s="576">
        <v>-2484380</v>
      </c>
      <c r="F31" s="72"/>
      <c r="G31" s="72"/>
      <c r="H31" s="72"/>
      <c r="I31" s="72"/>
    </row>
    <row r="32" spans="1:10" ht="12.75" customHeight="1" x14ac:dyDescent="0.35">
      <c r="A32" s="437" t="s">
        <v>370</v>
      </c>
      <c r="B32" s="143"/>
      <c r="C32" s="574"/>
      <c r="D32" s="68"/>
      <c r="E32" s="575"/>
      <c r="F32" s="575"/>
      <c r="G32" s="575"/>
      <c r="H32" s="68"/>
      <c r="I32" s="68"/>
    </row>
    <row r="33" spans="1:9" ht="12.75" customHeight="1" x14ac:dyDescent="0.35">
      <c r="A33" s="672" t="s">
        <v>403</v>
      </c>
      <c r="B33" s="58"/>
      <c r="C33" s="212">
        <v>200</v>
      </c>
      <c r="D33" s="72"/>
      <c r="E33" s="72">
        <v>102500</v>
      </c>
      <c r="F33" s="72">
        <v>112750</v>
      </c>
      <c r="G33" s="72">
        <v>124025</v>
      </c>
      <c r="H33" s="72"/>
      <c r="I33" s="72"/>
    </row>
    <row r="34" spans="1:9" ht="12.75" customHeight="1" x14ac:dyDescent="0.35">
      <c r="A34" s="130" t="s">
        <v>404</v>
      </c>
      <c r="B34" s="143"/>
      <c r="C34" s="233">
        <v>200</v>
      </c>
      <c r="D34" s="68"/>
      <c r="E34" s="68"/>
      <c r="F34" s="68"/>
      <c r="G34" s="68"/>
      <c r="H34" s="68"/>
      <c r="I34" s="68"/>
    </row>
    <row r="35" spans="1:9" ht="12.75" customHeight="1" x14ac:dyDescent="0.35">
      <c r="A35" s="613" t="s">
        <v>428</v>
      </c>
      <c r="B35" s="200"/>
      <c r="C35" s="58"/>
      <c r="D35" s="58"/>
      <c r="E35" s="58"/>
      <c r="F35" s="103"/>
      <c r="G35" s="103"/>
      <c r="H35" s="103"/>
      <c r="I35" s="103"/>
    </row>
    <row r="36" spans="1:9" ht="12.75" customHeight="1" x14ac:dyDescent="0.35">
      <c r="A36" s="823" t="s">
        <v>468</v>
      </c>
      <c r="B36" s="196"/>
      <c r="C36" s="670">
        <v>100</v>
      </c>
      <c r="D36" s="141"/>
      <c r="E36" s="141">
        <v>6455019</v>
      </c>
      <c r="F36" s="141">
        <v>-326520</v>
      </c>
      <c r="G36" s="141">
        <v>-724602</v>
      </c>
      <c r="H36" s="141">
        <v>38981</v>
      </c>
      <c r="I36" s="141"/>
    </row>
    <row r="37" spans="1:9" ht="12.75" customHeight="1" x14ac:dyDescent="0.35">
      <c r="A37" s="814"/>
      <c r="B37" s="824"/>
      <c r="C37" s="825"/>
      <c r="D37" s="826"/>
      <c r="E37" s="103"/>
      <c r="F37" s="103"/>
      <c r="G37" s="103"/>
      <c r="H37" s="103"/>
      <c r="I37" s="103"/>
    </row>
    <row r="38" spans="1:9" ht="12.75" customHeight="1" x14ac:dyDescent="0.35">
      <c r="A38" s="140" t="s">
        <v>454</v>
      </c>
      <c r="B38" s="196"/>
      <c r="C38" s="670">
        <v>200</v>
      </c>
      <c r="D38" s="141"/>
      <c r="E38" s="141">
        <v>612000</v>
      </c>
      <c r="F38" s="141">
        <v>-1200000</v>
      </c>
      <c r="G38" s="141"/>
      <c r="H38" s="141"/>
      <c r="I38" s="141"/>
    </row>
    <row r="39" spans="1:9" ht="12.75" customHeight="1" x14ac:dyDescent="0.35">
      <c r="A39" s="827"/>
      <c r="B39" s="200"/>
      <c r="C39" s="828" t="s">
        <v>167</v>
      </c>
      <c r="D39" s="103"/>
      <c r="E39" s="103">
        <v>1788000</v>
      </c>
      <c r="F39" s="103"/>
      <c r="G39" s="103"/>
      <c r="H39" s="103"/>
      <c r="I39" s="103"/>
    </row>
    <row r="40" spans="1:9" ht="12.75" customHeight="1" x14ac:dyDescent="0.35">
      <c r="A40" s="829" t="s">
        <v>486</v>
      </c>
      <c r="B40" s="196"/>
      <c r="C40" s="670"/>
      <c r="D40" s="141"/>
      <c r="E40" s="141"/>
      <c r="F40" s="141"/>
      <c r="G40" s="141"/>
      <c r="H40" s="141"/>
      <c r="I40" s="141"/>
    </row>
    <row r="41" spans="1:9" ht="12.75" customHeight="1" x14ac:dyDescent="0.35">
      <c r="A41" s="672" t="s">
        <v>552</v>
      </c>
      <c r="B41" s="58"/>
      <c r="C41" s="212">
        <v>100</v>
      </c>
      <c r="D41" s="72"/>
      <c r="E41" s="72"/>
      <c r="F41" s="72">
        <v>2026233</v>
      </c>
      <c r="G41" s="72"/>
      <c r="H41" s="72"/>
      <c r="I41" s="72"/>
    </row>
    <row r="42" spans="1:9" ht="12.75" customHeight="1" x14ac:dyDescent="0.35">
      <c r="A42" s="130" t="s">
        <v>499</v>
      </c>
      <c r="B42" s="143"/>
      <c r="C42" s="233">
        <v>200</v>
      </c>
      <c r="D42" s="68"/>
      <c r="E42" s="68"/>
      <c r="F42" s="68">
        <v>3659376</v>
      </c>
      <c r="G42" s="68"/>
      <c r="H42" s="68"/>
      <c r="I42" s="68"/>
    </row>
    <row r="43" spans="1:9" ht="12.75" customHeight="1" x14ac:dyDescent="0.35">
      <c r="A43" s="672" t="s">
        <v>500</v>
      </c>
      <c r="B43" s="58"/>
      <c r="C43" s="212" t="s">
        <v>167</v>
      </c>
      <c r="D43" s="72"/>
      <c r="E43" s="72"/>
      <c r="F43" s="72">
        <v>163097</v>
      </c>
      <c r="G43" s="72"/>
      <c r="H43" s="72"/>
      <c r="I43" s="72"/>
    </row>
    <row r="44" spans="1:9" ht="12.75" customHeight="1" x14ac:dyDescent="0.35">
      <c r="A44" s="130" t="s">
        <v>501</v>
      </c>
      <c r="B44" s="143"/>
      <c r="C44" s="233" t="s">
        <v>167</v>
      </c>
      <c r="D44" s="68"/>
      <c r="E44" s="68"/>
      <c r="F44" s="68">
        <v>3209198</v>
      </c>
      <c r="G44" s="68"/>
      <c r="H44" s="68"/>
      <c r="I44" s="68"/>
    </row>
    <row r="45" spans="1:9" ht="12.75" customHeight="1" x14ac:dyDescent="0.35">
      <c r="A45" s="672" t="s">
        <v>592</v>
      </c>
      <c r="B45" s="58"/>
      <c r="C45" s="212">
        <v>100</v>
      </c>
      <c r="D45" s="72"/>
      <c r="E45" s="72">
        <v>312792</v>
      </c>
      <c r="F45" s="72"/>
      <c r="G45" s="72"/>
      <c r="H45" s="72"/>
      <c r="I45" s="72"/>
    </row>
    <row r="46" spans="1:9" ht="12.75" customHeight="1" x14ac:dyDescent="0.35">
      <c r="A46" s="130" t="s">
        <v>596</v>
      </c>
      <c r="B46" s="143"/>
      <c r="C46" s="233"/>
      <c r="D46" s="68"/>
      <c r="E46" s="68"/>
      <c r="F46" s="68"/>
      <c r="G46" s="68"/>
      <c r="H46" s="68"/>
      <c r="I46" s="68"/>
    </row>
    <row r="47" spans="1:9" ht="12.75" customHeight="1" x14ac:dyDescent="0.35">
      <c r="A47" s="672" t="s">
        <v>616</v>
      </c>
      <c r="B47" s="58"/>
      <c r="C47" s="212">
        <v>100</v>
      </c>
      <c r="D47" s="72"/>
      <c r="E47" s="72"/>
      <c r="F47" s="72">
        <v>-2026233</v>
      </c>
      <c r="G47" s="72">
        <v>2026233</v>
      </c>
      <c r="H47" s="72"/>
      <c r="I47" s="72"/>
    </row>
    <row r="48" spans="1:9" ht="12.75" customHeight="1" x14ac:dyDescent="0.35">
      <c r="A48" s="130"/>
      <c r="B48" s="143"/>
      <c r="C48" s="233">
        <v>200</v>
      </c>
      <c r="D48" s="68"/>
      <c r="E48" s="68"/>
      <c r="F48" s="68">
        <v>-3659376</v>
      </c>
      <c r="G48" s="68">
        <v>3659376</v>
      </c>
      <c r="H48" s="68"/>
      <c r="I48" s="68"/>
    </row>
    <row r="49" spans="1:9" ht="12.75" customHeight="1" x14ac:dyDescent="0.35">
      <c r="A49" s="672"/>
      <c r="B49" s="58"/>
      <c r="C49" s="212" t="s">
        <v>167</v>
      </c>
      <c r="D49" s="72"/>
      <c r="E49" s="72"/>
      <c r="F49" s="72">
        <v>-163097</v>
      </c>
      <c r="G49" s="72">
        <v>163097</v>
      </c>
      <c r="H49" s="72"/>
      <c r="I49" s="72"/>
    </row>
    <row r="50" spans="1:9" ht="12.75" customHeight="1" x14ac:dyDescent="0.35">
      <c r="A50" s="130"/>
      <c r="B50" s="143"/>
      <c r="C50" s="233" t="s">
        <v>167</v>
      </c>
      <c r="D50" s="68"/>
      <c r="E50" s="68"/>
      <c r="F50" s="68">
        <v>-3209198</v>
      </c>
      <c r="G50" s="68">
        <v>3209198</v>
      </c>
      <c r="H50" s="68"/>
      <c r="I50" s="68"/>
    </row>
    <row r="51" spans="1:9" x14ac:dyDescent="0.35">
      <c r="A51" s="700" t="s">
        <v>642</v>
      </c>
      <c r="B51" s="58"/>
      <c r="C51" s="212"/>
      <c r="D51" s="72"/>
      <c r="E51" s="72"/>
      <c r="F51" s="72"/>
      <c r="G51" s="72"/>
      <c r="H51" s="72"/>
      <c r="I51" s="72"/>
    </row>
    <row r="52" spans="1:9" x14ac:dyDescent="0.35">
      <c r="A52" s="808" t="s">
        <v>643</v>
      </c>
      <c r="B52" s="143"/>
      <c r="C52" s="233">
        <v>100</v>
      </c>
      <c r="D52" s="68">
        <v>55000</v>
      </c>
      <c r="E52" s="68">
        <f>110000-55000</f>
        <v>55000</v>
      </c>
      <c r="F52" s="68"/>
      <c r="G52" s="68"/>
      <c r="H52" s="68"/>
      <c r="I52" s="68"/>
    </row>
    <row r="53" spans="1:9" x14ac:dyDescent="0.35">
      <c r="A53" s="672"/>
      <c r="B53" s="58"/>
      <c r="C53" s="212">
        <v>200</v>
      </c>
      <c r="D53" s="72">
        <v>1284897</v>
      </c>
      <c r="E53" s="72">
        <f>729897-D53</f>
        <v>-555000</v>
      </c>
      <c r="F53" s="72"/>
      <c r="G53" s="72"/>
      <c r="H53" s="72"/>
      <c r="I53" s="72"/>
    </row>
    <row r="54" spans="1:9" x14ac:dyDescent="0.35">
      <c r="A54" s="778" t="s">
        <v>644</v>
      </c>
      <c r="B54" s="143"/>
      <c r="C54" s="233">
        <v>200</v>
      </c>
      <c r="D54" s="840">
        <v>922432</v>
      </c>
      <c r="E54" s="841">
        <f>2881215-D54</f>
        <v>1958783</v>
      </c>
      <c r="F54" s="841">
        <f>892367-E54-D54</f>
        <v>-1988848</v>
      </c>
      <c r="G54" s="841">
        <f>2096458-F54-E54-D54</f>
        <v>1204091</v>
      </c>
      <c r="H54" s="841">
        <f>2085023-G54-F54-E54-D54</f>
        <v>-11435</v>
      </c>
      <c r="I54" s="68"/>
    </row>
    <row r="55" spans="1:9" x14ac:dyDescent="0.35">
      <c r="A55" s="778" t="s">
        <v>645</v>
      </c>
      <c r="B55" s="58"/>
      <c r="C55" s="212">
        <v>100</v>
      </c>
      <c r="D55" s="840">
        <v>609940</v>
      </c>
      <c r="E55" s="72"/>
      <c r="F55" s="72"/>
      <c r="G55" s="72"/>
      <c r="H55" s="72"/>
      <c r="I55" s="72"/>
    </row>
    <row r="56" spans="1:9" x14ac:dyDescent="0.35">
      <c r="A56" s="778" t="s">
        <v>646</v>
      </c>
      <c r="B56" s="143"/>
      <c r="C56" s="233">
        <v>200</v>
      </c>
      <c r="D56" s="68">
        <v>75000</v>
      </c>
      <c r="E56" s="68">
        <v>-75000</v>
      </c>
      <c r="F56" s="68"/>
      <c r="G56" s="68"/>
      <c r="H56" s="68"/>
      <c r="I56" s="68"/>
    </row>
    <row r="57" spans="1:9" ht="12.75" customHeight="1" x14ac:dyDescent="0.35">
      <c r="A57" s="778" t="s">
        <v>654</v>
      </c>
      <c r="B57" s="58"/>
      <c r="C57" s="212" t="s">
        <v>167</v>
      </c>
      <c r="D57" s="72">
        <v>-2600000</v>
      </c>
      <c r="E57" s="72">
        <v>2600000</v>
      </c>
      <c r="F57" s="72"/>
      <c r="G57" s="72"/>
      <c r="H57" s="72"/>
      <c r="I57" s="72"/>
    </row>
    <row r="58" spans="1:9" ht="12.75" customHeight="1" x14ac:dyDescent="0.35">
      <c r="A58" s="778" t="s">
        <v>647</v>
      </c>
      <c r="B58" s="143"/>
      <c r="C58" s="233">
        <v>200</v>
      </c>
      <c r="D58" s="68">
        <v>125000</v>
      </c>
      <c r="E58" s="68"/>
      <c r="F58" s="68"/>
      <c r="G58" s="68"/>
      <c r="H58" s="68"/>
      <c r="I58" s="68"/>
    </row>
    <row r="59" spans="1:9" x14ac:dyDescent="0.35">
      <c r="A59" s="672"/>
      <c r="B59" s="58"/>
      <c r="C59" s="212" t="s">
        <v>167</v>
      </c>
      <c r="D59" s="72">
        <v>50000</v>
      </c>
      <c r="E59" s="72">
        <v>-50000</v>
      </c>
      <c r="F59" s="72"/>
      <c r="G59" s="72"/>
      <c r="H59" s="72"/>
      <c r="I59" s="72"/>
    </row>
    <row r="60" spans="1:9" x14ac:dyDescent="0.35">
      <c r="A60" s="778" t="s">
        <v>874</v>
      </c>
      <c r="B60" s="143"/>
      <c r="C60" s="233">
        <v>200</v>
      </c>
      <c r="D60" s="68">
        <v>1000000</v>
      </c>
      <c r="E60" s="68">
        <v>-1000000</v>
      </c>
      <c r="F60" s="68"/>
      <c r="G60" s="68"/>
      <c r="H60" s="68"/>
      <c r="I60" s="68"/>
    </row>
    <row r="61" spans="1:9" x14ac:dyDescent="0.35">
      <c r="A61" s="700" t="s">
        <v>748</v>
      </c>
      <c r="B61" s="58"/>
      <c r="C61" s="212"/>
      <c r="D61" s="72"/>
      <c r="E61" s="72"/>
      <c r="F61" s="72"/>
      <c r="G61" s="72"/>
      <c r="H61" s="72"/>
      <c r="I61" s="72"/>
    </row>
    <row r="62" spans="1:9" x14ac:dyDescent="0.35">
      <c r="A62" s="778" t="s">
        <v>809</v>
      </c>
      <c r="B62" s="143"/>
      <c r="C62" s="233">
        <v>100</v>
      </c>
      <c r="D62" s="68"/>
      <c r="E62" s="68">
        <v>-822027</v>
      </c>
      <c r="F62" s="68"/>
      <c r="G62" s="68"/>
      <c r="H62" s="68"/>
      <c r="I62" s="68"/>
    </row>
    <row r="63" spans="1:9" x14ac:dyDescent="0.35">
      <c r="A63" s="752" t="s">
        <v>888</v>
      </c>
      <c r="B63" s="58"/>
      <c r="C63" s="212">
        <v>100</v>
      </c>
      <c r="D63" s="72"/>
      <c r="E63" s="72">
        <v>170000</v>
      </c>
      <c r="F63" s="72"/>
      <c r="G63" s="72"/>
      <c r="H63" s="72"/>
      <c r="I63" s="72"/>
    </row>
    <row r="64" spans="1:9" x14ac:dyDescent="0.35">
      <c r="A64" s="778"/>
      <c r="B64" s="143"/>
      <c r="C64" s="233">
        <v>200</v>
      </c>
      <c r="D64" s="68"/>
      <c r="E64" s="68">
        <v>50000</v>
      </c>
      <c r="F64" s="68"/>
      <c r="G64" s="68"/>
      <c r="H64" s="68"/>
      <c r="I64" s="68"/>
    </row>
    <row r="65" spans="1:9" x14ac:dyDescent="0.35">
      <c r="A65" s="672" t="s">
        <v>810</v>
      </c>
      <c r="B65" s="58"/>
      <c r="C65" s="212">
        <v>200</v>
      </c>
      <c r="D65" s="72"/>
      <c r="E65" s="72">
        <v>-444492</v>
      </c>
      <c r="F65" s="72"/>
      <c r="G65" s="72"/>
      <c r="H65" s="72"/>
      <c r="I65" s="72"/>
    </row>
    <row r="66" spans="1:9" x14ac:dyDescent="0.35">
      <c r="A66" s="778" t="s">
        <v>857</v>
      </c>
      <c r="B66" s="143"/>
      <c r="C66" s="233">
        <v>100</v>
      </c>
      <c r="D66" s="68"/>
      <c r="E66" s="68"/>
      <c r="F66" s="68"/>
      <c r="G66" s="68">
        <v>-2026233</v>
      </c>
      <c r="H66" s="68"/>
      <c r="I66" s="68"/>
    </row>
    <row r="67" spans="1:9" x14ac:dyDescent="0.35">
      <c r="A67" s="672"/>
      <c r="B67" s="58"/>
      <c r="C67" s="212">
        <v>200</v>
      </c>
      <c r="D67" s="72"/>
      <c r="E67" s="72"/>
      <c r="F67" s="72"/>
      <c r="G67" s="72">
        <v>-3659376</v>
      </c>
      <c r="H67" s="72"/>
      <c r="I67" s="72"/>
    </row>
    <row r="68" spans="1:9" x14ac:dyDescent="0.35">
      <c r="A68" s="778"/>
      <c r="B68" s="143"/>
      <c r="C68" s="233" t="s">
        <v>167</v>
      </c>
      <c r="D68" s="68"/>
      <c r="E68" s="68"/>
      <c r="F68" s="68"/>
      <c r="G68" s="68">
        <v>-163097</v>
      </c>
      <c r="H68" s="68"/>
      <c r="I68" s="68"/>
    </row>
    <row r="69" spans="1:9" x14ac:dyDescent="0.35">
      <c r="A69" s="672"/>
      <c r="B69" s="58"/>
      <c r="C69" s="212" t="s">
        <v>167</v>
      </c>
      <c r="D69" s="72"/>
      <c r="E69" s="72"/>
      <c r="F69" s="72"/>
      <c r="G69" s="72">
        <v>-3209198</v>
      </c>
      <c r="H69" s="72"/>
      <c r="I69" s="72"/>
    </row>
    <row r="70" spans="1:9" x14ac:dyDescent="0.35">
      <c r="A70" s="778"/>
      <c r="B70" s="143"/>
      <c r="C70" s="233"/>
      <c r="D70" s="68"/>
      <c r="E70" s="68"/>
      <c r="F70" s="68"/>
      <c r="G70" s="68"/>
      <c r="H70" s="68"/>
      <c r="I70" s="68"/>
    </row>
    <row r="71" spans="1:9" x14ac:dyDescent="0.35">
      <c r="A71" s="672"/>
      <c r="B71" s="58"/>
      <c r="C71" s="212"/>
      <c r="D71" s="72"/>
      <c r="E71" s="72"/>
      <c r="F71" s="72"/>
      <c r="G71" s="72"/>
      <c r="H71" s="72"/>
      <c r="I71" s="72"/>
    </row>
    <row r="72" spans="1:9" x14ac:dyDescent="0.35">
      <c r="A72" s="778"/>
      <c r="B72" s="143"/>
      <c r="C72" s="233"/>
      <c r="D72" s="68"/>
      <c r="E72" s="68"/>
      <c r="F72" s="68"/>
      <c r="G72" s="68"/>
      <c r="H72" s="68"/>
      <c r="I72" s="68"/>
    </row>
    <row r="73" spans="1:9" x14ac:dyDescent="0.35">
      <c r="A73" s="672"/>
      <c r="B73" s="58"/>
      <c r="C73" s="212"/>
      <c r="D73" s="72"/>
      <c r="E73" s="72"/>
      <c r="F73" s="72"/>
      <c r="G73" s="72"/>
      <c r="H73" s="72"/>
      <c r="I73" s="72"/>
    </row>
  </sheetData>
  <mergeCells count="6">
    <mergeCell ref="A1:I1"/>
    <mergeCell ref="A2:I2"/>
    <mergeCell ref="A3:I3"/>
    <mergeCell ref="A4:I4"/>
    <mergeCell ref="C6:I6"/>
    <mergeCell ref="C5:I5"/>
  </mergeCells>
  <conditionalFormatting sqref="A52">
    <cfRule type="expression" dxfId="142" priority="13">
      <formula>MOD(ROW(),2)=0</formula>
    </cfRule>
  </conditionalFormatting>
  <conditionalFormatting sqref="A54">
    <cfRule type="expression" dxfId="141" priority="12">
      <formula>MOD(ROW(),2)=0</formula>
    </cfRule>
  </conditionalFormatting>
  <conditionalFormatting sqref="D54">
    <cfRule type="expression" dxfId="140" priority="11">
      <formula>MOD(ROW(),2)=0</formula>
    </cfRule>
  </conditionalFormatting>
  <conditionalFormatting sqref="E54">
    <cfRule type="expression" dxfId="139" priority="10">
      <formula>MOD(ROW(),2)=0</formula>
    </cfRule>
  </conditionalFormatting>
  <conditionalFormatting sqref="F54">
    <cfRule type="expression" dxfId="138" priority="9">
      <formula>MOD(ROW(),2)=0</formula>
    </cfRule>
  </conditionalFormatting>
  <conditionalFormatting sqref="G54">
    <cfRule type="expression" dxfId="137" priority="8">
      <formula>MOD(ROW(),2)=0</formula>
    </cfRule>
  </conditionalFormatting>
  <conditionalFormatting sqref="H54">
    <cfRule type="expression" dxfId="136" priority="7">
      <formula>MOD(ROW(),2)=0</formula>
    </cfRule>
  </conditionalFormatting>
  <conditionalFormatting sqref="A55">
    <cfRule type="expression" dxfId="135" priority="6">
      <formula>MOD(ROW(),2)=0</formula>
    </cfRule>
  </conditionalFormatting>
  <conditionalFormatting sqref="D55">
    <cfRule type="expression" dxfId="134" priority="5">
      <formula>MOD(ROW(),2)=0</formula>
    </cfRule>
  </conditionalFormatting>
  <conditionalFormatting sqref="A56">
    <cfRule type="expression" dxfId="133" priority="4">
      <formula>MOD(ROW(),2)=0</formula>
    </cfRule>
  </conditionalFormatting>
  <conditionalFormatting sqref="A57">
    <cfRule type="expression" dxfId="132" priority="3">
      <formula>MOD(ROW(),2)=0</formula>
    </cfRule>
  </conditionalFormatting>
  <conditionalFormatting sqref="A58">
    <cfRule type="expression" dxfId="131" priority="2">
      <formula>MOD(ROW(),2)=0</formula>
    </cfRule>
  </conditionalFormatting>
  <conditionalFormatting sqref="A60 A62 A64 A66 A68 A70 A72">
    <cfRule type="expression" dxfId="130" priority="1">
      <formula>MOD(ROW(),2)=0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7">
    <tabColor theme="3"/>
  </sheetPr>
  <dimension ref="A1:K52"/>
  <sheetViews>
    <sheetView zoomScaleNormal="100" zoomScaleSheetLayoutView="90" workbookViewId="0">
      <selection activeCell="C12" sqref="C1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 t="s">
        <v>69</v>
      </c>
      <c r="C6" s="880" t="s">
        <v>394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1376075</v>
      </c>
      <c r="C9" s="33">
        <v>1341547</v>
      </c>
      <c r="D9" s="219">
        <f t="shared" ref="D9:D15" si="0">+C9+SUMIF($C$20:$C$58,K9,$D$20:$D$58)</f>
        <v>1341547</v>
      </c>
      <c r="E9" s="114">
        <f t="shared" ref="E9:E15" si="1">+D9+SUMIF($C$20:$C$58,K9,$E$20:$E$58)</f>
        <v>1341547</v>
      </c>
      <c r="F9" s="396">
        <f t="shared" ref="F9:F15" si="2">+E9+SUMIF($C$20:$C$58,K9,$F$20:$F$58)</f>
        <v>1341547</v>
      </c>
      <c r="G9" s="33">
        <f t="shared" ref="G9:G15" si="3">+F9+SUMIF($C$20:$C$58,K9,$G$20:$G$58)</f>
        <v>1341547</v>
      </c>
      <c r="H9" s="219">
        <f t="shared" ref="H9:H15" si="4">+G9+SUMIF($C$20:$C$58,K9,$H$20:$H$58)</f>
        <v>1341547</v>
      </c>
      <c r="I9" s="50">
        <f t="shared" ref="I9:I15" si="5">+H9+SUMIF($C$20:$C$58,K9,$I$20:$I$58)</f>
        <v>1341547</v>
      </c>
      <c r="K9" s="7">
        <v>100</v>
      </c>
    </row>
    <row r="10" spans="1:11" x14ac:dyDescent="0.35">
      <c r="A10" s="10" t="s">
        <v>5</v>
      </c>
      <c r="B10" s="48">
        <f>8137329+6237199</f>
        <v>14374528</v>
      </c>
      <c r="C10" s="35">
        <v>29159009</v>
      </c>
      <c r="D10" s="222">
        <f t="shared" si="0"/>
        <v>29159009</v>
      </c>
      <c r="E10" s="506">
        <f t="shared" si="1"/>
        <v>21928631</v>
      </c>
      <c r="F10" s="504">
        <f t="shared" si="2"/>
        <v>17950466</v>
      </c>
      <c r="G10" s="35">
        <f t="shared" si="3"/>
        <v>16023304</v>
      </c>
      <c r="H10" s="222">
        <f t="shared" si="4"/>
        <v>16046883</v>
      </c>
      <c r="I10" s="36">
        <f t="shared" si="5"/>
        <v>15237321</v>
      </c>
      <c r="K10" s="7">
        <v>200</v>
      </c>
    </row>
    <row r="11" spans="1:11" x14ac:dyDescent="0.35">
      <c r="A11" s="9" t="s">
        <v>6</v>
      </c>
      <c r="B11" s="33">
        <f>341531+38331+2621479+1164825</f>
        <v>4166166</v>
      </c>
      <c r="C11" s="33">
        <v>23064399</v>
      </c>
      <c r="D11" s="219">
        <f t="shared" si="0"/>
        <v>23064399</v>
      </c>
      <c r="E11" s="114">
        <f t="shared" si="1"/>
        <v>8064399</v>
      </c>
      <c r="F11" s="396">
        <f t="shared" si="2"/>
        <v>8064399</v>
      </c>
      <c r="G11" s="33">
        <f t="shared" si="3"/>
        <v>8064399</v>
      </c>
      <c r="H11" s="219">
        <f t="shared" si="4"/>
        <v>8064399</v>
      </c>
      <c r="I11" s="34">
        <f t="shared" si="5"/>
        <v>8064399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19916769</v>
      </c>
      <c r="C16" s="39">
        <f t="shared" ref="C16:I16" si="6">SUM(C9:C15)</f>
        <v>53564955</v>
      </c>
      <c r="D16" s="39">
        <f t="shared" si="6"/>
        <v>53564955</v>
      </c>
      <c r="E16" s="529">
        <f t="shared" si="6"/>
        <v>31334577</v>
      </c>
      <c r="F16" s="39">
        <f t="shared" si="6"/>
        <v>27356412</v>
      </c>
      <c r="G16" s="39">
        <f t="shared" si="6"/>
        <v>25429250</v>
      </c>
      <c r="H16" s="39">
        <f t="shared" si="6"/>
        <v>25452829</v>
      </c>
      <c r="I16" s="39">
        <f t="shared" si="6"/>
        <v>24643267</v>
      </c>
    </row>
    <row r="18" spans="1:10" x14ac:dyDescent="0.35">
      <c r="E18" s="400">
        <f>+E16-D16</f>
        <v>-22230378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319" t="s">
        <v>245</v>
      </c>
      <c r="B21" s="84"/>
      <c r="C21" s="74"/>
      <c r="D21" s="68"/>
      <c r="E21" s="68"/>
      <c r="F21" s="68"/>
      <c r="G21" s="68"/>
      <c r="H21" s="69"/>
      <c r="I21" s="69"/>
      <c r="J21" s="17"/>
    </row>
    <row r="22" spans="1:10" ht="13" customHeight="1" x14ac:dyDescent="0.35">
      <c r="A22" s="81" t="s">
        <v>247</v>
      </c>
      <c r="B22" s="81"/>
      <c r="C22" s="81">
        <v>200</v>
      </c>
      <c r="D22" s="72"/>
      <c r="E22" s="72">
        <v>1078312</v>
      </c>
      <c r="F22" s="72"/>
      <c r="G22" s="72"/>
      <c r="H22" s="73"/>
      <c r="I22" s="73"/>
      <c r="J22" s="17"/>
    </row>
    <row r="23" spans="1:10" ht="13" customHeight="1" x14ac:dyDescent="0.35">
      <c r="A23" s="437" t="s">
        <v>487</v>
      </c>
      <c r="B23" s="84"/>
      <c r="C23" s="74"/>
      <c r="D23" s="143"/>
      <c r="E23" s="69"/>
      <c r="F23" s="69"/>
      <c r="G23" s="69"/>
      <c r="H23" s="69"/>
      <c r="I23" s="69"/>
      <c r="J23" s="17"/>
    </row>
    <row r="24" spans="1:10" ht="13" customHeight="1" x14ac:dyDescent="0.35">
      <c r="A24" s="296" t="s">
        <v>503</v>
      </c>
      <c r="B24" s="78"/>
      <c r="C24" s="75">
        <v>200</v>
      </c>
      <c r="D24" s="674"/>
      <c r="E24" s="73">
        <v>-15000000</v>
      </c>
      <c r="F24" s="73"/>
      <c r="G24" s="73"/>
      <c r="H24" s="73"/>
      <c r="I24" s="73"/>
      <c r="J24" s="17"/>
    </row>
    <row r="25" spans="1:10" ht="13" customHeight="1" x14ac:dyDescent="0.35">
      <c r="A25" s="572"/>
      <c r="B25" s="143"/>
      <c r="C25" s="233" t="s">
        <v>167</v>
      </c>
      <c r="D25" s="68"/>
      <c r="E25" s="142">
        <v>-15000000</v>
      </c>
      <c r="F25" s="142"/>
      <c r="G25" s="142"/>
      <c r="H25" s="142"/>
      <c r="I25" s="142"/>
      <c r="J25" s="17"/>
    </row>
    <row r="26" spans="1:10" ht="13" customHeight="1" x14ac:dyDescent="0.35">
      <c r="A26" s="740" t="s">
        <v>731</v>
      </c>
      <c r="B26" s="78"/>
      <c r="C26" s="675"/>
      <c r="D26" s="674"/>
      <c r="E26" s="73"/>
      <c r="F26" s="73"/>
      <c r="G26" s="73"/>
      <c r="H26" s="73"/>
      <c r="I26" s="73"/>
      <c r="J26" s="17"/>
    </row>
    <row r="27" spans="1:10" ht="13" customHeight="1" x14ac:dyDescent="0.35">
      <c r="A27" s="764" t="s">
        <v>732</v>
      </c>
      <c r="B27" s="196"/>
      <c r="C27" s="670">
        <v>200</v>
      </c>
      <c r="D27" s="141"/>
      <c r="E27" s="142">
        <v>5691310</v>
      </c>
      <c r="F27" s="142">
        <f>2713145-E27</f>
        <v>-2978165</v>
      </c>
      <c r="G27" s="142">
        <f>785983-E27-F27</f>
        <v>-1927162</v>
      </c>
      <c r="H27" s="142">
        <f>809562-E27-F27-G27</f>
        <v>23579</v>
      </c>
      <c r="I27" s="142">
        <f>0-E27-F27-G27-H27</f>
        <v>-809562</v>
      </c>
      <c r="J27" s="17"/>
    </row>
    <row r="28" spans="1:10" ht="13" customHeight="1" x14ac:dyDescent="0.35">
      <c r="A28" s="316" t="s">
        <v>733</v>
      </c>
      <c r="B28" s="92"/>
      <c r="C28" s="830">
        <v>200</v>
      </c>
      <c r="D28" s="618"/>
      <c r="E28" s="94">
        <v>1000000</v>
      </c>
      <c r="F28" s="94">
        <v>-1000000</v>
      </c>
      <c r="G28" s="94"/>
      <c r="H28" s="94"/>
      <c r="I28" s="94"/>
      <c r="J28" s="17"/>
    </row>
    <row r="29" spans="1:10" ht="13" customHeight="1" x14ac:dyDescent="0.35">
      <c r="A29" s="744"/>
      <c r="B29" s="151"/>
      <c r="C29" s="152"/>
      <c r="D29" s="141"/>
      <c r="E29" s="141"/>
      <c r="F29" s="141"/>
      <c r="G29" s="141"/>
      <c r="H29" s="142"/>
      <c r="I29" s="142"/>
      <c r="J29" s="17"/>
    </row>
    <row r="30" spans="1:10" ht="13" customHeight="1" x14ac:dyDescent="0.35">
      <c r="A30" s="355"/>
      <c r="B30" s="92"/>
      <c r="C30" s="831"/>
      <c r="D30" s="94"/>
      <c r="E30" s="94"/>
      <c r="F30" s="94"/>
      <c r="G30" s="94"/>
      <c r="H30" s="94"/>
      <c r="I30" s="94"/>
      <c r="J30" s="17"/>
    </row>
    <row r="31" spans="1:10" ht="13" customHeight="1" x14ac:dyDescent="0.35">
      <c r="A31" s="764"/>
      <c r="B31" s="196"/>
      <c r="C31" s="670"/>
      <c r="D31" s="141"/>
      <c r="E31" s="142"/>
      <c r="F31" s="142"/>
      <c r="G31" s="142"/>
      <c r="H31" s="142"/>
      <c r="I31" s="142"/>
      <c r="J31" s="17"/>
    </row>
    <row r="32" spans="1:10" ht="13" customHeight="1" x14ac:dyDescent="0.35">
      <c r="A32" s="171"/>
      <c r="B32" s="92"/>
      <c r="C32" s="832"/>
      <c r="D32" s="103"/>
      <c r="E32" s="103"/>
      <c r="F32" s="103"/>
      <c r="G32" s="103"/>
      <c r="H32" s="94"/>
      <c r="I32" s="94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3"/>
      <c r="I33" s="73"/>
      <c r="J33" s="17"/>
    </row>
    <row r="34" spans="1:10" ht="13" customHeight="1" x14ac:dyDescent="0.35">
      <c r="A34" s="77"/>
      <c r="B34" s="78"/>
      <c r="C34" s="71"/>
      <c r="D34" s="72"/>
      <c r="E34" s="72"/>
      <c r="F34" s="72"/>
      <c r="G34" s="72"/>
      <c r="H34" s="73"/>
      <c r="I34" s="73"/>
      <c r="J34" s="17"/>
    </row>
    <row r="35" spans="1:10" ht="13" customHeight="1" x14ac:dyDescent="0.35">
      <c r="A35" s="77"/>
      <c r="B35" s="78"/>
      <c r="C35" s="71"/>
      <c r="D35" s="72"/>
      <c r="E35" s="72"/>
      <c r="F35" s="72"/>
      <c r="G35" s="72"/>
      <c r="H35" s="73"/>
      <c r="I35" s="73"/>
      <c r="J35" s="17"/>
    </row>
    <row r="36" spans="1:10" ht="13" customHeight="1" x14ac:dyDescent="0.35">
      <c r="A36" s="77"/>
      <c r="B36" s="78"/>
      <c r="C36" s="71"/>
      <c r="D36" s="72"/>
      <c r="E36" s="72"/>
      <c r="F36" s="72"/>
      <c r="G36" s="72"/>
      <c r="H36" s="73"/>
      <c r="I36" s="73"/>
      <c r="J36" s="17"/>
    </row>
    <row r="37" spans="1:10" ht="12.75" customHeight="1" x14ac:dyDescent="0.35">
      <c r="A37" s="77"/>
      <c r="B37" s="78"/>
      <c r="C37" s="71"/>
      <c r="D37" s="72"/>
      <c r="E37" s="72"/>
      <c r="F37" s="72"/>
      <c r="G37" s="72"/>
      <c r="H37" s="73"/>
      <c r="I37" s="73"/>
      <c r="J37" s="17"/>
    </row>
    <row r="38" spans="1:10" ht="12.75" customHeight="1" x14ac:dyDescent="0.35">
      <c r="A38" s="77"/>
      <c r="B38" s="78"/>
      <c r="C38" s="71"/>
      <c r="D38" s="72"/>
      <c r="E38" s="72"/>
      <c r="F38" s="72"/>
      <c r="G38" s="72"/>
      <c r="H38" s="73"/>
      <c r="I38" s="73"/>
      <c r="J38" s="17"/>
    </row>
    <row r="39" spans="1:10" ht="12.75" customHeight="1" x14ac:dyDescent="0.35">
      <c r="A39" s="77"/>
      <c r="B39" s="78"/>
      <c r="C39" s="71"/>
      <c r="D39" s="72"/>
      <c r="E39" s="72"/>
      <c r="F39" s="72"/>
      <c r="G39" s="72"/>
      <c r="H39" s="73"/>
      <c r="I39" s="73"/>
      <c r="J39" s="17"/>
    </row>
    <row r="40" spans="1:10" ht="12.75" customHeight="1" x14ac:dyDescent="0.35">
      <c r="A40" s="77"/>
      <c r="B40" s="78"/>
      <c r="C40" s="71"/>
      <c r="D40" s="72"/>
      <c r="E40" s="72"/>
      <c r="F40" s="72"/>
      <c r="G40" s="72"/>
      <c r="H40" s="73"/>
      <c r="I40" s="73"/>
      <c r="J40" s="17"/>
    </row>
    <row r="41" spans="1:10" ht="12.75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2.75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2.75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2.75" customHeight="1" x14ac:dyDescent="0.35">
      <c r="A44" s="77"/>
      <c r="B44" s="78"/>
      <c r="C44" s="75"/>
      <c r="D44" s="73"/>
      <c r="E44" s="73"/>
      <c r="F44" s="73"/>
      <c r="G44" s="73"/>
      <c r="H44" s="73"/>
      <c r="I44" s="73"/>
      <c r="J44" s="17"/>
    </row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spans="4:4" ht="12.75" customHeight="1" x14ac:dyDescent="0.35"/>
    <row r="50" spans="4:4" ht="12.75" customHeight="1" x14ac:dyDescent="0.35"/>
    <row r="51" spans="4:4" x14ac:dyDescent="0.35">
      <c r="D51" s="73"/>
    </row>
    <row r="52" spans="4:4" x14ac:dyDescent="0.35">
      <c r="D52" s="73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29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8">
    <tabColor rgb="FF92D050"/>
  </sheetPr>
  <dimension ref="A1:K56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48</v>
      </c>
      <c r="C6" s="880" t="s">
        <v>127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1397115</v>
      </c>
      <c r="C9" s="33">
        <v>1472481</v>
      </c>
      <c r="D9" s="219">
        <f t="shared" ref="D9:D15" si="0">+C9+SUMIF($C$20:$C$58,K9,$D$20:$D$58)</f>
        <v>1472481</v>
      </c>
      <c r="E9" s="114">
        <f t="shared" ref="E9:E15" si="1">+D9+SUMIF($C$20:$C$58,K9,$E$20:$E$58)</f>
        <v>1504223</v>
      </c>
      <c r="F9" s="396">
        <f t="shared" ref="F9:F15" si="2">+E9+SUMIF($C$20:$C$58,K9,$F$20:$F$58)</f>
        <v>1504223</v>
      </c>
      <c r="G9" s="33">
        <f t="shared" ref="G9:G15" si="3">+F9+SUMIF($C$20:$C$58,K9,$G$20:$G$58)</f>
        <v>1504223</v>
      </c>
      <c r="H9" s="219">
        <f t="shared" ref="H9:H15" si="4">+G9+SUMIF($C$20:$C$58,K9,$H$20:$H$58)</f>
        <v>1504223</v>
      </c>
      <c r="I9" s="50">
        <f t="shared" ref="I9:I15" si="5">+H9+SUMIF($C$20:$C$58,K9,$I$20:$I$58)</f>
        <v>1504223</v>
      </c>
      <c r="K9" s="7">
        <v>100</v>
      </c>
    </row>
    <row r="10" spans="1:11" x14ac:dyDescent="0.35">
      <c r="A10" s="10" t="s">
        <v>5</v>
      </c>
      <c r="B10" s="35">
        <v>95353</v>
      </c>
      <c r="C10" s="35">
        <v>97975</v>
      </c>
      <c r="D10" s="222">
        <f t="shared" si="0"/>
        <v>97975</v>
      </c>
      <c r="E10" s="506">
        <f t="shared" si="1"/>
        <v>97975</v>
      </c>
      <c r="F10" s="504">
        <f t="shared" si="2"/>
        <v>97975</v>
      </c>
      <c r="G10" s="35">
        <f t="shared" si="3"/>
        <v>97975</v>
      </c>
      <c r="H10" s="222">
        <f t="shared" si="4"/>
        <v>97975</v>
      </c>
      <c r="I10" s="36">
        <f t="shared" si="5"/>
        <v>97975</v>
      </c>
      <c r="K10" s="7">
        <v>200</v>
      </c>
    </row>
    <row r="11" spans="1:11" x14ac:dyDescent="0.35">
      <c r="A11" s="9" t="s">
        <v>6</v>
      </c>
      <c r="B11" s="33">
        <f>3092+1707</f>
        <v>4799</v>
      </c>
      <c r="C11" s="33">
        <v>5225</v>
      </c>
      <c r="D11" s="219">
        <f t="shared" si="0"/>
        <v>5225</v>
      </c>
      <c r="E11" s="114">
        <f t="shared" si="1"/>
        <v>5225</v>
      </c>
      <c r="F11" s="396">
        <f t="shared" si="2"/>
        <v>5225</v>
      </c>
      <c r="G11" s="33">
        <f t="shared" si="3"/>
        <v>5225</v>
      </c>
      <c r="H11" s="219">
        <f t="shared" si="4"/>
        <v>5225</v>
      </c>
      <c r="I11" s="34">
        <f t="shared" si="5"/>
        <v>5225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1497267</v>
      </c>
      <c r="C16" s="39">
        <f t="shared" ref="C16:I16" si="6">SUM(C9:C15)</f>
        <v>1575681</v>
      </c>
      <c r="D16" s="39">
        <f t="shared" si="6"/>
        <v>1575681</v>
      </c>
      <c r="E16" s="529">
        <f t="shared" si="6"/>
        <v>1607423</v>
      </c>
      <c r="F16" s="39">
        <f t="shared" si="6"/>
        <v>1607423</v>
      </c>
      <c r="G16" s="39">
        <f t="shared" si="6"/>
        <v>1607423</v>
      </c>
      <c r="H16" s="39">
        <f t="shared" si="6"/>
        <v>1607423</v>
      </c>
      <c r="I16" s="39">
        <f t="shared" si="6"/>
        <v>1607423</v>
      </c>
    </row>
    <row r="18" spans="1:10" x14ac:dyDescent="0.35">
      <c r="E18" s="391">
        <f>+E16-D16</f>
        <v>31742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01" t="s">
        <v>370</v>
      </c>
      <c r="B20" s="702"/>
      <c r="C20" s="232"/>
      <c r="D20" s="703"/>
      <c r="E20" s="73"/>
      <c r="F20" s="73"/>
      <c r="G20" s="73"/>
      <c r="H20" s="73"/>
      <c r="I20" s="73"/>
    </row>
    <row r="21" spans="1:10" ht="13" customHeight="1" x14ac:dyDescent="0.35">
      <c r="A21" s="756" t="s">
        <v>487</v>
      </c>
      <c r="B21" s="294"/>
      <c r="C21" s="239"/>
      <c r="D21" s="240"/>
      <c r="E21" s="142"/>
      <c r="F21" s="142"/>
      <c r="G21" s="142"/>
      <c r="H21" s="142"/>
      <c r="I21" s="142"/>
      <c r="J21" s="17"/>
    </row>
    <row r="22" spans="1:10" ht="13" customHeight="1" x14ac:dyDescent="0.35">
      <c r="A22" s="296" t="s">
        <v>535</v>
      </c>
      <c r="B22" s="78"/>
      <c r="C22" s="71">
        <v>100</v>
      </c>
      <c r="D22" s="72"/>
      <c r="E22" s="72"/>
      <c r="F22" s="72">
        <v>260000</v>
      </c>
      <c r="G22" s="73"/>
      <c r="H22" s="73"/>
      <c r="I22" s="73"/>
      <c r="J22" s="17"/>
    </row>
    <row r="23" spans="1:10" ht="12.75" customHeight="1" x14ac:dyDescent="0.35">
      <c r="A23" s="293" t="s">
        <v>588</v>
      </c>
      <c r="B23" s="294"/>
      <c r="C23" s="239">
        <v>100</v>
      </c>
      <c r="D23" s="240"/>
      <c r="E23" s="142">
        <v>31742</v>
      </c>
      <c r="F23" s="142"/>
      <c r="G23" s="142"/>
      <c r="H23" s="142"/>
      <c r="I23" s="142"/>
      <c r="J23" s="17"/>
    </row>
    <row r="24" spans="1:10" ht="12.75" customHeight="1" x14ac:dyDescent="0.35">
      <c r="A24" s="740" t="s">
        <v>596</v>
      </c>
      <c r="B24" s="78"/>
      <c r="C24" s="71"/>
      <c r="D24" s="72"/>
      <c r="E24" s="72"/>
      <c r="F24" s="72"/>
      <c r="G24" s="73"/>
      <c r="H24" s="73"/>
      <c r="I24" s="73"/>
      <c r="J24" s="17"/>
    </row>
    <row r="25" spans="1:10" ht="12.75" customHeight="1" x14ac:dyDescent="0.35">
      <c r="A25" s="293" t="s">
        <v>615</v>
      </c>
      <c r="B25" s="294"/>
      <c r="C25" s="239">
        <v>100</v>
      </c>
      <c r="D25" s="240"/>
      <c r="E25" s="142"/>
      <c r="F25" s="142">
        <v>-260000</v>
      </c>
      <c r="G25" s="142">
        <v>260000</v>
      </c>
      <c r="H25" s="142"/>
      <c r="I25" s="142"/>
      <c r="J25" s="17"/>
    </row>
    <row r="26" spans="1:10" ht="12.75" customHeight="1" x14ac:dyDescent="0.35">
      <c r="A26" s="740" t="s">
        <v>758</v>
      </c>
      <c r="B26" s="78"/>
      <c r="C26" s="71"/>
      <c r="D26" s="72"/>
      <c r="E26" s="72"/>
      <c r="F26" s="72"/>
      <c r="G26" s="73"/>
      <c r="H26" s="73"/>
      <c r="I26" s="73"/>
      <c r="J26" s="17"/>
    </row>
    <row r="27" spans="1:10" ht="12.75" customHeight="1" x14ac:dyDescent="0.35">
      <c r="A27" s="293" t="s">
        <v>853</v>
      </c>
      <c r="B27" s="294"/>
      <c r="C27" s="239">
        <v>100</v>
      </c>
      <c r="D27" s="240"/>
      <c r="E27" s="142"/>
      <c r="F27" s="142"/>
      <c r="G27" s="142">
        <v>-260000</v>
      </c>
      <c r="H27" s="142"/>
      <c r="I27" s="142"/>
      <c r="J27" s="17"/>
    </row>
    <row r="28" spans="1:10" ht="12.75" customHeight="1" x14ac:dyDescent="0.35">
      <c r="A28" s="740"/>
      <c r="B28" s="78"/>
      <c r="C28" s="71"/>
      <c r="D28" s="72"/>
      <c r="E28" s="72"/>
      <c r="F28" s="72"/>
      <c r="G28" s="73"/>
      <c r="H28" s="73"/>
      <c r="I28" s="73"/>
      <c r="J28" s="17"/>
    </row>
    <row r="29" spans="1:10" ht="12.75" customHeight="1" x14ac:dyDescent="0.35">
      <c r="A29" s="293"/>
      <c r="B29" s="294"/>
      <c r="C29" s="239"/>
      <c r="D29" s="240"/>
      <c r="E29" s="142"/>
      <c r="F29" s="142"/>
      <c r="G29" s="142"/>
      <c r="H29" s="142"/>
      <c r="I29" s="142"/>
      <c r="J29" s="17"/>
    </row>
    <row r="30" spans="1:10" ht="12.75" customHeight="1" x14ac:dyDescent="0.35">
      <c r="A30" s="296"/>
      <c r="B30" s="78"/>
      <c r="C30" s="71"/>
      <c r="D30" s="72"/>
      <c r="E30" s="72"/>
      <c r="F30" s="72"/>
      <c r="G30" s="73"/>
      <c r="H30" s="73"/>
      <c r="I30" s="73"/>
      <c r="J30" s="17"/>
    </row>
    <row r="31" spans="1:10" ht="12.75" customHeight="1" x14ac:dyDescent="0.35">
      <c r="A31" s="293"/>
      <c r="B31" s="294"/>
      <c r="C31" s="239"/>
      <c r="D31" s="240"/>
      <c r="E31" s="142"/>
      <c r="F31" s="142"/>
      <c r="G31" s="142"/>
      <c r="H31" s="142"/>
      <c r="I31" s="142"/>
      <c r="J31" s="17"/>
    </row>
    <row r="32" spans="1:10" ht="12.75" customHeight="1" x14ac:dyDescent="0.35">
      <c r="A32" s="740"/>
      <c r="B32" s="78"/>
      <c r="C32" s="71"/>
      <c r="D32" s="72"/>
      <c r="E32" s="72"/>
      <c r="F32" s="72"/>
      <c r="G32" s="73"/>
      <c r="H32" s="73"/>
      <c r="I32" s="73"/>
      <c r="J32" s="17"/>
    </row>
    <row r="33" spans="1:10" ht="12.75" customHeight="1" x14ac:dyDescent="0.35">
      <c r="A33" s="293"/>
      <c r="B33" s="294"/>
      <c r="C33" s="239"/>
      <c r="D33" s="240"/>
      <c r="E33" s="142"/>
      <c r="F33" s="142"/>
      <c r="G33" s="142"/>
      <c r="H33" s="142"/>
      <c r="I33" s="142"/>
      <c r="J33" s="17"/>
    </row>
    <row r="34" spans="1:10" ht="12.75" customHeight="1" x14ac:dyDescent="0.35">
      <c r="A34" s="296"/>
      <c r="B34" s="78"/>
      <c r="C34" s="71"/>
      <c r="D34" s="72"/>
      <c r="E34" s="72"/>
      <c r="F34" s="72"/>
      <c r="G34" s="73"/>
      <c r="H34" s="73"/>
      <c r="I34" s="73"/>
      <c r="J34" s="17"/>
    </row>
    <row r="35" spans="1:10" ht="12.75" customHeight="1" x14ac:dyDescent="0.35">
      <c r="A35" s="293"/>
      <c r="B35" s="294"/>
      <c r="C35" s="794"/>
      <c r="D35" s="240"/>
      <c r="E35" s="142"/>
      <c r="F35" s="142"/>
      <c r="G35" s="142"/>
      <c r="H35" s="142"/>
      <c r="I35" s="142"/>
      <c r="J35" s="17"/>
    </row>
    <row r="36" spans="1:10" ht="12.75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2.75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2.75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9"/>
      <c r="B39" s="70"/>
      <c r="C39" s="71"/>
      <c r="D39" s="72"/>
      <c r="E39" s="73"/>
      <c r="F39" s="73"/>
      <c r="G39" s="73"/>
      <c r="H39" s="73"/>
      <c r="I39" s="73"/>
      <c r="J39" s="17"/>
    </row>
    <row r="40" spans="1:10" ht="12.75" customHeight="1" x14ac:dyDescent="0.35">
      <c r="A40" s="77"/>
      <c r="B40" s="70"/>
      <c r="C40" s="71"/>
      <c r="D40" s="72"/>
      <c r="E40" s="73"/>
      <c r="F40" s="73"/>
      <c r="G40" s="73"/>
      <c r="H40" s="73"/>
      <c r="I40" s="73"/>
      <c r="J40" s="17"/>
    </row>
    <row r="41" spans="1:10" ht="12.75" customHeight="1" x14ac:dyDescent="0.35">
      <c r="A41" s="77"/>
      <c r="B41" s="70"/>
      <c r="C41" s="71"/>
      <c r="D41" s="72"/>
      <c r="E41" s="73"/>
      <c r="F41" s="73"/>
      <c r="G41" s="73"/>
      <c r="H41" s="73"/>
      <c r="I41" s="73"/>
      <c r="J41" s="17"/>
    </row>
    <row r="42" spans="1:10" ht="12.75" customHeight="1" x14ac:dyDescent="0.35">
      <c r="A42" s="77"/>
      <c r="B42" s="70"/>
      <c r="C42" s="71"/>
      <c r="D42" s="72"/>
      <c r="E42" s="72"/>
      <c r="F42" s="73"/>
      <c r="G42" s="73"/>
      <c r="H42" s="73"/>
      <c r="I42" s="73"/>
      <c r="J42" s="17"/>
    </row>
    <row r="43" spans="1:10" ht="12.75" customHeight="1" x14ac:dyDescent="0.35">
      <c r="A43" s="77"/>
      <c r="B43" s="70"/>
      <c r="C43" s="71"/>
      <c r="D43" s="72"/>
      <c r="E43" s="72"/>
      <c r="F43" s="73"/>
      <c r="G43" s="73"/>
      <c r="H43" s="73"/>
      <c r="I43" s="73"/>
      <c r="J43" s="17"/>
    </row>
    <row r="44" spans="1:10" ht="12.75" customHeight="1" x14ac:dyDescent="0.35">
      <c r="A44" s="77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2.75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2.75" customHeight="1" x14ac:dyDescent="0.35">
      <c r="A46" s="77"/>
      <c r="B46" s="70"/>
      <c r="C46" s="71"/>
      <c r="D46" s="72"/>
      <c r="E46" s="72"/>
      <c r="F46" s="73"/>
      <c r="G46" s="73"/>
      <c r="H46" s="73"/>
      <c r="I46" s="73"/>
      <c r="J46" s="17"/>
    </row>
    <row r="47" spans="1:10" ht="12.75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2.75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2.75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x14ac:dyDescent="0.35">
      <c r="A53" s="77"/>
      <c r="B53" s="78"/>
      <c r="C53" s="75"/>
      <c r="D53" s="73"/>
      <c r="E53" s="73"/>
      <c r="F53" s="73"/>
      <c r="G53" s="73"/>
      <c r="H53" s="73"/>
      <c r="I53" s="73"/>
    </row>
    <row r="54" spans="1:10" x14ac:dyDescent="0.35">
      <c r="A54" s="77"/>
      <c r="B54" s="78"/>
      <c r="C54" s="75"/>
      <c r="D54" s="73"/>
      <c r="E54" s="73"/>
      <c r="F54" s="73"/>
      <c r="G54" s="73"/>
      <c r="H54" s="73"/>
      <c r="I54" s="73"/>
    </row>
    <row r="55" spans="1:10" x14ac:dyDescent="0.35">
      <c r="A55" s="77"/>
      <c r="B55" s="78"/>
      <c r="C55" s="75"/>
      <c r="D55" s="73"/>
      <c r="E55" s="73"/>
      <c r="F55" s="73"/>
      <c r="G55" s="73"/>
      <c r="H55" s="73"/>
      <c r="I55" s="73"/>
    </row>
    <row r="56" spans="1:10" x14ac:dyDescent="0.35">
      <c r="A56" s="77"/>
      <c r="B56" s="78"/>
      <c r="C56" s="75"/>
      <c r="D56" s="73"/>
      <c r="E56" s="73"/>
      <c r="F56" s="73"/>
      <c r="G56" s="73"/>
      <c r="H56" s="73"/>
      <c r="I56" s="73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2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9">
    <tabColor rgb="FF92D050"/>
  </sheetPr>
  <dimension ref="A1:K53"/>
  <sheetViews>
    <sheetView zoomScaleNormal="100" zoomScaleSheetLayoutView="90" workbookViewId="0">
      <selection activeCell="C15" sqref="C15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59</v>
      </c>
      <c r="C6" s="880" t="s">
        <v>126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13142246</v>
      </c>
      <c r="C9" s="33">
        <v>12918061</v>
      </c>
      <c r="D9" s="219">
        <f t="shared" ref="D9:D15" si="0">+C9+SUMIF($C$20:$C$58,K9,$D$20:$D$58)</f>
        <v>13428399</v>
      </c>
      <c r="E9" s="114">
        <f t="shared" ref="E9:E15" si="1">+D9+SUMIF($C$20:$C$58,K9,$E$20:$E$58)</f>
        <v>14395213</v>
      </c>
      <c r="F9" s="396">
        <f t="shared" ref="F9:F15" si="2">+E9+SUMIF($C$20:$C$58,K9,$F$20:$F$58)</f>
        <v>14395213</v>
      </c>
      <c r="G9" s="33">
        <f t="shared" ref="G9:G15" si="3">+F9+SUMIF($C$20:$C$58,K9,$G$20:$G$58)</f>
        <v>14395213</v>
      </c>
      <c r="H9" s="219">
        <f t="shared" ref="H9:H15" si="4">+G9+SUMIF($C$20:$C$58,K9,$H$20:$H$58)</f>
        <v>14395213</v>
      </c>
      <c r="I9" s="50">
        <f t="shared" ref="I9:I15" si="5">+H9+SUMIF($C$20:$C$58,K9,$I$20:$I$58)</f>
        <v>14395213</v>
      </c>
      <c r="K9" s="7">
        <v>100</v>
      </c>
    </row>
    <row r="10" spans="1:11" x14ac:dyDescent="0.35">
      <c r="A10" s="10" t="s">
        <v>5</v>
      </c>
      <c r="B10" s="35">
        <v>1396124</v>
      </c>
      <c r="C10" s="35">
        <v>2420632</v>
      </c>
      <c r="D10" s="222">
        <f t="shared" si="0"/>
        <v>2310294</v>
      </c>
      <c r="E10" s="506">
        <f t="shared" si="1"/>
        <v>2026020</v>
      </c>
      <c r="F10" s="504">
        <f t="shared" si="2"/>
        <v>1926020</v>
      </c>
      <c r="G10" s="35">
        <f t="shared" si="3"/>
        <v>1926020</v>
      </c>
      <c r="H10" s="222">
        <f t="shared" si="4"/>
        <v>1926020</v>
      </c>
      <c r="I10" s="36">
        <f t="shared" si="5"/>
        <v>1926020</v>
      </c>
      <c r="K10" s="7">
        <v>200</v>
      </c>
    </row>
    <row r="11" spans="1:11" x14ac:dyDescent="0.35">
      <c r="A11" s="9" t="s">
        <v>6</v>
      </c>
      <c r="B11" s="33">
        <f>106407+66644</f>
        <v>173051</v>
      </c>
      <c r="C11" s="33">
        <v>762600</v>
      </c>
      <c r="D11" s="219">
        <f t="shared" si="0"/>
        <v>362600</v>
      </c>
      <c r="E11" s="114">
        <f t="shared" si="1"/>
        <v>362600</v>
      </c>
      <c r="F11" s="396">
        <f t="shared" si="2"/>
        <v>362600</v>
      </c>
      <c r="G11" s="33">
        <f t="shared" si="3"/>
        <v>362600</v>
      </c>
      <c r="H11" s="219">
        <f t="shared" si="4"/>
        <v>362600</v>
      </c>
      <c r="I11" s="34">
        <f t="shared" si="5"/>
        <v>362600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14711421</v>
      </c>
      <c r="C16" s="39">
        <f t="shared" ref="C16:I16" si="6">SUM(C9:C15)</f>
        <v>16101293</v>
      </c>
      <c r="D16" s="39">
        <f t="shared" si="6"/>
        <v>16101293</v>
      </c>
      <c r="E16" s="529">
        <f t="shared" si="6"/>
        <v>16783833</v>
      </c>
      <c r="F16" s="39">
        <f t="shared" si="6"/>
        <v>16683833</v>
      </c>
      <c r="G16" s="39">
        <f t="shared" si="6"/>
        <v>16683833</v>
      </c>
      <c r="H16" s="39">
        <f t="shared" si="6"/>
        <v>16683833</v>
      </c>
      <c r="I16" s="39">
        <f t="shared" si="6"/>
        <v>16683833</v>
      </c>
    </row>
    <row r="17" spans="1:10" x14ac:dyDescent="0.35">
      <c r="B17" s="218"/>
    </row>
    <row r="18" spans="1:10" x14ac:dyDescent="0.35">
      <c r="E18" s="400">
        <f>+E16-D16</f>
        <v>682540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4.25" customHeight="1" thickTop="1" x14ac:dyDescent="0.35">
      <c r="A20" s="312" t="s">
        <v>635</v>
      </c>
      <c r="B20" s="143"/>
      <c r="C20" s="484"/>
      <c r="D20" s="69"/>
      <c r="E20" s="69"/>
      <c r="F20" s="69"/>
      <c r="G20" s="143"/>
      <c r="H20" s="143"/>
      <c r="I20" s="143"/>
    </row>
    <row r="21" spans="1:10" ht="13" customHeight="1" x14ac:dyDescent="0.35">
      <c r="A21" s="700" t="s">
        <v>428</v>
      </c>
      <c r="B21" s="81"/>
      <c r="C21" s="81"/>
      <c r="D21" s="82"/>
      <c r="E21" s="82"/>
      <c r="F21" s="82"/>
      <c r="G21" s="82"/>
      <c r="H21" s="82"/>
      <c r="I21" s="82"/>
      <c r="J21" s="17"/>
    </row>
    <row r="22" spans="1:10" ht="13" customHeight="1" x14ac:dyDescent="0.35">
      <c r="A22" s="298" t="s">
        <v>445</v>
      </c>
      <c r="B22" s="769"/>
      <c r="C22" s="770">
        <v>200</v>
      </c>
      <c r="D22" s="765"/>
      <c r="E22" s="765">
        <v>-384274</v>
      </c>
      <c r="F22" s="765"/>
      <c r="G22" s="765"/>
      <c r="H22" s="765"/>
      <c r="I22" s="765"/>
      <c r="J22" s="17"/>
    </row>
    <row r="23" spans="1:10" ht="13" customHeight="1" x14ac:dyDescent="0.35">
      <c r="A23" s="752" t="s">
        <v>446</v>
      </c>
      <c r="B23" s="81"/>
      <c r="C23" s="81">
        <v>200</v>
      </c>
      <c r="D23" s="82"/>
      <c r="E23" s="82">
        <v>100000</v>
      </c>
      <c r="F23" s="82">
        <v>-100000</v>
      </c>
      <c r="G23" s="82"/>
      <c r="H23" s="82"/>
      <c r="I23" s="82"/>
      <c r="J23" s="17"/>
    </row>
    <row r="24" spans="1:10" ht="12.75" customHeight="1" x14ac:dyDescent="0.35">
      <c r="A24" s="312" t="s">
        <v>487</v>
      </c>
      <c r="B24" s="769"/>
      <c r="C24" s="770"/>
      <c r="D24" s="765"/>
      <c r="E24" s="765"/>
      <c r="F24" s="765"/>
      <c r="G24" s="765"/>
      <c r="H24" s="765"/>
      <c r="I24" s="765"/>
      <c r="J24" s="17"/>
    </row>
    <row r="25" spans="1:10" ht="13" customHeight="1" x14ac:dyDescent="0.35">
      <c r="A25" s="752" t="s">
        <v>591</v>
      </c>
      <c r="B25" s="81"/>
      <c r="C25" s="81">
        <v>100</v>
      </c>
      <c r="D25" s="82"/>
      <c r="E25" s="82">
        <v>36683</v>
      </c>
      <c r="F25" s="82"/>
      <c r="G25" s="82"/>
      <c r="H25" s="82"/>
      <c r="I25" s="82"/>
      <c r="J25" s="17"/>
    </row>
    <row r="26" spans="1:10" ht="13" customHeight="1" x14ac:dyDescent="0.35">
      <c r="A26" s="298" t="s">
        <v>555</v>
      </c>
      <c r="B26" s="769"/>
      <c r="C26" s="770">
        <v>100</v>
      </c>
      <c r="D26" s="765"/>
      <c r="E26" s="765"/>
      <c r="F26" s="765">
        <v>1206000</v>
      </c>
      <c r="G26" s="765"/>
      <c r="H26" s="765"/>
      <c r="I26" s="765"/>
      <c r="J26" s="17"/>
    </row>
    <row r="27" spans="1:10" ht="13" customHeight="1" x14ac:dyDescent="0.35">
      <c r="A27" s="601" t="s">
        <v>553</v>
      </c>
      <c r="B27" s="81"/>
      <c r="C27" s="81">
        <v>200</v>
      </c>
      <c r="D27" s="82"/>
      <c r="E27" s="82"/>
      <c r="F27" s="82">
        <v>531768</v>
      </c>
      <c r="G27" s="82"/>
      <c r="H27" s="82"/>
      <c r="I27" s="82"/>
      <c r="J27" s="17"/>
    </row>
    <row r="28" spans="1:10" ht="13" customHeight="1" x14ac:dyDescent="0.35">
      <c r="A28" s="298" t="s">
        <v>554</v>
      </c>
      <c r="B28" s="769"/>
      <c r="C28" s="770" t="s">
        <v>167</v>
      </c>
      <c r="D28" s="765"/>
      <c r="E28" s="765"/>
      <c r="F28" s="765">
        <v>25000</v>
      </c>
      <c r="G28" s="765"/>
      <c r="H28" s="765"/>
      <c r="I28" s="765"/>
      <c r="J28" s="17"/>
    </row>
    <row r="29" spans="1:10" ht="13" customHeight="1" x14ac:dyDescent="0.35">
      <c r="A29" s="700" t="s">
        <v>596</v>
      </c>
      <c r="B29" s="81"/>
      <c r="C29" s="318"/>
      <c r="D29" s="82"/>
      <c r="E29" s="82"/>
      <c r="F29" s="82"/>
      <c r="G29" s="82"/>
      <c r="H29" s="82"/>
      <c r="I29" s="82"/>
      <c r="J29" s="17"/>
    </row>
    <row r="30" spans="1:10" ht="13" customHeight="1" x14ac:dyDescent="0.35">
      <c r="A30" s="298" t="s">
        <v>615</v>
      </c>
      <c r="B30" s="769"/>
      <c r="C30" s="770">
        <v>100</v>
      </c>
      <c r="D30" s="765"/>
      <c r="E30" s="765"/>
      <c r="F30" s="765">
        <v>-1206000</v>
      </c>
      <c r="G30" s="765">
        <v>1206000</v>
      </c>
      <c r="H30" s="765"/>
      <c r="I30" s="765"/>
      <c r="J30" s="17"/>
    </row>
    <row r="31" spans="1:10" ht="13" customHeight="1" x14ac:dyDescent="0.35">
      <c r="A31" s="752"/>
      <c r="B31" s="81"/>
      <c r="C31" s="318">
        <v>200</v>
      </c>
      <c r="D31" s="82"/>
      <c r="E31" s="82"/>
      <c r="F31" s="82">
        <v>-531768</v>
      </c>
      <c r="G31" s="82">
        <v>531768</v>
      </c>
      <c r="H31" s="82"/>
      <c r="I31" s="82"/>
      <c r="J31" s="17"/>
    </row>
    <row r="32" spans="1:10" ht="13" customHeight="1" x14ac:dyDescent="0.35">
      <c r="A32" s="298"/>
      <c r="B32" s="769"/>
      <c r="C32" s="770" t="s">
        <v>167</v>
      </c>
      <c r="D32" s="765"/>
      <c r="E32" s="765"/>
      <c r="F32" s="765">
        <v>-25000</v>
      </c>
      <c r="G32" s="765">
        <v>25000</v>
      </c>
      <c r="H32" s="765"/>
      <c r="I32" s="765"/>
      <c r="J32" s="17"/>
    </row>
    <row r="33" spans="1:10" ht="13" customHeight="1" x14ac:dyDescent="0.35">
      <c r="A33" s="700" t="s">
        <v>648</v>
      </c>
      <c r="B33" s="81"/>
      <c r="C33" s="802"/>
      <c r="D33" s="82"/>
      <c r="E33" s="82"/>
      <c r="F33" s="82"/>
      <c r="G33" s="82"/>
      <c r="H33" s="82"/>
      <c r="I33" s="82"/>
      <c r="J33" s="17"/>
    </row>
    <row r="34" spans="1:10" ht="13" customHeight="1" x14ac:dyDescent="0.35">
      <c r="A34" s="298" t="s">
        <v>685</v>
      </c>
      <c r="B34" s="769"/>
      <c r="C34" s="770">
        <v>100</v>
      </c>
      <c r="D34" s="765">
        <v>510338</v>
      </c>
      <c r="E34" s="765"/>
      <c r="F34" s="765"/>
      <c r="G34" s="765"/>
      <c r="H34" s="765"/>
      <c r="I34" s="765"/>
      <c r="J34" s="17"/>
    </row>
    <row r="35" spans="1:10" ht="13" customHeight="1" x14ac:dyDescent="0.35">
      <c r="A35" s="752"/>
      <c r="B35" s="81"/>
      <c r="C35" s="318">
        <v>200</v>
      </c>
      <c r="D35" s="82">
        <v>-110338</v>
      </c>
      <c r="E35" s="82"/>
      <c r="F35" s="82"/>
      <c r="G35" s="82"/>
      <c r="H35" s="82"/>
      <c r="I35" s="82"/>
      <c r="J35" s="17"/>
    </row>
    <row r="36" spans="1:10" ht="13" customHeight="1" x14ac:dyDescent="0.35">
      <c r="A36" s="298"/>
      <c r="B36" s="769"/>
      <c r="C36" s="770" t="s">
        <v>167</v>
      </c>
      <c r="D36" s="765">
        <v>-400000</v>
      </c>
      <c r="E36" s="765"/>
      <c r="F36" s="765"/>
      <c r="G36" s="765"/>
      <c r="H36" s="765"/>
      <c r="I36" s="765"/>
      <c r="J36" s="17"/>
    </row>
    <row r="37" spans="1:10" ht="13" customHeight="1" x14ac:dyDescent="0.35">
      <c r="A37" s="700" t="s">
        <v>748</v>
      </c>
      <c r="B37" s="81"/>
      <c r="C37" s="318"/>
      <c r="D37" s="82"/>
      <c r="E37" s="82"/>
      <c r="F37" s="82"/>
      <c r="G37" s="82"/>
      <c r="H37" s="82"/>
      <c r="I37" s="82"/>
      <c r="J37" s="17"/>
    </row>
    <row r="38" spans="1:10" ht="13" customHeight="1" x14ac:dyDescent="0.35">
      <c r="A38" s="298" t="s">
        <v>765</v>
      </c>
      <c r="B38" s="769"/>
      <c r="C38" s="770">
        <v>100</v>
      </c>
      <c r="D38" s="765"/>
      <c r="E38" s="765">
        <v>841694</v>
      </c>
      <c r="F38" s="765"/>
      <c r="G38" s="765"/>
      <c r="H38" s="765"/>
      <c r="I38" s="765"/>
      <c r="J38" s="17"/>
    </row>
    <row r="39" spans="1:10" ht="13" customHeight="1" x14ac:dyDescent="0.35">
      <c r="A39" s="752" t="s">
        <v>812</v>
      </c>
      <c r="C39" s="318">
        <v>100</v>
      </c>
      <c r="D39" s="82"/>
      <c r="E39" s="82">
        <v>292202</v>
      </c>
      <c r="F39" s="82"/>
      <c r="G39" s="82"/>
      <c r="H39" s="82"/>
      <c r="I39" s="82"/>
      <c r="J39" s="17"/>
    </row>
    <row r="40" spans="1:10" ht="13" customHeight="1" x14ac:dyDescent="0.35">
      <c r="A40" s="298" t="s">
        <v>859</v>
      </c>
      <c r="B40" s="769"/>
      <c r="C40" s="770">
        <v>100</v>
      </c>
      <c r="D40" s="765"/>
      <c r="E40" s="765"/>
      <c r="F40" s="765"/>
      <c r="G40" s="765">
        <v>-1206000</v>
      </c>
      <c r="H40" s="765"/>
      <c r="I40" s="765"/>
      <c r="J40" s="17"/>
    </row>
    <row r="41" spans="1:10" ht="13" customHeight="1" x14ac:dyDescent="0.35">
      <c r="A41" s="752"/>
      <c r="B41" s="81"/>
      <c r="C41" s="318">
        <v>200</v>
      </c>
      <c r="D41" s="82"/>
      <c r="E41" s="82"/>
      <c r="F41" s="82"/>
      <c r="G41" s="82">
        <v>-531768</v>
      </c>
      <c r="H41" s="82"/>
      <c r="I41" s="82"/>
      <c r="J41" s="17"/>
    </row>
    <row r="42" spans="1:10" ht="12.75" customHeight="1" x14ac:dyDescent="0.35">
      <c r="A42" s="298"/>
      <c r="B42" s="769"/>
      <c r="C42" s="770" t="s">
        <v>167</v>
      </c>
      <c r="D42" s="765"/>
      <c r="E42" s="765"/>
      <c r="F42" s="765"/>
      <c r="G42" s="765">
        <v>-25000</v>
      </c>
      <c r="H42" s="765"/>
      <c r="I42" s="765"/>
      <c r="J42" s="17"/>
    </row>
    <row r="43" spans="1:10" ht="12.75" customHeight="1" x14ac:dyDescent="0.35">
      <c r="A43" s="752" t="s">
        <v>884</v>
      </c>
      <c r="B43" s="81"/>
      <c r="C43" s="318">
        <v>100</v>
      </c>
      <c r="D43" s="82"/>
      <c r="E43" s="82">
        <v>-203765</v>
      </c>
      <c r="F43" s="82"/>
      <c r="G43" s="82"/>
      <c r="H43" s="82"/>
      <c r="I43" s="82"/>
      <c r="J43" s="17"/>
    </row>
    <row r="44" spans="1:10" ht="12.75" customHeight="1" x14ac:dyDescent="0.35">
      <c r="A44" s="298"/>
      <c r="B44" s="769"/>
      <c r="C44" s="770"/>
      <c r="D44" s="765"/>
      <c r="E44" s="765"/>
      <c r="F44" s="765"/>
      <c r="G44" s="765"/>
      <c r="H44" s="765"/>
      <c r="I44" s="765"/>
      <c r="J44" s="17"/>
    </row>
    <row r="45" spans="1:10" ht="12.75" customHeight="1" x14ac:dyDescent="0.35">
      <c r="A45" s="752"/>
      <c r="B45" s="81"/>
      <c r="C45" s="318"/>
      <c r="D45" s="82"/>
      <c r="E45" s="82"/>
      <c r="F45" s="82"/>
      <c r="G45" s="82"/>
      <c r="H45" s="82"/>
      <c r="I45" s="82"/>
    </row>
    <row r="46" spans="1:10" ht="12.75" customHeight="1" x14ac:dyDescent="0.35"/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2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1">
    <tabColor theme="3"/>
  </sheetPr>
  <dimension ref="A1:K51"/>
  <sheetViews>
    <sheetView topLeftCell="A7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169" t="s">
        <v>14</v>
      </c>
      <c r="B6" s="32">
        <v>49</v>
      </c>
      <c r="C6" s="880" t="s">
        <v>198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566858</v>
      </c>
      <c r="C9" s="33">
        <v>603814</v>
      </c>
      <c r="D9" s="219">
        <f t="shared" ref="D9:D15" si="0">+C9+SUMIF($C$20:$C$58,K9,$D$20:$D$58)</f>
        <v>679853</v>
      </c>
      <c r="E9" s="114">
        <f t="shared" ref="E9:E15" si="1">+D9+SUMIF($C$20:$C$58,K9,$E$20:$E$58)</f>
        <v>722621</v>
      </c>
      <c r="F9" s="396">
        <f t="shared" ref="F9:F15" si="2">+E9+SUMIF($C$20:$C$58,K9,$F$20:$F$58)</f>
        <v>722621</v>
      </c>
      <c r="G9" s="33">
        <f t="shared" ref="G9:G15" si="3">+F9+SUMIF($C$20:$C$58,K9,$G$20:$G$58)</f>
        <v>722621</v>
      </c>
      <c r="H9" s="219">
        <f t="shared" ref="H9:H15" si="4">+G9+SUMIF($C$20:$C$58,K9,$H$20:$H$58)</f>
        <v>722621</v>
      </c>
      <c r="I9" s="50">
        <f t="shared" ref="I9:I15" si="5">+H9+SUMIF($C$20:$C$58,K9,$I$20:$I$58)</f>
        <v>722621</v>
      </c>
      <c r="K9" s="7">
        <v>100</v>
      </c>
    </row>
    <row r="10" spans="1:11" x14ac:dyDescent="0.35">
      <c r="A10" s="10" t="s">
        <v>5</v>
      </c>
      <c r="B10" s="35">
        <v>391710</v>
      </c>
      <c r="C10" s="35">
        <v>423366</v>
      </c>
      <c r="D10" s="222">
        <f t="shared" si="0"/>
        <v>423366</v>
      </c>
      <c r="E10" s="506">
        <f t="shared" si="1"/>
        <v>473366</v>
      </c>
      <c r="F10" s="504">
        <f t="shared" si="2"/>
        <v>473366</v>
      </c>
      <c r="G10" s="35">
        <f t="shared" si="3"/>
        <v>473366</v>
      </c>
      <c r="H10" s="222">
        <f t="shared" si="4"/>
        <v>473366</v>
      </c>
      <c r="I10" s="36">
        <f t="shared" si="5"/>
        <v>423366</v>
      </c>
      <c r="K10" s="7">
        <v>200</v>
      </c>
    </row>
    <row r="11" spans="1:11" x14ac:dyDescent="0.35">
      <c r="A11" s="9" t="s">
        <v>6</v>
      </c>
      <c r="B11" s="33">
        <v>16945</v>
      </c>
      <c r="C11" s="33">
        <v>1000</v>
      </c>
      <c r="D11" s="219">
        <f t="shared" si="0"/>
        <v>1000</v>
      </c>
      <c r="E11" s="114">
        <f t="shared" si="1"/>
        <v>1000</v>
      </c>
      <c r="F11" s="396">
        <f t="shared" si="2"/>
        <v>1000</v>
      </c>
      <c r="G11" s="33">
        <f t="shared" si="3"/>
        <v>1000</v>
      </c>
      <c r="H11" s="219">
        <f t="shared" si="4"/>
        <v>1000</v>
      </c>
      <c r="I11" s="34">
        <f t="shared" si="5"/>
        <v>1000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250000</v>
      </c>
      <c r="C14" s="35">
        <v>175000</v>
      </c>
      <c r="D14" s="222">
        <f t="shared" si="0"/>
        <v>175000</v>
      </c>
      <c r="E14" s="506">
        <f t="shared" si="1"/>
        <v>175000</v>
      </c>
      <c r="F14" s="504">
        <f t="shared" si="2"/>
        <v>175000</v>
      </c>
      <c r="G14" s="35">
        <f t="shared" si="3"/>
        <v>175000</v>
      </c>
      <c r="H14" s="222">
        <f t="shared" si="4"/>
        <v>175000</v>
      </c>
      <c r="I14" s="36">
        <f t="shared" si="5"/>
        <v>175000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1225513</v>
      </c>
      <c r="C16" s="39">
        <f t="shared" ref="C16:I16" si="6">SUM(C9:C15)</f>
        <v>1203180</v>
      </c>
      <c r="D16" s="39">
        <f t="shared" si="6"/>
        <v>1279219</v>
      </c>
      <c r="E16" s="529">
        <f t="shared" si="6"/>
        <v>1371987</v>
      </c>
      <c r="F16" s="39">
        <f t="shared" si="6"/>
        <v>1371987</v>
      </c>
      <c r="G16" s="39">
        <f t="shared" si="6"/>
        <v>1371987</v>
      </c>
      <c r="H16" s="39">
        <f t="shared" si="6"/>
        <v>1371987</v>
      </c>
      <c r="I16" s="39">
        <f t="shared" si="6"/>
        <v>1321987</v>
      </c>
    </row>
    <row r="18" spans="1:10" x14ac:dyDescent="0.35">
      <c r="E18" s="401">
        <f>+E16-D16</f>
        <v>92768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701" t="s">
        <v>387</v>
      </c>
      <c r="B20" s="702"/>
      <c r="C20" s="232"/>
      <c r="D20" s="703"/>
      <c r="E20" s="242"/>
      <c r="F20" s="73"/>
      <c r="G20" s="73"/>
      <c r="H20" s="73"/>
      <c r="I20" s="73"/>
      <c r="J20" s="17"/>
    </row>
    <row r="21" spans="1:10" ht="12.75" customHeight="1" x14ac:dyDescent="0.35">
      <c r="A21" s="756" t="s">
        <v>428</v>
      </c>
      <c r="B21" s="294"/>
      <c r="C21" s="239"/>
      <c r="D21" s="240"/>
      <c r="E21" s="69"/>
      <c r="F21" s="69"/>
      <c r="G21" s="69"/>
      <c r="H21" s="69"/>
      <c r="I21" s="69"/>
      <c r="J21" s="17"/>
    </row>
    <row r="22" spans="1:10" ht="12.75" customHeight="1" x14ac:dyDescent="0.35">
      <c r="A22" s="746" t="s">
        <v>441</v>
      </c>
      <c r="B22" s="70"/>
      <c r="C22" s="71">
        <v>100</v>
      </c>
      <c r="D22" s="72"/>
      <c r="E22" s="73">
        <v>32500</v>
      </c>
      <c r="F22" s="73"/>
      <c r="G22" s="73"/>
      <c r="H22" s="73"/>
      <c r="I22" s="73"/>
      <c r="J22" s="17"/>
    </row>
    <row r="23" spans="1:10" ht="12.75" customHeight="1" x14ac:dyDescent="0.35">
      <c r="A23" s="756" t="s">
        <v>487</v>
      </c>
      <c r="B23" s="294"/>
      <c r="C23" s="239"/>
      <c r="D23" s="240"/>
      <c r="E23" s="69"/>
      <c r="F23" s="69"/>
      <c r="G23" s="69"/>
      <c r="H23" s="69"/>
      <c r="I23" s="69"/>
      <c r="J23" s="17"/>
    </row>
    <row r="24" spans="1:10" ht="12.75" customHeight="1" x14ac:dyDescent="0.35">
      <c r="A24" s="746" t="s">
        <v>591</v>
      </c>
      <c r="B24" s="70"/>
      <c r="C24" s="71">
        <v>100</v>
      </c>
      <c r="D24" s="72"/>
      <c r="E24" s="73">
        <v>10268</v>
      </c>
      <c r="F24" s="73"/>
      <c r="G24" s="73"/>
      <c r="H24" s="73"/>
      <c r="I24" s="73"/>
      <c r="J24" s="17"/>
    </row>
    <row r="25" spans="1:10" ht="12.75" customHeight="1" x14ac:dyDescent="0.35">
      <c r="A25" s="293" t="s">
        <v>564</v>
      </c>
      <c r="B25" s="294"/>
      <c r="C25" s="239">
        <v>100</v>
      </c>
      <c r="D25" s="240"/>
      <c r="E25" s="69"/>
      <c r="F25" s="69">
        <v>626523</v>
      </c>
      <c r="G25" s="69"/>
      <c r="H25" s="69"/>
      <c r="I25" s="69"/>
      <c r="J25" s="17"/>
    </row>
    <row r="26" spans="1:10" ht="12.75" customHeight="1" x14ac:dyDescent="0.35">
      <c r="A26" s="746"/>
      <c r="B26" s="70"/>
      <c r="C26" s="71">
        <v>200</v>
      </c>
      <c r="D26" s="72"/>
      <c r="E26" s="73"/>
      <c r="F26" s="73">
        <v>626523</v>
      </c>
      <c r="G26" s="73"/>
      <c r="H26" s="73"/>
      <c r="I26" s="73"/>
      <c r="J26" s="17"/>
    </row>
    <row r="27" spans="1:10" ht="12.75" customHeight="1" x14ac:dyDescent="0.35">
      <c r="A27" s="756" t="s">
        <v>596</v>
      </c>
      <c r="B27" s="294"/>
      <c r="C27" s="239"/>
      <c r="D27" s="240"/>
      <c r="E27" s="69"/>
      <c r="F27" s="69"/>
      <c r="G27" s="69"/>
      <c r="H27" s="69"/>
      <c r="I27" s="69"/>
      <c r="J27" s="17"/>
    </row>
    <row r="28" spans="1:10" ht="12.75" customHeight="1" x14ac:dyDescent="0.35">
      <c r="A28" s="746" t="s">
        <v>598</v>
      </c>
      <c r="B28" s="70"/>
      <c r="C28" s="71">
        <v>100</v>
      </c>
      <c r="D28" s="72"/>
      <c r="E28" s="73"/>
      <c r="F28" s="73">
        <v>-185649</v>
      </c>
      <c r="G28" s="73"/>
      <c r="H28" s="73"/>
      <c r="I28" s="73"/>
      <c r="J28" s="17"/>
    </row>
    <row r="29" spans="1:10" ht="12.75" customHeight="1" x14ac:dyDescent="0.35">
      <c r="A29" s="293"/>
      <c r="B29" s="294"/>
      <c r="C29" s="239">
        <v>200</v>
      </c>
      <c r="D29" s="240"/>
      <c r="E29" s="69"/>
      <c r="F29" s="69">
        <v>93619</v>
      </c>
      <c r="G29" s="69"/>
      <c r="H29" s="69"/>
      <c r="I29" s="69"/>
      <c r="J29" s="17"/>
    </row>
    <row r="30" spans="1:10" ht="12.75" customHeight="1" x14ac:dyDescent="0.35">
      <c r="A30" s="746"/>
      <c r="B30" s="70"/>
      <c r="C30" s="71" t="s">
        <v>167</v>
      </c>
      <c r="D30" s="72"/>
      <c r="E30" s="73"/>
      <c r="F30" s="73">
        <v>16840</v>
      </c>
      <c r="G30" s="73"/>
      <c r="H30" s="73"/>
      <c r="I30" s="73"/>
      <c r="J30" s="17"/>
    </row>
    <row r="31" spans="1:10" ht="12.75" customHeight="1" x14ac:dyDescent="0.35">
      <c r="A31" s="293"/>
      <c r="B31" s="294"/>
      <c r="C31" s="239">
        <v>800</v>
      </c>
      <c r="D31" s="240"/>
      <c r="E31" s="69"/>
      <c r="F31" s="69">
        <v>75000</v>
      </c>
      <c r="G31" s="69"/>
      <c r="H31" s="69"/>
      <c r="I31" s="69"/>
      <c r="J31" s="17"/>
    </row>
    <row r="32" spans="1:10" ht="12.75" customHeight="1" x14ac:dyDescent="0.35">
      <c r="A32" s="746" t="s">
        <v>615</v>
      </c>
      <c r="B32" s="70"/>
      <c r="C32" s="71">
        <v>100</v>
      </c>
      <c r="D32" s="72"/>
      <c r="E32" s="73"/>
      <c r="F32" s="73">
        <v>-440874</v>
      </c>
      <c r="G32" s="73">
        <v>440874</v>
      </c>
      <c r="H32" s="73"/>
      <c r="I32" s="73"/>
      <c r="J32" s="17"/>
    </row>
    <row r="33" spans="1:10" ht="12.75" customHeight="1" x14ac:dyDescent="0.35">
      <c r="A33" s="293"/>
      <c r="B33" s="294"/>
      <c r="C33" s="239">
        <v>200</v>
      </c>
      <c r="D33" s="240"/>
      <c r="E33" s="69"/>
      <c r="F33" s="69">
        <v>-720142</v>
      </c>
      <c r="G33" s="69">
        <v>720142</v>
      </c>
      <c r="H33" s="69"/>
      <c r="I33" s="69"/>
      <c r="J33" s="17"/>
    </row>
    <row r="34" spans="1:10" ht="12.75" customHeight="1" x14ac:dyDescent="0.35">
      <c r="A34" s="746"/>
      <c r="B34" s="70"/>
      <c r="C34" s="71" t="s">
        <v>167</v>
      </c>
      <c r="D34" s="72"/>
      <c r="E34" s="73"/>
      <c r="F34" s="73">
        <v>-16840</v>
      </c>
      <c r="G34" s="73">
        <v>16840</v>
      </c>
      <c r="H34" s="73"/>
      <c r="I34" s="73"/>
      <c r="J34" s="17"/>
    </row>
    <row r="35" spans="1:10" ht="12.75" customHeight="1" x14ac:dyDescent="0.35">
      <c r="A35" s="293"/>
      <c r="B35" s="294"/>
      <c r="C35" s="239">
        <v>800</v>
      </c>
      <c r="D35" s="240"/>
      <c r="E35" s="69"/>
      <c r="F35" s="69">
        <v>-75000</v>
      </c>
      <c r="G35" s="69">
        <v>75000</v>
      </c>
      <c r="H35" s="69"/>
      <c r="I35" s="69"/>
      <c r="J35" s="17"/>
    </row>
    <row r="36" spans="1:10" ht="12.75" customHeight="1" x14ac:dyDescent="0.35">
      <c r="A36" s="157" t="s">
        <v>648</v>
      </c>
      <c r="B36" s="70"/>
      <c r="J36" s="17"/>
    </row>
    <row r="37" spans="1:10" ht="12.75" customHeight="1" x14ac:dyDescent="0.35">
      <c r="A37" s="293" t="s">
        <v>684</v>
      </c>
      <c r="B37" s="294"/>
      <c r="C37" s="239">
        <v>100</v>
      </c>
      <c r="D37" s="240">
        <v>76039</v>
      </c>
      <c r="E37" s="69"/>
      <c r="F37" s="69"/>
      <c r="G37" s="69"/>
      <c r="H37" s="69"/>
      <c r="I37" s="69"/>
      <c r="J37" s="17"/>
    </row>
    <row r="38" spans="1:10" ht="12.75" customHeight="1" x14ac:dyDescent="0.35">
      <c r="A38" s="157" t="s">
        <v>748</v>
      </c>
      <c r="B38" s="70"/>
      <c r="C38" s="71"/>
      <c r="D38" s="72"/>
      <c r="E38" s="73"/>
      <c r="F38" s="73"/>
      <c r="G38" s="73"/>
      <c r="H38" s="73"/>
      <c r="I38" s="73"/>
      <c r="J38" s="17"/>
    </row>
    <row r="39" spans="1:10" ht="12.75" customHeight="1" x14ac:dyDescent="0.35">
      <c r="A39" s="293" t="s">
        <v>813</v>
      </c>
      <c r="B39" s="294"/>
      <c r="C39" s="239">
        <v>200</v>
      </c>
      <c r="D39" s="240"/>
      <c r="E39" s="69">
        <v>50000</v>
      </c>
      <c r="F39" s="69"/>
      <c r="G39" s="69"/>
      <c r="H39" s="69"/>
      <c r="I39" s="69">
        <v>-50000</v>
      </c>
      <c r="J39" s="17"/>
    </row>
    <row r="40" spans="1:10" ht="12.75" customHeight="1" x14ac:dyDescent="0.35">
      <c r="A40" s="746" t="s">
        <v>858</v>
      </c>
      <c r="B40" s="70"/>
      <c r="C40" s="71">
        <v>100</v>
      </c>
      <c r="D40" s="72"/>
      <c r="E40" s="73"/>
      <c r="F40" s="73"/>
      <c r="G40" s="73">
        <v>-440874</v>
      </c>
      <c r="H40" s="73"/>
      <c r="I40" s="73"/>
      <c r="J40" s="17"/>
    </row>
    <row r="41" spans="1:10" ht="12.75" customHeight="1" x14ac:dyDescent="0.35">
      <c r="A41" s="293"/>
      <c r="B41" s="294"/>
      <c r="C41" s="239">
        <v>200</v>
      </c>
      <c r="D41" s="240"/>
      <c r="E41" s="69"/>
      <c r="F41" s="69"/>
      <c r="G41" s="69">
        <v>-720142</v>
      </c>
      <c r="H41" s="69"/>
      <c r="I41" s="69"/>
      <c r="J41" s="17"/>
    </row>
    <row r="42" spans="1:10" ht="12.75" customHeight="1" x14ac:dyDescent="0.35">
      <c r="A42" s="746"/>
      <c r="B42" s="70"/>
      <c r="C42" s="71" t="s">
        <v>167</v>
      </c>
      <c r="D42" s="72"/>
      <c r="E42" s="73"/>
      <c r="F42" s="73"/>
      <c r="G42" s="73">
        <v>-16840</v>
      </c>
      <c r="H42" s="73"/>
      <c r="I42" s="73"/>
      <c r="J42" s="17"/>
    </row>
    <row r="43" spans="1:10" ht="12.75" customHeight="1" x14ac:dyDescent="0.35">
      <c r="A43" s="293"/>
      <c r="B43" s="294"/>
      <c r="C43" s="239">
        <v>800</v>
      </c>
      <c r="D43" s="240"/>
      <c r="E43" s="69"/>
      <c r="F43" s="69"/>
      <c r="G43" s="69">
        <v>-75000</v>
      </c>
      <c r="H43" s="69"/>
      <c r="I43" s="69"/>
      <c r="J43" s="17"/>
    </row>
    <row r="44" spans="1:10" ht="12.75" customHeight="1" x14ac:dyDescent="0.35">
      <c r="A44" s="746"/>
      <c r="B44" s="70"/>
      <c r="C44" s="71"/>
      <c r="D44" s="72"/>
      <c r="E44" s="73"/>
      <c r="F44" s="73"/>
      <c r="G44" s="73"/>
      <c r="H44" s="73"/>
      <c r="I44" s="73"/>
      <c r="J44" s="17"/>
    </row>
    <row r="45" spans="1:10" ht="12.75" customHeight="1" x14ac:dyDescent="0.35">
      <c r="A45" s="77"/>
      <c r="B45" s="78"/>
      <c r="C45" s="75"/>
      <c r="D45" s="73"/>
      <c r="E45" s="73"/>
      <c r="F45" s="73"/>
      <c r="G45" s="73"/>
      <c r="H45" s="73"/>
      <c r="I45" s="73"/>
      <c r="J45" s="17"/>
    </row>
    <row r="46" spans="1:10" ht="12.75" customHeight="1" x14ac:dyDescent="0.35">
      <c r="A46" s="77"/>
      <c r="B46" s="78"/>
      <c r="C46" s="75"/>
      <c r="D46" s="73"/>
      <c r="E46" s="73"/>
      <c r="F46" s="73"/>
      <c r="G46" s="73"/>
      <c r="H46" s="73"/>
      <c r="I46" s="73"/>
      <c r="J46" s="17"/>
    </row>
    <row r="47" spans="1:10" ht="12.75" customHeight="1" x14ac:dyDescent="0.35">
      <c r="A47" s="81"/>
      <c r="B47" s="81"/>
      <c r="C47" s="81"/>
      <c r="D47" s="81"/>
      <c r="E47" s="81"/>
      <c r="F47" s="81"/>
      <c r="G47" s="81"/>
      <c r="H47" s="81"/>
      <c r="I47" s="81"/>
      <c r="J47" s="17"/>
    </row>
    <row r="48" spans="1:10" ht="12.75" customHeight="1" x14ac:dyDescent="0.35">
      <c r="A48" s="81"/>
      <c r="B48" s="81"/>
      <c r="C48" s="81"/>
      <c r="D48" s="81"/>
      <c r="E48" s="81"/>
      <c r="F48" s="81"/>
      <c r="G48" s="81"/>
      <c r="H48" s="81"/>
      <c r="I48" s="81"/>
      <c r="J48" s="17"/>
    </row>
    <row r="49" ht="12.75" customHeight="1" x14ac:dyDescent="0.35"/>
    <row r="50" ht="12.75" customHeight="1" x14ac:dyDescent="0.35"/>
    <row r="51" ht="12.75" customHeight="1" x14ac:dyDescent="0.35"/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126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2">
    <tabColor theme="3"/>
  </sheetPr>
  <dimension ref="A1:K60"/>
  <sheetViews>
    <sheetView topLeftCell="A39" zoomScaleNormal="100" zoomScaleSheetLayoutView="90" workbookViewId="0">
      <selection activeCell="B57" sqref="B57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16</v>
      </c>
      <c r="C6" s="880" t="s">
        <v>125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50465519</v>
      </c>
      <c r="C9" s="33">
        <v>46921787</v>
      </c>
      <c r="D9" s="219">
        <f t="shared" ref="D9:D15" si="0">+C9+SUMIF($C$20:$C$58,K9,$D$20:$D$58)</f>
        <v>46921787</v>
      </c>
      <c r="E9" s="114">
        <f t="shared" ref="E9:E15" si="1">+D9+SUMIF($C$20:$C$58,K9,$E$20:$E$58)</f>
        <v>52352786</v>
      </c>
      <c r="F9" s="396">
        <f t="shared" ref="F9:F15" si="2">+E9+SUMIF($C$20:$C$58,K9,$F$20:$F$58)</f>
        <v>52940834</v>
      </c>
      <c r="G9" s="33">
        <f t="shared" ref="G9:G15" si="3">+F9+SUMIF($C$20:$C$58,K9,$G$20:$G$58)</f>
        <v>52978065</v>
      </c>
      <c r="H9" s="219">
        <f t="shared" ref="H9:H15" si="4">+G9+SUMIF($C$20:$C$58,K9,$H$20:$H$58)</f>
        <v>53014967</v>
      </c>
      <c r="I9" s="50">
        <f t="shared" ref="I9:I15" si="5">+H9+SUMIF($C$20:$C$58,K9,$I$20:$I$58)</f>
        <v>53051673</v>
      </c>
      <c r="K9" s="7">
        <v>100</v>
      </c>
    </row>
    <row r="10" spans="1:11" x14ac:dyDescent="0.35">
      <c r="A10" s="10" t="s">
        <v>5</v>
      </c>
      <c r="B10" s="35">
        <f>6841229+43865</f>
        <v>6885094</v>
      </c>
      <c r="C10" s="35">
        <v>4482142</v>
      </c>
      <c r="D10" s="222">
        <f t="shared" si="0"/>
        <v>4826996</v>
      </c>
      <c r="E10" s="506">
        <f t="shared" si="1"/>
        <v>5659542</v>
      </c>
      <c r="F10" s="504">
        <f t="shared" si="2"/>
        <v>5699542</v>
      </c>
      <c r="G10" s="35">
        <f t="shared" si="3"/>
        <v>5559542</v>
      </c>
      <c r="H10" s="222">
        <f t="shared" si="4"/>
        <v>5559542</v>
      </c>
      <c r="I10" s="36">
        <f t="shared" si="5"/>
        <v>5559542</v>
      </c>
      <c r="K10" s="7">
        <v>200</v>
      </c>
    </row>
    <row r="11" spans="1:11" x14ac:dyDescent="0.35">
      <c r="A11" s="9" t="s">
        <v>6</v>
      </c>
      <c r="B11" s="33">
        <f>2295579+325687</f>
        <v>2621266</v>
      </c>
      <c r="C11" s="33">
        <v>2022225</v>
      </c>
      <c r="D11" s="219">
        <f t="shared" si="0"/>
        <v>2022225</v>
      </c>
      <c r="E11" s="114">
        <f t="shared" si="1"/>
        <v>2552225</v>
      </c>
      <c r="F11" s="396">
        <f t="shared" si="2"/>
        <v>2527225</v>
      </c>
      <c r="G11" s="33">
        <f t="shared" si="3"/>
        <v>2527225</v>
      </c>
      <c r="H11" s="219">
        <f t="shared" si="4"/>
        <v>2527225</v>
      </c>
      <c r="I11" s="34">
        <f t="shared" si="5"/>
        <v>2527225</v>
      </c>
      <c r="K11" s="7" t="s">
        <v>167</v>
      </c>
    </row>
    <row r="12" spans="1:11" x14ac:dyDescent="0.35">
      <c r="A12" s="10" t="s">
        <v>7</v>
      </c>
      <c r="B12" s="35">
        <v>4997411</v>
      </c>
      <c r="C12" s="35">
        <v>1500000</v>
      </c>
      <c r="D12" s="222">
        <f t="shared" si="0"/>
        <v>1500000</v>
      </c>
      <c r="E12" s="506">
        <f t="shared" si="1"/>
        <v>1500000</v>
      </c>
      <c r="F12" s="504">
        <f t="shared" si="2"/>
        <v>1500000</v>
      </c>
      <c r="G12" s="35">
        <f t="shared" si="3"/>
        <v>1500000</v>
      </c>
      <c r="H12" s="222">
        <f t="shared" si="4"/>
        <v>1500000</v>
      </c>
      <c r="I12" s="36">
        <f t="shared" si="5"/>
        <v>1500000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113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64969290</v>
      </c>
      <c r="C16" s="39">
        <f t="shared" ref="C16:I16" si="6">SUM(C9:C15)</f>
        <v>54926154</v>
      </c>
      <c r="D16" s="39">
        <f t="shared" si="6"/>
        <v>55271008</v>
      </c>
      <c r="E16" s="529">
        <f t="shared" si="6"/>
        <v>62064553</v>
      </c>
      <c r="F16" s="39">
        <f t="shared" si="6"/>
        <v>62667601</v>
      </c>
      <c r="G16" s="39">
        <f t="shared" si="6"/>
        <v>62564832</v>
      </c>
      <c r="H16" s="39">
        <f t="shared" si="6"/>
        <v>62601734</v>
      </c>
      <c r="I16" s="39">
        <f t="shared" si="6"/>
        <v>62638440</v>
      </c>
    </row>
    <row r="18" spans="1:10" x14ac:dyDescent="0.35">
      <c r="E18" s="401">
        <f>+E16-D16</f>
        <v>6793545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595" t="s">
        <v>332</v>
      </c>
      <c r="B21" s="143"/>
      <c r="C21" s="333"/>
      <c r="D21" s="68"/>
      <c r="E21" s="68"/>
      <c r="F21" s="143"/>
      <c r="G21" s="143"/>
      <c r="H21" s="143"/>
      <c r="I21" s="143"/>
      <c r="J21" s="17"/>
    </row>
    <row r="22" spans="1:10" ht="12.75" customHeight="1" x14ac:dyDescent="0.35">
      <c r="A22" s="587" t="s">
        <v>337</v>
      </c>
      <c r="B22" s="58"/>
      <c r="C22" s="71">
        <v>100</v>
      </c>
      <c r="D22" s="72"/>
      <c r="E22" s="571">
        <v>373383</v>
      </c>
      <c r="F22" s="571">
        <v>590124</v>
      </c>
      <c r="G22" s="571"/>
      <c r="H22" s="571"/>
      <c r="I22" s="58"/>
    </row>
    <row r="23" spans="1:10" ht="12.75" customHeight="1" x14ac:dyDescent="0.35">
      <c r="A23" s="757" t="s">
        <v>342</v>
      </c>
      <c r="B23" s="143"/>
      <c r="C23" s="333">
        <v>200</v>
      </c>
      <c r="D23" s="777"/>
      <c r="E23" s="590">
        <v>-72000</v>
      </c>
      <c r="F23" s="590">
        <v>40000</v>
      </c>
      <c r="G23" s="590">
        <v>-140000</v>
      </c>
      <c r="H23" s="590"/>
      <c r="I23" s="143"/>
    </row>
    <row r="24" spans="1:10" ht="12.75" customHeight="1" x14ac:dyDescent="0.35">
      <c r="A24" s="700" t="s">
        <v>486</v>
      </c>
      <c r="B24" s="58"/>
      <c r="C24" s="71"/>
      <c r="D24" s="72"/>
      <c r="E24" s="571"/>
      <c r="F24" s="571"/>
      <c r="G24" s="571"/>
      <c r="H24" s="571"/>
      <c r="I24" s="58"/>
    </row>
    <row r="25" spans="1:10" ht="12.75" customHeight="1" x14ac:dyDescent="0.35">
      <c r="A25" s="745" t="s">
        <v>583</v>
      </c>
      <c r="B25" s="143"/>
      <c r="C25" s="67">
        <v>100</v>
      </c>
      <c r="D25" s="777"/>
      <c r="E25" s="590"/>
      <c r="F25" s="590">
        <v>7709935</v>
      </c>
      <c r="G25" s="590"/>
      <c r="H25" s="590"/>
      <c r="I25" s="143"/>
    </row>
    <row r="26" spans="1:10" ht="12.75" customHeight="1" x14ac:dyDescent="0.35">
      <c r="A26" s="752" t="s">
        <v>508</v>
      </c>
      <c r="B26" s="58"/>
      <c r="C26" s="71">
        <v>200</v>
      </c>
      <c r="D26" s="777"/>
      <c r="E26" s="571"/>
      <c r="F26" s="571">
        <v>2225348</v>
      </c>
      <c r="G26" s="571"/>
      <c r="H26" s="571"/>
      <c r="I26" s="58"/>
    </row>
    <row r="27" spans="1:10" ht="12.75" customHeight="1" x14ac:dyDescent="0.35">
      <c r="A27" s="745" t="s">
        <v>509</v>
      </c>
      <c r="B27" s="143"/>
      <c r="C27" s="67" t="s">
        <v>167</v>
      </c>
      <c r="D27" s="777"/>
      <c r="E27" s="590"/>
      <c r="F27" s="590">
        <v>573405</v>
      </c>
      <c r="G27" s="590"/>
      <c r="H27" s="143"/>
      <c r="I27" s="143"/>
    </row>
    <row r="28" spans="1:10" ht="12.75" customHeight="1" x14ac:dyDescent="0.35">
      <c r="A28" s="752" t="s">
        <v>510</v>
      </c>
      <c r="B28" s="58"/>
      <c r="C28" s="71" t="s">
        <v>167</v>
      </c>
      <c r="D28" s="777"/>
      <c r="E28" s="571"/>
      <c r="F28" s="571">
        <v>145000</v>
      </c>
      <c r="G28" s="571"/>
      <c r="H28" s="571"/>
      <c r="I28" s="571"/>
    </row>
    <row r="29" spans="1:10" ht="12.75" customHeight="1" x14ac:dyDescent="0.35">
      <c r="A29" s="745" t="s">
        <v>511</v>
      </c>
      <c r="B29" s="143"/>
      <c r="C29" s="67">
        <v>500</v>
      </c>
      <c r="D29" s="777"/>
      <c r="E29" s="590"/>
      <c r="F29" s="590">
        <v>2511000</v>
      </c>
      <c r="G29" s="590"/>
      <c r="H29" s="590"/>
      <c r="I29" s="590"/>
    </row>
    <row r="30" spans="1:10" ht="12.75" customHeight="1" x14ac:dyDescent="0.35">
      <c r="A30" s="752" t="s">
        <v>589</v>
      </c>
      <c r="B30" s="58"/>
      <c r="C30" s="71">
        <v>100</v>
      </c>
      <c r="D30" s="777"/>
      <c r="E30" s="571">
        <v>53770</v>
      </c>
      <c r="F30" s="571"/>
      <c r="G30" s="571"/>
      <c r="H30" s="571"/>
      <c r="I30" s="58"/>
    </row>
    <row r="31" spans="1:10" ht="12.75" customHeight="1" x14ac:dyDescent="0.35">
      <c r="A31" s="692" t="s">
        <v>594</v>
      </c>
      <c r="B31" s="143"/>
      <c r="C31" s="67"/>
      <c r="D31" s="777"/>
      <c r="E31" s="590"/>
      <c r="F31" s="590"/>
      <c r="G31" s="590"/>
      <c r="H31" s="590"/>
      <c r="I31" s="143"/>
    </row>
    <row r="32" spans="1:10" ht="12.75" customHeight="1" x14ac:dyDescent="0.35">
      <c r="A32" s="752" t="s">
        <v>614</v>
      </c>
      <c r="B32" s="58"/>
      <c r="C32" s="71">
        <v>100</v>
      </c>
      <c r="D32" s="777"/>
      <c r="E32" s="571"/>
      <c r="F32" s="571">
        <v>-7709935</v>
      </c>
      <c r="G32" s="571">
        <v>7709935</v>
      </c>
      <c r="H32" s="571"/>
      <c r="I32" s="58"/>
    </row>
    <row r="33" spans="1:9" ht="12.75" customHeight="1" x14ac:dyDescent="0.35">
      <c r="A33" s="745"/>
      <c r="B33" s="143"/>
      <c r="C33" s="67">
        <v>200</v>
      </c>
      <c r="D33" s="777"/>
      <c r="E33" s="590"/>
      <c r="F33" s="590">
        <v>-2225348</v>
      </c>
      <c r="G33" s="590">
        <v>2225348</v>
      </c>
      <c r="H33" s="590"/>
      <c r="I33" s="143"/>
    </row>
    <row r="34" spans="1:9" ht="12.75" customHeight="1" x14ac:dyDescent="0.35">
      <c r="A34" s="752"/>
      <c r="B34" s="58"/>
      <c r="C34" s="71" t="s">
        <v>167</v>
      </c>
      <c r="D34" s="777"/>
      <c r="E34" s="571"/>
      <c r="F34" s="571">
        <v>-573405</v>
      </c>
      <c r="G34" s="571">
        <v>573405</v>
      </c>
      <c r="H34" s="571"/>
      <c r="I34" s="58"/>
    </row>
    <row r="35" spans="1:9" ht="12.75" customHeight="1" x14ac:dyDescent="0.35">
      <c r="A35" s="745"/>
      <c r="B35" s="143"/>
      <c r="C35" s="803" t="s">
        <v>167</v>
      </c>
      <c r="D35" s="777"/>
      <c r="E35" s="590"/>
      <c r="F35" s="590">
        <v>-145000</v>
      </c>
      <c r="G35" s="590">
        <v>145000</v>
      </c>
      <c r="H35" s="590"/>
      <c r="I35" s="143"/>
    </row>
    <row r="36" spans="1:9" ht="12.75" customHeight="1" x14ac:dyDescent="0.35">
      <c r="A36" s="752"/>
      <c r="B36" s="58"/>
      <c r="C36" s="71">
        <v>500</v>
      </c>
      <c r="D36" s="777"/>
      <c r="E36" s="571"/>
      <c r="F36" s="571">
        <v>-2511000</v>
      </c>
      <c r="G36" s="571">
        <v>1011000</v>
      </c>
      <c r="H36" s="571"/>
      <c r="I36" s="58"/>
    </row>
    <row r="37" spans="1:9" ht="12.75" customHeight="1" x14ac:dyDescent="0.35">
      <c r="A37" s="692" t="s">
        <v>648</v>
      </c>
      <c r="B37" s="143"/>
      <c r="C37" s="67"/>
      <c r="D37" s="777"/>
      <c r="E37" s="590"/>
      <c r="F37" s="590"/>
      <c r="G37" s="590"/>
      <c r="H37" s="590"/>
      <c r="I37" s="143"/>
    </row>
    <row r="38" spans="1:9" ht="12.75" customHeight="1" x14ac:dyDescent="0.35">
      <c r="A38" s="752" t="s">
        <v>666</v>
      </c>
      <c r="B38" s="58"/>
      <c r="C38" s="71">
        <v>200</v>
      </c>
      <c r="D38" s="777">
        <v>170720</v>
      </c>
      <c r="E38" s="571">
        <v>-170720</v>
      </c>
      <c r="F38" s="571"/>
      <c r="G38" s="571"/>
      <c r="H38" s="571"/>
      <c r="I38" s="58"/>
    </row>
    <row r="39" spans="1:9" ht="12.75" customHeight="1" x14ac:dyDescent="0.35">
      <c r="A39" s="745" t="s">
        <v>670</v>
      </c>
      <c r="B39" s="143"/>
      <c r="C39" s="67">
        <v>200</v>
      </c>
      <c r="D39" s="777">
        <v>124734</v>
      </c>
      <c r="E39" s="590">
        <v>-124734</v>
      </c>
      <c r="F39" s="590"/>
      <c r="G39" s="590"/>
      <c r="H39" s="590"/>
      <c r="I39" s="143"/>
    </row>
    <row r="40" spans="1:9" ht="12.75" customHeight="1" x14ac:dyDescent="0.35">
      <c r="A40" s="752" t="s">
        <v>667</v>
      </c>
      <c r="B40" s="58"/>
      <c r="C40" s="71">
        <v>200</v>
      </c>
      <c r="D40" s="777">
        <v>20000</v>
      </c>
      <c r="E40" s="571"/>
      <c r="F40" s="571"/>
      <c r="G40" s="571"/>
      <c r="H40" s="571"/>
      <c r="I40" s="58"/>
    </row>
    <row r="41" spans="1:9" ht="12.75" customHeight="1" x14ac:dyDescent="0.35">
      <c r="A41" s="745" t="s">
        <v>668</v>
      </c>
      <c r="B41" s="143"/>
      <c r="C41" s="67">
        <v>200</v>
      </c>
      <c r="D41" s="777">
        <v>19000</v>
      </c>
      <c r="E41" s="590"/>
      <c r="F41" s="590"/>
      <c r="G41" s="590"/>
      <c r="H41" s="590"/>
      <c r="I41" s="143"/>
    </row>
    <row r="42" spans="1:9" ht="12.75" customHeight="1" x14ac:dyDescent="0.35">
      <c r="A42" s="752" t="s">
        <v>669</v>
      </c>
      <c r="B42" s="58"/>
      <c r="C42" s="71">
        <v>200</v>
      </c>
      <c r="D42" s="777">
        <v>10400</v>
      </c>
      <c r="E42" s="571"/>
      <c r="F42" s="571"/>
      <c r="G42" s="571"/>
      <c r="H42" s="571"/>
      <c r="I42" s="58"/>
    </row>
    <row r="43" spans="1:9" ht="12.75" customHeight="1" x14ac:dyDescent="0.35">
      <c r="A43" s="692" t="s">
        <v>715</v>
      </c>
      <c r="B43" s="143"/>
      <c r="C43" s="67"/>
      <c r="D43" s="777"/>
      <c r="E43" s="590"/>
      <c r="F43" s="590"/>
      <c r="G43" s="590"/>
      <c r="H43" s="590"/>
      <c r="I43" s="143"/>
    </row>
    <row r="44" spans="1:9" ht="12.75" customHeight="1" x14ac:dyDescent="0.35">
      <c r="A44" s="752" t="s">
        <v>814</v>
      </c>
      <c r="B44" s="58"/>
      <c r="C44" s="71">
        <v>200</v>
      </c>
      <c r="D44" s="777"/>
      <c r="E44" s="571">
        <v>800000</v>
      </c>
      <c r="F44" s="571"/>
      <c r="G44" s="571"/>
      <c r="H44" s="571"/>
      <c r="I44" s="58"/>
    </row>
    <row r="45" spans="1:9" ht="12.75" customHeight="1" x14ac:dyDescent="0.35">
      <c r="A45" s="745" t="s">
        <v>815</v>
      </c>
      <c r="B45" s="143"/>
      <c r="C45" s="67">
        <v>100</v>
      </c>
      <c r="D45" s="777"/>
      <c r="E45" s="590">
        <v>950000</v>
      </c>
      <c r="F45" s="590"/>
      <c r="G45" s="590"/>
      <c r="H45" s="590"/>
      <c r="I45" s="143"/>
    </row>
    <row r="46" spans="1:9" ht="12.75" customHeight="1" x14ac:dyDescent="0.35">
      <c r="A46" s="752" t="s">
        <v>816</v>
      </c>
      <c r="B46" s="58"/>
      <c r="C46" s="71">
        <v>100</v>
      </c>
      <c r="D46" s="777"/>
      <c r="E46" s="571">
        <v>2750000</v>
      </c>
      <c r="F46" s="571"/>
      <c r="G46" s="571"/>
      <c r="H46" s="571"/>
      <c r="I46" s="58"/>
    </row>
    <row r="47" spans="1:9" ht="12.75" customHeight="1" x14ac:dyDescent="0.35">
      <c r="A47" s="692"/>
      <c r="B47" s="143"/>
      <c r="C47" s="803" t="s">
        <v>167</v>
      </c>
      <c r="D47" s="777"/>
      <c r="E47" s="590">
        <v>330000</v>
      </c>
      <c r="F47" s="590">
        <v>-25000</v>
      </c>
      <c r="G47" s="590"/>
      <c r="H47" s="590"/>
      <c r="I47" s="143"/>
    </row>
    <row r="48" spans="1:9" ht="12.75" customHeight="1" x14ac:dyDescent="0.35">
      <c r="A48" s="752" t="s">
        <v>818</v>
      </c>
      <c r="B48" s="58"/>
      <c r="C48" s="71">
        <v>100</v>
      </c>
      <c r="D48" s="777"/>
      <c r="E48" s="571">
        <v>753029</v>
      </c>
      <c r="F48" s="571">
        <f>757079-E48</f>
        <v>4050</v>
      </c>
      <c r="G48" s="571">
        <f>800619-F48-E48</f>
        <v>43540</v>
      </c>
      <c r="H48" s="571">
        <f>844019-G48-F48-E48</f>
        <v>43400</v>
      </c>
      <c r="I48" s="571">
        <f>887419-H48-G48-F48-E48</f>
        <v>43400</v>
      </c>
    </row>
    <row r="49" spans="1:9" ht="12.75" customHeight="1" x14ac:dyDescent="0.35">
      <c r="A49" s="745" t="s">
        <v>819</v>
      </c>
      <c r="B49" s="143"/>
      <c r="C49" s="67">
        <v>100</v>
      </c>
      <c r="D49" s="777"/>
      <c r="E49" s="590">
        <v>355000</v>
      </c>
      <c r="F49" s="590"/>
      <c r="G49" s="590"/>
      <c r="H49" s="590"/>
      <c r="I49" s="143"/>
    </row>
    <row r="50" spans="1:9" ht="12.75" customHeight="1" x14ac:dyDescent="0.35">
      <c r="A50" s="752" t="s">
        <v>817</v>
      </c>
      <c r="B50" s="58"/>
      <c r="C50" s="71">
        <v>100</v>
      </c>
      <c r="D50" s="777"/>
      <c r="E50" s="571">
        <v>400000</v>
      </c>
      <c r="F50" s="571"/>
      <c r="G50" s="571"/>
      <c r="H50" s="571"/>
      <c r="I50" s="571"/>
    </row>
    <row r="51" spans="1:9" ht="12.75" customHeight="1" x14ac:dyDescent="0.35">
      <c r="A51" s="745"/>
      <c r="B51" s="143"/>
      <c r="C51" s="67">
        <v>200</v>
      </c>
      <c r="D51" s="777"/>
      <c r="E51" s="590">
        <v>400000</v>
      </c>
      <c r="F51" s="590"/>
      <c r="G51" s="590"/>
      <c r="H51" s="590"/>
      <c r="I51" s="143"/>
    </row>
    <row r="52" spans="1:9" ht="12.75" customHeight="1" x14ac:dyDescent="0.35">
      <c r="A52" s="752"/>
      <c r="B52" s="58"/>
      <c r="C52" s="747" t="s">
        <v>167</v>
      </c>
      <c r="D52" s="777"/>
      <c r="E52" s="571">
        <v>200000</v>
      </c>
      <c r="F52" s="571"/>
      <c r="G52" s="571"/>
      <c r="H52" s="571"/>
      <c r="I52" s="571"/>
    </row>
    <row r="53" spans="1:9" x14ac:dyDescent="0.35">
      <c r="A53" s="745" t="s">
        <v>820</v>
      </c>
      <c r="B53" s="143"/>
      <c r="C53" s="803">
        <v>100</v>
      </c>
      <c r="D53" s="777"/>
      <c r="E53" s="590">
        <v>-204183</v>
      </c>
      <c r="F53" s="590">
        <f>-210309-E53</f>
        <v>-6126</v>
      </c>
      <c r="G53" s="590">
        <f>-216618-F53-E53</f>
        <v>-6309</v>
      </c>
      <c r="H53" s="590">
        <f>-223116-G53-F53-E53</f>
        <v>-6498</v>
      </c>
      <c r="I53" s="590">
        <f>-229810-H53-G53-F53-E53</f>
        <v>-6694</v>
      </c>
    </row>
    <row r="54" spans="1:9" x14ac:dyDescent="0.35">
      <c r="A54" s="752" t="s">
        <v>861</v>
      </c>
      <c r="B54" s="58"/>
      <c r="C54" s="71">
        <v>100</v>
      </c>
      <c r="D54" s="777"/>
      <c r="E54" s="571"/>
      <c r="F54" s="571"/>
      <c r="G54" s="571">
        <v>-7709935</v>
      </c>
      <c r="H54" s="571"/>
      <c r="I54" s="571"/>
    </row>
    <row r="55" spans="1:9" x14ac:dyDescent="0.35">
      <c r="A55" s="745"/>
      <c r="B55" s="143"/>
      <c r="C55" s="67">
        <v>200</v>
      </c>
      <c r="D55" s="777"/>
      <c r="E55" s="590"/>
      <c r="F55" s="590"/>
      <c r="G55" s="590">
        <v>-2225348</v>
      </c>
      <c r="H55" s="590"/>
      <c r="I55" s="590"/>
    </row>
    <row r="56" spans="1:9" x14ac:dyDescent="0.35">
      <c r="A56" s="752"/>
      <c r="B56" s="58"/>
      <c r="C56" s="71" t="s">
        <v>167</v>
      </c>
      <c r="D56" s="777"/>
      <c r="E56" s="571"/>
      <c r="F56" s="571"/>
      <c r="G56" s="571">
        <v>-573405</v>
      </c>
      <c r="H56" s="571"/>
      <c r="I56" s="571"/>
    </row>
    <row r="57" spans="1:9" x14ac:dyDescent="0.35">
      <c r="A57" s="745"/>
      <c r="B57" s="143"/>
      <c r="C57" s="67" t="s">
        <v>167</v>
      </c>
      <c r="D57" s="777"/>
      <c r="E57" s="590"/>
      <c r="F57" s="590"/>
      <c r="G57" s="590">
        <v>-145000</v>
      </c>
      <c r="H57" s="590"/>
      <c r="I57" s="590"/>
    </row>
    <row r="58" spans="1:9" x14ac:dyDescent="0.35">
      <c r="A58" s="752"/>
      <c r="B58" s="58"/>
      <c r="C58" s="71">
        <v>500</v>
      </c>
      <c r="D58" s="777"/>
      <c r="E58" s="571"/>
      <c r="F58" s="571"/>
      <c r="G58" s="571">
        <v>-1011000</v>
      </c>
      <c r="H58" s="571"/>
      <c r="I58" s="571"/>
    </row>
    <row r="59" spans="1:9" x14ac:dyDescent="0.35">
      <c r="A59" s="745"/>
      <c r="B59" s="143"/>
      <c r="C59" s="67"/>
      <c r="D59" s="777"/>
      <c r="E59" s="590"/>
      <c r="F59" s="590"/>
      <c r="G59" s="590"/>
      <c r="H59" s="590"/>
      <c r="I59" s="590"/>
    </row>
    <row r="60" spans="1:9" x14ac:dyDescent="0.35">
      <c r="A60" s="752"/>
      <c r="B60" s="58"/>
      <c r="C60" s="71"/>
      <c r="D60" s="777"/>
      <c r="E60" s="571"/>
      <c r="F60" s="571"/>
      <c r="G60" s="571"/>
      <c r="H60" s="571"/>
      <c r="I60" s="571"/>
    </row>
  </sheetData>
  <mergeCells count="6">
    <mergeCell ref="A1:I1"/>
    <mergeCell ref="A2:I2"/>
    <mergeCell ref="A3:I3"/>
    <mergeCell ref="A4:I4"/>
    <mergeCell ref="C6:I6"/>
    <mergeCell ref="C5:I5"/>
  </mergeCells>
  <conditionalFormatting sqref="D44 D46 D48 D38 D40 D42">
    <cfRule type="expression" dxfId="125" priority="14">
      <formula>MOD(ROW(),2)=1</formula>
    </cfRule>
  </conditionalFormatting>
  <conditionalFormatting sqref="D43 D45 D47 D49 D37 D39 D41">
    <cfRule type="expression" dxfId="124" priority="13">
      <formula>MOD(ROW(),2)=1</formula>
    </cfRule>
  </conditionalFormatting>
  <conditionalFormatting sqref="D50 D52 D54">
    <cfRule type="expression" dxfId="123" priority="10">
      <formula>MOD(ROW(),2)=1</formula>
    </cfRule>
  </conditionalFormatting>
  <conditionalFormatting sqref="D51 D53 D55">
    <cfRule type="expression" dxfId="122" priority="9">
      <formula>MOD(ROW(),2)=1</formula>
    </cfRule>
  </conditionalFormatting>
  <conditionalFormatting sqref="D26 D28 D30 D32">
    <cfRule type="expression" dxfId="121" priority="8">
      <formula>MOD(ROW(),2)=1</formula>
    </cfRule>
  </conditionalFormatting>
  <conditionalFormatting sqref="D25 D27 D29 D31 D33">
    <cfRule type="expression" dxfId="120" priority="7">
      <formula>MOD(ROW(),2)=1</formula>
    </cfRule>
  </conditionalFormatting>
  <conditionalFormatting sqref="D38 D32 D34 D36">
    <cfRule type="expression" dxfId="119" priority="6">
      <formula>MOD(ROW(),2)=1</formula>
    </cfRule>
  </conditionalFormatting>
  <conditionalFormatting sqref="D37 D33 D35">
    <cfRule type="expression" dxfId="118" priority="5">
      <formula>MOD(ROW(),2)=1</formula>
    </cfRule>
  </conditionalFormatting>
  <conditionalFormatting sqref="D23">
    <cfRule type="expression" dxfId="117" priority="4">
      <formula>MOD(ROW(),2)=1</formula>
    </cfRule>
  </conditionalFormatting>
  <conditionalFormatting sqref="D56 D58 D60">
    <cfRule type="expression" dxfId="116" priority="3">
      <formula>MOD(ROW(),2)=1</formula>
    </cfRule>
  </conditionalFormatting>
  <conditionalFormatting sqref="D57 D59">
    <cfRule type="expression" dxfId="115" priority="2">
      <formula>MOD(ROW(),2)=1</formula>
    </cfRule>
  </conditionalFormatting>
  <conditionalFormatting sqref="C9:I15">
    <cfRule type="cellIs" dxfId="11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4">
    <tabColor rgb="FF92D050"/>
  </sheetPr>
  <dimension ref="A1:K65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72</v>
      </c>
      <c r="C6" s="880" t="s">
        <v>324</v>
      </c>
      <c r="D6" s="880"/>
      <c r="E6" s="880"/>
      <c r="F6" s="880"/>
      <c r="G6" s="880"/>
      <c r="H6" s="880"/>
      <c r="I6" s="880"/>
    </row>
    <row r="7" spans="1:11" ht="15" thickBot="1" x14ac:dyDescent="0.4">
      <c r="C7" s="884" t="s">
        <v>325</v>
      </c>
      <c r="D7" s="884"/>
      <c r="E7" s="884"/>
      <c r="F7" s="884"/>
      <c r="G7" s="884"/>
      <c r="H7" s="884"/>
      <c r="I7" s="884"/>
    </row>
    <row r="8" spans="1:11" s="8" customFormat="1" ht="30" customHeight="1" x14ac:dyDescent="0.35">
      <c r="A8" s="1" t="s">
        <v>3</v>
      </c>
      <c r="B8" s="2" t="s">
        <v>630</v>
      </c>
      <c r="C8" s="340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219">
        <v>4778297</v>
      </c>
      <c r="C9" s="341">
        <v>4834959</v>
      </c>
      <c r="D9" s="219">
        <f t="shared" ref="D9:D15" si="0">+C9+SUMIF($C$20:$C$58,K9,$D$20:$D$58)</f>
        <v>4834959</v>
      </c>
      <c r="E9" s="114">
        <f t="shared" ref="E9:E15" si="1">+D9+SUMIF($C$20:$C$58,K9,$E$20:$E$58)</f>
        <v>4873604</v>
      </c>
      <c r="F9" s="396">
        <f t="shared" ref="F9:F15" si="2">+E9+SUMIF($C$20:$C$58,K9,$F$20:$F$58)</f>
        <v>4873604</v>
      </c>
      <c r="G9" s="33">
        <f t="shared" ref="G9:G15" si="3">+F9+SUMIF($C$20:$C$58,K9,$G$20:$G$58)</f>
        <v>4873604</v>
      </c>
      <c r="H9" s="219">
        <f t="shared" ref="H9:H15" si="4">+G9+SUMIF($C$20:$C$58,K9,$H$20:$H$58)</f>
        <v>4873604</v>
      </c>
      <c r="I9" s="50">
        <f t="shared" ref="I9:I15" si="5">+H9+SUMIF($C$20:$C$58,K9,$I$20:$I$58)</f>
        <v>4873604</v>
      </c>
      <c r="K9" s="7">
        <v>100</v>
      </c>
    </row>
    <row r="10" spans="1:11" x14ac:dyDescent="0.35">
      <c r="A10" s="10" t="s">
        <v>5</v>
      </c>
      <c r="B10" s="247">
        <v>7028904</v>
      </c>
      <c r="C10" s="342">
        <v>3619463</v>
      </c>
      <c r="D10" s="222">
        <f t="shared" si="0"/>
        <v>10139463</v>
      </c>
      <c r="E10" s="506">
        <f t="shared" si="1"/>
        <v>3619463</v>
      </c>
      <c r="F10" s="504">
        <f t="shared" si="2"/>
        <v>3589463</v>
      </c>
      <c r="G10" s="35">
        <f t="shared" si="3"/>
        <v>3589463</v>
      </c>
      <c r="H10" s="222">
        <f t="shared" si="4"/>
        <v>3589463</v>
      </c>
      <c r="I10" s="36">
        <f t="shared" si="5"/>
        <v>3589463</v>
      </c>
      <c r="K10" s="7">
        <v>200</v>
      </c>
    </row>
    <row r="11" spans="1:11" x14ac:dyDescent="0.35">
      <c r="A11" s="9" t="s">
        <v>6</v>
      </c>
      <c r="B11" s="219">
        <f>27708+67500</f>
        <v>95208</v>
      </c>
      <c r="C11" s="341">
        <v>80761</v>
      </c>
      <c r="D11" s="219">
        <f t="shared" si="0"/>
        <v>80761</v>
      </c>
      <c r="E11" s="114">
        <f t="shared" si="1"/>
        <v>80761</v>
      </c>
      <c r="F11" s="396">
        <f t="shared" si="2"/>
        <v>80761</v>
      </c>
      <c r="G11" s="33">
        <f t="shared" si="3"/>
        <v>80761</v>
      </c>
      <c r="H11" s="219">
        <f t="shared" si="4"/>
        <v>80761</v>
      </c>
      <c r="I11" s="34">
        <f t="shared" si="5"/>
        <v>80761</v>
      </c>
      <c r="K11" s="7" t="s">
        <v>167</v>
      </c>
    </row>
    <row r="12" spans="1:11" x14ac:dyDescent="0.35">
      <c r="A12" s="10" t="s">
        <v>7</v>
      </c>
      <c r="B12" s="222">
        <v>6350000</v>
      </c>
      <c r="C12" s="343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219">
        <v>0</v>
      </c>
      <c r="C13" s="341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222">
        <v>0</v>
      </c>
      <c r="C14" s="343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223">
        <v>0</v>
      </c>
      <c r="C15" s="344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49">
        <f>SUM(B9:B15)</f>
        <v>18252409</v>
      </c>
      <c r="C16" s="327">
        <f t="shared" ref="C16:I16" si="6">SUM(C9:C15)</f>
        <v>8535183</v>
      </c>
      <c r="D16" s="39">
        <f t="shared" si="6"/>
        <v>15055183</v>
      </c>
      <c r="E16" s="529">
        <f t="shared" si="6"/>
        <v>8573828</v>
      </c>
      <c r="F16" s="39">
        <f t="shared" si="6"/>
        <v>8543828</v>
      </c>
      <c r="G16" s="39">
        <f t="shared" si="6"/>
        <v>8543828</v>
      </c>
      <c r="H16" s="39">
        <f t="shared" si="6"/>
        <v>8543828</v>
      </c>
      <c r="I16" s="39">
        <f t="shared" si="6"/>
        <v>8543828</v>
      </c>
    </row>
    <row r="17" spans="1:11" x14ac:dyDescent="0.35">
      <c r="A17" s="350"/>
      <c r="B17" s="346"/>
      <c r="C17" s="345"/>
      <c r="D17" s="345"/>
      <c r="E17" s="345"/>
    </row>
    <row r="18" spans="1:11" x14ac:dyDescent="0.35">
      <c r="B18" s="347"/>
      <c r="C18" s="345"/>
      <c r="D18" s="345"/>
      <c r="E18" s="401">
        <f>+E16-D16</f>
        <v>-6481355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2.6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1" ht="12.65" customHeight="1" x14ac:dyDescent="0.35">
      <c r="A21" s="595" t="s">
        <v>428</v>
      </c>
      <c r="B21" s="84"/>
      <c r="C21" s="74"/>
      <c r="D21" s="69"/>
      <c r="E21" s="69"/>
      <c r="F21" s="69"/>
      <c r="G21" s="68"/>
      <c r="H21" s="69"/>
      <c r="I21" s="69"/>
      <c r="J21" s="17"/>
    </row>
    <row r="22" spans="1:11" s="58" customFormat="1" ht="12.65" customHeight="1" x14ac:dyDescent="0.35">
      <c r="A22" s="778" t="s">
        <v>448</v>
      </c>
      <c r="B22" s="78"/>
      <c r="C22" s="88">
        <v>200</v>
      </c>
      <c r="D22" s="777"/>
      <c r="E22" s="777">
        <v>-30000</v>
      </c>
      <c r="F22" s="73"/>
      <c r="G22" s="94"/>
      <c r="H22" s="94"/>
      <c r="I22" s="94"/>
      <c r="J22" s="81"/>
      <c r="K22" s="7"/>
    </row>
    <row r="23" spans="1:11" ht="12.65" customHeight="1" x14ac:dyDescent="0.35">
      <c r="A23" s="779" t="s">
        <v>487</v>
      </c>
      <c r="B23" s="143"/>
      <c r="C23" s="751"/>
      <c r="D23" s="777"/>
      <c r="E23" s="777"/>
      <c r="F23" s="69"/>
      <c r="G23" s="68"/>
      <c r="H23" s="69"/>
      <c r="I23" s="69"/>
      <c r="J23" s="17"/>
    </row>
    <row r="24" spans="1:11" ht="12.65" customHeight="1" x14ac:dyDescent="0.35">
      <c r="A24" s="778" t="s">
        <v>578</v>
      </c>
      <c r="B24" s="78"/>
      <c r="C24" s="88">
        <v>100</v>
      </c>
      <c r="D24" s="777"/>
      <c r="E24" s="777"/>
      <c r="F24" s="73">
        <v>473130</v>
      </c>
      <c r="G24" s="73"/>
      <c r="H24" s="73"/>
      <c r="I24" s="73"/>
      <c r="J24" s="17"/>
    </row>
    <row r="25" spans="1:11" ht="12.65" customHeight="1" x14ac:dyDescent="0.35">
      <c r="A25" s="778" t="s">
        <v>528</v>
      </c>
      <c r="B25" s="143"/>
      <c r="C25" s="751">
        <v>200</v>
      </c>
      <c r="D25" s="777"/>
      <c r="E25" s="777"/>
      <c r="F25" s="69">
        <v>497650</v>
      </c>
      <c r="G25" s="68"/>
      <c r="H25" s="69"/>
      <c r="I25" s="69"/>
      <c r="J25" s="17"/>
    </row>
    <row r="26" spans="1:11" ht="12.65" customHeight="1" x14ac:dyDescent="0.35">
      <c r="A26" s="778" t="s">
        <v>540</v>
      </c>
      <c r="B26" s="78"/>
      <c r="C26" s="88" t="s">
        <v>167</v>
      </c>
      <c r="D26" s="777"/>
      <c r="E26" s="777"/>
      <c r="F26" s="73">
        <v>700</v>
      </c>
      <c r="G26" s="73"/>
      <c r="H26" s="94"/>
      <c r="I26" s="94"/>
      <c r="J26" s="17"/>
    </row>
    <row r="27" spans="1:11" ht="12.65" customHeight="1" x14ac:dyDescent="0.35">
      <c r="A27" s="778" t="s">
        <v>541</v>
      </c>
      <c r="B27" s="143"/>
      <c r="C27" s="751">
        <v>500</v>
      </c>
      <c r="D27" s="777"/>
      <c r="E27" s="777"/>
      <c r="F27" s="69">
        <v>7119188</v>
      </c>
      <c r="G27" s="68"/>
      <c r="H27" s="69"/>
      <c r="I27" s="69"/>
      <c r="J27" s="17"/>
    </row>
    <row r="28" spans="1:11" ht="12.65" customHeight="1" x14ac:dyDescent="0.35">
      <c r="A28" s="179" t="s">
        <v>592</v>
      </c>
      <c r="B28" s="78"/>
      <c r="C28" s="75">
        <v>100</v>
      </c>
      <c r="D28" s="73"/>
      <c r="E28" s="73">
        <v>38645</v>
      </c>
      <c r="F28" s="73"/>
      <c r="G28" s="73"/>
      <c r="H28" s="94"/>
      <c r="I28" s="94"/>
      <c r="J28" s="17"/>
    </row>
    <row r="29" spans="1:11" ht="12.65" customHeight="1" x14ac:dyDescent="0.35">
      <c r="A29" s="779" t="s">
        <v>596</v>
      </c>
      <c r="B29" s="143"/>
      <c r="C29" s="751"/>
      <c r="D29" s="777"/>
      <c r="E29" s="777"/>
      <c r="F29" s="69"/>
      <c r="G29" s="68"/>
      <c r="H29" s="69"/>
      <c r="I29" s="69"/>
      <c r="J29" s="17"/>
    </row>
    <row r="30" spans="1:11" ht="12.65" customHeight="1" x14ac:dyDescent="0.35">
      <c r="A30" s="179" t="s">
        <v>615</v>
      </c>
      <c r="B30" s="78"/>
      <c r="C30" s="75">
        <v>100</v>
      </c>
      <c r="D30" s="73"/>
      <c r="E30" s="73"/>
      <c r="F30" s="73">
        <v>-473130</v>
      </c>
      <c r="G30" s="73">
        <v>473130</v>
      </c>
      <c r="H30" s="73"/>
      <c r="I30" s="73"/>
      <c r="J30" s="17"/>
    </row>
    <row r="31" spans="1:11" ht="12.65" customHeight="1" x14ac:dyDescent="0.35">
      <c r="A31" s="778"/>
      <c r="B31" s="143"/>
      <c r="C31" s="751">
        <v>200</v>
      </c>
      <c r="D31" s="777"/>
      <c r="E31" s="777"/>
      <c r="F31" s="69">
        <v>-497650</v>
      </c>
      <c r="G31" s="68">
        <v>497650</v>
      </c>
      <c r="H31" s="69"/>
      <c r="I31" s="69"/>
      <c r="J31" s="17"/>
    </row>
    <row r="32" spans="1:11" ht="12.65" customHeight="1" x14ac:dyDescent="0.35">
      <c r="A32" s="179"/>
      <c r="B32" s="78"/>
      <c r="C32" s="75" t="s">
        <v>167</v>
      </c>
      <c r="D32" s="73"/>
      <c r="E32" s="73"/>
      <c r="F32" s="73">
        <v>-700</v>
      </c>
      <c r="G32" s="73">
        <v>700</v>
      </c>
      <c r="H32" s="73"/>
      <c r="I32" s="73"/>
      <c r="J32" s="17"/>
    </row>
    <row r="33" spans="1:10" ht="12.65" customHeight="1" x14ac:dyDescent="0.35">
      <c r="A33" s="778"/>
      <c r="B33" s="143"/>
      <c r="C33" s="751">
        <v>500</v>
      </c>
      <c r="D33" s="777"/>
      <c r="E33" s="777"/>
      <c r="F33" s="69">
        <v>-7119188</v>
      </c>
      <c r="G33" s="68">
        <v>7119188</v>
      </c>
      <c r="H33" s="69"/>
      <c r="I33" s="69"/>
      <c r="J33" s="17"/>
    </row>
    <row r="34" spans="1:10" ht="12.65" customHeight="1" x14ac:dyDescent="0.35">
      <c r="A34" s="613" t="s">
        <v>648</v>
      </c>
      <c r="B34" s="58"/>
      <c r="C34" s="81"/>
      <c r="D34" s="72"/>
      <c r="E34" s="72"/>
      <c r="F34" s="72"/>
      <c r="G34" s="72"/>
      <c r="H34" s="73"/>
      <c r="I34" s="73"/>
      <c r="J34" s="17"/>
    </row>
    <row r="35" spans="1:10" ht="12.75" customHeight="1" x14ac:dyDescent="0.35">
      <c r="A35" s="778" t="s">
        <v>689</v>
      </c>
      <c r="B35" s="143"/>
      <c r="C35" s="751">
        <v>200</v>
      </c>
      <c r="D35" s="777">
        <v>2520000</v>
      </c>
      <c r="E35" s="777">
        <v>-2520000</v>
      </c>
      <c r="F35" s="69"/>
      <c r="G35" s="68"/>
      <c r="H35" s="69"/>
      <c r="I35" s="69"/>
      <c r="J35" s="17"/>
    </row>
    <row r="36" spans="1:10" ht="12.75" customHeight="1" x14ac:dyDescent="0.35">
      <c r="A36" s="778" t="s">
        <v>694</v>
      </c>
      <c r="B36" s="78"/>
      <c r="C36" s="88">
        <v>200</v>
      </c>
      <c r="D36" s="777">
        <v>3000000</v>
      </c>
      <c r="E36" s="777">
        <v>-3000000</v>
      </c>
      <c r="F36" s="73"/>
      <c r="G36" s="73"/>
      <c r="H36" s="73"/>
      <c r="I36" s="73"/>
      <c r="J36" s="17"/>
    </row>
    <row r="37" spans="1:10" ht="12.75" customHeight="1" x14ac:dyDescent="0.35">
      <c r="A37" s="778" t="s">
        <v>735</v>
      </c>
      <c r="B37" s="143"/>
      <c r="C37" s="751">
        <v>200</v>
      </c>
      <c r="D37" s="777">
        <v>500000</v>
      </c>
      <c r="E37" s="777">
        <v>-500000</v>
      </c>
      <c r="F37" s="69"/>
      <c r="G37" s="68"/>
      <c r="H37" s="69"/>
      <c r="I37" s="69"/>
      <c r="J37" s="17"/>
    </row>
    <row r="38" spans="1:10" ht="12.75" customHeight="1" x14ac:dyDescent="0.35">
      <c r="A38" s="778" t="s">
        <v>737</v>
      </c>
      <c r="B38" s="78"/>
      <c r="C38" s="88">
        <v>200</v>
      </c>
      <c r="D38" s="777">
        <v>500000</v>
      </c>
      <c r="E38" s="777">
        <v>-500000</v>
      </c>
      <c r="F38" s="73"/>
      <c r="G38" s="73"/>
      <c r="H38" s="73"/>
      <c r="I38" s="73"/>
      <c r="J38" s="475"/>
    </row>
    <row r="39" spans="1:10" ht="12.75" customHeight="1" x14ac:dyDescent="0.35">
      <c r="A39" s="779" t="s">
        <v>748</v>
      </c>
      <c r="B39" s="143"/>
      <c r="C39" s="751"/>
      <c r="D39" s="777"/>
      <c r="E39" s="777"/>
      <c r="F39" s="69"/>
      <c r="G39" s="68"/>
      <c r="H39" s="69"/>
      <c r="I39" s="69"/>
      <c r="J39" s="17"/>
    </row>
    <row r="40" spans="1:10" ht="12.75" customHeight="1" x14ac:dyDescent="0.35">
      <c r="A40" s="778" t="s">
        <v>822</v>
      </c>
      <c r="B40" s="78"/>
      <c r="C40" s="88">
        <v>200</v>
      </c>
      <c r="D40" s="777"/>
      <c r="E40" s="777">
        <v>30000</v>
      </c>
      <c r="F40" s="73">
        <v>-30000</v>
      </c>
      <c r="G40" s="73"/>
      <c r="H40" s="73"/>
      <c r="I40" s="73"/>
      <c r="J40" s="17"/>
    </row>
    <row r="41" spans="1:10" ht="12.75" customHeight="1" x14ac:dyDescent="0.35">
      <c r="A41" s="778" t="s">
        <v>858</v>
      </c>
      <c r="B41" s="143"/>
      <c r="C41" s="751">
        <v>100</v>
      </c>
      <c r="D41" s="777"/>
      <c r="E41" s="777"/>
      <c r="F41" s="69"/>
      <c r="G41" s="68">
        <v>-473130</v>
      </c>
      <c r="H41" s="69"/>
      <c r="I41" s="69"/>
      <c r="J41" s="17"/>
    </row>
    <row r="42" spans="1:10" ht="12.75" customHeight="1" x14ac:dyDescent="0.35">
      <c r="A42" s="778"/>
      <c r="B42" s="78"/>
      <c r="C42" s="88">
        <v>200</v>
      </c>
      <c r="D42" s="777"/>
      <c r="E42" s="777"/>
      <c r="F42" s="73"/>
      <c r="G42" s="73">
        <v>-497650</v>
      </c>
      <c r="H42" s="73"/>
      <c r="I42" s="73"/>
      <c r="J42" s="17"/>
    </row>
    <row r="43" spans="1:10" ht="12.75" customHeight="1" x14ac:dyDescent="0.35">
      <c r="A43" s="778"/>
      <c r="B43" s="143"/>
      <c r="C43" s="751" t="s">
        <v>167</v>
      </c>
      <c r="D43" s="777"/>
      <c r="E43" s="777"/>
      <c r="F43" s="69"/>
      <c r="G43" s="68">
        <v>-700</v>
      </c>
      <c r="H43" s="69"/>
      <c r="I43" s="69"/>
      <c r="J43" s="17"/>
    </row>
    <row r="44" spans="1:10" ht="12.75" customHeight="1" x14ac:dyDescent="0.35">
      <c r="A44" s="778"/>
      <c r="B44" s="78"/>
      <c r="C44" s="88">
        <v>500</v>
      </c>
      <c r="D44" s="777"/>
      <c r="E44" s="777"/>
      <c r="F44" s="73"/>
      <c r="G44" s="73">
        <v>-7119188</v>
      </c>
      <c r="H44" s="73"/>
      <c r="I44" s="73"/>
      <c r="J44" s="17"/>
    </row>
    <row r="45" spans="1:10" ht="12.75" customHeight="1" x14ac:dyDescent="0.35">
      <c r="A45" s="778"/>
      <c r="B45" s="143"/>
      <c r="C45" s="751"/>
      <c r="D45" s="777"/>
      <c r="E45" s="777"/>
      <c r="F45" s="69"/>
      <c r="G45" s="68"/>
      <c r="H45" s="69"/>
      <c r="I45" s="69"/>
      <c r="J45" s="17"/>
    </row>
    <row r="46" spans="1:10" ht="12.75" customHeight="1" x14ac:dyDescent="0.35">
      <c r="A46" s="179"/>
      <c r="B46" s="78"/>
      <c r="C46" s="75"/>
      <c r="D46" s="73"/>
      <c r="E46" s="73"/>
      <c r="F46" s="73"/>
      <c r="G46" s="73"/>
      <c r="H46" s="73"/>
      <c r="I46" s="73"/>
    </row>
    <row r="47" spans="1:10" ht="12.75" customHeight="1" x14ac:dyDescent="0.35">
      <c r="A47" s="779"/>
      <c r="B47" s="143"/>
      <c r="C47" s="751"/>
      <c r="D47" s="777"/>
      <c r="E47" s="777"/>
      <c r="F47" s="69"/>
      <c r="G47" s="68"/>
      <c r="H47" s="69"/>
      <c r="I47" s="69"/>
    </row>
    <row r="48" spans="1:10" ht="12.75" customHeight="1" x14ac:dyDescent="0.35">
      <c r="A48" s="179"/>
      <c r="B48" s="78"/>
      <c r="C48" s="75"/>
      <c r="D48" s="73"/>
      <c r="E48" s="73"/>
      <c r="F48" s="73"/>
      <c r="G48" s="73"/>
      <c r="H48" s="73"/>
      <c r="I48" s="73"/>
    </row>
    <row r="49" spans="1:9" ht="13.5" customHeight="1" x14ac:dyDescent="0.35">
      <c r="A49" s="778"/>
      <c r="B49" s="143"/>
      <c r="C49" s="751"/>
      <c r="D49" s="777"/>
      <c r="E49" s="777"/>
      <c r="F49" s="69"/>
      <c r="G49" s="68"/>
      <c r="H49" s="69"/>
      <c r="I49" s="69"/>
    </row>
    <row r="50" spans="1:9" ht="12.75" customHeight="1" x14ac:dyDescent="0.35">
      <c r="A50" s="179"/>
      <c r="B50" s="78"/>
      <c r="C50" s="75"/>
      <c r="D50" s="73"/>
      <c r="E50" s="73"/>
      <c r="F50" s="73"/>
      <c r="G50" s="73"/>
      <c r="H50" s="73"/>
      <c r="I50" s="73"/>
    </row>
    <row r="51" spans="1:9" ht="12.75" customHeight="1" x14ac:dyDescent="0.35">
      <c r="A51" s="778"/>
      <c r="B51" s="143"/>
      <c r="C51" s="751"/>
      <c r="D51" s="777"/>
      <c r="E51" s="777"/>
      <c r="F51" s="69"/>
      <c r="G51" s="68"/>
      <c r="H51" s="69"/>
      <c r="I51" s="69"/>
    </row>
    <row r="52" spans="1:9" ht="12.75" customHeight="1" x14ac:dyDescent="0.35">
      <c r="A52" s="613"/>
      <c r="B52" s="58"/>
      <c r="C52" s="81"/>
      <c r="D52" s="72"/>
      <c r="E52" s="72"/>
      <c r="F52" s="72"/>
      <c r="G52" s="72"/>
      <c r="H52" s="73"/>
      <c r="I52" s="73"/>
    </row>
    <row r="53" spans="1:9" ht="12.75" customHeight="1" x14ac:dyDescent="0.35">
      <c r="A53" s="617"/>
      <c r="B53" s="58"/>
      <c r="C53" s="71"/>
      <c r="D53" s="72"/>
      <c r="E53" s="72"/>
      <c r="F53" s="72"/>
      <c r="G53" s="72"/>
      <c r="H53" s="73"/>
      <c r="I53" s="73"/>
    </row>
    <row r="54" spans="1:9" ht="12.75" customHeight="1" x14ac:dyDescent="0.35">
      <c r="A54" s="58"/>
      <c r="B54" s="58"/>
      <c r="C54" s="58"/>
      <c r="D54" s="58"/>
      <c r="E54" s="58"/>
      <c r="F54" s="72"/>
      <c r="G54" s="72"/>
      <c r="H54" s="73"/>
      <c r="I54" s="73"/>
    </row>
    <row r="55" spans="1:9" ht="12.75" customHeight="1" x14ac:dyDescent="0.35">
      <c r="A55" s="58"/>
      <c r="B55" s="58"/>
      <c r="C55" s="58"/>
      <c r="D55" s="58"/>
      <c r="E55" s="58"/>
      <c r="F55" s="72"/>
      <c r="G55" s="72"/>
      <c r="H55" s="73"/>
      <c r="I55" s="73"/>
    </row>
    <row r="56" spans="1:9" ht="12.75" customHeight="1" x14ac:dyDescent="0.35">
      <c r="A56" s="81"/>
      <c r="B56" s="58"/>
      <c r="C56" s="81"/>
      <c r="D56" s="72"/>
      <c r="E56" s="72"/>
      <c r="F56" s="72"/>
      <c r="G56" s="72"/>
      <c r="H56" s="73"/>
      <c r="I56" s="73"/>
    </row>
    <row r="57" spans="1:9" ht="12.75" customHeight="1" x14ac:dyDescent="0.35">
      <c r="A57" s="81"/>
      <c r="B57" s="58"/>
      <c r="C57" s="71"/>
      <c r="D57" s="72"/>
      <c r="E57" s="72"/>
      <c r="F57" s="72"/>
      <c r="G57" s="72"/>
      <c r="H57" s="73"/>
      <c r="I57" s="73"/>
    </row>
    <row r="58" spans="1:9" ht="12.75" customHeight="1" x14ac:dyDescent="0.35">
      <c r="A58" s="81"/>
      <c r="B58" s="58"/>
      <c r="C58" s="318"/>
      <c r="D58" s="72"/>
      <c r="E58" s="58"/>
      <c r="F58" s="58"/>
      <c r="G58" s="58"/>
      <c r="H58" s="58"/>
      <c r="I58" s="58"/>
    </row>
    <row r="59" spans="1:9" ht="12.75" customHeight="1" x14ac:dyDescent="0.35">
      <c r="A59" s="58"/>
      <c r="B59" s="58"/>
      <c r="C59" s="58"/>
      <c r="D59" s="58"/>
      <c r="E59" s="58"/>
      <c r="F59" s="58"/>
      <c r="G59" s="58"/>
      <c r="H59" s="58"/>
      <c r="I59" s="58"/>
    </row>
    <row r="60" spans="1:9" ht="12.75" customHeight="1" x14ac:dyDescent="0.35">
      <c r="A60" s="81"/>
      <c r="B60" s="58"/>
      <c r="C60" s="81"/>
      <c r="D60" s="58"/>
      <c r="E60" s="58"/>
      <c r="F60" s="58"/>
      <c r="G60" s="58"/>
      <c r="H60" s="58"/>
      <c r="I60" s="58"/>
    </row>
    <row r="61" spans="1:9" x14ac:dyDescent="0.35">
      <c r="A61" s="58"/>
      <c r="B61" s="58"/>
      <c r="C61" s="81"/>
      <c r="D61" s="58"/>
      <c r="E61" s="58"/>
      <c r="F61" s="58"/>
      <c r="G61" s="58"/>
      <c r="H61" s="58"/>
      <c r="I61" s="58"/>
    </row>
    <row r="62" spans="1:9" x14ac:dyDescent="0.35">
      <c r="A62" s="81"/>
      <c r="B62" s="58"/>
      <c r="C62" s="81"/>
      <c r="D62" s="58"/>
      <c r="E62" s="72"/>
      <c r="F62" s="58"/>
      <c r="G62" s="58"/>
      <c r="H62" s="58"/>
      <c r="I62" s="58"/>
    </row>
    <row r="63" spans="1:9" x14ac:dyDescent="0.35">
      <c r="A63" s="58"/>
      <c r="B63" s="58"/>
      <c r="C63" s="58"/>
      <c r="D63" s="58"/>
      <c r="E63" s="58"/>
      <c r="F63" s="58"/>
      <c r="G63" s="58"/>
      <c r="H63" s="58"/>
      <c r="I63" s="58"/>
    </row>
    <row r="64" spans="1:9" x14ac:dyDescent="0.35">
      <c r="A64" s="58"/>
      <c r="B64" s="58"/>
      <c r="C64" s="58"/>
      <c r="D64" s="58"/>
      <c r="E64" s="58"/>
      <c r="F64" s="58"/>
      <c r="G64" s="58"/>
      <c r="H64" s="58"/>
      <c r="I64" s="58"/>
    </row>
    <row r="65" spans="1:9" x14ac:dyDescent="0.35">
      <c r="A65" s="58"/>
      <c r="B65" s="58"/>
      <c r="C65" s="58"/>
      <c r="D65" s="58"/>
      <c r="E65" s="58"/>
      <c r="F65" s="58"/>
      <c r="G65" s="58"/>
      <c r="H65" s="58"/>
      <c r="I65" s="58"/>
    </row>
  </sheetData>
  <mergeCells count="7">
    <mergeCell ref="C7:I7"/>
    <mergeCell ref="A1:I1"/>
    <mergeCell ref="A2:I2"/>
    <mergeCell ref="A3:I3"/>
    <mergeCell ref="A4:I4"/>
    <mergeCell ref="C6:I6"/>
    <mergeCell ref="C5:I5"/>
  </mergeCells>
  <conditionalFormatting sqref="A35:A45">
    <cfRule type="expression" dxfId="113" priority="15">
      <formula>MOD(ROW(),2)=1</formula>
    </cfRule>
  </conditionalFormatting>
  <conditionalFormatting sqref="D35:E45">
    <cfRule type="expression" dxfId="112" priority="14">
      <formula>MOD(ROW(),2)=1</formula>
    </cfRule>
  </conditionalFormatting>
  <conditionalFormatting sqref="A47 A49 A51">
    <cfRule type="expression" dxfId="111" priority="9">
      <formula>MOD(ROW(),2)=1</formula>
    </cfRule>
  </conditionalFormatting>
  <conditionalFormatting sqref="D47:E47 D49:E49 D51:E51">
    <cfRule type="expression" dxfId="110" priority="8">
      <formula>MOD(ROW(),2)=1</formula>
    </cfRule>
  </conditionalFormatting>
  <conditionalFormatting sqref="A22">
    <cfRule type="expression" dxfId="109" priority="7">
      <formula>MOD(ROW(),2)=1</formula>
    </cfRule>
  </conditionalFormatting>
  <conditionalFormatting sqref="D22:E22">
    <cfRule type="expression" dxfId="108" priority="6">
      <formula>MOD(ROW(),2)=1</formula>
    </cfRule>
  </conditionalFormatting>
  <conditionalFormatting sqref="A23:A27">
    <cfRule type="expression" dxfId="107" priority="5">
      <formula>MOD(ROW(),2)=1</formula>
    </cfRule>
  </conditionalFormatting>
  <conditionalFormatting sqref="D23:E27">
    <cfRule type="expression" dxfId="106" priority="4">
      <formula>MOD(ROW(),2)=1</formula>
    </cfRule>
  </conditionalFormatting>
  <conditionalFormatting sqref="A29 A31 A33">
    <cfRule type="expression" dxfId="105" priority="3">
      <formula>MOD(ROW(),2)=1</formula>
    </cfRule>
  </conditionalFormatting>
  <conditionalFormatting sqref="D29:E29 D31:E31 D33:E33">
    <cfRule type="expression" dxfId="104" priority="2">
      <formula>MOD(ROW(),2)=1</formula>
    </cfRule>
  </conditionalFormatting>
  <conditionalFormatting sqref="C9:I15">
    <cfRule type="cellIs" dxfId="103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K60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45</v>
      </c>
      <c r="C6" s="880" t="s">
        <v>165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922164</v>
      </c>
      <c r="C9" s="33">
        <v>915196</v>
      </c>
      <c r="D9" s="219">
        <f t="shared" ref="D9:D15" si="0">+C9+SUMIF($C$20:$C$51,K9,$D$20:$D$51)</f>
        <v>915196</v>
      </c>
      <c r="E9" s="114">
        <f>+D9+SUMIF($C$20:$C$51,K9,$E$20:$E$51)</f>
        <v>915196</v>
      </c>
      <c r="F9" s="396">
        <f>+E9+SUMIF($C$20:$C$51,K9,$F$20:$F$51)</f>
        <v>915196</v>
      </c>
      <c r="G9" s="33">
        <f>+F9+SUMIF($C$20:$C$51,K9,$G$20:$G$51)</f>
        <v>915196</v>
      </c>
      <c r="H9" s="219">
        <f>+G9+SUMIF($C$20:$C$51,K9,$H$20:$H$51)</f>
        <v>915196</v>
      </c>
      <c r="I9" s="50">
        <f>+H9+SUMIF($C$20:$C$51,K9,$I$20:$I$51)</f>
        <v>915196</v>
      </c>
      <c r="K9" s="7">
        <v>100</v>
      </c>
    </row>
    <row r="10" spans="1:11" x14ac:dyDescent="0.35">
      <c r="A10" s="10" t="s">
        <v>5</v>
      </c>
      <c r="B10" s="35">
        <v>42474</v>
      </c>
      <c r="C10" s="35">
        <v>52500</v>
      </c>
      <c r="D10" s="222">
        <f t="shared" si="0"/>
        <v>52500</v>
      </c>
      <c r="E10" s="506">
        <f t="shared" ref="E10:E15" si="1">+D10+SUMIF($C$20:$C$51,K10,$E$20:$E$51)</f>
        <v>52500</v>
      </c>
      <c r="F10" s="504">
        <f t="shared" ref="F10:F15" si="2">+E10+SUMIF($C$20:$C$51,K10,$F$20:$F$51)</f>
        <v>52500</v>
      </c>
      <c r="G10" s="35">
        <f t="shared" ref="G10:G15" si="3">+F10+SUMIF($C$20:$C$51,K10,$G$20:$G$51)</f>
        <v>52500</v>
      </c>
      <c r="H10" s="222">
        <f t="shared" ref="H10:H15" si="4">+G10+SUMIF($C$20:$C$51,K10,$H$20:$H$51)</f>
        <v>52500</v>
      </c>
      <c r="I10" s="36">
        <f t="shared" ref="I10:I15" si="5">+H10+SUMIF($C$20:$C$51,K10,$I$20:$I$51)</f>
        <v>52500</v>
      </c>
      <c r="K10" s="7">
        <v>200</v>
      </c>
    </row>
    <row r="11" spans="1:11" x14ac:dyDescent="0.35">
      <c r="A11" s="9" t="s">
        <v>6</v>
      </c>
      <c r="B11" s="33">
        <v>4112</v>
      </c>
      <c r="C11" s="33">
        <v>7500</v>
      </c>
      <c r="D11" s="219">
        <f t="shared" si="0"/>
        <v>7500</v>
      </c>
      <c r="E11" s="114">
        <f t="shared" si="1"/>
        <v>7500</v>
      </c>
      <c r="F11" s="396">
        <f t="shared" si="2"/>
        <v>7500</v>
      </c>
      <c r="G11" s="33">
        <f t="shared" si="3"/>
        <v>7500</v>
      </c>
      <c r="H11" s="219">
        <f t="shared" si="4"/>
        <v>7500</v>
      </c>
      <c r="I11" s="34">
        <f t="shared" si="5"/>
        <v>7500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968750</v>
      </c>
      <c r="C16" s="39">
        <f t="shared" ref="C16:I16" si="6">SUM(C9:C15)</f>
        <v>975196</v>
      </c>
      <c r="D16" s="39">
        <f t="shared" si="6"/>
        <v>975196</v>
      </c>
      <c r="E16" s="529">
        <f t="shared" si="6"/>
        <v>975196</v>
      </c>
      <c r="F16" s="39">
        <f t="shared" si="6"/>
        <v>975196</v>
      </c>
      <c r="G16" s="39">
        <f t="shared" si="6"/>
        <v>975196</v>
      </c>
      <c r="H16" s="39">
        <f t="shared" si="6"/>
        <v>975196</v>
      </c>
      <c r="I16" s="39">
        <f t="shared" si="6"/>
        <v>975196</v>
      </c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370</v>
      </c>
      <c r="B20" s="78"/>
      <c r="C20" s="75"/>
      <c r="D20" s="72"/>
      <c r="E20" s="72"/>
      <c r="F20" s="72"/>
      <c r="G20" s="72"/>
      <c r="H20" s="72"/>
      <c r="I20" s="73"/>
    </row>
    <row r="21" spans="1:10" ht="13" customHeight="1" x14ac:dyDescent="0.35">
      <c r="A21" s="180" t="s">
        <v>547</v>
      </c>
      <c r="B21" s="538"/>
      <c r="C21" s="570">
        <v>100</v>
      </c>
      <c r="D21" s="194"/>
      <c r="E21" s="68"/>
      <c r="F21" s="68"/>
      <c r="G21" s="69"/>
      <c r="H21" s="69"/>
      <c r="I21" s="69"/>
      <c r="J21" s="17"/>
    </row>
    <row r="22" spans="1:10" s="58" customFormat="1" ht="13" customHeight="1" x14ac:dyDescent="0.35">
      <c r="A22" s="328" t="s">
        <v>587</v>
      </c>
      <c r="B22" s="78"/>
      <c r="C22" s="75">
        <v>100</v>
      </c>
      <c r="D22" s="72"/>
      <c r="E22" s="72"/>
      <c r="F22" s="72"/>
      <c r="G22" s="72"/>
      <c r="H22" s="73"/>
      <c r="I22" s="73"/>
      <c r="J22" s="81"/>
    </row>
    <row r="23" spans="1:10" ht="13" customHeight="1" x14ac:dyDescent="0.35">
      <c r="A23" s="180" t="s">
        <v>588</v>
      </c>
      <c r="B23" s="538"/>
      <c r="C23" s="570">
        <v>100</v>
      </c>
      <c r="D23" s="194"/>
      <c r="E23" s="68">
        <v>24978</v>
      </c>
      <c r="F23" s="68"/>
      <c r="G23" s="69"/>
      <c r="H23" s="69"/>
      <c r="I23" s="69"/>
      <c r="J23" s="17"/>
    </row>
    <row r="24" spans="1:10" ht="13" customHeight="1" x14ac:dyDescent="0.35">
      <c r="A24" s="860" t="s">
        <v>487</v>
      </c>
      <c r="B24" s="78"/>
      <c r="C24" s="75"/>
      <c r="D24" s="72"/>
      <c r="E24" s="72"/>
      <c r="F24" s="72"/>
      <c r="G24" s="72"/>
      <c r="H24" s="73"/>
      <c r="I24" s="73"/>
      <c r="J24" s="17"/>
    </row>
    <row r="25" spans="1:10" ht="13" customHeight="1" x14ac:dyDescent="0.35">
      <c r="A25" s="180" t="s">
        <v>586</v>
      </c>
      <c r="B25" s="538"/>
      <c r="C25" s="570">
        <v>100</v>
      </c>
      <c r="D25" s="194"/>
      <c r="E25" s="68"/>
      <c r="F25" s="68">
        <v>130568</v>
      </c>
      <c r="G25" s="69"/>
      <c r="H25" s="69"/>
      <c r="I25" s="69"/>
      <c r="J25" s="17"/>
    </row>
    <row r="26" spans="1:10" ht="13" customHeight="1" x14ac:dyDescent="0.35">
      <c r="A26" s="860" t="s">
        <v>594</v>
      </c>
      <c r="B26" s="78"/>
      <c r="C26" s="75"/>
      <c r="D26" s="72"/>
      <c r="E26" s="72"/>
      <c r="F26" s="72"/>
      <c r="G26" s="72"/>
      <c r="H26" s="73"/>
      <c r="I26" s="73"/>
      <c r="J26" s="17"/>
    </row>
    <row r="27" spans="1:10" ht="13" customHeight="1" x14ac:dyDescent="0.35">
      <c r="A27" s="180" t="s">
        <v>595</v>
      </c>
      <c r="B27" s="538"/>
      <c r="C27" s="570">
        <v>100</v>
      </c>
      <c r="D27" s="194"/>
      <c r="E27" s="68">
        <v>-24978</v>
      </c>
      <c r="F27" s="68"/>
      <c r="G27" s="69"/>
      <c r="H27" s="69"/>
      <c r="I27" s="69"/>
      <c r="J27" s="17"/>
    </row>
    <row r="28" spans="1:10" ht="13" customHeight="1" x14ac:dyDescent="0.35">
      <c r="A28" s="860" t="s">
        <v>748</v>
      </c>
      <c r="B28" s="78"/>
      <c r="C28" s="75"/>
      <c r="D28" s="72"/>
      <c r="E28" s="72"/>
      <c r="F28" s="72"/>
      <c r="G28" s="72"/>
      <c r="H28" s="73"/>
      <c r="I28" s="73"/>
      <c r="J28" s="17"/>
    </row>
    <row r="29" spans="1:10" ht="13" customHeight="1" x14ac:dyDescent="0.35">
      <c r="A29" s="180" t="s">
        <v>853</v>
      </c>
      <c r="B29" s="538"/>
      <c r="C29" s="570">
        <v>100</v>
      </c>
      <c r="D29" s="194"/>
      <c r="E29" s="68"/>
      <c r="F29" s="68">
        <v>-130568</v>
      </c>
      <c r="G29" s="69"/>
      <c r="H29" s="69"/>
      <c r="I29" s="69"/>
      <c r="J29" s="17"/>
    </row>
    <row r="30" spans="1:10" ht="13" customHeight="1" x14ac:dyDescent="0.35">
      <c r="A30" s="860"/>
      <c r="B30" s="78"/>
      <c r="C30" s="75"/>
      <c r="D30" s="72"/>
      <c r="E30" s="72"/>
      <c r="F30" s="72"/>
      <c r="G30" s="72"/>
      <c r="H30" s="73"/>
      <c r="I30" s="73"/>
      <c r="J30" s="17"/>
    </row>
    <row r="31" spans="1:10" ht="13" customHeight="1" x14ac:dyDescent="0.35">
      <c r="A31" s="180"/>
      <c r="B31" s="538"/>
      <c r="C31" s="570"/>
      <c r="D31" s="194"/>
      <c r="E31" s="68"/>
      <c r="F31" s="68"/>
      <c r="G31" s="69"/>
      <c r="H31" s="69"/>
      <c r="I31" s="69"/>
      <c r="J31" s="17"/>
    </row>
    <row r="32" spans="1:10" ht="13" customHeight="1" x14ac:dyDescent="0.35">
      <c r="A32" s="860"/>
      <c r="B32" s="78"/>
      <c r="C32" s="75"/>
      <c r="D32" s="72"/>
      <c r="E32" s="72"/>
      <c r="F32" s="72"/>
      <c r="G32" s="72"/>
      <c r="H32" s="73"/>
      <c r="I32" s="73"/>
      <c r="J32" s="17"/>
    </row>
    <row r="33" spans="1:10" ht="13" customHeight="1" x14ac:dyDescent="0.35">
      <c r="A33" s="180"/>
      <c r="B33" s="538"/>
      <c r="C33" s="570"/>
      <c r="D33" s="194"/>
      <c r="E33" s="68"/>
      <c r="F33" s="68"/>
      <c r="G33" s="69"/>
      <c r="H33" s="69"/>
      <c r="I33" s="69"/>
      <c r="J33" s="17"/>
    </row>
    <row r="34" spans="1:10" ht="13" customHeight="1" x14ac:dyDescent="0.35">
      <c r="A34" s="860"/>
      <c r="B34" s="78"/>
      <c r="C34" s="75"/>
      <c r="D34" s="72"/>
      <c r="E34" s="72"/>
      <c r="F34" s="72"/>
      <c r="G34" s="72"/>
      <c r="H34" s="73"/>
      <c r="I34" s="73"/>
      <c r="J34" s="17"/>
    </row>
    <row r="35" spans="1:10" ht="13" customHeight="1" x14ac:dyDescent="0.35">
      <c r="A35" s="180"/>
      <c r="B35" s="538"/>
      <c r="C35" s="570"/>
      <c r="D35" s="194"/>
      <c r="E35" s="68"/>
      <c r="F35" s="68"/>
      <c r="G35" s="69"/>
      <c r="H35" s="69"/>
      <c r="I35" s="69"/>
      <c r="J35" s="17"/>
    </row>
    <row r="36" spans="1:10" ht="13" customHeight="1" x14ac:dyDescent="0.35">
      <c r="A36" s="860"/>
      <c r="B36" s="78"/>
      <c r="C36" s="75"/>
      <c r="D36" s="72"/>
      <c r="E36" s="72"/>
      <c r="F36" s="72"/>
      <c r="G36" s="72"/>
      <c r="H36" s="73"/>
      <c r="I36" s="73"/>
      <c r="J36" s="17"/>
    </row>
    <row r="37" spans="1:10" ht="13" customHeight="1" x14ac:dyDescent="0.35">
      <c r="A37" s="180"/>
      <c r="B37" s="538"/>
      <c r="C37" s="570"/>
      <c r="D37" s="194"/>
      <c r="E37" s="68"/>
      <c r="F37" s="68"/>
      <c r="G37" s="69"/>
      <c r="H37" s="69"/>
      <c r="I37" s="69"/>
      <c r="J37" s="17"/>
    </row>
    <row r="38" spans="1:10" ht="13" customHeight="1" x14ac:dyDescent="0.35">
      <c r="A38" s="860"/>
      <c r="B38" s="78"/>
      <c r="C38" s="75"/>
      <c r="D38" s="72"/>
      <c r="E38" s="72"/>
      <c r="F38" s="72"/>
      <c r="G38" s="72"/>
      <c r="H38" s="73"/>
      <c r="I38" s="73"/>
      <c r="J38" s="17"/>
    </row>
    <row r="39" spans="1:10" ht="16.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9"/>
      <c r="B41" s="78"/>
      <c r="C41" s="75"/>
      <c r="D41" s="72"/>
      <c r="E41" s="72"/>
      <c r="F41" s="72"/>
      <c r="G41" s="72"/>
      <c r="H41" s="73"/>
      <c r="I41" s="73"/>
      <c r="J41" s="17"/>
    </row>
    <row r="42" spans="1:10" ht="13" customHeight="1" x14ac:dyDescent="0.35">
      <c r="A42" s="77"/>
      <c r="B42" s="78"/>
      <c r="C42" s="75"/>
      <c r="D42" s="72"/>
      <c r="E42" s="72"/>
      <c r="F42" s="72"/>
      <c r="G42" s="72"/>
      <c r="H42" s="73"/>
      <c r="I42" s="73"/>
      <c r="J42" s="17"/>
    </row>
    <row r="43" spans="1:10" ht="13" customHeight="1" x14ac:dyDescent="0.35">
      <c r="A43" s="77"/>
      <c r="B43" s="78"/>
      <c r="C43" s="75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5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5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5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5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5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5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81"/>
      <c r="B59" s="81"/>
      <c r="C59" s="81"/>
      <c r="D59" s="81"/>
      <c r="E59" s="81"/>
      <c r="F59" s="81"/>
      <c r="G59" s="81"/>
      <c r="H59" s="81"/>
      <c r="I59" s="81"/>
      <c r="J59" s="17"/>
    </row>
    <row r="60" spans="1:10" ht="13" customHeight="1" x14ac:dyDescent="0.35">
      <c r="A60" s="81"/>
      <c r="B60" s="81"/>
      <c r="C60" s="81"/>
      <c r="D60" s="81"/>
      <c r="E60" s="81"/>
      <c r="F60" s="81"/>
      <c r="G60" s="81"/>
      <c r="H60" s="81"/>
      <c r="I60" s="81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A21:A23">
    <cfRule type="expression" dxfId="287" priority="3">
      <formula>MOD(ROW(),2)=1</formula>
    </cfRule>
  </conditionalFormatting>
  <conditionalFormatting sqref="D21:E23">
    <cfRule type="expression" dxfId="286" priority="2">
      <formula>MOD(ROW(),2)=1</formula>
    </cfRule>
  </conditionalFormatting>
  <conditionalFormatting sqref="C9:I15">
    <cfRule type="cellIs" dxfId="285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3">
    <tabColor theme="3"/>
  </sheetPr>
  <dimension ref="A1:K54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11</v>
      </c>
      <c r="C6" s="875" t="s">
        <v>124</v>
      </c>
      <c r="D6" s="875"/>
      <c r="E6" s="875"/>
      <c r="F6" s="875"/>
      <c r="G6" s="875"/>
      <c r="H6" s="875"/>
      <c r="I6" s="875"/>
    </row>
    <row r="7" spans="1:11" ht="15" thickBot="1" x14ac:dyDescent="0.4">
      <c r="A7" s="163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736072678</v>
      </c>
      <c r="C9" s="33">
        <v>704077967</v>
      </c>
      <c r="D9" s="219">
        <f t="shared" ref="D9:D15" si="0">+C9+SUMIF($C$20:$C$53,K9,$D$20:$D$53)</f>
        <v>704077967</v>
      </c>
      <c r="E9" s="471">
        <f t="shared" ref="E9:E15" si="1">+D9+SUMIF($C$20:$C$53,K9,$E$20:$E$53)</f>
        <v>704349409</v>
      </c>
      <c r="F9" s="519">
        <f t="shared" ref="F9:F15" si="2">+E9+SUMIF($C$20:$C$53,K9,$F$20:$F$53)</f>
        <v>704349409</v>
      </c>
      <c r="G9" s="162">
        <f t="shared" ref="G9:G15" si="3">+F9+SUMIF($C$20:$C$53,K9,$G$20:$G$53)</f>
        <v>704349409</v>
      </c>
      <c r="H9" s="221">
        <f t="shared" ref="H9:H15" si="4">+G9+SUMIF($C$20:$C$53,K9,$H$20:$H$53)</f>
        <v>704349409</v>
      </c>
      <c r="I9" s="225">
        <f t="shared" ref="I9:I15" si="5">+H9+SUMIF($C$20:$C$53,K9,$I$20:$I$53)</f>
        <v>704349409</v>
      </c>
      <c r="K9" s="7">
        <v>100</v>
      </c>
    </row>
    <row r="10" spans="1:11" x14ac:dyDescent="0.35">
      <c r="A10" s="10" t="s">
        <v>5</v>
      </c>
      <c r="B10" s="35">
        <f>8239824+1434792</f>
        <v>9674616</v>
      </c>
      <c r="C10" s="35">
        <v>10135755</v>
      </c>
      <c r="D10" s="222">
        <f t="shared" si="0"/>
        <v>11186755</v>
      </c>
      <c r="E10" s="506">
        <f t="shared" si="1"/>
        <v>10418373</v>
      </c>
      <c r="F10" s="504">
        <f t="shared" si="2"/>
        <v>10418373</v>
      </c>
      <c r="G10" s="35">
        <f t="shared" si="3"/>
        <v>10418373</v>
      </c>
      <c r="H10" s="222">
        <f t="shared" si="4"/>
        <v>10418373</v>
      </c>
      <c r="I10" s="36">
        <f t="shared" si="5"/>
        <v>10418373</v>
      </c>
      <c r="K10" s="7">
        <v>200</v>
      </c>
    </row>
    <row r="11" spans="1:11" x14ac:dyDescent="0.35">
      <c r="A11" s="9" t="s">
        <v>6</v>
      </c>
      <c r="B11" s="33">
        <f>11633557+842327</f>
        <v>12475884</v>
      </c>
      <c r="C11" s="33">
        <v>12794012</v>
      </c>
      <c r="D11" s="219">
        <f t="shared" si="0"/>
        <v>11743012</v>
      </c>
      <c r="E11" s="114">
        <f t="shared" si="1"/>
        <v>12239952</v>
      </c>
      <c r="F11" s="396">
        <f t="shared" si="2"/>
        <v>12239952</v>
      </c>
      <c r="G11" s="33">
        <f t="shared" si="3"/>
        <v>12239952</v>
      </c>
      <c r="H11" s="219">
        <f t="shared" si="4"/>
        <v>12239952</v>
      </c>
      <c r="I11" s="34">
        <f t="shared" si="5"/>
        <v>12239952</v>
      </c>
      <c r="K11" s="7" t="s">
        <v>167</v>
      </c>
    </row>
    <row r="12" spans="1:11" x14ac:dyDescent="0.35">
      <c r="A12" s="10" t="s">
        <v>7</v>
      </c>
      <c r="B12" s="35">
        <v>16175422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774398600</v>
      </c>
      <c r="C16" s="39">
        <f t="shared" ref="C16:I16" si="6">SUM(C9:C15)</f>
        <v>727007734</v>
      </c>
      <c r="D16" s="39">
        <f t="shared" si="6"/>
        <v>727007734</v>
      </c>
      <c r="E16" s="529">
        <f t="shared" si="6"/>
        <v>727007734</v>
      </c>
      <c r="F16" s="39">
        <f t="shared" si="6"/>
        <v>727007734</v>
      </c>
      <c r="G16" s="39">
        <f t="shared" si="6"/>
        <v>727007734</v>
      </c>
      <c r="H16" s="39">
        <f t="shared" si="6"/>
        <v>727007734</v>
      </c>
      <c r="I16" s="39">
        <f t="shared" si="6"/>
        <v>727007734</v>
      </c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78"/>
      <c r="C20" s="75"/>
      <c r="D20" s="73"/>
      <c r="E20" s="73"/>
      <c r="F20" s="73"/>
      <c r="G20" s="73"/>
      <c r="H20" s="73"/>
      <c r="I20" s="73"/>
      <c r="J20" s="17"/>
    </row>
    <row r="21" spans="1:10" ht="12.75" customHeight="1" x14ac:dyDescent="0.35">
      <c r="A21" s="312" t="s">
        <v>431</v>
      </c>
      <c r="B21" s="143"/>
      <c r="C21" s="589"/>
      <c r="D21" s="584"/>
      <c r="E21" s="584"/>
      <c r="F21" s="584"/>
      <c r="G21" s="69"/>
      <c r="H21" s="69"/>
      <c r="I21" s="69"/>
      <c r="J21" s="17"/>
    </row>
    <row r="22" spans="1:10" ht="12.75" customHeight="1" x14ac:dyDescent="0.35">
      <c r="A22" s="296" t="s">
        <v>424</v>
      </c>
      <c r="B22" s="58"/>
      <c r="C22" s="690">
        <v>100</v>
      </c>
      <c r="D22" s="73"/>
      <c r="E22" s="73"/>
      <c r="F22" s="73"/>
      <c r="G22" s="94"/>
      <c r="H22" s="94"/>
      <c r="I22" s="94"/>
      <c r="J22" s="17"/>
    </row>
    <row r="23" spans="1:10" ht="12.75" customHeight="1" x14ac:dyDescent="0.35">
      <c r="A23" s="298"/>
      <c r="B23" s="143"/>
      <c r="C23" s="589" t="s">
        <v>167</v>
      </c>
      <c r="D23" s="584"/>
      <c r="E23" s="584">
        <v>-319728</v>
      </c>
      <c r="F23" s="584"/>
      <c r="G23" s="69"/>
      <c r="H23" s="69"/>
      <c r="I23" s="69"/>
      <c r="J23" s="17"/>
    </row>
    <row r="24" spans="1:10" ht="12.75" customHeight="1" x14ac:dyDescent="0.35">
      <c r="A24" s="296" t="s">
        <v>425</v>
      </c>
      <c r="B24" s="58"/>
      <c r="C24" s="690">
        <v>200</v>
      </c>
      <c r="D24" s="73"/>
      <c r="E24" s="73">
        <v>237950</v>
      </c>
      <c r="F24" s="73">
        <v>-173622</v>
      </c>
      <c r="G24" s="94">
        <v>566544</v>
      </c>
      <c r="H24" s="94">
        <v>409368</v>
      </c>
      <c r="I24" s="94"/>
    </row>
    <row r="25" spans="1:10" ht="12.75" customHeight="1" x14ac:dyDescent="0.35">
      <c r="A25" s="298" t="s">
        <v>426</v>
      </c>
      <c r="B25" s="143"/>
      <c r="C25" s="589">
        <v>100</v>
      </c>
      <c r="D25" s="584"/>
      <c r="E25" s="584">
        <v>339132</v>
      </c>
      <c r="F25" s="584"/>
      <c r="G25" s="69"/>
      <c r="H25" s="69"/>
      <c r="I25" s="69"/>
    </row>
    <row r="26" spans="1:10" ht="12.75" customHeight="1" x14ac:dyDescent="0.35">
      <c r="A26" s="296"/>
      <c r="B26" s="58"/>
      <c r="C26" s="690">
        <v>200</v>
      </c>
      <c r="D26" s="73"/>
      <c r="E26" s="73">
        <v>-268382</v>
      </c>
      <c r="F26" s="73"/>
      <c r="G26" s="94"/>
      <c r="H26" s="94"/>
      <c r="I26" s="94"/>
    </row>
    <row r="27" spans="1:10" ht="12.75" customHeight="1" x14ac:dyDescent="0.35">
      <c r="A27" s="298"/>
      <c r="B27" s="143"/>
      <c r="C27" s="589" t="s">
        <v>167</v>
      </c>
      <c r="D27" s="584"/>
      <c r="E27" s="584">
        <v>-3060</v>
      </c>
      <c r="F27" s="584"/>
      <c r="G27" s="69"/>
      <c r="H27" s="69"/>
      <c r="I27" s="69"/>
    </row>
    <row r="28" spans="1:10" ht="12.75" customHeight="1" x14ac:dyDescent="0.35">
      <c r="A28" s="296" t="s">
        <v>461</v>
      </c>
      <c r="B28" s="58"/>
      <c r="C28" s="690">
        <v>100</v>
      </c>
      <c r="D28" s="73"/>
      <c r="E28" s="73">
        <v>84494</v>
      </c>
      <c r="F28" s="73"/>
      <c r="G28" s="94"/>
      <c r="H28" s="94"/>
      <c r="I28" s="94"/>
    </row>
    <row r="29" spans="1:10" ht="12.75" customHeight="1" x14ac:dyDescent="0.35">
      <c r="A29" s="312" t="s">
        <v>486</v>
      </c>
      <c r="B29" s="143"/>
      <c r="C29" s="589"/>
      <c r="D29" s="584"/>
      <c r="E29" s="584"/>
      <c r="F29" s="584"/>
      <c r="G29" s="69"/>
      <c r="H29" s="69"/>
      <c r="I29" s="69"/>
    </row>
    <row r="30" spans="1:10" ht="12.75" customHeight="1" x14ac:dyDescent="0.35">
      <c r="A30" s="296" t="s">
        <v>490</v>
      </c>
      <c r="B30" s="58"/>
      <c r="C30" s="690">
        <v>100</v>
      </c>
      <c r="D30" s="73"/>
      <c r="E30" s="73"/>
      <c r="F30" s="73">
        <v>5172705</v>
      </c>
      <c r="G30" s="94"/>
      <c r="H30" s="94"/>
      <c r="I30" s="94"/>
    </row>
    <row r="31" spans="1:10" ht="12.75" customHeight="1" x14ac:dyDescent="0.35">
      <c r="A31" s="298" t="s">
        <v>590</v>
      </c>
      <c r="B31" s="143"/>
      <c r="C31" s="589">
        <v>100</v>
      </c>
      <c r="D31" s="584"/>
      <c r="E31" s="584">
        <v>101639</v>
      </c>
      <c r="F31" s="584"/>
      <c r="G31" s="69"/>
      <c r="H31" s="69"/>
      <c r="I31" s="69"/>
    </row>
    <row r="32" spans="1:10" ht="12.75" customHeight="1" x14ac:dyDescent="0.35">
      <c r="A32" s="740" t="s">
        <v>594</v>
      </c>
      <c r="B32" s="58"/>
      <c r="C32" s="690"/>
      <c r="D32" s="73"/>
      <c r="E32" s="73"/>
      <c r="F32" s="73"/>
      <c r="G32" s="94"/>
      <c r="H32" s="94"/>
      <c r="I32" s="94"/>
    </row>
    <row r="33" spans="1:9" ht="12.75" customHeight="1" x14ac:dyDescent="0.35">
      <c r="A33" s="298" t="s">
        <v>640</v>
      </c>
      <c r="B33" s="143"/>
      <c r="C33" s="589" t="s">
        <v>167</v>
      </c>
      <c r="D33" s="584"/>
      <c r="E33" s="584">
        <v>319728</v>
      </c>
      <c r="F33" s="584"/>
      <c r="G33" s="69"/>
      <c r="H33" s="69"/>
      <c r="I33" s="69"/>
    </row>
    <row r="34" spans="1:9" ht="12.75" customHeight="1" x14ac:dyDescent="0.35">
      <c r="A34" s="296" t="s">
        <v>626</v>
      </c>
      <c r="B34" s="58"/>
      <c r="C34" s="690">
        <v>100</v>
      </c>
      <c r="D34" s="73"/>
      <c r="E34" s="73">
        <v>-253823</v>
      </c>
      <c r="F34" s="73">
        <v>-5172705</v>
      </c>
      <c r="G34" s="94"/>
      <c r="H34" s="94"/>
      <c r="I34" s="94"/>
    </row>
    <row r="35" spans="1:9" ht="12.75" customHeight="1" x14ac:dyDescent="0.35">
      <c r="A35" s="298" t="s">
        <v>628</v>
      </c>
      <c r="B35" s="143"/>
      <c r="C35" s="589">
        <v>200</v>
      </c>
      <c r="D35" s="584"/>
      <c r="E35" s="584">
        <v>-237950</v>
      </c>
      <c r="F35" s="584">
        <v>173622</v>
      </c>
      <c r="G35" s="69">
        <v>-566544</v>
      </c>
      <c r="H35" s="69">
        <v>-409368</v>
      </c>
      <c r="I35" s="69"/>
    </row>
    <row r="36" spans="1:9" ht="12.75" customHeight="1" x14ac:dyDescent="0.35">
      <c r="A36" s="740" t="s">
        <v>648</v>
      </c>
      <c r="B36" s="58"/>
      <c r="C36" s="754"/>
      <c r="D36" s="73"/>
      <c r="E36" s="73"/>
      <c r="F36" s="73"/>
      <c r="G36" s="94"/>
      <c r="H36" s="94"/>
      <c r="I36" s="94"/>
    </row>
    <row r="37" spans="1:9" ht="12.75" customHeight="1" x14ac:dyDescent="0.35">
      <c r="A37" s="298" t="s">
        <v>673</v>
      </c>
      <c r="B37" s="143"/>
      <c r="C37" s="589" t="s">
        <v>167</v>
      </c>
      <c r="D37" s="584">
        <v>-1051000</v>
      </c>
      <c r="E37" s="584">
        <v>500000</v>
      </c>
      <c r="F37" s="584"/>
      <c r="G37" s="69"/>
      <c r="H37" s="69"/>
      <c r="I37" s="69"/>
    </row>
    <row r="38" spans="1:9" ht="12.75" customHeight="1" x14ac:dyDescent="0.35">
      <c r="A38" s="296"/>
      <c r="B38" s="58"/>
      <c r="C38" s="754">
        <v>200</v>
      </c>
      <c r="D38" s="73">
        <v>1000000</v>
      </c>
      <c r="E38" s="73">
        <v>-500000</v>
      </c>
      <c r="F38" s="73"/>
      <c r="G38" s="94"/>
      <c r="H38" s="94"/>
      <c r="I38" s="94"/>
    </row>
    <row r="39" spans="1:9" ht="12.75" customHeight="1" x14ac:dyDescent="0.35">
      <c r="A39" s="298" t="s">
        <v>658</v>
      </c>
      <c r="B39" s="143"/>
      <c r="C39" s="589">
        <v>200</v>
      </c>
      <c r="D39" s="584">
        <v>51000</v>
      </c>
      <c r="E39" s="584"/>
      <c r="F39" s="584"/>
      <c r="G39" s="69"/>
      <c r="H39" s="69"/>
      <c r="I39" s="69"/>
    </row>
    <row r="40" spans="1:9" ht="12.75" customHeight="1" x14ac:dyDescent="0.35">
      <c r="A40" s="296"/>
      <c r="B40" s="58"/>
      <c r="C40" s="754"/>
      <c r="D40" s="73"/>
      <c r="E40" s="73"/>
      <c r="F40" s="73"/>
      <c r="G40" s="94"/>
      <c r="H40" s="94"/>
      <c r="I40" s="94"/>
    </row>
    <row r="41" spans="1:9" ht="12.75" customHeight="1" x14ac:dyDescent="0.35">
      <c r="A41" s="298"/>
      <c r="B41" s="143"/>
      <c r="C41" s="589"/>
      <c r="D41" s="584"/>
      <c r="E41" s="584"/>
      <c r="F41" s="584"/>
      <c r="G41" s="69"/>
      <c r="H41" s="69"/>
      <c r="I41" s="69"/>
    </row>
    <row r="42" spans="1:9" ht="12.75" customHeight="1" x14ac:dyDescent="0.35">
      <c r="A42" s="296"/>
      <c r="B42" s="752"/>
      <c r="C42" s="752"/>
      <c r="D42" s="73"/>
      <c r="E42" s="73"/>
      <c r="F42" s="73"/>
      <c r="G42" s="94"/>
      <c r="H42" s="94"/>
      <c r="I42" s="94"/>
    </row>
    <row r="43" spans="1:9" ht="12.75" customHeight="1" x14ac:dyDescent="0.35">
      <c r="A43" s="298"/>
      <c r="B43" s="143"/>
      <c r="C43" s="589"/>
      <c r="D43" s="584"/>
      <c r="E43" s="584"/>
      <c r="F43" s="584"/>
      <c r="G43" s="69"/>
      <c r="H43" s="69"/>
      <c r="I43" s="69"/>
    </row>
    <row r="44" spans="1:9" ht="12.75" customHeight="1" x14ac:dyDescent="0.35">
      <c r="A44" s="296"/>
      <c r="B44" s="752"/>
      <c r="C44" s="752"/>
      <c r="D44" s="73"/>
      <c r="E44" s="73"/>
      <c r="F44" s="73"/>
      <c r="G44" s="94"/>
      <c r="H44" s="94"/>
      <c r="I44" s="94"/>
    </row>
    <row r="45" spans="1:9" ht="12.75" customHeight="1" x14ac:dyDescent="0.35">
      <c r="A45" s="298"/>
      <c r="B45" s="143"/>
      <c r="C45" s="589"/>
      <c r="D45" s="584"/>
      <c r="E45" s="584"/>
      <c r="F45" s="584"/>
      <c r="G45" s="69"/>
      <c r="H45" s="69"/>
      <c r="I45" s="69"/>
    </row>
    <row r="46" spans="1:9" ht="12.75" customHeight="1" x14ac:dyDescent="0.35">
      <c r="A46" s="296"/>
      <c r="B46" s="58"/>
      <c r="C46" s="690"/>
      <c r="D46" s="73"/>
      <c r="E46" s="73"/>
      <c r="F46" s="73"/>
      <c r="G46" s="94"/>
      <c r="H46" s="94"/>
      <c r="I46" s="94"/>
    </row>
    <row r="47" spans="1:9" ht="12.75" customHeight="1" x14ac:dyDescent="0.35">
      <c r="A47" s="298"/>
      <c r="B47" s="143"/>
      <c r="C47" s="589"/>
      <c r="D47" s="584"/>
      <c r="E47" s="584"/>
      <c r="F47" s="584"/>
      <c r="G47" s="69"/>
      <c r="H47" s="69"/>
      <c r="I47" s="69"/>
    </row>
    <row r="48" spans="1:9" ht="12.75" customHeight="1" x14ac:dyDescent="0.35">
      <c r="A48" s="296"/>
      <c r="B48" s="58"/>
      <c r="C48" s="690"/>
      <c r="D48" s="73"/>
      <c r="E48" s="73"/>
      <c r="F48" s="73"/>
      <c r="G48" s="94"/>
      <c r="H48" s="94"/>
      <c r="I48" s="94"/>
    </row>
    <row r="49" spans="1:9" ht="12.75" customHeight="1" x14ac:dyDescent="0.35">
      <c r="A49" s="298"/>
      <c r="B49" s="143"/>
      <c r="C49" s="589"/>
      <c r="D49" s="584"/>
      <c r="E49" s="584"/>
      <c r="F49" s="584"/>
      <c r="G49" s="69"/>
      <c r="H49" s="69"/>
      <c r="I49" s="69"/>
    </row>
    <row r="50" spans="1:9" ht="12.75" customHeight="1" x14ac:dyDescent="0.35">
      <c r="A50" s="296"/>
      <c r="B50" s="58"/>
      <c r="C50" s="690"/>
      <c r="D50" s="73"/>
      <c r="E50" s="73"/>
      <c r="F50" s="73"/>
      <c r="G50" s="94"/>
      <c r="H50" s="94"/>
      <c r="I50" s="94"/>
    </row>
    <row r="51" spans="1:9" ht="12.75" customHeight="1" x14ac:dyDescent="0.35">
      <c r="A51" s="298"/>
      <c r="B51" s="143"/>
      <c r="C51" s="589"/>
      <c r="D51" s="584"/>
      <c r="E51" s="584"/>
      <c r="F51" s="584"/>
      <c r="G51" s="69"/>
      <c r="H51" s="69"/>
      <c r="I51" s="69"/>
    </row>
    <row r="52" spans="1:9" ht="12.75" customHeight="1" x14ac:dyDescent="0.35">
      <c r="A52" s="296"/>
      <c r="B52" s="58"/>
      <c r="C52" s="690"/>
      <c r="D52" s="73"/>
      <c r="E52" s="73"/>
      <c r="F52" s="73"/>
      <c r="G52" s="94"/>
      <c r="H52" s="94"/>
      <c r="I52" s="94"/>
    </row>
    <row r="53" spans="1:9" ht="12.75" customHeight="1" x14ac:dyDescent="0.35">
      <c r="A53" s="298"/>
      <c r="B53" s="143"/>
      <c r="C53" s="589"/>
      <c r="D53" s="584"/>
      <c r="E53" s="584"/>
      <c r="F53" s="584"/>
      <c r="G53" s="69"/>
      <c r="H53" s="69"/>
      <c r="I53" s="69"/>
    </row>
    <row r="54" spans="1:9" x14ac:dyDescent="0.35">
      <c r="A54" s="296"/>
      <c r="B54" s="58"/>
      <c r="C54" s="690"/>
      <c r="D54" s="73"/>
      <c r="E54" s="73"/>
      <c r="F54" s="73"/>
      <c r="G54" s="94"/>
      <c r="H54" s="94"/>
      <c r="I54" s="94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10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4">
    <tabColor theme="3"/>
  </sheetPr>
  <dimension ref="A1:K56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23</v>
      </c>
      <c r="C6" s="880" t="s">
        <v>123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162">
        <f>137253128</f>
        <v>137253128</v>
      </c>
      <c r="C9" s="33">
        <v>126599446</v>
      </c>
      <c r="D9" s="219">
        <f t="shared" ref="D9:D15" si="0">+C9+SUMIF($C$20:$C$61,K9,$D$20:$D$61)</f>
        <v>121537266</v>
      </c>
      <c r="E9" s="114">
        <f t="shared" ref="E9:E15" si="1">+D9+SUMIF($C$20:$C$61,K9,$E$20:$E$61)</f>
        <v>126635188</v>
      </c>
      <c r="F9" s="396">
        <f t="shared" ref="F9:F15" si="2">+E9+SUMIF($C$20:$C$61,K9,$F$20:$F$61)</f>
        <v>126635188</v>
      </c>
      <c r="G9" s="33">
        <f t="shared" ref="G9:G15" si="3">+F9+SUMIF($C$20:$C$61,K9,$G$20:$G$61)</f>
        <v>126635188</v>
      </c>
      <c r="H9" s="219">
        <f t="shared" ref="H9:H15" si="4">+G9+SUMIF($C$20:$C$61,K9,$H$20:$H$61)</f>
        <v>126635188</v>
      </c>
      <c r="I9" s="50">
        <f t="shared" ref="I9:I15" si="5">+H9+SUMIF($C$20:$C$61,K9,$I$20:$I$61)</f>
        <v>126635188</v>
      </c>
      <c r="K9" s="7">
        <v>100</v>
      </c>
    </row>
    <row r="10" spans="1:11" x14ac:dyDescent="0.35">
      <c r="A10" s="10" t="s">
        <v>5</v>
      </c>
      <c r="B10" s="35">
        <f>100931220+86478</f>
        <v>101017698</v>
      </c>
      <c r="C10" s="35">
        <v>88351948</v>
      </c>
      <c r="D10" s="222">
        <f t="shared" si="0"/>
        <v>95596067</v>
      </c>
      <c r="E10" s="506">
        <f t="shared" si="1"/>
        <v>97960934</v>
      </c>
      <c r="F10" s="504">
        <f t="shared" si="2"/>
        <v>96059955</v>
      </c>
      <c r="G10" s="35">
        <f t="shared" si="3"/>
        <v>96059955</v>
      </c>
      <c r="H10" s="222">
        <f t="shared" si="4"/>
        <v>96059955</v>
      </c>
      <c r="I10" s="36">
        <f t="shared" si="5"/>
        <v>96059955</v>
      </c>
      <c r="K10" s="7">
        <v>200</v>
      </c>
    </row>
    <row r="11" spans="1:11" x14ac:dyDescent="0.35">
      <c r="A11" s="9" t="s">
        <v>6</v>
      </c>
      <c r="B11" s="33">
        <f>3417969+929953</f>
        <v>4347922</v>
      </c>
      <c r="C11" s="33">
        <v>4016769</v>
      </c>
      <c r="D11" s="219">
        <f t="shared" si="0"/>
        <v>4016769</v>
      </c>
      <c r="E11" s="114">
        <f t="shared" si="1"/>
        <v>5499455</v>
      </c>
      <c r="F11" s="396">
        <f t="shared" si="2"/>
        <v>4674595</v>
      </c>
      <c r="G11" s="33">
        <f t="shared" si="3"/>
        <v>4542222</v>
      </c>
      <c r="H11" s="219">
        <f t="shared" si="4"/>
        <v>4557986</v>
      </c>
      <c r="I11" s="34">
        <f t="shared" si="5"/>
        <v>4016769</v>
      </c>
      <c r="K11" s="7" t="s">
        <v>167</v>
      </c>
    </row>
    <row r="12" spans="1:11" x14ac:dyDescent="0.35">
      <c r="A12" s="10" t="s">
        <v>7</v>
      </c>
      <c r="B12" s="35">
        <v>1379914</v>
      </c>
      <c r="C12" s="35">
        <v>1201757</v>
      </c>
      <c r="D12" s="222">
        <f t="shared" si="0"/>
        <v>1013004</v>
      </c>
      <c r="E12" s="506">
        <f t="shared" si="1"/>
        <v>1201757</v>
      </c>
      <c r="F12" s="504">
        <f t="shared" si="2"/>
        <v>1201757</v>
      </c>
      <c r="G12" s="35">
        <f t="shared" si="3"/>
        <v>1201757</v>
      </c>
      <c r="H12" s="222">
        <f t="shared" si="4"/>
        <v>1201757</v>
      </c>
      <c r="I12" s="36">
        <f t="shared" si="5"/>
        <v>1201757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243998662</v>
      </c>
      <c r="C16" s="39">
        <f t="shared" ref="C16:H16" si="6">SUM(C9:C15)</f>
        <v>220169920</v>
      </c>
      <c r="D16" s="39">
        <f t="shared" si="6"/>
        <v>222163106</v>
      </c>
      <c r="E16" s="529">
        <f t="shared" si="6"/>
        <v>231297334</v>
      </c>
      <c r="F16" s="39">
        <f t="shared" si="6"/>
        <v>228571495</v>
      </c>
      <c r="G16" s="39">
        <f t="shared" si="6"/>
        <v>228439122</v>
      </c>
      <c r="H16" s="39">
        <f t="shared" si="6"/>
        <v>228454886</v>
      </c>
      <c r="I16" s="39">
        <f>SUM(I9:I15)</f>
        <v>227913669</v>
      </c>
    </row>
    <row r="18" spans="1:10" x14ac:dyDescent="0.35">
      <c r="D18" s="401"/>
      <c r="E18" s="401">
        <f>+E16-D16</f>
        <v>9134228</v>
      </c>
      <c r="F18" s="401"/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0" ht="15" customHeight="1" x14ac:dyDescent="0.35">
      <c r="A21" s="312" t="s">
        <v>431</v>
      </c>
      <c r="B21" s="66"/>
      <c r="C21" s="67"/>
      <c r="D21" s="68"/>
      <c r="E21" s="68"/>
      <c r="F21" s="69"/>
      <c r="G21" s="69"/>
      <c r="H21" s="69"/>
      <c r="I21" s="69"/>
    </row>
    <row r="22" spans="1:10" ht="13" customHeight="1" x14ac:dyDescent="0.35">
      <c r="A22" s="354" t="s">
        <v>437</v>
      </c>
      <c r="B22" s="92"/>
      <c r="C22" s="102">
        <v>500</v>
      </c>
      <c r="D22" s="103"/>
      <c r="E22" s="103">
        <v>-400000</v>
      </c>
      <c r="F22" s="103"/>
      <c r="G22" s="103"/>
      <c r="H22" s="94"/>
      <c r="I22" s="94"/>
      <c r="J22" s="17"/>
    </row>
    <row r="23" spans="1:10" ht="12.75" customHeight="1" x14ac:dyDescent="0.35">
      <c r="A23" s="753"/>
      <c r="B23" s="84"/>
      <c r="C23" s="67">
        <v>200</v>
      </c>
      <c r="D23" s="68"/>
      <c r="E23" s="68">
        <v>-600000</v>
      </c>
      <c r="F23" s="68"/>
      <c r="G23" s="68"/>
      <c r="H23" s="69"/>
      <c r="I23" s="69"/>
      <c r="J23" s="17"/>
    </row>
    <row r="24" spans="1:10" ht="12.75" customHeight="1" x14ac:dyDescent="0.35">
      <c r="A24" s="157" t="s">
        <v>486</v>
      </c>
      <c r="B24" s="78"/>
      <c r="C24" s="71"/>
      <c r="D24" s="72"/>
      <c r="E24" s="72"/>
      <c r="F24" s="72"/>
      <c r="G24" s="72"/>
      <c r="H24" s="73"/>
      <c r="I24" s="73"/>
      <c r="J24" s="17"/>
    </row>
    <row r="25" spans="1:10" ht="12.75" customHeight="1" x14ac:dyDescent="0.35">
      <c r="A25" s="778" t="s">
        <v>579</v>
      </c>
      <c r="B25" s="84"/>
      <c r="C25" s="333">
        <v>100</v>
      </c>
      <c r="D25" s="777"/>
      <c r="E25" s="777"/>
      <c r="F25" s="68">
        <v>16032806</v>
      </c>
      <c r="G25" s="68"/>
      <c r="H25" s="69"/>
      <c r="I25" s="69"/>
      <c r="J25" s="17"/>
    </row>
    <row r="26" spans="1:10" ht="12.75" customHeight="1" x14ac:dyDescent="0.35">
      <c r="A26" s="464" t="s">
        <v>495</v>
      </c>
      <c r="B26" s="78"/>
      <c r="C26" s="71">
        <v>200</v>
      </c>
      <c r="D26" s="72"/>
      <c r="E26" s="72"/>
      <c r="F26" s="72">
        <v>19466406</v>
      </c>
      <c r="G26" s="72"/>
      <c r="H26" s="73"/>
      <c r="I26" s="73"/>
      <c r="J26" s="17"/>
    </row>
    <row r="27" spans="1:10" ht="12.75" customHeight="1" x14ac:dyDescent="0.35">
      <c r="A27" s="778" t="s">
        <v>496</v>
      </c>
      <c r="B27" s="84"/>
      <c r="C27" s="333" t="s">
        <v>167</v>
      </c>
      <c r="D27" s="777"/>
      <c r="E27" s="777"/>
      <c r="F27" s="68">
        <v>356975</v>
      </c>
      <c r="G27" s="68"/>
      <c r="H27" s="69"/>
      <c r="I27" s="69"/>
      <c r="J27" s="17"/>
    </row>
    <row r="28" spans="1:10" ht="12.75" customHeight="1" x14ac:dyDescent="0.35">
      <c r="A28" s="464" t="s">
        <v>497</v>
      </c>
      <c r="B28" s="78"/>
      <c r="C28" s="71">
        <v>500</v>
      </c>
      <c r="D28" s="72"/>
      <c r="E28" s="72">
        <v>400000</v>
      </c>
      <c r="F28" s="72"/>
      <c r="G28" s="72"/>
      <c r="H28" s="73"/>
      <c r="I28" s="73"/>
      <c r="J28" s="17"/>
    </row>
    <row r="29" spans="1:10" ht="12.75" customHeight="1" x14ac:dyDescent="0.35">
      <c r="A29" s="778" t="s">
        <v>592</v>
      </c>
      <c r="B29" s="84"/>
      <c r="C29" s="333">
        <v>100</v>
      </c>
      <c r="D29" s="777"/>
      <c r="E29" s="777">
        <v>35742</v>
      </c>
      <c r="F29" s="68"/>
      <c r="G29" s="68"/>
      <c r="H29" s="69"/>
      <c r="I29" s="69"/>
      <c r="J29" s="17"/>
    </row>
    <row r="30" spans="1:10" ht="12.75" customHeight="1" x14ac:dyDescent="0.35">
      <c r="A30" s="157" t="s">
        <v>594</v>
      </c>
      <c r="B30" s="78"/>
      <c r="C30" s="71"/>
      <c r="D30" s="72"/>
      <c r="E30" s="72"/>
      <c r="F30" s="72"/>
      <c r="G30" s="72"/>
      <c r="H30" s="73"/>
      <c r="I30" s="73"/>
      <c r="J30" s="17"/>
    </row>
    <row r="31" spans="1:10" ht="12.75" customHeight="1" x14ac:dyDescent="0.35">
      <c r="A31" s="778" t="s">
        <v>600</v>
      </c>
      <c r="B31" s="84"/>
      <c r="C31" s="333">
        <v>200</v>
      </c>
      <c r="D31" s="777"/>
      <c r="E31" s="777">
        <v>-376000</v>
      </c>
      <c r="F31" s="68"/>
      <c r="G31" s="68"/>
      <c r="H31" s="69"/>
      <c r="I31" s="69"/>
      <c r="J31" s="17"/>
    </row>
    <row r="32" spans="1:10" ht="12.75" customHeight="1" x14ac:dyDescent="0.35">
      <c r="A32" s="746" t="s">
        <v>627</v>
      </c>
      <c r="B32" s="78"/>
      <c r="C32" s="71">
        <v>100</v>
      </c>
      <c r="D32" s="72"/>
      <c r="E32" s="72"/>
      <c r="F32" s="72">
        <v>-16032806</v>
      </c>
      <c r="G32" s="72"/>
      <c r="H32" s="73"/>
      <c r="I32" s="73"/>
      <c r="J32" s="17"/>
    </row>
    <row r="33" spans="1:10" ht="12.75" customHeight="1" x14ac:dyDescent="0.35">
      <c r="A33" s="778"/>
      <c r="B33" s="84"/>
      <c r="C33" s="333">
        <v>200</v>
      </c>
      <c r="D33" s="777"/>
      <c r="E33" s="777"/>
      <c r="F33" s="68">
        <v>-19466406</v>
      </c>
      <c r="G33" s="68"/>
      <c r="H33" s="69"/>
      <c r="I33" s="69"/>
      <c r="J33" s="17"/>
    </row>
    <row r="34" spans="1:10" ht="12.75" customHeight="1" x14ac:dyDescent="0.35">
      <c r="A34" s="464"/>
      <c r="B34" s="78"/>
      <c r="C34" s="71" t="s">
        <v>167</v>
      </c>
      <c r="D34" s="72"/>
      <c r="E34" s="72"/>
      <c r="F34" s="72">
        <v>-356975</v>
      </c>
      <c r="G34" s="72"/>
      <c r="H34" s="73"/>
      <c r="I34" s="73"/>
      <c r="J34" s="17"/>
    </row>
    <row r="35" spans="1:10" ht="12.75" customHeight="1" x14ac:dyDescent="0.35">
      <c r="A35" s="779" t="s">
        <v>648</v>
      </c>
      <c r="B35" s="84"/>
      <c r="C35" s="333"/>
      <c r="D35" s="777"/>
      <c r="E35" s="777"/>
      <c r="F35" s="68"/>
      <c r="G35" s="68"/>
      <c r="H35" s="69"/>
      <c r="I35" s="69"/>
      <c r="J35" s="17"/>
    </row>
    <row r="36" spans="1:10" ht="12.75" customHeight="1" x14ac:dyDescent="0.35">
      <c r="A36" s="746" t="s">
        <v>706</v>
      </c>
      <c r="B36" s="78"/>
      <c r="C36" s="71">
        <v>200</v>
      </c>
      <c r="D36" s="72">
        <v>250000</v>
      </c>
      <c r="E36" s="72">
        <v>-250000</v>
      </c>
      <c r="F36" s="72"/>
      <c r="G36" s="72"/>
      <c r="H36" s="73"/>
      <c r="I36" s="73"/>
      <c r="J36" s="17"/>
    </row>
    <row r="37" spans="1:10" ht="12.75" customHeight="1" x14ac:dyDescent="0.35">
      <c r="A37" s="778" t="s">
        <v>871</v>
      </c>
      <c r="B37" s="84"/>
      <c r="C37" s="333">
        <v>200</v>
      </c>
      <c r="D37" s="777">
        <v>6994119</v>
      </c>
      <c r="E37" s="777">
        <v>-6994119</v>
      </c>
      <c r="F37" s="68"/>
      <c r="G37" s="68"/>
      <c r="H37" s="69"/>
      <c r="I37" s="69"/>
      <c r="J37" s="17"/>
    </row>
    <row r="38" spans="1:10" ht="12.75" customHeight="1" x14ac:dyDescent="0.35">
      <c r="A38" s="746"/>
      <c r="B38" s="78"/>
      <c r="C38" s="71">
        <v>100</v>
      </c>
      <c r="D38" s="72">
        <v>-5062180</v>
      </c>
      <c r="E38" s="72">
        <v>5062180</v>
      </c>
      <c r="F38" s="72"/>
      <c r="G38" s="72"/>
      <c r="H38" s="73"/>
      <c r="I38" s="73"/>
      <c r="J38" s="17"/>
    </row>
    <row r="39" spans="1:10" ht="12.75" customHeight="1" x14ac:dyDescent="0.35">
      <c r="A39" s="778"/>
      <c r="B39" s="84"/>
      <c r="C39" s="333">
        <v>500</v>
      </c>
      <c r="D39" s="777">
        <v>-188753</v>
      </c>
      <c r="E39" s="777">
        <v>188753</v>
      </c>
      <c r="F39" s="68"/>
      <c r="G39" s="68"/>
      <c r="H39" s="69"/>
      <c r="I39" s="69"/>
      <c r="J39" s="17"/>
    </row>
    <row r="40" spans="1:10" ht="12.75" customHeight="1" x14ac:dyDescent="0.35">
      <c r="A40" s="157" t="s">
        <v>748</v>
      </c>
      <c r="B40" s="78"/>
      <c r="C40" s="71"/>
      <c r="D40" s="72"/>
      <c r="E40" s="72"/>
      <c r="F40" s="72"/>
      <c r="G40" s="72"/>
      <c r="H40" s="73"/>
      <c r="I40" s="73"/>
      <c r="J40" s="17"/>
    </row>
    <row r="41" spans="1:10" ht="12.75" customHeight="1" x14ac:dyDescent="0.35">
      <c r="A41" s="778" t="s">
        <v>823</v>
      </c>
      <c r="B41" s="84"/>
      <c r="C41" s="333">
        <v>200</v>
      </c>
      <c r="D41" s="777"/>
      <c r="E41" s="777"/>
      <c r="F41" s="68">
        <v>300000</v>
      </c>
      <c r="G41" s="68"/>
      <c r="H41" s="69"/>
      <c r="I41" s="69"/>
      <c r="J41" s="17"/>
    </row>
    <row r="42" spans="1:10" ht="12.75" customHeight="1" x14ac:dyDescent="0.35">
      <c r="A42" s="746"/>
      <c r="B42" s="78"/>
      <c r="C42" s="71" t="s">
        <v>167</v>
      </c>
      <c r="D42" s="72"/>
      <c r="E42" s="72">
        <v>636000</v>
      </c>
      <c r="F42" s="72">
        <v>-636000</v>
      </c>
      <c r="G42" s="72"/>
      <c r="H42" s="73"/>
      <c r="I42" s="73"/>
      <c r="J42" s="17"/>
    </row>
    <row r="43" spans="1:10" ht="12.75" customHeight="1" x14ac:dyDescent="0.35">
      <c r="A43" s="778" t="s">
        <v>824</v>
      </c>
      <c r="B43" s="84"/>
      <c r="C43" s="333" t="s">
        <v>167</v>
      </c>
      <c r="D43" s="777"/>
      <c r="E43" s="777">
        <v>300000</v>
      </c>
      <c r="F43" s="68">
        <v>-300000</v>
      </c>
      <c r="G43" s="68"/>
      <c r="H43" s="69"/>
      <c r="I43" s="69"/>
      <c r="J43" s="17"/>
    </row>
    <row r="44" spans="1:10" ht="12.75" customHeight="1" x14ac:dyDescent="0.35">
      <c r="A44" s="746" t="s">
        <v>825</v>
      </c>
      <c r="B44" s="78"/>
      <c r="C44" s="71">
        <v>200</v>
      </c>
      <c r="D44" s="72"/>
      <c r="E44" s="72">
        <v>2727142</v>
      </c>
      <c r="F44" s="72"/>
      <c r="G44" s="72"/>
      <c r="H44" s="73"/>
      <c r="I44" s="73"/>
    </row>
    <row r="45" spans="1:10" ht="12.75" customHeight="1" x14ac:dyDescent="0.35">
      <c r="A45" s="778" t="s">
        <v>826</v>
      </c>
      <c r="B45" s="84"/>
      <c r="C45" s="333">
        <v>200</v>
      </c>
      <c r="D45" s="777"/>
      <c r="E45" s="777">
        <v>2590028</v>
      </c>
      <c r="F45" s="68"/>
      <c r="G45" s="68"/>
      <c r="H45" s="69"/>
      <c r="I45" s="69"/>
    </row>
    <row r="46" spans="1:10" ht="12.75" customHeight="1" x14ac:dyDescent="0.35">
      <c r="A46" s="746" t="s">
        <v>827</v>
      </c>
      <c r="B46" s="78"/>
      <c r="C46" s="71">
        <v>200</v>
      </c>
      <c r="D46" s="72"/>
      <c r="E46" s="72">
        <v>2200979</v>
      </c>
      <c r="F46" s="72">
        <v>-2200979</v>
      </c>
      <c r="G46" s="72"/>
      <c r="H46" s="73"/>
      <c r="I46" s="73"/>
    </row>
    <row r="47" spans="1:10" ht="12.75" customHeight="1" x14ac:dyDescent="0.35">
      <c r="A47" s="778" t="s">
        <v>828</v>
      </c>
      <c r="B47" s="84"/>
      <c r="C47" s="333">
        <v>200</v>
      </c>
      <c r="D47" s="777"/>
      <c r="E47" s="777">
        <v>273087</v>
      </c>
      <c r="F47" s="68"/>
      <c r="G47" s="68"/>
      <c r="H47" s="69"/>
      <c r="I47" s="69"/>
    </row>
    <row r="48" spans="1:10" ht="12.75" customHeight="1" x14ac:dyDescent="0.35">
      <c r="A48" s="746" t="s">
        <v>829</v>
      </c>
      <c r="B48" s="78"/>
      <c r="C48" s="71" t="s">
        <v>167</v>
      </c>
      <c r="D48" s="72"/>
      <c r="E48" s="72">
        <v>546686</v>
      </c>
      <c r="F48" s="72">
        <f>657826-E48</f>
        <v>111140</v>
      </c>
      <c r="G48" s="72">
        <f>525453-F48-E48</f>
        <v>-132373</v>
      </c>
      <c r="H48" s="73">
        <f>541217-G48-F48-E48</f>
        <v>15764</v>
      </c>
      <c r="I48" s="73">
        <v>-541217</v>
      </c>
    </row>
    <row r="49" spans="1:9" ht="12.75" customHeight="1" x14ac:dyDescent="0.35">
      <c r="A49" s="778" t="s">
        <v>830</v>
      </c>
      <c r="B49" s="84"/>
      <c r="C49" s="333">
        <v>200</v>
      </c>
      <c r="D49" s="777"/>
      <c r="E49" s="777">
        <v>600000</v>
      </c>
      <c r="F49" s="68"/>
      <c r="G49" s="68"/>
      <c r="H49" s="69"/>
      <c r="I49" s="69"/>
    </row>
    <row r="50" spans="1:9" ht="12.75" customHeight="1" x14ac:dyDescent="0.35">
      <c r="A50" s="746" t="s">
        <v>831</v>
      </c>
      <c r="B50" s="78"/>
      <c r="C50" s="71">
        <v>200</v>
      </c>
      <c r="D50" s="72"/>
      <c r="E50" s="72">
        <v>2193750</v>
      </c>
      <c r="F50" s="72"/>
      <c r="G50" s="72"/>
      <c r="H50" s="73"/>
      <c r="I50" s="73"/>
    </row>
    <row r="51" spans="1:9" ht="12.75" customHeight="1" x14ac:dyDescent="0.35">
      <c r="A51" s="464"/>
      <c r="B51" s="78"/>
      <c r="C51" s="71"/>
      <c r="D51" s="72"/>
      <c r="E51" s="72"/>
      <c r="F51" s="72"/>
      <c r="G51" s="72"/>
      <c r="H51" s="73"/>
      <c r="I51" s="73"/>
    </row>
    <row r="52" spans="1:9" ht="12.75" customHeight="1" x14ac:dyDescent="0.35">
      <c r="A52" s="58"/>
      <c r="B52" s="58"/>
      <c r="C52" s="318"/>
      <c r="D52" s="58"/>
      <c r="E52" s="465"/>
      <c r="F52" s="58"/>
      <c r="G52" s="58"/>
      <c r="H52" s="58"/>
      <c r="I52" s="58"/>
    </row>
    <row r="53" spans="1:9" ht="12.75" customHeight="1" x14ac:dyDescent="0.35">
      <c r="A53" s="426"/>
      <c r="B53" s="426"/>
      <c r="C53" s="426"/>
      <c r="D53" s="426"/>
      <c r="E53" s="426"/>
      <c r="F53" s="426"/>
      <c r="G53" s="426"/>
      <c r="H53" s="426"/>
      <c r="I53" s="426"/>
    </row>
    <row r="54" spans="1:9" ht="12.75" customHeight="1" x14ac:dyDescent="0.35">
      <c r="A54" s="58"/>
      <c r="B54" s="58"/>
      <c r="C54" s="58"/>
      <c r="D54" s="58"/>
      <c r="E54" s="58"/>
      <c r="F54" s="58"/>
      <c r="G54" s="58"/>
      <c r="H54" s="58"/>
      <c r="I54" s="58"/>
    </row>
    <row r="55" spans="1:9" ht="12.75" customHeight="1" x14ac:dyDescent="0.35">
      <c r="A55" s="58"/>
      <c r="B55" s="58"/>
      <c r="C55" s="58"/>
      <c r="D55" s="58"/>
      <c r="E55" s="58"/>
      <c r="F55" s="58"/>
      <c r="G55" s="58"/>
      <c r="H55" s="58"/>
      <c r="I55" s="58"/>
    </row>
    <row r="56" spans="1:9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D25:E25">
    <cfRule type="expression" dxfId="101" priority="20">
      <formula>MOD(ROW(),2)=1</formula>
    </cfRule>
  </conditionalFormatting>
  <conditionalFormatting sqref="A25">
    <cfRule type="expression" dxfId="100" priority="21">
      <formula>MOD(ROW(),2)=1</formula>
    </cfRule>
  </conditionalFormatting>
  <conditionalFormatting sqref="D33:E33 D35:E35 D25:E25 D27:E27 D29:E29">
    <cfRule type="expression" dxfId="99" priority="12">
      <formula>MOD(ROW(),2)=1</formula>
    </cfRule>
  </conditionalFormatting>
  <conditionalFormatting sqref="A33 A35 A25 A27 A29">
    <cfRule type="expression" dxfId="98" priority="13">
      <formula>MOD(ROW(),2)=1</formula>
    </cfRule>
  </conditionalFormatting>
  <conditionalFormatting sqref="D31:E31 D33:E33 D35:E35">
    <cfRule type="expression" dxfId="97" priority="10">
      <formula>MOD(ROW(),2)=1</formula>
    </cfRule>
  </conditionalFormatting>
  <conditionalFormatting sqref="A31 A33 A35">
    <cfRule type="expression" dxfId="96" priority="11">
      <formula>MOD(ROW(),2)=1</formula>
    </cfRule>
  </conditionalFormatting>
  <conditionalFormatting sqref="D29:E29">
    <cfRule type="expression" dxfId="95" priority="8">
      <formula>MOD(ROW(),2)=1</formula>
    </cfRule>
  </conditionalFormatting>
  <conditionalFormatting sqref="A29">
    <cfRule type="expression" dxfId="94" priority="9">
      <formula>MOD(ROW(),2)=1</formula>
    </cfRule>
  </conditionalFormatting>
  <conditionalFormatting sqref="D31:E31">
    <cfRule type="expression" dxfId="93" priority="6">
      <formula>MOD(ROW(),2)=1</formula>
    </cfRule>
  </conditionalFormatting>
  <conditionalFormatting sqref="A31">
    <cfRule type="expression" dxfId="92" priority="7">
      <formula>MOD(ROW(),2)=1</formula>
    </cfRule>
  </conditionalFormatting>
  <conditionalFormatting sqref="D37:E37 D39:E39 D41:E41 D43:E43 D45:E45 D47:E47 D49:E49">
    <cfRule type="expression" dxfId="91" priority="4">
      <formula>MOD(ROW(),2)=1</formula>
    </cfRule>
  </conditionalFormatting>
  <conditionalFormatting sqref="A37 A39 A41 A43 A45 A47 A49">
    <cfRule type="expression" dxfId="90" priority="5">
      <formula>MOD(ROW(),2)=1</formula>
    </cfRule>
  </conditionalFormatting>
  <conditionalFormatting sqref="D37:E37 D39:E39 D41:E41 D43:E43 D45:E45 D47:E47 D49:E49">
    <cfRule type="expression" dxfId="89" priority="2">
      <formula>MOD(ROW(),2)=1</formula>
    </cfRule>
  </conditionalFormatting>
  <conditionalFormatting sqref="A37 A39 A41 A43 A45 A47 A49">
    <cfRule type="expression" dxfId="88" priority="3">
      <formula>MOD(ROW(),2)=1</formula>
    </cfRule>
  </conditionalFormatting>
  <conditionalFormatting sqref="C9:I15">
    <cfRule type="cellIs" dxfId="8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5">
    <tabColor theme="3"/>
  </sheetPr>
  <dimension ref="A1:K57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38</v>
      </c>
      <c r="C6" s="880" t="s">
        <v>122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</row>
    <row r="9" spans="1:11" x14ac:dyDescent="0.35">
      <c r="A9" s="9" t="s">
        <v>4</v>
      </c>
      <c r="B9" s="33">
        <f>2519208</f>
        <v>2519208</v>
      </c>
      <c r="C9" s="33">
        <v>2436508</v>
      </c>
      <c r="D9" s="219">
        <f t="shared" ref="D9:D15" si="0">+C9+SUMIF($C$20:$C$60,K9,$D$20:$D$60)</f>
        <v>2436508</v>
      </c>
      <c r="E9" s="114">
        <f t="shared" ref="E9:E15" si="1">+D9+SUMIF($C$20:$C$60,K9,$E$20:$E$60)</f>
        <v>2648235</v>
      </c>
      <c r="F9" s="396">
        <f t="shared" ref="F9:F15" si="2">+E9+SUMIF($C$20:$C$60,K9,$F$20:$F$60)</f>
        <v>2648235</v>
      </c>
      <c r="G9" s="33">
        <f t="shared" ref="G9:G15" si="3">+F9+SUMIF($C$20:$C$60,K9,$G$20:$G$60)</f>
        <v>2648235</v>
      </c>
      <c r="H9" s="219">
        <f t="shared" ref="H9:H15" si="4">+G9+SUMIF($C$20:$C$60,K9,$H$20:$H$60)</f>
        <v>2648235</v>
      </c>
      <c r="I9" s="50">
        <f t="shared" ref="I9:I15" si="5">+H9+SUMIF($C$20:$C$60,K9,$I$20:$I$60)</f>
        <v>2648235</v>
      </c>
      <c r="K9" s="7">
        <v>100</v>
      </c>
    </row>
    <row r="10" spans="1:11" x14ac:dyDescent="0.35">
      <c r="A10" s="10" t="s">
        <v>5</v>
      </c>
      <c r="B10" s="35">
        <f>2915163-367959</f>
        <v>2547204</v>
      </c>
      <c r="C10" s="35">
        <v>2283634</v>
      </c>
      <c r="D10" s="222">
        <f t="shared" si="0"/>
        <v>4578402</v>
      </c>
      <c r="E10" s="506">
        <f t="shared" si="1"/>
        <v>2795744</v>
      </c>
      <c r="F10" s="504">
        <f t="shared" si="2"/>
        <v>2804723</v>
      </c>
      <c r="G10" s="35">
        <f t="shared" si="3"/>
        <v>2812198</v>
      </c>
      <c r="H10" s="222">
        <f t="shared" si="4"/>
        <v>2812198</v>
      </c>
      <c r="I10" s="36">
        <f t="shared" si="5"/>
        <v>2812198</v>
      </c>
      <c r="K10" s="7">
        <v>200</v>
      </c>
    </row>
    <row r="11" spans="1:11" x14ac:dyDescent="0.35">
      <c r="A11" s="9" t="s">
        <v>6</v>
      </c>
      <c r="B11" s="33">
        <f>14214+3629</f>
        <v>17843</v>
      </c>
      <c r="C11" s="33">
        <v>40194</v>
      </c>
      <c r="D11" s="219">
        <f t="shared" si="0"/>
        <v>40194</v>
      </c>
      <c r="E11" s="114">
        <f t="shared" si="1"/>
        <v>12359</v>
      </c>
      <c r="F11" s="396">
        <f t="shared" si="2"/>
        <v>12359</v>
      </c>
      <c r="G11" s="33">
        <f t="shared" si="3"/>
        <v>12359</v>
      </c>
      <c r="H11" s="219">
        <f t="shared" si="4"/>
        <v>12359</v>
      </c>
      <c r="I11" s="34">
        <f t="shared" si="5"/>
        <v>12359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5084255</v>
      </c>
      <c r="C16" s="39">
        <f t="shared" ref="C16:I16" si="6">SUM(C9:C15)</f>
        <v>4760336</v>
      </c>
      <c r="D16" s="39">
        <f t="shared" si="6"/>
        <v>7055104</v>
      </c>
      <c r="E16" s="529">
        <f t="shared" si="6"/>
        <v>5456338</v>
      </c>
      <c r="F16" s="39">
        <f t="shared" si="6"/>
        <v>5465317</v>
      </c>
      <c r="G16" s="39">
        <f t="shared" si="6"/>
        <v>5472792</v>
      </c>
      <c r="H16" s="39">
        <f t="shared" si="6"/>
        <v>5472792</v>
      </c>
      <c r="I16" s="39">
        <f t="shared" si="6"/>
        <v>5472792</v>
      </c>
    </row>
    <row r="18" spans="1:10" x14ac:dyDescent="0.35">
      <c r="E18" s="401">
        <f>+E16-D16</f>
        <v>-1598766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</row>
    <row r="21" spans="1:10" ht="12.75" customHeight="1" x14ac:dyDescent="0.35">
      <c r="A21" s="203" t="s">
        <v>487</v>
      </c>
      <c r="B21" s="84"/>
      <c r="C21" s="74"/>
      <c r="D21" s="69"/>
      <c r="E21" s="69"/>
      <c r="F21" s="69"/>
      <c r="G21" s="69"/>
      <c r="H21" s="69"/>
      <c r="I21" s="69"/>
    </row>
    <row r="22" spans="1:10" ht="12.75" customHeight="1" x14ac:dyDescent="0.35">
      <c r="A22" s="684" t="s">
        <v>529</v>
      </c>
      <c r="B22" s="89"/>
      <c r="C22" s="683">
        <v>100</v>
      </c>
      <c r="D22" s="91"/>
      <c r="E22" s="91"/>
      <c r="F22" s="91">
        <v>323044</v>
      </c>
      <c r="G22" s="91"/>
      <c r="H22" s="91"/>
      <c r="I22" s="91"/>
      <c r="J22" s="17"/>
    </row>
    <row r="23" spans="1:10" ht="12.75" customHeight="1" x14ac:dyDescent="0.35">
      <c r="A23" s="833" t="s">
        <v>528</v>
      </c>
      <c r="B23" s="538"/>
      <c r="C23" s="705">
        <v>200</v>
      </c>
      <c r="D23" s="194"/>
      <c r="E23" s="69"/>
      <c r="F23" s="69">
        <v>42633</v>
      </c>
      <c r="G23" s="69"/>
      <c r="H23" s="69"/>
      <c r="I23" s="69"/>
      <c r="J23" s="17"/>
    </row>
    <row r="24" spans="1:10" ht="12.75" customHeight="1" x14ac:dyDescent="0.35">
      <c r="A24" s="296" t="s">
        <v>522</v>
      </c>
      <c r="B24" s="295"/>
      <c r="C24" s="241" t="s">
        <v>167</v>
      </c>
      <c r="D24" s="242"/>
      <c r="E24" s="73"/>
      <c r="F24" s="73">
        <v>8860</v>
      </c>
      <c r="G24" s="73"/>
      <c r="H24" s="73"/>
      <c r="I24" s="73"/>
      <c r="J24" s="17"/>
    </row>
    <row r="25" spans="1:10" ht="12.75" customHeight="1" x14ac:dyDescent="0.35">
      <c r="A25" s="298" t="s">
        <v>593</v>
      </c>
      <c r="B25" s="84"/>
      <c r="C25" s="74">
        <v>100</v>
      </c>
      <c r="D25" s="69"/>
      <c r="E25" s="69">
        <v>14103</v>
      </c>
      <c r="F25" s="69"/>
      <c r="G25" s="69"/>
      <c r="H25" s="69"/>
      <c r="I25" s="69"/>
      <c r="J25" s="17"/>
    </row>
    <row r="26" spans="1:10" ht="12.75" customHeight="1" x14ac:dyDescent="0.35">
      <c r="A26" s="779" t="s">
        <v>596</v>
      </c>
      <c r="B26" s="771"/>
      <c r="C26" s="772"/>
      <c r="D26" s="777"/>
      <c r="E26" s="777"/>
      <c r="F26" s="773"/>
      <c r="G26" s="773"/>
      <c r="H26" s="773"/>
      <c r="I26" s="773"/>
      <c r="J26" s="17"/>
    </row>
    <row r="27" spans="1:10" ht="12.75" customHeight="1" x14ac:dyDescent="0.35">
      <c r="A27" s="298" t="s">
        <v>597</v>
      </c>
      <c r="B27" s="84"/>
      <c r="C27" s="74">
        <v>200</v>
      </c>
      <c r="D27" s="69"/>
      <c r="E27" s="69"/>
      <c r="F27" s="69">
        <v>-10000</v>
      </c>
      <c r="G27" s="69"/>
      <c r="H27" s="69"/>
      <c r="I27" s="69"/>
      <c r="J27" s="17"/>
    </row>
    <row r="28" spans="1:10" ht="12.75" customHeight="1" x14ac:dyDescent="0.35">
      <c r="A28" s="778"/>
      <c r="B28" s="771"/>
      <c r="C28" s="772">
        <v>100</v>
      </c>
      <c r="D28" s="777"/>
      <c r="E28" s="777"/>
      <c r="F28" s="773">
        <v>10000</v>
      </c>
      <c r="G28" s="773"/>
      <c r="H28" s="773"/>
      <c r="I28" s="773"/>
      <c r="J28" s="17"/>
    </row>
    <row r="29" spans="1:10" ht="12.75" customHeight="1" x14ac:dyDescent="0.35">
      <c r="A29" s="298" t="s">
        <v>615</v>
      </c>
      <c r="B29" s="84"/>
      <c r="C29" s="74">
        <v>100</v>
      </c>
      <c r="D29" s="69"/>
      <c r="E29" s="69"/>
      <c r="F29" s="69">
        <v>-333044</v>
      </c>
      <c r="G29" s="69">
        <v>333044</v>
      </c>
      <c r="H29" s="69"/>
      <c r="I29" s="69"/>
      <c r="J29" s="17"/>
    </row>
    <row r="30" spans="1:10" ht="12.75" customHeight="1" x14ac:dyDescent="0.35">
      <c r="A30" s="778"/>
      <c r="B30" s="771"/>
      <c r="C30" s="772">
        <v>200</v>
      </c>
      <c r="D30" s="777"/>
      <c r="E30" s="777"/>
      <c r="F30" s="773">
        <v>-32633</v>
      </c>
      <c r="G30" s="773">
        <v>32633</v>
      </c>
      <c r="H30" s="773"/>
      <c r="I30" s="773"/>
      <c r="J30" s="17"/>
    </row>
    <row r="31" spans="1:10" ht="12.75" customHeight="1" x14ac:dyDescent="0.35">
      <c r="A31" s="298"/>
      <c r="B31" s="84"/>
      <c r="C31" s="74" t="s">
        <v>167</v>
      </c>
      <c r="D31" s="69"/>
      <c r="E31" s="69"/>
      <c r="F31" s="69">
        <v>-8860</v>
      </c>
      <c r="G31" s="69">
        <v>8860</v>
      </c>
      <c r="H31" s="69"/>
      <c r="I31" s="69"/>
      <c r="J31" s="17"/>
    </row>
    <row r="32" spans="1:10" ht="12.75" customHeight="1" x14ac:dyDescent="0.35">
      <c r="A32" s="779" t="s">
        <v>648</v>
      </c>
      <c r="B32" s="771"/>
      <c r="C32" s="772"/>
      <c r="D32" s="777"/>
      <c r="E32" s="777"/>
      <c r="F32" s="773"/>
      <c r="G32" s="773"/>
      <c r="H32" s="773"/>
      <c r="I32" s="773"/>
      <c r="J32" s="17"/>
    </row>
    <row r="33" spans="1:10" ht="12.75" customHeight="1" x14ac:dyDescent="0.35">
      <c r="A33" s="298" t="s">
        <v>868</v>
      </c>
      <c r="B33" s="84"/>
      <c r="C33" s="74">
        <v>200</v>
      </c>
      <c r="D33" s="69">
        <v>2294768</v>
      </c>
      <c r="E33" s="69">
        <v>-2294768</v>
      </c>
      <c r="F33" s="69"/>
      <c r="G33" s="69"/>
      <c r="H33" s="69"/>
      <c r="I33" s="69"/>
      <c r="J33" s="17"/>
    </row>
    <row r="34" spans="1:10" ht="12.75" customHeight="1" x14ac:dyDescent="0.35">
      <c r="A34" s="779" t="s">
        <v>748</v>
      </c>
      <c r="B34" s="771"/>
      <c r="C34" s="772"/>
      <c r="D34" s="777"/>
      <c r="E34" s="777"/>
      <c r="F34" s="773"/>
      <c r="G34" s="773"/>
      <c r="H34" s="773"/>
      <c r="I34" s="773"/>
      <c r="J34" s="17"/>
    </row>
    <row r="35" spans="1:10" ht="12.75" customHeight="1" x14ac:dyDescent="0.35">
      <c r="A35" s="298" t="s">
        <v>811</v>
      </c>
      <c r="B35" s="84"/>
      <c r="C35" s="74">
        <v>200</v>
      </c>
      <c r="D35" s="69"/>
      <c r="E35" s="69">
        <v>613269</v>
      </c>
      <c r="F35" s="69">
        <f>622248-E35</f>
        <v>8979</v>
      </c>
      <c r="G35" s="69">
        <f>629723-F35-E35</f>
        <v>7475</v>
      </c>
      <c r="H35" s="69"/>
      <c r="I35" s="69"/>
      <c r="J35" s="17"/>
    </row>
    <row r="36" spans="1:10" ht="12.75" customHeight="1" x14ac:dyDescent="0.35">
      <c r="A36" s="778" t="s">
        <v>832</v>
      </c>
      <c r="B36" s="771"/>
      <c r="C36" s="772">
        <v>100</v>
      </c>
      <c r="D36" s="777"/>
      <c r="E36" s="777">
        <v>197624</v>
      </c>
      <c r="F36" s="773"/>
      <c r="G36" s="773"/>
      <c r="H36" s="773"/>
      <c r="I36" s="773"/>
      <c r="J36" s="17"/>
    </row>
    <row r="37" spans="1:10" ht="12.75" customHeight="1" x14ac:dyDescent="0.35">
      <c r="A37" s="298" t="s">
        <v>906</v>
      </c>
      <c r="B37" s="84"/>
      <c r="C37" s="74">
        <v>200</v>
      </c>
      <c r="D37" s="69"/>
      <c r="E37" s="69">
        <v>-101159</v>
      </c>
      <c r="F37" s="69"/>
      <c r="G37" s="69"/>
      <c r="H37" s="69"/>
      <c r="I37" s="69"/>
      <c r="J37" s="17"/>
    </row>
    <row r="38" spans="1:10" ht="12.75" customHeight="1" x14ac:dyDescent="0.35">
      <c r="A38" s="778"/>
      <c r="B38" s="771"/>
      <c r="C38" s="772" t="s">
        <v>167</v>
      </c>
      <c r="D38" s="777"/>
      <c r="E38" s="777">
        <v>-27835</v>
      </c>
      <c r="F38" s="773"/>
      <c r="G38" s="773"/>
      <c r="H38" s="773"/>
      <c r="I38" s="773"/>
      <c r="J38" s="17"/>
    </row>
    <row r="39" spans="1:10" ht="12.75" customHeight="1" x14ac:dyDescent="0.35">
      <c r="A39" s="298" t="s">
        <v>857</v>
      </c>
      <c r="B39" s="84"/>
      <c r="C39" s="74">
        <v>100</v>
      </c>
      <c r="D39" s="69"/>
      <c r="E39" s="69"/>
      <c r="F39" s="69"/>
      <c r="G39" s="69">
        <v>-333044</v>
      </c>
      <c r="H39" s="69"/>
      <c r="I39" s="69"/>
      <c r="J39" s="17"/>
    </row>
    <row r="40" spans="1:10" ht="13" customHeight="1" x14ac:dyDescent="0.35">
      <c r="A40" s="778"/>
      <c r="B40" s="771"/>
      <c r="C40" s="772">
        <v>200</v>
      </c>
      <c r="D40" s="777"/>
      <c r="E40" s="777"/>
      <c r="F40" s="773"/>
      <c r="G40" s="773">
        <v>-32633</v>
      </c>
      <c r="H40" s="773"/>
      <c r="I40" s="773"/>
      <c r="J40" s="17"/>
    </row>
    <row r="41" spans="1:10" ht="13" customHeight="1" x14ac:dyDescent="0.35">
      <c r="A41" s="298"/>
      <c r="B41" s="84"/>
      <c r="C41" s="74" t="s">
        <v>167</v>
      </c>
      <c r="D41" s="69"/>
      <c r="E41" s="69"/>
      <c r="F41" s="69"/>
      <c r="G41" s="69">
        <v>-8860</v>
      </c>
      <c r="H41" s="69"/>
      <c r="I41" s="69"/>
      <c r="J41" s="17"/>
    </row>
    <row r="42" spans="1:10" ht="13" customHeight="1" x14ac:dyDescent="0.35">
      <c r="A42" s="778"/>
      <c r="B42" s="771"/>
      <c r="C42" s="772"/>
      <c r="D42" s="777"/>
      <c r="E42" s="777"/>
      <c r="F42" s="773"/>
      <c r="G42" s="773"/>
      <c r="H42" s="773"/>
      <c r="I42" s="773"/>
      <c r="J42" s="17"/>
    </row>
    <row r="43" spans="1:10" ht="13" customHeight="1" x14ac:dyDescent="0.35">
      <c r="A43" s="298"/>
      <c r="B43" s="84"/>
      <c r="C43" s="74"/>
      <c r="D43" s="69"/>
      <c r="E43" s="69"/>
      <c r="F43" s="69"/>
      <c r="G43" s="69"/>
      <c r="H43" s="69"/>
      <c r="I43" s="69"/>
      <c r="J43" s="17"/>
    </row>
    <row r="44" spans="1:10" ht="13" customHeight="1" x14ac:dyDescent="0.35">
      <c r="A44" s="778"/>
      <c r="B44" s="771"/>
      <c r="C44" s="772"/>
      <c r="D44" s="777"/>
      <c r="E44" s="777"/>
      <c r="F44" s="773"/>
      <c r="G44" s="773"/>
      <c r="H44" s="773"/>
      <c r="I44" s="773"/>
      <c r="J44" s="17"/>
    </row>
    <row r="45" spans="1:10" ht="13" customHeight="1" x14ac:dyDescent="0.35">
      <c r="A45" s="298"/>
      <c r="B45" s="84"/>
      <c r="C45" s="74"/>
      <c r="D45" s="69"/>
      <c r="E45" s="69"/>
      <c r="F45" s="69"/>
      <c r="G45" s="69"/>
      <c r="H45" s="69"/>
      <c r="I45" s="69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x14ac:dyDescent="0.35">
      <c r="A54" s="77"/>
      <c r="B54" s="78"/>
      <c r="C54" s="75"/>
      <c r="D54" s="73"/>
      <c r="E54" s="73"/>
      <c r="F54" s="73"/>
      <c r="G54" s="73"/>
      <c r="H54" s="73"/>
      <c r="I54" s="73"/>
    </row>
    <row r="55" spans="1:10" x14ac:dyDescent="0.35">
      <c r="A55" s="77"/>
      <c r="B55" s="78"/>
      <c r="C55" s="75"/>
      <c r="D55" s="73"/>
      <c r="E55" s="73"/>
      <c r="F55" s="73"/>
      <c r="G55" s="73"/>
      <c r="H55" s="73"/>
      <c r="I55" s="73"/>
    </row>
    <row r="56" spans="1:10" x14ac:dyDescent="0.35">
      <c r="A56" s="81"/>
      <c r="B56" s="81"/>
      <c r="C56" s="81"/>
      <c r="D56" s="81"/>
      <c r="E56" s="81"/>
      <c r="F56" s="81"/>
      <c r="G56" s="81"/>
      <c r="H56" s="81"/>
      <c r="I56" s="81"/>
    </row>
    <row r="57" spans="1:10" x14ac:dyDescent="0.35">
      <c r="A57" s="81"/>
      <c r="B57" s="81"/>
      <c r="C57" s="81"/>
      <c r="D57" s="81"/>
      <c r="E57" s="81"/>
      <c r="F57" s="81"/>
      <c r="G57" s="81"/>
      <c r="H57" s="81"/>
      <c r="I57" s="81"/>
    </row>
  </sheetData>
  <mergeCells count="6">
    <mergeCell ref="A1:I1"/>
    <mergeCell ref="A2:I2"/>
    <mergeCell ref="A3:I3"/>
    <mergeCell ref="A4:I4"/>
    <mergeCell ref="C6:I6"/>
    <mergeCell ref="C5:I5"/>
  </mergeCells>
  <conditionalFormatting sqref="A26">
    <cfRule type="expression" dxfId="86" priority="22">
      <formula>MOD(ROW(),2)=1</formula>
    </cfRule>
  </conditionalFormatting>
  <conditionalFormatting sqref="D26:E26">
    <cfRule type="expression" dxfId="85" priority="21">
      <formula>MOD(ROW(),2)=1</formula>
    </cfRule>
  </conditionalFormatting>
  <conditionalFormatting sqref="A28 A30">
    <cfRule type="expression" dxfId="84" priority="5">
      <formula>MOD(ROW(),2)=1</formula>
    </cfRule>
  </conditionalFormatting>
  <conditionalFormatting sqref="D28:E28 D30:E30">
    <cfRule type="expression" dxfId="83" priority="4">
      <formula>MOD(ROW(),2)=1</formula>
    </cfRule>
  </conditionalFormatting>
  <conditionalFormatting sqref="A32 A34 A36 A38 A40 A42 A44">
    <cfRule type="expression" dxfId="82" priority="3">
      <formula>MOD(ROW(),2)=1</formula>
    </cfRule>
  </conditionalFormatting>
  <conditionalFormatting sqref="D32:E32 D34:E34 D36:E36 D38:E38 D40:E40 D42:E42 D44:E44">
    <cfRule type="expression" dxfId="81" priority="2">
      <formula>MOD(ROW(),2)=1</formula>
    </cfRule>
  </conditionalFormatting>
  <conditionalFormatting sqref="C9:I15">
    <cfRule type="cellIs" dxfId="8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6">
    <tabColor theme="3"/>
  </sheetPr>
  <dimension ref="A1:K78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14</v>
      </c>
      <c r="C6" s="880" t="s">
        <v>121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</row>
    <row r="9" spans="1:11" x14ac:dyDescent="0.35">
      <c r="A9" s="9" t="s">
        <v>4</v>
      </c>
      <c r="B9" s="33">
        <v>60130461</v>
      </c>
      <c r="C9" s="33">
        <v>57654465</v>
      </c>
      <c r="D9" s="219">
        <f>+C9+SUMIF($C$20:$C$80,K9,$D$20:$D$80)</f>
        <v>58270680</v>
      </c>
      <c r="E9" s="114">
        <f ca="1">+D9+SUMIF($C$20:$C$80,K9,$E$20:$E$60)</f>
        <v>58752291</v>
      </c>
      <c r="F9" s="396">
        <f ca="1">+E9+SUMIF($C$20:$C$80,K9,$F$20:$F$80)</f>
        <v>58797980</v>
      </c>
      <c r="G9" s="33">
        <f ca="1">+F9+SUMIF($C$20:$C$80,K9,$G$20:$G$80)</f>
        <v>58762211</v>
      </c>
      <c r="H9" s="219">
        <f ca="1">+G9+SUMIF($C$20:$C$80,K9,$H$20:$H$80)</f>
        <v>58802573</v>
      </c>
      <c r="I9" s="50">
        <f ca="1">+H9+SUMIF($C$20:$C$80,K9,$I$20:$I$80)</f>
        <v>58811975</v>
      </c>
      <c r="K9" s="7">
        <v>100</v>
      </c>
    </row>
    <row r="10" spans="1:11" x14ac:dyDescent="0.35">
      <c r="A10" s="10" t="s">
        <v>5</v>
      </c>
      <c r="B10" s="35">
        <f>88736335+7482271-98810-1-1189</f>
        <v>96118606</v>
      </c>
      <c r="C10" s="35">
        <v>90506143</v>
      </c>
      <c r="D10" s="222">
        <f t="shared" ref="D10:D15" si="0">+C10+SUMIF($C$20:$C$80,K10,$D$20:$D$80)</f>
        <v>93424737</v>
      </c>
      <c r="E10" s="506">
        <f t="shared" ref="E10:E15" ca="1" si="1">+D10+SUMIF($C$20:$C$80,K10,$E$20:$E$60)</f>
        <v>95447448</v>
      </c>
      <c r="F10" s="504">
        <f t="shared" ref="F10:F15" ca="1" si="2">+E10+SUMIF($C$20:$C$80,K10,$F$20:$F$80)</f>
        <v>49014705</v>
      </c>
      <c r="G10" s="35">
        <f t="shared" ref="G10:G15" ca="1" si="3">+F10+SUMIF($C$20:$C$80,K10,$G$20:$G$80)</f>
        <v>48847227</v>
      </c>
      <c r="H10" s="222">
        <f t="shared" ref="H10:H15" ca="1" si="4">+G10+SUMIF($C$20:$C$80,K10,$H$20:$H$80)</f>
        <v>48854899</v>
      </c>
      <c r="I10" s="36">
        <f t="shared" ref="I10:I15" ca="1" si="5">+H10+SUMIF($C$20:$C$80,K10,$I$20:$I$80)</f>
        <v>48854899</v>
      </c>
      <c r="K10" s="7">
        <v>200</v>
      </c>
    </row>
    <row r="11" spans="1:11" x14ac:dyDescent="0.35">
      <c r="A11" s="9" t="s">
        <v>6</v>
      </c>
      <c r="B11" s="33">
        <f>6633690+1015265+170815</f>
        <v>7819770</v>
      </c>
      <c r="C11" s="33">
        <v>6768973</v>
      </c>
      <c r="D11" s="219">
        <f t="shared" si="0"/>
        <v>6142973</v>
      </c>
      <c r="E11" s="114">
        <f t="shared" ca="1" si="1"/>
        <v>7366053</v>
      </c>
      <c r="F11" s="396">
        <f t="shared" ca="1" si="2"/>
        <v>6344453</v>
      </c>
      <c r="G11" s="33">
        <f t="shared" ca="1" si="3"/>
        <v>6344453</v>
      </c>
      <c r="H11" s="219">
        <f t="shared" ca="1" si="4"/>
        <v>6344453</v>
      </c>
      <c r="I11" s="34">
        <f t="shared" ca="1" si="5"/>
        <v>6344453</v>
      </c>
      <c r="K11" s="7" t="s">
        <v>167</v>
      </c>
    </row>
    <row r="12" spans="1:11" x14ac:dyDescent="0.35">
      <c r="A12" s="10" t="s">
        <v>7</v>
      </c>
      <c r="B12" s="35">
        <v>4944</v>
      </c>
      <c r="C12" s="35">
        <v>0</v>
      </c>
      <c r="D12" s="222">
        <f t="shared" si="0"/>
        <v>0</v>
      </c>
      <c r="E12" s="506">
        <f t="shared" ca="1" si="1"/>
        <v>0</v>
      </c>
      <c r="F12" s="504">
        <f t="shared" ca="1" si="2"/>
        <v>0</v>
      </c>
      <c r="G12" s="35">
        <f t="shared" ca="1" si="3"/>
        <v>0</v>
      </c>
      <c r="H12" s="222">
        <f t="shared" ca="1" si="4"/>
        <v>0</v>
      </c>
      <c r="I12" s="36">
        <f t="shared" ca="1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ca="1" si="1"/>
        <v>0</v>
      </c>
      <c r="F13" s="396">
        <f t="shared" ca="1" si="2"/>
        <v>0</v>
      </c>
      <c r="G13" s="33">
        <f t="shared" ca="1" si="3"/>
        <v>0</v>
      </c>
      <c r="H13" s="219">
        <f t="shared" ca="1" si="4"/>
        <v>0</v>
      </c>
      <c r="I13" s="34">
        <f t="shared" ca="1" si="5"/>
        <v>0</v>
      </c>
      <c r="K13" s="7">
        <v>700</v>
      </c>
    </row>
    <row r="14" spans="1:11" x14ac:dyDescent="0.35">
      <c r="A14" s="10" t="s">
        <v>9</v>
      </c>
      <c r="B14" s="35">
        <v>4500000</v>
      </c>
      <c r="C14" s="35">
        <v>4423404</v>
      </c>
      <c r="D14" s="222">
        <f t="shared" si="0"/>
        <v>4423404</v>
      </c>
      <c r="E14" s="506">
        <f t="shared" ca="1" si="1"/>
        <v>923404</v>
      </c>
      <c r="F14" s="504">
        <f t="shared" ca="1" si="2"/>
        <v>923404</v>
      </c>
      <c r="G14" s="35">
        <f t="shared" ca="1" si="3"/>
        <v>923404</v>
      </c>
      <c r="H14" s="222">
        <f t="shared" ca="1" si="4"/>
        <v>923404</v>
      </c>
      <c r="I14" s="36">
        <f t="shared" ca="1" si="5"/>
        <v>923404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ca="1" si="1"/>
        <v>0</v>
      </c>
      <c r="F15" s="505">
        <f t="shared" ca="1" si="2"/>
        <v>0</v>
      </c>
      <c r="G15" s="37">
        <f t="shared" ca="1" si="3"/>
        <v>0</v>
      </c>
      <c r="H15" s="223">
        <f t="shared" ca="1" si="4"/>
        <v>0</v>
      </c>
      <c r="I15" s="38">
        <f t="shared" ca="1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168573781</v>
      </c>
      <c r="C16" s="39">
        <f t="shared" ref="C16:I16" si="6">SUM(C9:C15)</f>
        <v>159352985</v>
      </c>
      <c r="D16" s="39">
        <f t="shared" si="6"/>
        <v>162261794</v>
      </c>
      <c r="E16" s="529">
        <f t="shared" ca="1" si="6"/>
        <v>162489196</v>
      </c>
      <c r="F16" s="39">
        <f t="shared" ca="1" si="6"/>
        <v>115080542</v>
      </c>
      <c r="G16" s="39">
        <f t="shared" ca="1" si="6"/>
        <v>114877295</v>
      </c>
      <c r="H16" s="39">
        <f t="shared" ca="1" si="6"/>
        <v>114925329</v>
      </c>
      <c r="I16" s="39">
        <f t="shared" ca="1" si="6"/>
        <v>114934731</v>
      </c>
    </row>
    <row r="18" spans="1:11" x14ac:dyDescent="0.35">
      <c r="E18" s="401">
        <f ca="1">+E16-D16</f>
        <v>227402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228" t="s">
        <v>635</v>
      </c>
      <c r="B20" s="70"/>
      <c r="C20" s="71"/>
      <c r="D20" s="72"/>
      <c r="E20" s="72"/>
      <c r="F20" s="73"/>
      <c r="G20" s="73"/>
      <c r="H20" s="73"/>
      <c r="I20" s="73"/>
    </row>
    <row r="21" spans="1:11" ht="15" customHeight="1" x14ac:dyDescent="0.35">
      <c r="A21" s="387" t="s">
        <v>231</v>
      </c>
      <c r="B21" s="84"/>
      <c r="C21" s="86"/>
      <c r="D21" s="69"/>
      <c r="E21" s="69"/>
      <c r="F21" s="69"/>
      <c r="G21" s="69"/>
      <c r="H21" s="69"/>
      <c r="I21" s="69"/>
    </row>
    <row r="22" spans="1:11" s="58" customFormat="1" ht="13" customHeight="1" x14ac:dyDescent="0.35">
      <c r="A22" s="77" t="s">
        <v>248</v>
      </c>
      <c r="B22" s="70"/>
      <c r="C22" s="71">
        <v>100</v>
      </c>
      <c r="D22" s="73"/>
      <c r="E22" s="73">
        <v>15000</v>
      </c>
      <c r="F22" s="73"/>
      <c r="G22" s="73"/>
      <c r="H22" s="73"/>
      <c r="I22" s="73"/>
      <c r="J22" s="81"/>
      <c r="K22" s="7"/>
    </row>
    <row r="23" spans="1:11" ht="13" customHeight="1" x14ac:dyDescent="0.35">
      <c r="A23" s="83" t="s">
        <v>249</v>
      </c>
      <c r="B23" s="84"/>
      <c r="C23" s="67">
        <v>200</v>
      </c>
      <c r="D23" s="68"/>
      <c r="E23" s="68">
        <v>5686</v>
      </c>
      <c r="F23" s="68"/>
      <c r="G23" s="69"/>
      <c r="H23" s="69"/>
      <c r="I23" s="69"/>
      <c r="J23" s="17"/>
    </row>
    <row r="24" spans="1:11" ht="13" customHeight="1" x14ac:dyDescent="0.35">
      <c r="A24" s="77" t="s">
        <v>250</v>
      </c>
      <c r="B24" s="78"/>
      <c r="C24" s="71">
        <v>100</v>
      </c>
      <c r="D24" s="72"/>
      <c r="E24" s="72">
        <v>9342</v>
      </c>
      <c r="F24" s="72"/>
      <c r="G24" s="73"/>
      <c r="H24" s="73"/>
      <c r="I24" s="73"/>
      <c r="J24" s="17"/>
    </row>
    <row r="25" spans="1:11" ht="12.75" customHeight="1" x14ac:dyDescent="0.35">
      <c r="A25" s="170"/>
      <c r="B25" s="84"/>
      <c r="C25" s="67">
        <v>200</v>
      </c>
      <c r="D25" s="68"/>
      <c r="E25" s="68">
        <v>31721</v>
      </c>
      <c r="F25" s="68"/>
      <c r="G25" s="69"/>
      <c r="H25" s="69"/>
      <c r="I25" s="69"/>
      <c r="J25" s="17"/>
    </row>
    <row r="26" spans="1:11" ht="13" customHeight="1" x14ac:dyDescent="0.35">
      <c r="A26" s="740" t="s">
        <v>244</v>
      </c>
      <c r="B26" s="70"/>
      <c r="C26" s="71"/>
      <c r="D26" s="72"/>
      <c r="E26" s="73"/>
      <c r="F26" s="73"/>
      <c r="G26" s="73"/>
      <c r="H26" s="73"/>
      <c r="I26" s="73"/>
      <c r="J26" s="17"/>
    </row>
    <row r="27" spans="1:11" ht="13" customHeight="1" x14ac:dyDescent="0.35">
      <c r="A27" s="298" t="s">
        <v>278</v>
      </c>
      <c r="B27" s="130"/>
      <c r="C27" s="130">
        <v>200</v>
      </c>
      <c r="D27" s="69"/>
      <c r="E27" s="69"/>
      <c r="F27" s="69">
        <v>-50000</v>
      </c>
      <c r="G27" s="69"/>
      <c r="H27" s="69"/>
      <c r="I27" s="69"/>
      <c r="J27" s="17"/>
    </row>
    <row r="28" spans="1:11" ht="13" customHeight="1" x14ac:dyDescent="0.35">
      <c r="A28" s="187" t="s">
        <v>332</v>
      </c>
      <c r="B28" s="58"/>
      <c r="C28" s="81"/>
      <c r="D28" s="73"/>
      <c r="E28" s="73"/>
      <c r="F28" s="72"/>
      <c r="G28" s="73"/>
      <c r="H28" s="73"/>
      <c r="I28" s="73"/>
      <c r="J28" s="17"/>
    </row>
    <row r="29" spans="1:11" ht="13" customHeight="1" x14ac:dyDescent="0.35">
      <c r="A29" s="130" t="s">
        <v>350</v>
      </c>
      <c r="B29" s="143"/>
      <c r="C29" s="130">
        <v>100</v>
      </c>
      <c r="D29" s="69"/>
      <c r="E29" s="69">
        <v>-75000</v>
      </c>
      <c r="F29" s="68"/>
      <c r="G29" s="69"/>
      <c r="H29" s="69"/>
      <c r="I29" s="69"/>
      <c r="J29" s="17"/>
    </row>
    <row r="30" spans="1:11" ht="13" customHeight="1" x14ac:dyDescent="0.35">
      <c r="A30" s="179"/>
      <c r="B30" s="467"/>
      <c r="C30" s="93">
        <v>200</v>
      </c>
      <c r="D30" s="94"/>
      <c r="E30" s="94">
        <v>1044770</v>
      </c>
      <c r="F30" s="94">
        <v>-10000</v>
      </c>
      <c r="G30" s="94"/>
      <c r="H30" s="94"/>
      <c r="I30" s="94"/>
      <c r="J30" s="17"/>
    </row>
    <row r="31" spans="1:11" ht="13" customHeight="1" x14ac:dyDescent="0.35">
      <c r="A31" s="583" t="s">
        <v>352</v>
      </c>
      <c r="B31" s="130"/>
      <c r="C31" s="234" t="s">
        <v>167</v>
      </c>
      <c r="D31" s="69"/>
      <c r="E31" s="69">
        <v>130230</v>
      </c>
      <c r="F31" s="69">
        <v>-90000</v>
      </c>
      <c r="G31" s="69"/>
      <c r="H31" s="69"/>
      <c r="I31" s="69"/>
      <c r="J31" s="17"/>
    </row>
    <row r="32" spans="1:11" ht="12.75" customHeight="1" x14ac:dyDescent="0.35">
      <c r="A32" s="608"/>
      <c r="B32" s="58"/>
      <c r="C32" s="81">
        <v>800</v>
      </c>
      <c r="D32" s="73"/>
      <c r="E32" s="73">
        <v>-3500000</v>
      </c>
      <c r="F32" s="73"/>
      <c r="G32" s="73"/>
      <c r="H32" s="73"/>
      <c r="I32" s="73"/>
      <c r="J32" s="18"/>
    </row>
    <row r="33" spans="1:10" ht="12.75" customHeight="1" x14ac:dyDescent="0.35">
      <c r="A33" s="692" t="s">
        <v>431</v>
      </c>
      <c r="B33" s="143"/>
      <c r="C33" s="234"/>
      <c r="D33" s="69"/>
      <c r="E33" s="69"/>
      <c r="F33" s="69"/>
      <c r="G33" s="69"/>
      <c r="H33" s="69"/>
      <c r="I33" s="69"/>
      <c r="J33" s="18"/>
    </row>
    <row r="34" spans="1:10" ht="12.75" customHeight="1" x14ac:dyDescent="0.35">
      <c r="A34" s="838" t="s">
        <v>432</v>
      </c>
      <c r="B34" s="58"/>
      <c r="C34" s="685">
        <v>100</v>
      </c>
      <c r="D34" s="73"/>
      <c r="E34" s="73">
        <v>28544</v>
      </c>
      <c r="F34" s="73">
        <v>29400</v>
      </c>
      <c r="G34" s="81">
        <v>30282</v>
      </c>
      <c r="H34" s="81">
        <v>31190</v>
      </c>
      <c r="I34" s="81"/>
      <c r="J34" s="18"/>
    </row>
    <row r="35" spans="1:10" ht="12.75" customHeight="1" x14ac:dyDescent="0.35">
      <c r="A35" s="474" t="s">
        <v>433</v>
      </c>
      <c r="B35" s="140"/>
      <c r="C35" s="686">
        <v>200</v>
      </c>
      <c r="D35" s="142"/>
      <c r="E35" s="142">
        <v>-1004266</v>
      </c>
      <c r="F35" s="142">
        <v>7374</v>
      </c>
      <c r="G35" s="142">
        <v>7522</v>
      </c>
      <c r="H35" s="142">
        <v>7672</v>
      </c>
      <c r="I35" s="142"/>
      <c r="J35" s="18"/>
    </row>
    <row r="36" spans="1:10" ht="12.75" customHeight="1" x14ac:dyDescent="0.35">
      <c r="A36" s="800"/>
      <c r="B36" s="200"/>
      <c r="C36" s="834" t="s">
        <v>167</v>
      </c>
      <c r="D36" s="94"/>
      <c r="E36" s="94">
        <v>-15300</v>
      </c>
      <c r="F36" s="94"/>
      <c r="G36" s="94"/>
      <c r="H36" s="94"/>
      <c r="I36" s="94"/>
      <c r="J36" s="18"/>
    </row>
    <row r="37" spans="1:10" ht="12.75" customHeight="1" x14ac:dyDescent="0.35">
      <c r="A37" s="764" t="s">
        <v>453</v>
      </c>
      <c r="B37" s="196"/>
      <c r="C37" s="686">
        <v>200</v>
      </c>
      <c r="D37" s="142"/>
      <c r="E37" s="142">
        <v>-350000</v>
      </c>
      <c r="F37" s="142"/>
      <c r="G37" s="142"/>
      <c r="H37" s="142"/>
      <c r="I37" s="142"/>
      <c r="J37" s="18"/>
    </row>
    <row r="38" spans="1:10" ht="12.75" customHeight="1" x14ac:dyDescent="0.35">
      <c r="A38" s="354"/>
      <c r="B38" s="200"/>
      <c r="C38" s="834" t="s">
        <v>167</v>
      </c>
      <c r="D38" s="94"/>
      <c r="E38" s="94">
        <v>-850000</v>
      </c>
      <c r="F38" s="94"/>
      <c r="G38" s="94"/>
      <c r="H38" s="94"/>
      <c r="I38" s="94"/>
    </row>
    <row r="39" spans="1:10" ht="12.75" customHeight="1" x14ac:dyDescent="0.35">
      <c r="A39" s="774" t="s">
        <v>486</v>
      </c>
      <c r="B39" s="196"/>
      <c r="C39" s="835"/>
      <c r="D39" s="836"/>
      <c r="E39" s="836"/>
      <c r="F39" s="142"/>
      <c r="G39" s="142"/>
      <c r="H39" s="142"/>
      <c r="I39" s="142"/>
    </row>
    <row r="40" spans="1:10" ht="12.75" customHeight="1" x14ac:dyDescent="0.35">
      <c r="A40" s="316" t="s">
        <v>507</v>
      </c>
      <c r="B40" s="200"/>
      <c r="C40" s="837">
        <v>100</v>
      </c>
      <c r="D40" s="94"/>
      <c r="E40" s="94"/>
      <c r="F40" s="94">
        <v>2551598</v>
      </c>
      <c r="G40" s="94"/>
      <c r="H40" s="94"/>
      <c r="I40" s="94"/>
    </row>
    <row r="41" spans="1:10" x14ac:dyDescent="0.35">
      <c r="A41" s="298" t="s">
        <v>504</v>
      </c>
      <c r="B41" s="143"/>
      <c r="C41" s="751">
        <v>200</v>
      </c>
      <c r="D41" s="584"/>
      <c r="E41" s="584"/>
      <c r="F41" s="69">
        <v>5493681</v>
      </c>
      <c r="G41" s="69"/>
      <c r="H41" s="69"/>
      <c r="I41" s="69"/>
    </row>
    <row r="42" spans="1:10" x14ac:dyDescent="0.35">
      <c r="A42" s="296" t="s">
        <v>505</v>
      </c>
      <c r="B42" s="58"/>
      <c r="C42" s="690" t="s">
        <v>167</v>
      </c>
      <c r="D42" s="73"/>
      <c r="E42" s="73"/>
      <c r="F42" s="94">
        <v>703600</v>
      </c>
      <c r="G42" s="94"/>
      <c r="H42" s="94"/>
      <c r="I42" s="94"/>
    </row>
    <row r="43" spans="1:10" x14ac:dyDescent="0.35">
      <c r="A43" s="298" t="s">
        <v>506</v>
      </c>
      <c r="B43" s="143"/>
      <c r="C43" s="589" t="s">
        <v>167</v>
      </c>
      <c r="D43" s="584"/>
      <c r="E43" s="584"/>
      <c r="F43" s="69">
        <v>104875</v>
      </c>
      <c r="G43" s="69"/>
      <c r="H43" s="69"/>
      <c r="I43" s="69"/>
    </row>
    <row r="44" spans="1:10" x14ac:dyDescent="0.35">
      <c r="A44" s="296" t="s">
        <v>592</v>
      </c>
      <c r="B44" s="58"/>
      <c r="C44" s="690">
        <v>100</v>
      </c>
      <c r="D44" s="73"/>
      <c r="E44" s="73">
        <v>72367</v>
      </c>
      <c r="F44" s="94"/>
      <c r="G44" s="94"/>
      <c r="H44" s="94"/>
      <c r="I44" s="94"/>
    </row>
    <row r="45" spans="1:10" x14ac:dyDescent="0.35">
      <c r="A45" s="312" t="s">
        <v>594</v>
      </c>
      <c r="B45" s="143"/>
      <c r="C45" s="589"/>
      <c r="D45" s="584"/>
      <c r="E45" s="584"/>
      <c r="F45" s="69"/>
      <c r="G45" s="69"/>
      <c r="H45" s="69"/>
      <c r="I45" s="69"/>
    </row>
    <row r="46" spans="1:10" x14ac:dyDescent="0.35">
      <c r="A46" s="296" t="s">
        <v>616</v>
      </c>
      <c r="B46" s="58"/>
      <c r="C46" s="690">
        <v>100</v>
      </c>
      <c r="D46" s="73"/>
      <c r="E46" s="73"/>
      <c r="F46" s="94">
        <v>-2551598</v>
      </c>
      <c r="G46" s="94">
        <v>2551598</v>
      </c>
      <c r="H46" s="94"/>
      <c r="I46" s="94"/>
    </row>
    <row r="47" spans="1:10" ht="12.75" customHeight="1" x14ac:dyDescent="0.35">
      <c r="A47" s="298"/>
      <c r="B47" s="143"/>
      <c r="C47" s="589">
        <v>200</v>
      </c>
      <c r="D47" s="584"/>
      <c r="E47" s="584"/>
      <c r="F47" s="69">
        <v>-5493681</v>
      </c>
      <c r="G47" s="69">
        <v>5493681</v>
      </c>
      <c r="H47" s="69"/>
      <c r="I47" s="69"/>
    </row>
    <row r="48" spans="1:10" ht="12.75" customHeight="1" x14ac:dyDescent="0.35">
      <c r="A48" s="296"/>
      <c r="B48" s="58"/>
      <c r="C48" s="690" t="s">
        <v>167</v>
      </c>
      <c r="D48" s="73"/>
      <c r="E48" s="73"/>
      <c r="F48" s="94">
        <v>-703600</v>
      </c>
      <c r="G48" s="94">
        <v>703600</v>
      </c>
      <c r="H48" s="94"/>
      <c r="I48" s="94"/>
    </row>
    <row r="49" spans="1:9" ht="12.75" customHeight="1" x14ac:dyDescent="0.35">
      <c r="A49" s="298"/>
      <c r="B49" s="143"/>
      <c r="C49" s="589" t="s">
        <v>167</v>
      </c>
      <c r="D49" s="584"/>
      <c r="E49" s="584"/>
      <c r="F49" s="69">
        <v>-104875</v>
      </c>
      <c r="G49" s="69">
        <v>104875</v>
      </c>
      <c r="H49" s="69"/>
      <c r="I49" s="69"/>
    </row>
    <row r="50" spans="1:9" ht="12.75" customHeight="1" x14ac:dyDescent="0.35">
      <c r="A50" s="740" t="s">
        <v>648</v>
      </c>
      <c r="B50" s="58"/>
      <c r="C50" s="690"/>
      <c r="D50" s="73"/>
      <c r="E50" s="73"/>
      <c r="F50" s="94"/>
      <c r="G50" s="94"/>
      <c r="H50" s="94"/>
      <c r="I50" s="94"/>
    </row>
    <row r="51" spans="1:9" ht="12.75" customHeight="1" x14ac:dyDescent="0.35">
      <c r="A51" s="298" t="s">
        <v>664</v>
      </c>
      <c r="B51" s="143"/>
      <c r="C51" s="589">
        <v>100</v>
      </c>
      <c r="D51" s="584">
        <v>616215</v>
      </c>
      <c r="E51" s="584"/>
      <c r="F51" s="69"/>
      <c r="G51" s="69"/>
      <c r="H51" s="69"/>
      <c r="I51" s="69"/>
    </row>
    <row r="52" spans="1:9" ht="12.75" customHeight="1" x14ac:dyDescent="0.35">
      <c r="A52" s="296"/>
      <c r="B52" s="58"/>
      <c r="C52" s="690">
        <v>200</v>
      </c>
      <c r="D52" s="73">
        <v>3157594</v>
      </c>
      <c r="E52" s="73"/>
      <c r="F52" s="94"/>
      <c r="G52" s="94"/>
      <c r="H52" s="94"/>
      <c r="I52" s="94"/>
    </row>
    <row r="53" spans="1:9" ht="12.75" customHeight="1" x14ac:dyDescent="0.35">
      <c r="A53" s="298" t="s">
        <v>665</v>
      </c>
      <c r="B53" s="143"/>
      <c r="C53" s="589">
        <v>200</v>
      </c>
      <c r="D53" s="584">
        <v>150000</v>
      </c>
      <c r="E53" s="584">
        <v>-150000</v>
      </c>
      <c r="F53" s="69"/>
      <c r="G53" s="69"/>
      <c r="H53" s="69"/>
      <c r="I53" s="69"/>
    </row>
    <row r="54" spans="1:9" ht="12.75" customHeight="1" x14ac:dyDescent="0.35">
      <c r="A54" s="740" t="s">
        <v>715</v>
      </c>
      <c r="B54" s="58"/>
      <c r="C54" s="690"/>
      <c r="D54" s="73"/>
      <c r="E54" s="73"/>
      <c r="F54" s="94"/>
      <c r="G54" s="94"/>
      <c r="H54" s="94"/>
      <c r="I54" s="94"/>
    </row>
    <row r="55" spans="1:9" x14ac:dyDescent="0.35">
      <c r="A55" s="298" t="s">
        <v>721</v>
      </c>
      <c r="B55" s="143"/>
      <c r="C55" s="589">
        <v>200</v>
      </c>
      <c r="D55" s="584">
        <v>-250000</v>
      </c>
      <c r="E55" s="584">
        <v>500000</v>
      </c>
      <c r="F55" s="69">
        <v>-250000</v>
      </c>
      <c r="G55" s="69"/>
      <c r="H55" s="69"/>
      <c r="I55" s="69"/>
    </row>
    <row r="56" spans="1:9" x14ac:dyDescent="0.35">
      <c r="A56" s="296"/>
      <c r="B56" s="58"/>
      <c r="C56" s="754" t="s">
        <v>167</v>
      </c>
      <c r="D56" s="73">
        <v>-400000</v>
      </c>
      <c r="E56" s="73">
        <v>800000</v>
      </c>
      <c r="F56" s="94">
        <v>-400000</v>
      </c>
      <c r="G56" s="94"/>
      <c r="H56" s="94"/>
      <c r="I56" s="94"/>
    </row>
    <row r="57" spans="1:9" x14ac:dyDescent="0.35">
      <c r="A57" s="298" t="s">
        <v>730</v>
      </c>
      <c r="B57" s="143"/>
      <c r="C57" s="589">
        <v>200</v>
      </c>
      <c r="D57" s="584"/>
      <c r="E57" s="584">
        <v>-70000</v>
      </c>
      <c r="F57" s="69"/>
      <c r="G57" s="69"/>
      <c r="H57" s="69"/>
      <c r="I57" s="69"/>
    </row>
    <row r="58" spans="1:9" x14ac:dyDescent="0.35">
      <c r="A58" s="296"/>
      <c r="B58" s="58"/>
      <c r="C58" s="690">
        <v>100</v>
      </c>
      <c r="D58" s="73"/>
      <c r="E58" s="73">
        <v>70000</v>
      </c>
      <c r="F58" s="94"/>
      <c r="G58" s="94"/>
      <c r="H58" s="94"/>
      <c r="I58" s="94"/>
    </row>
    <row r="59" spans="1:9" x14ac:dyDescent="0.35">
      <c r="A59" s="298" t="s">
        <v>834</v>
      </c>
      <c r="B59" s="143"/>
      <c r="C59" s="589">
        <v>100</v>
      </c>
      <c r="D59" s="584"/>
      <c r="E59" s="584"/>
      <c r="F59" s="584">
        <v>-55300</v>
      </c>
      <c r="G59" s="69"/>
      <c r="H59" s="69"/>
      <c r="I59" s="69"/>
    </row>
    <row r="60" spans="1:9" x14ac:dyDescent="0.35">
      <c r="A60" s="296"/>
      <c r="B60" s="58"/>
      <c r="C60" s="690">
        <v>200</v>
      </c>
      <c r="D60" s="73"/>
      <c r="E60" s="73"/>
      <c r="F60" s="73">
        <v>-44429317</v>
      </c>
      <c r="G60" s="94"/>
      <c r="H60" s="94"/>
      <c r="I60" s="94"/>
    </row>
    <row r="61" spans="1:9" x14ac:dyDescent="0.35">
      <c r="A61" s="298"/>
      <c r="B61" s="143"/>
      <c r="C61" s="751" t="s">
        <v>167</v>
      </c>
      <c r="D61" s="584"/>
      <c r="E61" s="584"/>
      <c r="F61" s="584">
        <v>-1950</v>
      </c>
      <c r="G61" s="69"/>
      <c r="H61" s="69"/>
      <c r="I61" s="69"/>
    </row>
    <row r="62" spans="1:9" x14ac:dyDescent="0.35">
      <c r="A62" s="296" t="s">
        <v>835</v>
      </c>
      <c r="B62" s="58"/>
      <c r="C62" s="690">
        <v>200</v>
      </c>
      <c r="D62" s="73"/>
      <c r="E62" s="73">
        <v>980375</v>
      </c>
      <c r="F62" s="94">
        <v>-980375</v>
      </c>
      <c r="G62" s="94"/>
      <c r="H62" s="94"/>
      <c r="I62" s="94"/>
    </row>
    <row r="63" spans="1:9" x14ac:dyDescent="0.35">
      <c r="A63" s="298" t="s">
        <v>836</v>
      </c>
      <c r="B63" s="143"/>
      <c r="C63" s="589">
        <v>200</v>
      </c>
      <c r="D63" s="584"/>
      <c r="E63" s="584">
        <v>140000</v>
      </c>
      <c r="F63" s="69">
        <v>-140000</v>
      </c>
      <c r="G63" s="69"/>
      <c r="H63" s="69"/>
      <c r="I63" s="69"/>
    </row>
    <row r="64" spans="1:9" x14ac:dyDescent="0.35">
      <c r="A64" s="296" t="s">
        <v>837</v>
      </c>
      <c r="B64" s="58"/>
      <c r="C64" s="690">
        <v>100</v>
      </c>
      <c r="D64" s="73"/>
      <c r="E64" s="73">
        <v>286358</v>
      </c>
      <c r="F64" s="73">
        <f>357947-E64</f>
        <v>71589</v>
      </c>
      <c r="G64" s="94">
        <f>366896-F64-E64</f>
        <v>8949</v>
      </c>
      <c r="H64" s="94">
        <f>376068-G64-F64-E64</f>
        <v>9172</v>
      </c>
      <c r="I64" s="94">
        <f>385470-H64-G64-F64-E64</f>
        <v>9402</v>
      </c>
    </row>
    <row r="65" spans="1:9" x14ac:dyDescent="0.35">
      <c r="A65" s="298"/>
      <c r="B65" s="143"/>
      <c r="C65" s="589">
        <v>200</v>
      </c>
      <c r="D65" s="584"/>
      <c r="E65" s="584">
        <v>441425</v>
      </c>
      <c r="F65" s="584">
        <v>-441425</v>
      </c>
      <c r="G65" s="69"/>
      <c r="H65" s="69"/>
      <c r="I65" s="69"/>
    </row>
    <row r="66" spans="1:9" x14ac:dyDescent="0.35">
      <c r="A66" s="296"/>
      <c r="B66" s="58"/>
      <c r="C66" s="754" t="s">
        <v>167</v>
      </c>
      <c r="D66" s="73"/>
      <c r="E66" s="73">
        <v>303650</v>
      </c>
      <c r="F66" s="73">
        <v>-303650</v>
      </c>
      <c r="G66" s="94"/>
      <c r="H66" s="94"/>
      <c r="I66" s="94"/>
    </row>
    <row r="67" spans="1:9" x14ac:dyDescent="0.35">
      <c r="A67" s="298" t="s">
        <v>838</v>
      </c>
      <c r="B67" s="143"/>
      <c r="C67" s="751" t="s">
        <v>167</v>
      </c>
      <c r="D67" s="584"/>
      <c r="E67" s="584">
        <v>402500</v>
      </c>
      <c r="F67" s="584"/>
      <c r="G67" s="69"/>
      <c r="H67" s="69"/>
      <c r="I67" s="69"/>
    </row>
    <row r="68" spans="1:9" x14ac:dyDescent="0.35">
      <c r="A68" s="296" t="s">
        <v>839</v>
      </c>
      <c r="B68" s="58"/>
      <c r="C68" s="754">
        <v>200</v>
      </c>
      <c r="D68" s="73">
        <v>-139000</v>
      </c>
      <c r="E68" s="73">
        <f>139000+139000</f>
        <v>278000</v>
      </c>
      <c r="F68" s="73">
        <v>-139000</v>
      </c>
      <c r="G68" s="73"/>
      <c r="H68" s="94"/>
      <c r="I68" s="94"/>
    </row>
    <row r="69" spans="1:9" x14ac:dyDescent="0.35">
      <c r="A69" s="298"/>
      <c r="B69" s="143"/>
      <c r="C69" s="751" t="s">
        <v>167</v>
      </c>
      <c r="D69" s="584">
        <v>-226000</v>
      </c>
      <c r="E69" s="584">
        <f>226000+226000</f>
        <v>452000</v>
      </c>
      <c r="F69" s="69">
        <v>-226000</v>
      </c>
      <c r="G69" s="69"/>
      <c r="H69" s="69"/>
      <c r="I69" s="69"/>
    </row>
    <row r="70" spans="1:9" x14ac:dyDescent="0.35">
      <c r="A70" s="296" t="s">
        <v>910</v>
      </c>
      <c r="B70" s="58"/>
      <c r="C70" s="690">
        <v>100</v>
      </c>
      <c r="D70" s="73"/>
      <c r="E70" s="73">
        <v>75000</v>
      </c>
      <c r="F70" s="73"/>
      <c r="G70" s="94">
        <v>-75000</v>
      </c>
      <c r="H70" s="94"/>
      <c r="I70" s="94"/>
    </row>
    <row r="71" spans="1:9" x14ac:dyDescent="0.35">
      <c r="A71" s="298"/>
      <c r="B71" s="143"/>
      <c r="C71" s="589">
        <v>200</v>
      </c>
      <c r="D71" s="584"/>
      <c r="E71" s="584">
        <v>175000</v>
      </c>
      <c r="F71" s="69"/>
      <c r="G71" s="69">
        <v>-175000</v>
      </c>
      <c r="H71" s="69"/>
      <c r="I71" s="69"/>
    </row>
    <row r="72" spans="1:9" x14ac:dyDescent="0.35">
      <c r="A72" s="296" t="s">
        <v>866</v>
      </c>
      <c r="B72" s="58"/>
      <c r="C72" s="690">
        <v>100</v>
      </c>
      <c r="D72" s="73"/>
      <c r="E72" s="73"/>
      <c r="F72" s="73"/>
      <c r="G72" s="94">
        <v>-2551598</v>
      </c>
      <c r="H72" s="94"/>
      <c r="I72" s="94"/>
    </row>
    <row r="73" spans="1:9" x14ac:dyDescent="0.35">
      <c r="A73" s="298"/>
      <c r="B73" s="143"/>
      <c r="C73" s="589">
        <v>200</v>
      </c>
      <c r="D73" s="584"/>
      <c r="E73" s="584"/>
      <c r="F73" s="69"/>
      <c r="G73" s="69">
        <v>-5493681</v>
      </c>
      <c r="H73" s="69"/>
      <c r="I73" s="69"/>
    </row>
    <row r="74" spans="1:9" x14ac:dyDescent="0.35">
      <c r="A74" s="296"/>
      <c r="B74" s="58"/>
      <c r="C74" s="690" t="s">
        <v>167</v>
      </c>
      <c r="D74" s="73"/>
      <c r="E74" s="73"/>
      <c r="F74" s="73"/>
      <c r="G74" s="94">
        <v>-703600</v>
      </c>
      <c r="H74" s="94"/>
      <c r="I74" s="94"/>
    </row>
    <row r="75" spans="1:9" x14ac:dyDescent="0.35">
      <c r="A75" s="298"/>
      <c r="B75" s="143"/>
      <c r="C75" s="589" t="s">
        <v>167</v>
      </c>
      <c r="D75" s="584"/>
      <c r="E75" s="584"/>
      <c r="F75" s="69"/>
      <c r="G75" s="69">
        <v>-104875</v>
      </c>
      <c r="H75" s="69"/>
      <c r="I75" s="69"/>
    </row>
    <row r="76" spans="1:9" x14ac:dyDescent="0.35">
      <c r="A76" s="296"/>
      <c r="B76" s="58"/>
      <c r="C76" s="690"/>
      <c r="D76" s="73"/>
      <c r="E76" s="73"/>
      <c r="F76" s="73"/>
      <c r="G76" s="94"/>
      <c r="H76" s="94"/>
      <c r="I76" s="94"/>
    </row>
    <row r="77" spans="1:9" x14ac:dyDescent="0.35">
      <c r="A77" s="298"/>
      <c r="B77" s="143"/>
      <c r="C77" s="589"/>
      <c r="D77" s="584"/>
      <c r="E77" s="584"/>
      <c r="F77" s="69"/>
      <c r="G77" s="69"/>
      <c r="H77" s="69"/>
      <c r="I77" s="69"/>
    </row>
    <row r="78" spans="1:9" x14ac:dyDescent="0.35">
      <c r="A78" s="296"/>
      <c r="B78" s="58"/>
      <c r="C78" s="690"/>
      <c r="D78" s="73"/>
      <c r="E78" s="73"/>
      <c r="F78" s="73"/>
      <c r="G78" s="94"/>
      <c r="H78" s="94"/>
      <c r="I78" s="94"/>
    </row>
  </sheetData>
  <mergeCells count="6">
    <mergeCell ref="A1:I1"/>
    <mergeCell ref="A2:I2"/>
    <mergeCell ref="A3:I3"/>
    <mergeCell ref="A4:I4"/>
    <mergeCell ref="C6:I6"/>
    <mergeCell ref="C5:I5"/>
  </mergeCells>
  <conditionalFormatting sqref="D41:D42">
    <cfRule type="expression" dxfId="79" priority="8">
      <formula>MOD(ROW(),2)=1</formula>
    </cfRule>
  </conditionalFormatting>
  <conditionalFormatting sqref="D44">
    <cfRule type="expression" dxfId="78" priority="2">
      <formula>MOD(ROW(),2)=1</formula>
    </cfRule>
  </conditionalFormatting>
  <conditionalFormatting sqref="C9:I15">
    <cfRule type="cellIs" dxfId="7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7">
    <tabColor theme="3"/>
  </sheetPr>
  <dimension ref="A1:K69"/>
  <sheetViews>
    <sheetView topLeftCell="A44" zoomScaleNormal="100" zoomScaleSheetLayoutView="90" workbookViewId="0">
      <selection activeCell="D59" sqref="D59:I6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20</v>
      </c>
      <c r="C6" s="885" t="s">
        <v>120</v>
      </c>
      <c r="D6" s="885"/>
      <c r="E6" s="885"/>
      <c r="F6" s="885"/>
      <c r="G6" s="885"/>
      <c r="H6" s="885"/>
      <c r="I6" s="885"/>
    </row>
    <row r="7" spans="1:11" ht="15" thickBot="1" x14ac:dyDescent="0.4">
      <c r="A7" s="87" t="s">
        <v>729</v>
      </c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8610609</v>
      </c>
      <c r="C9" s="33">
        <v>10101149</v>
      </c>
      <c r="D9" s="219">
        <f>+C9+SUMIF($C$20:$C$61,K9,$D$20:$D$61)</f>
        <v>10101149</v>
      </c>
      <c r="E9" s="114">
        <f>+D9+SUMIF($C$20:$C$61,K9,$E$20:$E$61)</f>
        <v>10098527</v>
      </c>
      <c r="F9" s="396">
        <f>+E9+SUMIF($C$20:$C$61,K9,$F$20:$F$61)</f>
        <v>10104653</v>
      </c>
      <c r="G9" s="33">
        <f>+F9+SUMIF($C$20:$C$61,K9,$G$20:$G$61)</f>
        <v>10110962</v>
      </c>
      <c r="H9" s="219">
        <f>+G9+SUMIF($C$20:$C$61,K9,$H$20:$H$61)</f>
        <v>10115460</v>
      </c>
      <c r="I9" s="50">
        <f>+H9+SUMIF($C$20:$C$61,K9,$I$20:$I$61)</f>
        <v>10122154</v>
      </c>
      <c r="K9" s="7">
        <v>100</v>
      </c>
    </row>
    <row r="10" spans="1:11" x14ac:dyDescent="0.35">
      <c r="A10" s="10" t="s">
        <v>5</v>
      </c>
      <c r="B10" s="35">
        <f>176842240-'20S-Public Prop-SEPTA'!B10-'20SR-Public Prop-Space Rentals'!B10-'20U-Public Prop-Utilities'!B10+1288763-1250543</f>
        <v>35822167</v>
      </c>
      <c r="C10" s="35">
        <v>30549657</v>
      </c>
      <c r="D10" s="222">
        <f>+C10+SUMIF($C$20:$C$61,K10,$D$20:$D$61)</f>
        <v>31456194</v>
      </c>
      <c r="E10" s="506">
        <f>+D10+SUMIF($C$20:$C$61,K10,$E$20:$E$61)</f>
        <v>35725814</v>
      </c>
      <c r="F10" s="504">
        <f>+E10+SUMIF($C$20:$C$61,K10,$F$20:$F$61)</f>
        <v>36552822</v>
      </c>
      <c r="G10" s="35">
        <f>+F10+SUMIF($C$20:$C$61,K10,$G$20:$G$61)</f>
        <v>36905338</v>
      </c>
      <c r="H10" s="222">
        <f>+G10+SUMIF($C$20:$C$61,K10,$H$20:$H$61)</f>
        <v>37251099</v>
      </c>
      <c r="I10" s="36">
        <f>+H10+SUMIF($C$20:$C$61,K10,$I$20:$I$61)</f>
        <v>37554718</v>
      </c>
      <c r="K10" s="7">
        <v>200</v>
      </c>
    </row>
    <row r="11" spans="1:11" x14ac:dyDescent="0.35">
      <c r="A11" s="9" t="s">
        <v>6</v>
      </c>
      <c r="B11" s="33">
        <f>895259+148979</f>
        <v>1044238</v>
      </c>
      <c r="C11" s="33">
        <v>1338535</v>
      </c>
      <c r="D11" s="219">
        <f>+C11+SUMIF($C$20:$C$61,K11,$D$20:$D$61)</f>
        <v>1338535</v>
      </c>
      <c r="E11" s="114">
        <f>+D11+SUMIF($C$20:$C$61,K11,$E$20:$E$61)</f>
        <v>1338535</v>
      </c>
      <c r="F11" s="396">
        <f>+E11+SUMIF($C$20:$C$61,K11,$F$20:$F$61)</f>
        <v>1338535</v>
      </c>
      <c r="G11" s="33">
        <f>+F11+SUMIF($C$20:$C$61,K11,$G$20:$G$61)</f>
        <v>1338535</v>
      </c>
      <c r="H11" s="219">
        <f>+G11+SUMIF($C$20:$C$61,K11,$H$20:$H$61)</f>
        <v>1338535</v>
      </c>
      <c r="I11" s="34">
        <f>+H11+SUMIF($C$20:$C$61,K11,$I$20:$I$61)</f>
        <v>1338535</v>
      </c>
      <c r="K11" s="7" t="s">
        <v>167</v>
      </c>
    </row>
    <row r="12" spans="1:11" x14ac:dyDescent="0.35">
      <c r="A12" s="10" t="s">
        <v>7</v>
      </c>
      <c r="B12" s="35">
        <v>211400</v>
      </c>
      <c r="C12" s="35">
        <v>0</v>
      </c>
      <c r="D12" s="222">
        <f>+C12+SUMIF($C$20:$C$61,K12,$D$20:$D$61)</f>
        <v>0</v>
      </c>
      <c r="E12" s="506">
        <f>+D12+SUMIF($C$20:$C$61,K12,$E$20:$E$61)</f>
        <v>0</v>
      </c>
      <c r="F12" s="504">
        <f>+E12+SUMIF($C$20:$C$61,K12,$F$20:$F$61)</f>
        <v>0</v>
      </c>
      <c r="G12" s="35">
        <f>+F12+SUMIF($C$20:$C$61,K12,$G$20:$G$61)</f>
        <v>0</v>
      </c>
      <c r="H12" s="222">
        <f>+G12+SUMIF($C$20:$C$61,K12,$H$20:$H$61)</f>
        <v>0</v>
      </c>
      <c r="I12" s="36">
        <f>+H12+SUMIF($C$20:$C$61,K12,$I$20:$I$61)</f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>+C13+SUMIF($C$20:$C$61,K13,$D$20:$D$61)</f>
        <v>0</v>
      </c>
      <c r="E13" s="114">
        <f>+D13+SUMIF($C$20:$C$61,K13,$E$20:$E$61)</f>
        <v>0</v>
      </c>
      <c r="F13" s="396">
        <f>+E13+SUMIF($C$20:$C$61,K13,$F$20:$F$61)</f>
        <v>0</v>
      </c>
      <c r="G13" s="33">
        <f>+F13+SUMIF($C$20:$C$61,K13,$G$20:$G$61)</f>
        <v>0</v>
      </c>
      <c r="H13" s="219">
        <f>+G13+SUMIF($C$20:$C$61,K13,$H$20:$H$61)</f>
        <v>0</v>
      </c>
      <c r="I13" s="34">
        <f>+H13+SUMIF($C$20:$C$61,K13,$I$20:$I$61)</f>
        <v>0</v>
      </c>
      <c r="K13" s="7">
        <v>700</v>
      </c>
    </row>
    <row r="14" spans="1:11" x14ac:dyDescent="0.35">
      <c r="A14" s="47" t="s">
        <v>9</v>
      </c>
      <c r="B14" s="42">
        <v>23169407</v>
      </c>
      <c r="C14" s="48">
        <v>28235000</v>
      </c>
      <c r="D14" s="220">
        <f>+C14</f>
        <v>28235000</v>
      </c>
      <c r="E14" s="113">
        <v>26262470</v>
      </c>
      <c r="F14" s="397">
        <v>27509288</v>
      </c>
      <c r="G14" s="48">
        <v>28966288</v>
      </c>
      <c r="H14" s="224">
        <v>29594798</v>
      </c>
      <c r="I14" s="49">
        <v>30290293</v>
      </c>
      <c r="J14"/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ref="D15" si="0">+C15+SUMIF($C$20:$C$61,K15,$D$20:$D$61)</f>
        <v>0</v>
      </c>
      <c r="E15" s="507">
        <f t="shared" ref="E15" si="1">+D15+SUMIF($C$20:$C$61,K15,$E$20:$E$61)</f>
        <v>0</v>
      </c>
      <c r="F15" s="505">
        <f t="shared" ref="F15" si="2">+E15+SUMIF($C$20:$C$61,K15,$F$20:$F$61)</f>
        <v>0</v>
      </c>
      <c r="G15" s="37">
        <f t="shared" ref="G15" si="3">+F15+SUMIF($C$20:$C$61,K15,$G$20:$G$61)</f>
        <v>0</v>
      </c>
      <c r="H15" s="223">
        <f t="shared" ref="H15" si="4">+G15+SUMIF($C$20:$C$61,K15,$H$20:$H$61)</f>
        <v>0</v>
      </c>
      <c r="I15" s="38">
        <f t="shared" ref="I15" si="5">+H15+SUMIF($C$20:$C$61,K15,$I$20:$I$61)</f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68857821</v>
      </c>
      <c r="C16" s="39">
        <f t="shared" ref="C16:I16" si="6">SUM(C9:C15)</f>
        <v>70224341</v>
      </c>
      <c r="D16" s="39">
        <f t="shared" si="6"/>
        <v>71130878</v>
      </c>
      <c r="E16" s="529">
        <f t="shared" si="6"/>
        <v>73425346</v>
      </c>
      <c r="F16" s="39">
        <f t="shared" si="6"/>
        <v>75505298</v>
      </c>
      <c r="G16" s="39">
        <f t="shared" si="6"/>
        <v>77321123</v>
      </c>
      <c r="H16" s="39">
        <f t="shared" si="6"/>
        <v>78299892</v>
      </c>
      <c r="I16" s="39">
        <f t="shared" si="6"/>
        <v>79305700</v>
      </c>
    </row>
    <row r="17" spans="1:10" x14ac:dyDescent="0.35">
      <c r="B17" s="717">
        <f>+'20S-Public Prop-SEPTA'!B16+'20SR-Public Prop-Space Rentals'!B16+'20U-Public Prop-Utilities'!B16</f>
        <v>141058293</v>
      </c>
    </row>
    <row r="18" spans="1:10" x14ac:dyDescent="0.35">
      <c r="B18" s="717">
        <f>+B17+B16</f>
        <v>209916114</v>
      </c>
      <c r="E18" s="401">
        <f>+E16-D16</f>
        <v>2294468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0"/>
      <c r="C20" s="71"/>
      <c r="D20" s="72"/>
      <c r="E20" s="72"/>
      <c r="F20" s="72"/>
      <c r="G20" s="73"/>
      <c r="H20" s="73"/>
      <c r="I20" s="73"/>
      <c r="J20" s="17"/>
    </row>
    <row r="21" spans="1:10" ht="13" customHeight="1" x14ac:dyDescent="0.35">
      <c r="A21" s="387" t="s">
        <v>271</v>
      </c>
      <c r="B21" s="143"/>
      <c r="C21" s="143"/>
      <c r="D21" s="836"/>
      <c r="E21" s="836"/>
      <c r="F21" s="836"/>
      <c r="G21" s="142"/>
      <c r="H21" s="142"/>
      <c r="I21" s="142"/>
      <c r="J21" s="17"/>
    </row>
    <row r="22" spans="1:10" ht="12.75" customHeight="1" x14ac:dyDescent="0.35">
      <c r="A22" s="540" t="s">
        <v>311</v>
      </c>
      <c r="B22" s="81"/>
      <c r="C22" s="81">
        <v>200</v>
      </c>
      <c r="D22" s="105"/>
      <c r="E22" s="105">
        <v>464674</v>
      </c>
      <c r="F22" s="105">
        <v>478614</v>
      </c>
      <c r="G22" s="105"/>
      <c r="H22" s="105"/>
      <c r="I22" s="105"/>
      <c r="J22" s="17"/>
    </row>
    <row r="23" spans="1:10" ht="12.75" customHeight="1" x14ac:dyDescent="0.35">
      <c r="A23" s="437" t="s">
        <v>332</v>
      </c>
      <c r="B23" s="143"/>
      <c r="C23" s="143"/>
      <c r="D23" s="836"/>
      <c r="E23" s="836"/>
      <c r="F23" s="836"/>
      <c r="G23" s="142"/>
      <c r="H23" s="142"/>
      <c r="I23" s="142"/>
      <c r="J23" s="17"/>
    </row>
    <row r="24" spans="1:10" ht="12.75" customHeight="1" x14ac:dyDescent="0.35">
      <c r="A24" s="296" t="s">
        <v>344</v>
      </c>
      <c r="B24" s="81"/>
      <c r="C24" s="81">
        <v>200</v>
      </c>
      <c r="D24" s="105"/>
      <c r="E24" s="105">
        <v>11000</v>
      </c>
      <c r="F24" s="105">
        <v>11000</v>
      </c>
      <c r="G24" s="105">
        <v>11000</v>
      </c>
      <c r="H24" s="105"/>
      <c r="I24" s="105"/>
      <c r="J24" s="17"/>
    </row>
    <row r="25" spans="1:10" ht="12.75" customHeight="1" x14ac:dyDescent="0.35">
      <c r="A25" s="744" t="s">
        <v>392</v>
      </c>
      <c r="B25" s="196"/>
      <c r="C25" s="686"/>
      <c r="D25" s="836"/>
      <c r="E25" s="836"/>
      <c r="F25" s="836"/>
      <c r="G25" s="142"/>
      <c r="H25" s="142"/>
      <c r="I25" s="142"/>
      <c r="J25" s="17"/>
    </row>
    <row r="26" spans="1:10" ht="12.75" customHeight="1" x14ac:dyDescent="0.35">
      <c r="A26" s="613" t="s">
        <v>414</v>
      </c>
      <c r="B26" s="200"/>
      <c r="C26" s="200"/>
      <c r="D26" s="105"/>
      <c r="E26" s="105"/>
      <c r="F26" s="105"/>
      <c r="G26" s="105"/>
      <c r="H26" s="105"/>
      <c r="I26" s="105"/>
    </row>
    <row r="27" spans="1:10" ht="12.75" customHeight="1" x14ac:dyDescent="0.35">
      <c r="A27" s="474" t="s">
        <v>434</v>
      </c>
      <c r="B27" s="196"/>
      <c r="C27" s="835">
        <v>200</v>
      </c>
      <c r="D27" s="836"/>
      <c r="E27" s="836">
        <v>24270</v>
      </c>
      <c r="F27" s="836">
        <v>24998</v>
      </c>
      <c r="G27" s="142">
        <v>25748</v>
      </c>
      <c r="H27" s="142">
        <v>26520</v>
      </c>
      <c r="I27" s="142"/>
    </row>
    <row r="28" spans="1:10" ht="12.75" customHeight="1" x14ac:dyDescent="0.35">
      <c r="A28" s="712" t="s">
        <v>435</v>
      </c>
      <c r="B28" s="200"/>
      <c r="C28" s="834">
        <v>200</v>
      </c>
      <c r="D28" s="105"/>
      <c r="E28" s="105">
        <v>15990</v>
      </c>
      <c r="F28" s="105">
        <v>16470</v>
      </c>
      <c r="G28" s="105">
        <v>16964</v>
      </c>
      <c r="H28" s="105">
        <v>17473</v>
      </c>
      <c r="I28" s="105"/>
    </row>
    <row r="29" spans="1:10" ht="12.75" customHeight="1" x14ac:dyDescent="0.35">
      <c r="A29" s="474" t="s">
        <v>436</v>
      </c>
      <c r="B29" s="196"/>
      <c r="C29" s="686">
        <v>200</v>
      </c>
      <c r="D29" s="836"/>
      <c r="E29" s="836">
        <v>23280</v>
      </c>
      <c r="F29" s="836">
        <v>23978</v>
      </c>
      <c r="G29" s="142">
        <v>24698</v>
      </c>
      <c r="H29" s="142">
        <v>25439</v>
      </c>
      <c r="I29" s="142"/>
    </row>
    <row r="30" spans="1:10" ht="12.75" customHeight="1" x14ac:dyDescent="0.35">
      <c r="A30" s="157" t="s">
        <v>486</v>
      </c>
      <c r="B30" s="58"/>
      <c r="C30" s="318"/>
      <c r="D30" s="105"/>
      <c r="E30" s="105"/>
      <c r="F30" s="105"/>
      <c r="G30" s="105"/>
      <c r="H30" s="105"/>
      <c r="I30" s="105"/>
    </row>
    <row r="31" spans="1:10" ht="12.75" customHeight="1" x14ac:dyDescent="0.35">
      <c r="A31" s="778" t="s">
        <v>584</v>
      </c>
      <c r="B31" s="143"/>
      <c r="C31" s="234">
        <v>100</v>
      </c>
      <c r="D31" s="836"/>
      <c r="E31" s="836"/>
      <c r="F31" s="836">
        <v>2237774</v>
      </c>
      <c r="G31" s="142"/>
      <c r="H31" s="142"/>
      <c r="I31" s="142"/>
    </row>
    <row r="32" spans="1:10" ht="12.75" customHeight="1" x14ac:dyDescent="0.35">
      <c r="A32" s="778" t="s">
        <v>512</v>
      </c>
      <c r="B32" s="58"/>
      <c r="C32" s="318">
        <v>200</v>
      </c>
      <c r="D32" s="105"/>
      <c r="E32" s="105"/>
      <c r="F32" s="105">
        <v>3343875</v>
      </c>
      <c r="G32" s="105"/>
      <c r="H32" s="105"/>
      <c r="I32" s="105"/>
    </row>
    <row r="33" spans="1:9" ht="12.75" customHeight="1" x14ac:dyDescent="0.35">
      <c r="A33" s="778" t="s">
        <v>588</v>
      </c>
      <c r="B33" s="143"/>
      <c r="C33" s="234">
        <v>100</v>
      </c>
      <c r="D33" s="836"/>
      <c r="E33" s="836">
        <v>24097</v>
      </c>
      <c r="F33" s="836"/>
      <c r="G33" s="142"/>
      <c r="H33" s="142"/>
      <c r="I33" s="142"/>
    </row>
    <row r="34" spans="1:9" ht="12.75" customHeight="1" x14ac:dyDescent="0.35">
      <c r="A34" s="779" t="s">
        <v>594</v>
      </c>
      <c r="B34" s="58"/>
      <c r="C34" s="318"/>
      <c r="D34" s="105"/>
      <c r="E34" s="105"/>
      <c r="F34" s="105"/>
      <c r="G34" s="105"/>
      <c r="H34" s="105"/>
      <c r="I34" s="105"/>
    </row>
    <row r="35" spans="1:9" ht="12.75" customHeight="1" x14ac:dyDescent="0.35">
      <c r="A35" s="778" t="s">
        <v>615</v>
      </c>
      <c r="B35" s="143"/>
      <c r="C35" s="234">
        <v>100</v>
      </c>
      <c r="D35" s="836"/>
      <c r="E35" s="836"/>
      <c r="F35" s="836">
        <v>-2237774</v>
      </c>
      <c r="G35" s="142">
        <v>2237774</v>
      </c>
      <c r="H35" s="142"/>
      <c r="I35" s="142"/>
    </row>
    <row r="36" spans="1:9" ht="12.75" customHeight="1" x14ac:dyDescent="0.35">
      <c r="A36" s="778"/>
      <c r="B36" s="58"/>
      <c r="C36" s="318">
        <v>200</v>
      </c>
      <c r="D36" s="105"/>
      <c r="E36" s="105"/>
      <c r="F36" s="105">
        <v>-3343875</v>
      </c>
      <c r="G36" s="105">
        <v>3343875</v>
      </c>
      <c r="H36" s="105"/>
      <c r="I36" s="105"/>
    </row>
    <row r="37" spans="1:9" ht="12.75" customHeight="1" x14ac:dyDescent="0.35">
      <c r="A37" s="779" t="s">
        <v>648</v>
      </c>
      <c r="B37" s="143"/>
      <c r="C37" s="234"/>
      <c r="D37" s="836"/>
      <c r="E37" s="836"/>
      <c r="F37" s="836"/>
      <c r="G37" s="142"/>
      <c r="H37" s="142"/>
      <c r="I37" s="142"/>
    </row>
    <row r="38" spans="1:9" ht="12.75" customHeight="1" x14ac:dyDescent="0.35">
      <c r="A38" s="778" t="s">
        <v>671</v>
      </c>
      <c r="B38" s="58"/>
      <c r="C38" s="318">
        <v>200</v>
      </c>
      <c r="D38" s="105">
        <v>406537</v>
      </c>
      <c r="E38" s="105">
        <v>-406537</v>
      </c>
      <c r="F38" s="105"/>
      <c r="G38" s="105"/>
      <c r="H38" s="105"/>
      <c r="I38" s="105"/>
    </row>
    <row r="39" spans="1:9" ht="12.75" customHeight="1" x14ac:dyDescent="0.35">
      <c r="A39" s="778" t="s">
        <v>672</v>
      </c>
      <c r="B39" s="143"/>
      <c r="C39" s="234">
        <v>200</v>
      </c>
      <c r="D39" s="836">
        <v>500000</v>
      </c>
      <c r="E39" s="836">
        <v>-500000</v>
      </c>
      <c r="F39" s="836"/>
      <c r="G39" s="142"/>
      <c r="H39" s="142"/>
      <c r="I39" s="142"/>
    </row>
    <row r="40" spans="1:9" ht="12.75" customHeight="1" x14ac:dyDescent="0.35">
      <c r="A40" s="779" t="s">
        <v>748</v>
      </c>
      <c r="B40" s="58"/>
      <c r="C40" s="318"/>
      <c r="D40" s="105"/>
      <c r="E40" s="105"/>
      <c r="F40" s="105"/>
      <c r="G40" s="105"/>
      <c r="H40" s="105"/>
      <c r="I40" s="105"/>
    </row>
    <row r="41" spans="1:9" ht="12.75" customHeight="1" x14ac:dyDescent="0.35">
      <c r="A41" s="778" t="s">
        <v>734</v>
      </c>
      <c r="B41" s="143"/>
      <c r="C41" s="234">
        <v>200</v>
      </c>
      <c r="D41" s="836"/>
      <c r="E41" s="836">
        <v>330179</v>
      </c>
      <c r="F41" s="836">
        <f>402127-E41</f>
        <v>71948</v>
      </c>
      <c r="G41" s="142">
        <f>476233-F41-E41</f>
        <v>74106</v>
      </c>
      <c r="H41" s="142">
        <f>552562-G41-F41-E41</f>
        <v>76329</v>
      </c>
      <c r="I41" s="142">
        <f>631181-H41-G41-F41-E41</f>
        <v>78619</v>
      </c>
    </row>
    <row r="42" spans="1:9" ht="12.75" customHeight="1" x14ac:dyDescent="0.35">
      <c r="A42" s="778" t="s">
        <v>776</v>
      </c>
      <c r="B42" s="58"/>
      <c r="C42" s="318">
        <v>100</v>
      </c>
      <c r="D42" s="105"/>
      <c r="E42" s="105">
        <v>-55902</v>
      </c>
      <c r="F42" s="105"/>
      <c r="G42" s="105"/>
      <c r="H42" s="105">
        <v>-2000</v>
      </c>
      <c r="I42" s="105"/>
    </row>
    <row r="43" spans="1:9" ht="12.75" customHeight="1" x14ac:dyDescent="0.35">
      <c r="A43" s="778" t="s">
        <v>821</v>
      </c>
      <c r="B43" s="143"/>
      <c r="C43" s="234">
        <v>100</v>
      </c>
      <c r="D43" s="836"/>
      <c r="E43" s="836">
        <v>204183</v>
      </c>
      <c r="F43" s="836">
        <f>210309-E43</f>
        <v>6126</v>
      </c>
      <c r="G43" s="142">
        <f>216618-F43-E43</f>
        <v>6309</v>
      </c>
      <c r="H43" s="142">
        <f>223116-G43-F43-E43</f>
        <v>6498</v>
      </c>
      <c r="I43" s="142">
        <f>229810-H43-G43-F43-E43</f>
        <v>6694</v>
      </c>
    </row>
    <row r="44" spans="1:9" ht="12.75" customHeight="1" x14ac:dyDescent="0.35">
      <c r="A44" s="778" t="s">
        <v>840</v>
      </c>
      <c r="B44" s="58"/>
      <c r="C44" s="318">
        <v>200</v>
      </c>
      <c r="D44" s="105"/>
      <c r="E44" s="105">
        <v>5000000</v>
      </c>
      <c r="F44" s="105">
        <v>200000</v>
      </c>
      <c r="G44" s="105">
        <v>200000</v>
      </c>
      <c r="H44" s="105">
        <v>200000</v>
      </c>
      <c r="I44" s="105">
        <v>225000</v>
      </c>
    </row>
    <row r="45" spans="1:9" ht="12.75" customHeight="1" x14ac:dyDescent="0.35">
      <c r="A45" s="778" t="s">
        <v>860</v>
      </c>
      <c r="B45" s="143"/>
      <c r="C45" s="234">
        <v>100</v>
      </c>
      <c r="D45" s="836"/>
      <c r="E45" s="836"/>
      <c r="F45" s="836"/>
      <c r="G45" s="836">
        <v>-2237774</v>
      </c>
      <c r="H45" s="142"/>
      <c r="I45" s="142"/>
    </row>
    <row r="46" spans="1:9" ht="12.75" customHeight="1" x14ac:dyDescent="0.35">
      <c r="A46" s="778"/>
      <c r="B46" s="58"/>
      <c r="C46" s="318">
        <v>200</v>
      </c>
      <c r="D46" s="105"/>
      <c r="E46" s="105"/>
      <c r="F46" s="105"/>
      <c r="G46" s="105">
        <v>-3343875</v>
      </c>
      <c r="H46" s="105"/>
      <c r="I46" s="105"/>
    </row>
    <row r="47" spans="1:9" ht="12.75" customHeight="1" x14ac:dyDescent="0.35">
      <c r="A47" s="778" t="s">
        <v>887</v>
      </c>
      <c r="B47" s="143"/>
      <c r="C47" s="234">
        <v>100</v>
      </c>
      <c r="D47" s="836"/>
      <c r="E47" s="836">
        <v>-175000</v>
      </c>
      <c r="F47" s="836"/>
      <c r="G47" s="142"/>
      <c r="H47" s="142"/>
      <c r="I47" s="142"/>
    </row>
    <row r="48" spans="1:9" ht="12.75" customHeight="1" x14ac:dyDescent="0.35">
      <c r="A48" s="778"/>
      <c r="B48" s="58"/>
      <c r="C48" s="318">
        <v>200</v>
      </c>
      <c r="D48" s="105"/>
      <c r="E48" s="105">
        <v>-693236</v>
      </c>
      <c r="F48" s="105"/>
      <c r="G48" s="105"/>
      <c r="H48" s="105"/>
      <c r="I48" s="105"/>
    </row>
    <row r="49" spans="1:9" ht="12.75" customHeight="1" x14ac:dyDescent="0.35">
      <c r="A49" s="779"/>
      <c r="B49" s="143"/>
      <c r="C49" s="234"/>
      <c r="D49" s="836"/>
      <c r="E49" s="836"/>
      <c r="F49" s="836"/>
      <c r="G49" s="142"/>
      <c r="H49" s="142"/>
      <c r="I49" s="142"/>
    </row>
    <row r="50" spans="1:9" ht="12.75" customHeight="1" x14ac:dyDescent="0.35">
      <c r="A50" s="778"/>
      <c r="B50" s="58"/>
      <c r="C50" s="318"/>
      <c r="D50" s="105"/>
      <c r="E50" s="105"/>
      <c r="F50" s="105"/>
      <c r="G50" s="105"/>
      <c r="H50" s="105"/>
      <c r="I50" s="105"/>
    </row>
    <row r="51" spans="1:9" ht="12.75" customHeight="1" x14ac:dyDescent="0.35">
      <c r="A51" s="779"/>
      <c r="B51" s="143"/>
      <c r="C51" s="234"/>
      <c r="D51" s="836"/>
      <c r="E51" s="836"/>
      <c r="F51" s="836"/>
      <c r="G51" s="142"/>
      <c r="H51" s="142"/>
      <c r="I51" s="142"/>
    </row>
    <row r="52" spans="1:9" ht="12.75" customHeight="1" x14ac:dyDescent="0.35">
      <c r="A52" s="778"/>
      <c r="B52" s="58"/>
      <c r="C52" s="318"/>
      <c r="D52" s="105"/>
      <c r="E52" s="105"/>
      <c r="F52" s="105"/>
      <c r="G52" s="105"/>
      <c r="H52" s="105"/>
      <c r="I52" s="105"/>
    </row>
    <row r="53" spans="1:9" ht="12.75" customHeight="1" x14ac:dyDescent="0.35">
      <c r="A53" s="779"/>
      <c r="B53" s="143"/>
      <c r="C53" s="234"/>
      <c r="D53" s="836"/>
      <c r="E53" s="836"/>
      <c r="F53" s="836"/>
      <c r="G53" s="142"/>
      <c r="H53" s="142"/>
      <c r="I53" s="142"/>
    </row>
    <row r="54" spans="1:9" ht="12.75" customHeight="1" x14ac:dyDescent="0.35"/>
    <row r="56" spans="1:9" ht="12.75" customHeight="1" x14ac:dyDescent="0.35"/>
    <row r="57" spans="1:9" ht="12.75" customHeight="1" thickBot="1" x14ac:dyDescent="0.4">
      <c r="A57" s="369" t="s">
        <v>700</v>
      </c>
      <c r="B57" s="325"/>
      <c r="C57" s="325"/>
      <c r="D57" s="360" t="s">
        <v>205</v>
      </c>
      <c r="E57" s="360" t="s">
        <v>224</v>
      </c>
      <c r="F57" s="360" t="s">
        <v>243</v>
      </c>
      <c r="G57" s="360" t="s">
        <v>293</v>
      </c>
      <c r="H57" s="361" t="s">
        <v>361</v>
      </c>
      <c r="I57" s="361" t="s">
        <v>634</v>
      </c>
    </row>
    <row r="58" spans="1:9" ht="12.75" customHeight="1" thickTop="1" x14ac:dyDescent="0.35">
      <c r="A58" s="362" t="s">
        <v>260</v>
      </c>
      <c r="B58" s="358"/>
      <c r="C58" s="358"/>
      <c r="D58" s="359">
        <f t="shared" ref="D58:G58" si="7">SUM(D59:D62)</f>
        <v>24969251</v>
      </c>
      <c r="E58" s="359">
        <f t="shared" si="7"/>
        <v>26262470</v>
      </c>
      <c r="F58" s="359">
        <f t="shared" si="7"/>
        <v>27509288</v>
      </c>
      <c r="G58" s="359">
        <f t="shared" si="7"/>
        <v>28966288</v>
      </c>
      <c r="H58" s="363">
        <f t="shared" ref="H58:I58" si="8">SUM(H59:H62)</f>
        <v>29594798</v>
      </c>
      <c r="I58" s="363">
        <f t="shared" si="8"/>
        <v>30290293</v>
      </c>
    </row>
    <row r="59" spans="1:9" ht="12.75" customHeight="1" x14ac:dyDescent="0.35">
      <c r="A59" s="364" t="s">
        <v>702</v>
      </c>
      <c r="B59" s="52"/>
      <c r="C59" s="52">
        <v>800</v>
      </c>
      <c r="D59" s="365">
        <f>32633751-9439500</f>
        <v>23194251</v>
      </c>
      <c r="E59" s="365">
        <f>34558470-10071000</f>
        <v>24487470</v>
      </c>
      <c r="F59" s="365">
        <f>36610968-10876680</f>
        <v>25734288</v>
      </c>
      <c r="G59" s="365">
        <f>38938102-11746814</f>
        <v>27191288</v>
      </c>
      <c r="H59" s="366">
        <f>40506358-12686560</f>
        <v>27819798</v>
      </c>
      <c r="I59" s="366">
        <f>41519017-13003724</f>
        <v>28515293</v>
      </c>
    </row>
    <row r="60" spans="1:9" ht="12.75" customHeight="1" x14ac:dyDescent="0.35">
      <c r="A60" s="364" t="s">
        <v>261</v>
      </c>
      <c r="B60" s="52"/>
      <c r="C60" s="52">
        <v>800</v>
      </c>
      <c r="D60" s="365">
        <v>350000</v>
      </c>
      <c r="E60" s="365">
        <v>350000</v>
      </c>
      <c r="F60" s="365">
        <v>350000</v>
      </c>
      <c r="G60" s="365">
        <v>350000</v>
      </c>
      <c r="H60" s="366">
        <v>350000</v>
      </c>
      <c r="I60" s="366">
        <v>350000</v>
      </c>
    </row>
    <row r="61" spans="1:9" ht="12.75" customHeight="1" x14ac:dyDescent="0.35">
      <c r="A61" s="364" t="s">
        <v>263</v>
      </c>
      <c r="B61" s="52"/>
      <c r="C61" s="52">
        <v>800</v>
      </c>
      <c r="D61" s="365">
        <v>125000</v>
      </c>
      <c r="E61" s="365">
        <v>125000</v>
      </c>
      <c r="F61" s="365">
        <v>125000</v>
      </c>
      <c r="G61" s="365">
        <v>125000</v>
      </c>
      <c r="H61" s="366">
        <v>125000</v>
      </c>
      <c r="I61" s="366">
        <v>125000</v>
      </c>
    </row>
    <row r="62" spans="1:9" ht="12.75" customHeight="1" x14ac:dyDescent="0.35">
      <c r="A62" s="367" t="s">
        <v>262</v>
      </c>
      <c r="B62" s="356"/>
      <c r="C62" s="356">
        <v>800</v>
      </c>
      <c r="D62" s="357">
        <v>1300000</v>
      </c>
      <c r="E62" s="357">
        <v>1300000</v>
      </c>
      <c r="F62" s="357">
        <v>1300000</v>
      </c>
      <c r="G62" s="357">
        <v>1300000</v>
      </c>
      <c r="H62" s="368">
        <v>1300000</v>
      </c>
      <c r="I62" s="368">
        <v>1300000</v>
      </c>
    </row>
    <row r="63" spans="1:9" ht="12.75" customHeight="1" x14ac:dyDescent="0.35">
      <c r="D63" s="14"/>
      <c r="E63" s="14"/>
      <c r="F63" s="14"/>
      <c r="G63" s="14"/>
      <c r="H63" s="14"/>
      <c r="I63" s="14"/>
    </row>
    <row r="64" spans="1:9" ht="12.75" customHeight="1" x14ac:dyDescent="0.35">
      <c r="C64" s="15" t="s">
        <v>701</v>
      </c>
      <c r="D64" s="14">
        <v>28235000</v>
      </c>
      <c r="E64" s="14">
        <v>29992000</v>
      </c>
      <c r="F64" s="14">
        <v>31746000</v>
      </c>
      <c r="G64" s="14">
        <v>33682000</v>
      </c>
      <c r="H64" s="14">
        <v>33682000</v>
      </c>
      <c r="I64" s="14">
        <v>33682000</v>
      </c>
    </row>
    <row r="65" spans="1:9" ht="12.75" customHeight="1" x14ac:dyDescent="0.35">
      <c r="C65" s="15" t="s">
        <v>315</v>
      </c>
      <c r="E65" s="192">
        <f>+E58-E64</f>
        <v>-3729530</v>
      </c>
      <c r="F65" s="192">
        <f t="shared" ref="F65:I65" si="9">+F58-F64</f>
        <v>-4236712</v>
      </c>
      <c r="G65" s="192">
        <f t="shared" si="9"/>
        <v>-4715712</v>
      </c>
      <c r="H65" s="192">
        <f t="shared" si="9"/>
        <v>-4087202</v>
      </c>
      <c r="I65" s="192">
        <f t="shared" si="9"/>
        <v>-3391707</v>
      </c>
    </row>
    <row r="67" spans="1:9" x14ac:dyDescent="0.35">
      <c r="A67" s="542" t="s">
        <v>728</v>
      </c>
      <c r="D67" s="558">
        <v>2328402</v>
      </c>
      <c r="E67" s="558">
        <v>2398254</v>
      </c>
      <c r="F67" s="558">
        <v>2470202</v>
      </c>
      <c r="G67" s="558">
        <v>2544308</v>
      </c>
      <c r="H67" s="558">
        <v>2620637</v>
      </c>
      <c r="I67" s="558">
        <v>2699256</v>
      </c>
    </row>
    <row r="68" spans="1:9" x14ac:dyDescent="0.35">
      <c r="A68" s="745" t="s">
        <v>695</v>
      </c>
      <c r="B68" s="143"/>
      <c r="C68" s="143"/>
      <c r="D68" s="558">
        <v>2068755</v>
      </c>
      <c r="E68" s="558">
        <v>2068755</v>
      </c>
      <c r="F68" s="558">
        <v>2068755</v>
      </c>
      <c r="G68" s="558">
        <v>2068755</v>
      </c>
      <c r="H68" s="558">
        <v>2068755</v>
      </c>
      <c r="I68" s="558">
        <v>2068755</v>
      </c>
    </row>
    <row r="69" spans="1:9" x14ac:dyDescent="0.35">
      <c r="A69" s="548" t="s">
        <v>197</v>
      </c>
      <c r="D69" s="559">
        <f>+D67-D68</f>
        <v>259647</v>
      </c>
      <c r="E69" s="559">
        <f>+E67-E68</f>
        <v>329499</v>
      </c>
      <c r="F69" s="559">
        <f t="shared" ref="F69:I69" si="10">+F67-F68</f>
        <v>401447</v>
      </c>
      <c r="G69" s="559">
        <f t="shared" si="10"/>
        <v>475553</v>
      </c>
      <c r="H69" s="559">
        <f t="shared" si="10"/>
        <v>551882</v>
      </c>
      <c r="I69" s="559">
        <f t="shared" si="10"/>
        <v>630501</v>
      </c>
    </row>
  </sheetData>
  <mergeCells count="6">
    <mergeCell ref="A1:I1"/>
    <mergeCell ref="A2:I2"/>
    <mergeCell ref="A3:I3"/>
    <mergeCell ref="A4:I4"/>
    <mergeCell ref="C6:I6"/>
    <mergeCell ref="C5:I5"/>
  </mergeCells>
  <conditionalFormatting sqref="A31:A32">
    <cfRule type="expression" dxfId="76" priority="21">
      <formula>MOD(ROW(),2)=1</formula>
    </cfRule>
  </conditionalFormatting>
  <conditionalFormatting sqref="A33:A34 A37:A44">
    <cfRule type="expression" dxfId="75" priority="12">
      <formula>MOD(ROW(),2)=1</formula>
    </cfRule>
  </conditionalFormatting>
  <conditionalFormatting sqref="A45">
    <cfRule type="expression" dxfId="74" priority="9">
      <formula>MOD(ROW(),2)=1</formula>
    </cfRule>
  </conditionalFormatting>
  <conditionalFormatting sqref="A35:A36">
    <cfRule type="expression" dxfId="73" priority="6">
      <formula>MOD(ROW(),2)=1</formula>
    </cfRule>
  </conditionalFormatting>
  <conditionalFormatting sqref="A46 A48 A50 A52">
    <cfRule type="expression" dxfId="72" priority="3">
      <formula>MOD(ROW(),2)=1</formula>
    </cfRule>
  </conditionalFormatting>
  <conditionalFormatting sqref="A47 A49 A51 A53">
    <cfRule type="expression" dxfId="71" priority="2">
      <formula>MOD(ROW(),2)=1</formula>
    </cfRule>
  </conditionalFormatting>
  <conditionalFormatting sqref="C9:I15">
    <cfRule type="cellIs" dxfId="7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8">
    <tabColor theme="3"/>
  </sheetPr>
  <dimension ref="A1:K64"/>
  <sheetViews>
    <sheetView topLeftCell="A10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20.54296875" style="7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78</v>
      </c>
      <c r="C6" s="885" t="s">
        <v>119</v>
      </c>
      <c r="D6" s="885"/>
      <c r="E6" s="885"/>
      <c r="F6" s="885"/>
      <c r="G6" s="885"/>
      <c r="H6" s="885"/>
      <c r="I6" s="885"/>
    </row>
    <row r="7" spans="1:11" ht="15" thickBot="1" x14ac:dyDescent="0.4">
      <c r="A7" s="87" t="s">
        <v>193</v>
      </c>
      <c r="C7" s="7" t="s">
        <v>398</v>
      </c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>+C9</f>
        <v>0</v>
      </c>
      <c r="E9" s="114">
        <f>+D9</f>
        <v>0</v>
      </c>
      <c r="F9" s="396">
        <f t="shared" ref="E9:I15" si="0">+E9</f>
        <v>0</v>
      </c>
      <c r="G9" s="33">
        <f t="shared" si="0"/>
        <v>0</v>
      </c>
      <c r="H9" s="219">
        <f t="shared" si="0"/>
        <v>0</v>
      </c>
      <c r="I9" s="50">
        <f t="shared" si="0"/>
        <v>0</v>
      </c>
      <c r="K9" s="7">
        <v>100</v>
      </c>
    </row>
    <row r="10" spans="1:11" x14ac:dyDescent="0.35">
      <c r="A10" s="10" t="s">
        <v>5</v>
      </c>
      <c r="B10" s="42">
        <v>86290000</v>
      </c>
      <c r="C10" s="35">
        <v>84608000</v>
      </c>
      <c r="D10" s="222">
        <f>+C10+D27</f>
        <v>84608000</v>
      </c>
      <c r="E10" s="113">
        <v>91214000</v>
      </c>
      <c r="F10" s="397">
        <v>94323000</v>
      </c>
      <c r="G10" s="48">
        <v>97575000</v>
      </c>
      <c r="H10" s="220">
        <v>100961000</v>
      </c>
      <c r="I10" s="49">
        <v>104475000</v>
      </c>
      <c r="J10" s="206">
        <f>SUM(D10:I10)</f>
        <v>573156000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ref="D11:D15" si="1">+C11</f>
        <v>0</v>
      </c>
      <c r="E11" s="114">
        <f t="shared" si="0"/>
        <v>0</v>
      </c>
      <c r="F11" s="396">
        <f t="shared" si="0"/>
        <v>0</v>
      </c>
      <c r="G11" s="33">
        <f t="shared" si="0"/>
        <v>0</v>
      </c>
      <c r="H11" s="219">
        <f t="shared" si="0"/>
        <v>0</v>
      </c>
      <c r="I11" s="34">
        <f t="shared" si="0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1"/>
        <v>0</v>
      </c>
      <c r="E12" s="506">
        <f t="shared" si="0"/>
        <v>0</v>
      </c>
      <c r="F12" s="504">
        <f t="shared" si="0"/>
        <v>0</v>
      </c>
      <c r="G12" s="35">
        <f t="shared" si="0"/>
        <v>0</v>
      </c>
      <c r="H12" s="222">
        <f t="shared" si="0"/>
        <v>0</v>
      </c>
      <c r="I12" s="36">
        <f t="shared" si="0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1"/>
        <v>0</v>
      </c>
      <c r="E13" s="114">
        <f t="shared" si="0"/>
        <v>0</v>
      </c>
      <c r="F13" s="396">
        <f t="shared" si="0"/>
        <v>0</v>
      </c>
      <c r="G13" s="33">
        <f t="shared" si="0"/>
        <v>0</v>
      </c>
      <c r="H13" s="219">
        <f t="shared" si="0"/>
        <v>0</v>
      </c>
      <c r="I13" s="34">
        <f t="shared" si="0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1"/>
        <v>0</v>
      </c>
      <c r="E14" s="506">
        <f t="shared" si="0"/>
        <v>0</v>
      </c>
      <c r="F14" s="504">
        <f t="shared" si="0"/>
        <v>0</v>
      </c>
      <c r="G14" s="35">
        <f t="shared" si="0"/>
        <v>0</v>
      </c>
      <c r="H14" s="222">
        <f t="shared" si="0"/>
        <v>0</v>
      </c>
      <c r="I14" s="36">
        <f t="shared" si="0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1"/>
        <v>0</v>
      </c>
      <c r="E15" s="507">
        <f t="shared" si="0"/>
        <v>0</v>
      </c>
      <c r="F15" s="505">
        <f t="shared" si="0"/>
        <v>0</v>
      </c>
      <c r="G15" s="37">
        <f t="shared" si="0"/>
        <v>0</v>
      </c>
      <c r="H15" s="223">
        <f t="shared" si="0"/>
        <v>0</v>
      </c>
      <c r="I15" s="38">
        <f t="shared" si="0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86290000</v>
      </c>
      <c r="C16" s="39">
        <f t="shared" ref="C16:I16" si="2">SUM(C9:C15)</f>
        <v>84608000</v>
      </c>
      <c r="D16" s="39">
        <f t="shared" si="2"/>
        <v>84608000</v>
      </c>
      <c r="E16" s="529">
        <f t="shared" si="2"/>
        <v>91214000</v>
      </c>
      <c r="F16" s="39">
        <f t="shared" si="2"/>
        <v>94323000</v>
      </c>
      <c r="G16" s="39">
        <f t="shared" si="2"/>
        <v>97575000</v>
      </c>
      <c r="H16" s="39">
        <f t="shared" si="2"/>
        <v>100961000</v>
      </c>
      <c r="I16" s="39">
        <f t="shared" si="2"/>
        <v>104475000</v>
      </c>
    </row>
    <row r="18" spans="1:11" x14ac:dyDescent="0.35">
      <c r="E18" s="401">
        <f>+E16-D16</f>
        <v>6606000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118"/>
      <c r="B20" s="70"/>
      <c r="C20" s="71"/>
      <c r="D20" s="72"/>
      <c r="E20" s="72"/>
      <c r="F20" s="72"/>
      <c r="G20" s="73"/>
      <c r="H20" s="73"/>
      <c r="I20" s="73"/>
    </row>
    <row r="21" spans="1:11" ht="13" customHeight="1" x14ac:dyDescent="0.35">
      <c r="A21" s="547" t="s">
        <v>314</v>
      </c>
      <c r="B21" s="66"/>
      <c r="C21" s="67">
        <v>200</v>
      </c>
      <c r="D21" s="68"/>
      <c r="E21" s="69">
        <v>91214000</v>
      </c>
      <c r="F21" s="69">
        <v>94323000</v>
      </c>
      <c r="G21" s="69">
        <v>97575000</v>
      </c>
      <c r="H21" s="69">
        <v>100961000</v>
      </c>
      <c r="I21" s="69">
        <v>104475000</v>
      </c>
      <c r="J21" s="206">
        <f t="shared" ref="J21" si="3">SUM(D21:I21)</f>
        <v>488548000</v>
      </c>
    </row>
    <row r="22" spans="1:11" s="58" customFormat="1" ht="13" customHeight="1" x14ac:dyDescent="0.35">
      <c r="A22" s="767" t="s">
        <v>698</v>
      </c>
      <c r="B22" s="66"/>
      <c r="C22" s="67"/>
      <c r="D22" s="68"/>
      <c r="E22" s="141"/>
      <c r="F22" s="142"/>
      <c r="G22" s="142"/>
      <c r="H22" s="142"/>
      <c r="I22" s="142"/>
      <c r="J22" s="206"/>
      <c r="K22" s="7"/>
    </row>
    <row r="23" spans="1:11" ht="13" customHeight="1" x14ac:dyDescent="0.35">
      <c r="A23" s="547"/>
      <c r="B23" s="189"/>
      <c r="C23" s="152"/>
      <c r="D23" s="735" t="s">
        <v>407</v>
      </c>
      <c r="E23" s="68">
        <v>91629000</v>
      </c>
      <c r="F23" s="69">
        <v>94816000</v>
      </c>
      <c r="G23" s="69">
        <v>98117000</v>
      </c>
      <c r="H23" s="69">
        <v>101532000</v>
      </c>
      <c r="I23" s="69">
        <v>101532000</v>
      </c>
      <c r="J23" s="206"/>
    </row>
    <row r="24" spans="1:11" s="58" customFormat="1" ht="13" customHeight="1" x14ac:dyDescent="0.35">
      <c r="A24" s="77"/>
      <c r="B24" s="78"/>
      <c r="C24" s="71"/>
      <c r="D24" s="72"/>
      <c r="E24" s="72"/>
      <c r="F24" s="72"/>
      <c r="G24" s="72"/>
      <c r="H24" s="73"/>
      <c r="I24" s="73"/>
      <c r="J24" s="81"/>
      <c r="K24" s="7"/>
    </row>
    <row r="25" spans="1:11" ht="13" customHeight="1" x14ac:dyDescent="0.35">
      <c r="A25" s="157"/>
      <c r="B25" s="78"/>
      <c r="C25" s="71"/>
      <c r="D25" s="72"/>
      <c r="E25" s="378">
        <f>+E21-E23</f>
        <v>-415000</v>
      </c>
      <c r="F25" s="378">
        <f t="shared" ref="F25:I25" si="4">+F21-F23</f>
        <v>-493000</v>
      </c>
      <c r="G25" s="378">
        <f t="shared" si="4"/>
        <v>-542000</v>
      </c>
      <c r="H25" s="378">
        <f t="shared" si="4"/>
        <v>-571000</v>
      </c>
      <c r="I25" s="378">
        <f t="shared" si="4"/>
        <v>2943000</v>
      </c>
      <c r="J25" s="17"/>
    </row>
    <row r="26" spans="1:11" ht="13" customHeight="1" x14ac:dyDescent="0.35">
      <c r="A26" s="613"/>
      <c r="B26" s="78"/>
      <c r="C26" s="468"/>
      <c r="D26" s="72"/>
      <c r="E26" s="72"/>
      <c r="F26" s="72"/>
      <c r="G26" s="72"/>
      <c r="H26" s="73"/>
      <c r="I26" s="73"/>
      <c r="J26" s="17"/>
    </row>
    <row r="27" spans="1:11" ht="13" customHeight="1" x14ac:dyDescent="0.35">
      <c r="A27" s="699"/>
      <c r="B27" s="58"/>
      <c r="C27" s="318"/>
      <c r="D27" s="82"/>
      <c r="E27" s="82"/>
      <c r="F27" s="72"/>
      <c r="G27" s="72"/>
      <c r="H27" s="73"/>
      <c r="I27" s="73"/>
      <c r="J27" s="17"/>
    </row>
    <row r="28" spans="1:11" ht="13" customHeight="1" x14ac:dyDescent="0.35">
      <c r="A28" s="77"/>
      <c r="B28" s="78"/>
      <c r="C28" s="71"/>
      <c r="D28" s="72"/>
      <c r="E28" s="72"/>
      <c r="F28" s="72"/>
      <c r="G28" s="72"/>
      <c r="H28" s="73"/>
      <c r="I28" s="73"/>
      <c r="J28" s="17"/>
    </row>
    <row r="29" spans="1:11" ht="13" customHeight="1" x14ac:dyDescent="0.35">
      <c r="A29" s="77"/>
      <c r="B29" s="78"/>
      <c r="C29" s="71"/>
      <c r="D29" s="72"/>
      <c r="E29" s="72"/>
      <c r="F29" s="72"/>
      <c r="G29" s="72"/>
      <c r="H29" s="73"/>
      <c r="I29" s="73"/>
      <c r="J29" s="17"/>
    </row>
    <row r="30" spans="1:11" ht="13" customHeight="1" x14ac:dyDescent="0.35">
      <c r="A30" s="77"/>
      <c r="B30" s="78"/>
      <c r="C30" s="71"/>
      <c r="D30" s="72"/>
      <c r="E30" s="72"/>
      <c r="F30" s="72"/>
      <c r="G30" s="72"/>
      <c r="H30" s="73"/>
      <c r="I30" s="73"/>
      <c r="J30" s="17"/>
    </row>
    <row r="31" spans="1:11" ht="13" customHeight="1" x14ac:dyDescent="0.35">
      <c r="A31" s="77"/>
      <c r="B31" s="78"/>
      <c r="C31" s="71"/>
      <c r="D31" s="72"/>
      <c r="E31" s="72"/>
      <c r="F31" s="72"/>
      <c r="G31" s="72"/>
      <c r="H31" s="73"/>
      <c r="I31" s="73"/>
      <c r="J31" s="17"/>
    </row>
    <row r="32" spans="1:11" ht="13" customHeight="1" x14ac:dyDescent="0.35">
      <c r="A32" s="77"/>
      <c r="B32" s="78"/>
      <c r="C32" s="71"/>
      <c r="D32" s="72"/>
      <c r="E32" s="72"/>
      <c r="F32" s="72"/>
      <c r="G32" s="72"/>
      <c r="H32" s="73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3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3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1"/>
      <c r="D46" s="72"/>
      <c r="E46" s="73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48">
        <v>82801000</v>
      </c>
      <c r="F53" s="48">
        <v>87534000</v>
      </c>
      <c r="G53" s="48">
        <v>92537000</v>
      </c>
      <c r="H53" s="184">
        <v>92537000</v>
      </c>
      <c r="I53" s="184"/>
      <c r="J53" s="17"/>
    </row>
    <row r="54" spans="1:10" ht="13" customHeight="1" x14ac:dyDescent="0.35">
      <c r="A54" s="77"/>
      <c r="B54" s="78"/>
      <c r="C54" s="71"/>
      <c r="D54" s="72"/>
      <c r="E54" s="69">
        <f>+E53-E16</f>
        <v>-8413000</v>
      </c>
      <c r="F54" s="69">
        <f>+F53-F16</f>
        <v>-6789000</v>
      </c>
      <c r="G54" s="69">
        <f>+G53-G16</f>
        <v>-5038000</v>
      </c>
      <c r="H54" s="69">
        <f>+H53-H16</f>
        <v>-8424000</v>
      </c>
      <c r="I54" s="69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1"/>
      <c r="D57" s="72"/>
      <c r="E57" s="72"/>
      <c r="F57" s="72"/>
      <c r="G57" s="72"/>
      <c r="H57" s="73"/>
      <c r="I57" s="73"/>
      <c r="J57" s="17"/>
    </row>
    <row r="58" spans="1:10" ht="13" customHeight="1" x14ac:dyDescent="0.35">
      <c r="A58" s="77"/>
      <c r="B58" s="78"/>
      <c r="C58" s="71"/>
      <c r="D58" s="72"/>
      <c r="E58" s="72"/>
      <c r="F58" s="72"/>
      <c r="G58" s="72"/>
      <c r="H58" s="73"/>
      <c r="I58" s="73"/>
      <c r="J58" s="17"/>
    </row>
    <row r="59" spans="1:10" ht="13" customHeight="1" x14ac:dyDescent="0.35">
      <c r="A59" s="77"/>
      <c r="B59" s="78"/>
      <c r="C59" s="71"/>
      <c r="D59" s="72"/>
      <c r="E59" s="72"/>
      <c r="F59" s="72"/>
      <c r="G59" s="72"/>
      <c r="H59" s="73"/>
      <c r="I59" s="73"/>
      <c r="J59" s="17"/>
    </row>
    <row r="60" spans="1:10" ht="13" customHeight="1" x14ac:dyDescent="0.35">
      <c r="A60" s="77"/>
      <c r="B60" s="78"/>
      <c r="C60" s="71"/>
      <c r="D60" s="72"/>
      <c r="E60" s="72"/>
      <c r="F60" s="72"/>
      <c r="G60" s="72"/>
      <c r="H60" s="73"/>
      <c r="I60" s="73"/>
      <c r="J60" s="17"/>
    </row>
    <row r="61" spans="1:10" ht="13" customHeight="1" x14ac:dyDescent="0.35">
      <c r="A61" s="77"/>
      <c r="B61" s="78"/>
      <c r="C61" s="75"/>
      <c r="D61" s="73"/>
      <c r="E61" s="73"/>
      <c r="F61" s="73"/>
      <c r="G61" s="73"/>
      <c r="H61" s="73"/>
      <c r="I61" s="73"/>
      <c r="J61" s="17"/>
    </row>
    <row r="62" spans="1:10" ht="13" customHeight="1" x14ac:dyDescent="0.35">
      <c r="A62" s="77"/>
      <c r="B62" s="78"/>
      <c r="C62" s="75"/>
      <c r="D62" s="73"/>
      <c r="E62" s="73"/>
      <c r="F62" s="73"/>
      <c r="G62" s="73"/>
      <c r="H62" s="73"/>
      <c r="I62" s="73"/>
      <c r="J62" s="17"/>
    </row>
    <row r="63" spans="1:10" ht="13" customHeight="1" x14ac:dyDescent="0.35">
      <c r="A63" s="77"/>
      <c r="B63" s="78"/>
      <c r="C63" s="75"/>
      <c r="D63" s="73"/>
      <c r="E63" s="73"/>
      <c r="F63" s="73"/>
      <c r="G63" s="73"/>
      <c r="H63" s="73"/>
      <c r="I63" s="73"/>
      <c r="J63" s="17"/>
    </row>
    <row r="64" spans="1:10" ht="13" customHeight="1" x14ac:dyDescent="0.35">
      <c r="A64" s="77"/>
      <c r="B64" s="78"/>
      <c r="C64" s="75"/>
      <c r="D64" s="73"/>
      <c r="E64" s="73"/>
      <c r="F64" s="73"/>
      <c r="G64" s="73"/>
      <c r="H64" s="73"/>
      <c r="I64" s="73"/>
      <c r="J64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69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9">
    <tabColor theme="3"/>
  </sheetPr>
  <dimension ref="A1:K53"/>
  <sheetViews>
    <sheetView topLeftCell="A8" zoomScale="90" zoomScaleNormal="9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6.1796875" style="7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80</v>
      </c>
      <c r="C6" s="880" t="s">
        <v>118</v>
      </c>
      <c r="D6" s="880"/>
      <c r="E6" s="880"/>
      <c r="F6" s="880"/>
      <c r="G6" s="880"/>
      <c r="H6" s="880"/>
      <c r="I6" s="880"/>
    </row>
    <row r="7" spans="1:11" ht="15" thickBot="1" x14ac:dyDescent="0.4">
      <c r="A7" s="87" t="s">
        <v>193</v>
      </c>
      <c r="C7" s="7" t="s">
        <v>396</v>
      </c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42">
        <f>23851375+2235356</f>
        <v>26086731</v>
      </c>
      <c r="C10" s="42">
        <v>25567715</v>
      </c>
      <c r="D10" s="44">
        <f>+C10</f>
        <v>25567715</v>
      </c>
      <c r="E10" s="113">
        <f>25473164+E33+E25+E27</f>
        <v>30249634</v>
      </c>
      <c r="F10" s="113">
        <f>25570423+F33+F25+F27</f>
        <v>30379922</v>
      </c>
      <c r="G10" s="113">
        <f>30230784+G33+G25+G27</f>
        <v>31322075</v>
      </c>
      <c r="H10" s="113">
        <f>31075653+H33+H25+H27</f>
        <v>32108228</v>
      </c>
      <c r="I10" s="113">
        <f>31075653+I33+I25+I27</f>
        <v>33174820</v>
      </c>
      <c r="J10"/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1"/>
        <v>0</v>
      </c>
      <c r="G12" s="35">
        <f t="shared" si="1"/>
        <v>0</v>
      </c>
      <c r="H12" s="222">
        <f t="shared" si="1"/>
        <v>0</v>
      </c>
      <c r="I12" s="36">
        <f t="shared" si="1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26086731</v>
      </c>
      <c r="C16" s="39">
        <f t="shared" ref="C16:I16" si="2">SUM(C9:C15)</f>
        <v>25567715</v>
      </c>
      <c r="D16" s="39">
        <f t="shared" si="2"/>
        <v>25567715</v>
      </c>
      <c r="E16" s="529">
        <f t="shared" si="2"/>
        <v>30249634</v>
      </c>
      <c r="F16" s="39">
        <f t="shared" si="2"/>
        <v>30379922</v>
      </c>
      <c r="G16" s="39">
        <f t="shared" si="2"/>
        <v>31322075</v>
      </c>
      <c r="H16" s="39">
        <f t="shared" si="2"/>
        <v>32108228</v>
      </c>
      <c r="I16" s="39">
        <f t="shared" si="2"/>
        <v>33174820</v>
      </c>
    </row>
    <row r="18" spans="1:10" x14ac:dyDescent="0.35">
      <c r="D18" s="401">
        <f>+D16-C16</f>
        <v>0</v>
      </c>
      <c r="E18" s="401">
        <f>+E16-D16</f>
        <v>4681919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641</v>
      </c>
      <c r="B20" s="70"/>
      <c r="C20" s="95"/>
      <c r="D20" s="72"/>
      <c r="E20" s="72"/>
      <c r="F20" s="72"/>
      <c r="G20" s="73"/>
      <c r="H20" s="73"/>
      <c r="I20" s="73"/>
    </row>
    <row r="21" spans="1:10" ht="13" customHeight="1" x14ac:dyDescent="0.35">
      <c r="A21" s="604" t="s">
        <v>348</v>
      </c>
      <c r="B21" s="78"/>
      <c r="C21" s="75">
        <v>200</v>
      </c>
      <c r="D21" s="73"/>
      <c r="E21" s="73">
        <v>1200000</v>
      </c>
      <c r="F21" s="73">
        <v>1200000</v>
      </c>
      <c r="G21" s="73">
        <v>1200000</v>
      </c>
      <c r="H21" s="73"/>
      <c r="I21" s="73"/>
      <c r="J21" s="17"/>
    </row>
    <row r="22" spans="1:10" ht="13" customHeight="1" thickBot="1" x14ac:dyDescent="0.4">
      <c r="A22" s="655" t="s">
        <v>378</v>
      </c>
      <c r="B22" s="650"/>
      <c r="C22" s="651">
        <v>200</v>
      </c>
      <c r="D22" s="652"/>
      <c r="E22" s="652">
        <v>-700142</v>
      </c>
      <c r="F22" s="652">
        <v>-701866</v>
      </c>
      <c r="G22" s="652">
        <v>-703629</v>
      </c>
      <c r="H22" s="652"/>
      <c r="I22" s="652"/>
      <c r="J22" s="17"/>
    </row>
    <row r="23" spans="1:10" ht="13" customHeight="1" x14ac:dyDescent="0.35">
      <c r="A23" s="157" t="s">
        <v>370</v>
      </c>
      <c r="B23" s="58"/>
      <c r="C23" s="318"/>
      <c r="D23" s="82"/>
      <c r="E23" s="82"/>
      <c r="F23" s="82"/>
      <c r="G23" s="82"/>
      <c r="H23" s="82"/>
      <c r="I23" s="82"/>
      <c r="J23" s="17"/>
    </row>
    <row r="24" spans="1:10" ht="13" customHeight="1" x14ac:dyDescent="0.35">
      <c r="A24" s="312" t="s">
        <v>486</v>
      </c>
      <c r="B24" s="143"/>
      <c r="C24" s="234"/>
      <c r="D24" s="584"/>
      <c r="E24" s="584"/>
      <c r="F24" s="584"/>
      <c r="G24" s="69"/>
      <c r="H24" s="69"/>
      <c r="I24" s="69"/>
      <c r="J24" s="17"/>
    </row>
    <row r="25" spans="1:10" ht="13" customHeight="1" x14ac:dyDescent="0.35">
      <c r="A25" s="746" t="s">
        <v>513</v>
      </c>
      <c r="B25" s="58"/>
      <c r="C25" s="318">
        <v>200</v>
      </c>
      <c r="D25" s="94"/>
      <c r="E25" s="94">
        <v>-2660120</v>
      </c>
      <c r="F25" s="94">
        <v>-2710469</v>
      </c>
      <c r="G25" s="94">
        <v>-2784649</v>
      </c>
      <c r="H25" s="94">
        <v>-2836780</v>
      </c>
      <c r="I25" s="94">
        <v>-2891007</v>
      </c>
      <c r="J25" s="17"/>
    </row>
    <row r="26" spans="1:10" ht="13" customHeight="1" x14ac:dyDescent="0.35">
      <c r="A26" s="312" t="s">
        <v>715</v>
      </c>
      <c r="B26" s="143"/>
      <c r="C26" s="234"/>
      <c r="D26" s="584"/>
      <c r="E26" s="584"/>
      <c r="F26" s="584"/>
      <c r="G26" s="69"/>
      <c r="H26" s="69"/>
      <c r="I26" s="69"/>
      <c r="J26" s="17"/>
    </row>
    <row r="27" spans="1:10" ht="13" customHeight="1" x14ac:dyDescent="0.35">
      <c r="A27" s="746" t="s">
        <v>841</v>
      </c>
      <c r="B27" s="58"/>
      <c r="C27" s="318">
        <v>200</v>
      </c>
      <c r="D27" s="82"/>
      <c r="E27" s="82">
        <v>2660120</v>
      </c>
      <c r="F27" s="82">
        <v>2710469</v>
      </c>
      <c r="G27" s="82">
        <v>2784649</v>
      </c>
      <c r="H27" s="82">
        <v>2836780</v>
      </c>
      <c r="I27" s="82">
        <v>2891007</v>
      </c>
      <c r="J27" s="17"/>
    </row>
    <row r="28" spans="1:10" ht="13" customHeight="1" x14ac:dyDescent="0.35">
      <c r="A28" s="298"/>
      <c r="B28" s="143"/>
      <c r="C28" s="234"/>
      <c r="D28" s="584"/>
      <c r="E28" s="584"/>
      <c r="F28" s="584"/>
      <c r="G28" s="69"/>
      <c r="H28" s="69"/>
      <c r="I28" s="69"/>
      <c r="J28" s="17"/>
    </row>
    <row r="29" spans="1:10" ht="13" customHeight="1" x14ac:dyDescent="0.35">
      <c r="A29" s="77"/>
      <c r="B29" s="78"/>
      <c r="C29" s="75"/>
      <c r="D29" s="73"/>
      <c r="E29" s="73"/>
      <c r="F29" s="73"/>
      <c r="G29" s="73"/>
      <c r="H29" s="73"/>
      <c r="I29" s="73"/>
      <c r="J29" s="17"/>
    </row>
    <row r="30" spans="1:10" ht="13" customHeight="1" x14ac:dyDescent="0.35">
      <c r="A30" s="436" t="s">
        <v>637</v>
      </c>
      <c r="E30" s="230"/>
      <c r="F30" s="230"/>
      <c r="G30" s="230"/>
      <c r="H30" s="230"/>
      <c r="I30" s="230"/>
      <c r="J30" s="17"/>
    </row>
    <row r="31" spans="1:10" ht="13" customHeight="1" x14ac:dyDescent="0.35">
      <c r="A31" s="842" t="s">
        <v>704</v>
      </c>
      <c r="B31" s="78"/>
      <c r="C31" s="71"/>
      <c r="D31" s="230">
        <v>25567715</v>
      </c>
      <c r="E31" s="230">
        <v>30249634</v>
      </c>
      <c r="F31" s="230">
        <v>30379922</v>
      </c>
      <c r="G31" s="230">
        <v>31322075</v>
      </c>
      <c r="H31" s="230">
        <v>32108228</v>
      </c>
      <c r="I31" s="230">
        <v>33174820</v>
      </c>
      <c r="J31" s="17"/>
    </row>
    <row r="32" spans="1:10" ht="12.75" customHeight="1" x14ac:dyDescent="0.35">
      <c r="A32" s="566" t="s">
        <v>322</v>
      </c>
      <c r="B32" s="78"/>
      <c r="C32" s="71"/>
      <c r="D32" s="230">
        <v>25567715</v>
      </c>
      <c r="E32" s="230">
        <v>25473164</v>
      </c>
      <c r="F32" s="230">
        <v>25570423</v>
      </c>
      <c r="G32" s="230">
        <v>30230784</v>
      </c>
      <c r="H32" s="72">
        <v>31075653</v>
      </c>
      <c r="I32" s="72">
        <v>31075653</v>
      </c>
      <c r="J32" s="17"/>
    </row>
    <row r="33" spans="1:10" ht="13" customHeight="1" x14ac:dyDescent="0.35">
      <c r="A33" s="566" t="s">
        <v>321</v>
      </c>
      <c r="B33" s="78"/>
      <c r="C33" s="71"/>
      <c r="D33" s="567">
        <f t="shared" ref="D33:I33" si="3">+D31-D32</f>
        <v>0</v>
      </c>
      <c r="E33" s="567">
        <f t="shared" si="3"/>
        <v>4776470</v>
      </c>
      <c r="F33" s="567">
        <f t="shared" si="3"/>
        <v>4809499</v>
      </c>
      <c r="G33" s="567">
        <f t="shared" si="3"/>
        <v>1091291</v>
      </c>
      <c r="H33" s="567">
        <f t="shared" si="3"/>
        <v>1032575</v>
      </c>
      <c r="I33" s="567">
        <f t="shared" si="3"/>
        <v>2099167</v>
      </c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9"/>
      <c r="B36" s="70"/>
      <c r="C36" s="71"/>
      <c r="D36" s="72"/>
      <c r="E36" s="72"/>
      <c r="F36" s="73"/>
      <c r="G36" s="73"/>
      <c r="H36" s="73"/>
      <c r="I36" s="73"/>
      <c r="J36" s="17"/>
    </row>
    <row r="37" spans="1:10" ht="13" customHeight="1" x14ac:dyDescent="0.35">
      <c r="A37" s="77"/>
      <c r="B37" s="70"/>
      <c r="C37" s="71"/>
      <c r="D37" s="72"/>
      <c r="E37" s="72"/>
      <c r="F37" s="73"/>
      <c r="G37" s="73"/>
      <c r="H37" s="73"/>
      <c r="I37" s="73"/>
      <c r="J37" s="17"/>
    </row>
    <row r="38" spans="1:10" ht="13" customHeight="1" x14ac:dyDescent="0.35">
      <c r="A38" s="77"/>
      <c r="B38" s="70"/>
      <c r="C38" s="71"/>
      <c r="D38" s="72"/>
      <c r="E38" s="72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1"/>
      <c r="D39" s="72"/>
      <c r="E39" s="72"/>
      <c r="F39" s="72"/>
      <c r="G39" s="72"/>
      <c r="H39" s="73"/>
      <c r="I39" s="73"/>
      <c r="J39" s="17"/>
    </row>
    <row r="40" spans="1:10" ht="13" customHeight="1" x14ac:dyDescent="0.35">
      <c r="A40" s="77"/>
      <c r="B40" s="78"/>
      <c r="C40" s="71"/>
      <c r="D40" s="72"/>
      <c r="E40" s="72"/>
      <c r="F40" s="72"/>
      <c r="G40" s="72"/>
      <c r="H40" s="73"/>
      <c r="I40" s="73"/>
      <c r="J40" s="17"/>
    </row>
    <row r="41" spans="1:10" ht="13" customHeight="1" x14ac:dyDescent="0.35">
      <c r="A41" s="77"/>
      <c r="B41" s="78"/>
      <c r="C41" s="71"/>
      <c r="D41" s="72"/>
      <c r="E41" s="72"/>
      <c r="F41" s="72"/>
      <c r="G41" s="72"/>
      <c r="H41" s="73"/>
      <c r="I41" s="73"/>
      <c r="J41" s="17"/>
    </row>
    <row r="42" spans="1:10" ht="13" customHeight="1" x14ac:dyDescent="0.35">
      <c r="A42" s="77"/>
      <c r="B42" s="78"/>
      <c r="C42" s="71"/>
      <c r="D42" s="72"/>
      <c r="E42" s="72"/>
      <c r="F42" s="72"/>
      <c r="G42" s="72"/>
      <c r="H42" s="73"/>
      <c r="I42" s="73"/>
      <c r="J42" s="17"/>
    </row>
    <row r="43" spans="1:10" ht="13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3"/>
      <c r="E50" s="73"/>
      <c r="F50" s="73"/>
      <c r="G50" s="73"/>
      <c r="H50" s="73"/>
      <c r="I50" s="73"/>
      <c r="J50" s="17"/>
    </row>
    <row r="51" spans="1:10" ht="13" customHeight="1" x14ac:dyDescent="0.35">
      <c r="A51" s="77"/>
      <c r="B51" s="78"/>
      <c r="C51" s="75"/>
      <c r="D51" s="73"/>
      <c r="E51" s="73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6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70">
    <tabColor theme="3"/>
  </sheetPr>
  <dimension ref="A1:K60"/>
  <sheetViews>
    <sheetView zoomScaleNormal="100" zoomScaleSheetLayoutView="90" workbookViewId="0">
      <selection activeCell="C12" sqref="C1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6.54296875" style="7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 t="s">
        <v>82</v>
      </c>
      <c r="C6" s="885" t="s">
        <v>117</v>
      </c>
      <c r="D6" s="885"/>
      <c r="E6" s="885"/>
      <c r="F6" s="885"/>
      <c r="G6" s="885"/>
      <c r="H6" s="885"/>
      <c r="I6" s="885"/>
    </row>
    <row r="7" spans="1:11" ht="15" thickBot="1" x14ac:dyDescent="0.4">
      <c r="A7" s="87" t="s">
        <v>170</v>
      </c>
      <c r="C7" s="7" t="s">
        <v>397</v>
      </c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 t="shared" ref="D9:D15" si="0">+C9</f>
        <v>0</v>
      </c>
      <c r="E9" s="114">
        <f>+D9</f>
        <v>0</v>
      </c>
      <c r="F9" s="396">
        <f t="shared" ref="E9:I15" si="1">+E9</f>
        <v>0</v>
      </c>
      <c r="G9" s="33">
        <f t="shared" si="1"/>
        <v>0</v>
      </c>
      <c r="H9" s="219">
        <f t="shared" si="1"/>
        <v>0</v>
      </c>
      <c r="I9" s="50">
        <f t="shared" si="1"/>
        <v>0</v>
      </c>
      <c r="K9" s="7">
        <v>100</v>
      </c>
    </row>
    <row r="10" spans="1:11" x14ac:dyDescent="0.35">
      <c r="A10" s="10" t="s">
        <v>5</v>
      </c>
      <c r="B10" s="42">
        <f>20927416+6465383+1288763</f>
        <v>28681562</v>
      </c>
      <c r="C10" s="35">
        <v>25447623</v>
      </c>
      <c r="D10" s="222">
        <f>+C10</f>
        <v>25447623</v>
      </c>
      <c r="E10" s="113">
        <f>26304495+E33</f>
        <v>24875748</v>
      </c>
      <c r="F10" s="397">
        <f>27242881+F33</f>
        <v>25668251</v>
      </c>
      <c r="G10" s="48">
        <f>28160163+G33</f>
        <v>26591054</v>
      </c>
      <c r="H10" s="220">
        <f>29108406+H33</f>
        <v>27491945</v>
      </c>
      <c r="I10" s="49">
        <f>29108406+I33</f>
        <v>28422963</v>
      </c>
      <c r="J10" s="351">
        <f>SUM(D10:I10)</f>
        <v>158497584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si="0"/>
        <v>0</v>
      </c>
      <c r="E11" s="114">
        <f t="shared" si="1"/>
        <v>0</v>
      </c>
      <c r="F11" s="396">
        <f t="shared" si="1"/>
        <v>0</v>
      </c>
      <c r="G11" s="33">
        <f t="shared" si="1"/>
        <v>0</v>
      </c>
      <c r="H11" s="219">
        <f t="shared" si="1"/>
        <v>0</v>
      </c>
      <c r="I11" s="34">
        <f t="shared" si="1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1"/>
        <v>0</v>
      </c>
      <c r="G12" s="35">
        <f t="shared" si="1"/>
        <v>0</v>
      </c>
      <c r="H12" s="222">
        <f t="shared" si="1"/>
        <v>0</v>
      </c>
      <c r="I12" s="36">
        <f t="shared" si="1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28681562</v>
      </c>
      <c r="C16" s="39">
        <f t="shared" ref="C16:I16" si="2">SUM(C9:C15)</f>
        <v>25447623</v>
      </c>
      <c r="D16" s="39">
        <f t="shared" si="2"/>
        <v>25447623</v>
      </c>
      <c r="E16" s="529">
        <f t="shared" si="2"/>
        <v>24875748</v>
      </c>
      <c r="F16" s="39">
        <f t="shared" si="2"/>
        <v>25668251</v>
      </c>
      <c r="G16" s="39">
        <f t="shared" si="2"/>
        <v>26591054</v>
      </c>
      <c r="H16" s="39">
        <f t="shared" si="2"/>
        <v>27491945</v>
      </c>
      <c r="I16" s="39">
        <f t="shared" si="2"/>
        <v>28422963</v>
      </c>
    </row>
    <row r="17" spans="1:11" ht="14.25" customHeight="1" x14ac:dyDescent="0.35">
      <c r="C17" s="161"/>
      <c r="D17" s="161"/>
    </row>
    <row r="18" spans="1:11" x14ac:dyDescent="0.35">
      <c r="E18" s="401">
        <f>+E16-D16</f>
        <v>-571875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187" t="s">
        <v>379</v>
      </c>
      <c r="B20" s="78"/>
      <c r="C20" s="71"/>
      <c r="D20" s="44"/>
      <c r="E20" s="224"/>
      <c r="F20" s="72"/>
      <c r="G20" s="73"/>
      <c r="H20" s="73"/>
      <c r="I20" s="73"/>
    </row>
    <row r="21" spans="1:11" ht="13" customHeight="1" thickBot="1" x14ac:dyDescent="0.4">
      <c r="A21" s="656" t="s">
        <v>346</v>
      </c>
      <c r="B21" s="650"/>
      <c r="C21" s="657"/>
      <c r="D21" s="658"/>
      <c r="E21" s="659"/>
      <c r="F21" s="659"/>
      <c r="G21" s="659"/>
      <c r="H21" s="659"/>
      <c r="I21" s="659"/>
      <c r="J21" s="17"/>
    </row>
    <row r="22" spans="1:11" s="58" customFormat="1" ht="13" customHeight="1" x14ac:dyDescent="0.35">
      <c r="A22" s="566"/>
      <c r="B22" s="78"/>
      <c r="C22" s="71"/>
      <c r="D22" s="72"/>
      <c r="E22" s="654"/>
      <c r="F22" s="654"/>
      <c r="G22" s="654"/>
      <c r="H22" s="654"/>
      <c r="I22" s="654"/>
      <c r="J22" s="81"/>
      <c r="K22" s="7"/>
    </row>
    <row r="23" spans="1:11" ht="13" customHeight="1" x14ac:dyDescent="0.35">
      <c r="A23" s="566"/>
      <c r="B23" s="78"/>
      <c r="C23" s="71"/>
      <c r="D23" s="72"/>
      <c r="E23" s="653"/>
      <c r="F23" s="653"/>
      <c r="G23" s="653"/>
      <c r="H23" s="653"/>
      <c r="I23" s="653"/>
      <c r="J23" s="17"/>
    </row>
    <row r="24" spans="1:11" s="58" customFormat="1" ht="13" customHeight="1" x14ac:dyDescent="0.35">
      <c r="A24" s="77"/>
      <c r="B24" s="78"/>
      <c r="C24" s="71"/>
      <c r="D24" s="103"/>
      <c r="E24" s="103"/>
      <c r="F24" s="103"/>
      <c r="G24" s="103"/>
      <c r="H24" s="103"/>
      <c r="I24" s="103"/>
      <c r="J24" s="20"/>
      <c r="K24" s="7"/>
    </row>
    <row r="25" spans="1:11" ht="13" customHeight="1" x14ac:dyDescent="0.35">
      <c r="A25" s="187"/>
      <c r="B25" s="78"/>
      <c r="C25" s="71"/>
      <c r="D25" s="44"/>
      <c r="E25" s="224"/>
      <c r="F25" s="224"/>
      <c r="G25" s="224"/>
      <c r="H25" s="224"/>
      <c r="I25" s="224"/>
      <c r="J25" s="352"/>
    </row>
    <row r="26" spans="1:11" ht="13" customHeight="1" x14ac:dyDescent="0.35">
      <c r="A26" s="648"/>
      <c r="B26" s="78"/>
      <c r="C26" s="71"/>
      <c r="D26" s="44"/>
      <c r="E26" s="230"/>
      <c r="F26" s="224"/>
      <c r="G26" s="224"/>
      <c r="H26" s="224"/>
      <c r="I26" s="224"/>
      <c r="J26" s="352"/>
    </row>
    <row r="27" spans="1:11" ht="13" customHeight="1" x14ac:dyDescent="0.35">
      <c r="A27" s="77"/>
      <c r="B27" s="78"/>
      <c r="C27" s="71"/>
      <c r="D27" s="103"/>
      <c r="E27" s="103"/>
      <c r="F27" s="103"/>
      <c r="G27" s="103"/>
      <c r="H27" s="103"/>
      <c r="I27" s="103"/>
      <c r="J27" s="352"/>
    </row>
    <row r="28" spans="1:11" ht="13" customHeight="1" x14ac:dyDescent="0.35">
      <c r="A28" s="77"/>
      <c r="B28" s="78"/>
      <c r="C28" s="71"/>
      <c r="D28" s="103"/>
      <c r="E28" s="103"/>
      <c r="F28" s="103"/>
      <c r="G28" s="103"/>
      <c r="H28" s="94"/>
      <c r="I28" s="94"/>
      <c r="J28" s="211"/>
    </row>
    <row r="29" spans="1:11" ht="13" customHeight="1" x14ac:dyDescent="0.35">
      <c r="A29" s="77"/>
      <c r="B29" s="78"/>
      <c r="C29" s="71"/>
      <c r="D29" s="103"/>
      <c r="E29" s="103"/>
      <c r="F29" s="103"/>
      <c r="G29" s="103"/>
      <c r="H29" s="94"/>
      <c r="I29" s="94"/>
      <c r="J29" s="17"/>
    </row>
    <row r="30" spans="1:11" ht="13" customHeight="1" x14ac:dyDescent="0.35">
      <c r="A30" s="436" t="s">
        <v>637</v>
      </c>
      <c r="B30" s="70"/>
      <c r="C30" s="71"/>
      <c r="D30" s="72"/>
      <c r="E30" s="72"/>
      <c r="F30" s="72"/>
      <c r="G30" s="73"/>
      <c r="H30" s="73"/>
      <c r="I30" s="73"/>
      <c r="J30" s="17"/>
    </row>
    <row r="31" spans="1:11" ht="13" customHeight="1" x14ac:dyDescent="0.35">
      <c r="A31" s="746" t="s">
        <v>703</v>
      </c>
      <c r="B31" s="78"/>
      <c r="C31" s="71"/>
      <c r="D31" s="72"/>
      <c r="E31" s="230">
        <v>24875748</v>
      </c>
      <c r="F31" s="230">
        <v>25668251</v>
      </c>
      <c r="G31" s="230">
        <v>26591054</v>
      </c>
      <c r="H31" s="230">
        <v>27491945</v>
      </c>
      <c r="I31" s="230">
        <v>28422963</v>
      </c>
      <c r="J31" s="17"/>
    </row>
    <row r="32" spans="1:11" ht="13" customHeight="1" x14ac:dyDescent="0.35">
      <c r="A32" s="566" t="s">
        <v>322</v>
      </c>
      <c r="B32" s="78"/>
      <c r="C32" s="71"/>
      <c r="D32" s="72"/>
      <c r="E32" s="72">
        <v>26304495</v>
      </c>
      <c r="F32" s="72">
        <v>27242881</v>
      </c>
      <c r="G32" s="72">
        <v>28160163</v>
      </c>
      <c r="H32" s="72">
        <v>29108406</v>
      </c>
      <c r="I32" s="72">
        <v>29108406</v>
      </c>
      <c r="J32" s="17"/>
    </row>
    <row r="33" spans="1:10" ht="13" customHeight="1" x14ac:dyDescent="0.35">
      <c r="A33" s="566" t="s">
        <v>321</v>
      </c>
      <c r="B33" s="78"/>
      <c r="C33" s="71"/>
      <c r="D33" s="72"/>
      <c r="E33" s="567">
        <f>+E31-E32</f>
        <v>-1428747</v>
      </c>
      <c r="F33" s="567">
        <f t="shared" ref="F33:I33" si="3">+F31-F32</f>
        <v>-1574630</v>
      </c>
      <c r="G33" s="567">
        <f t="shared" si="3"/>
        <v>-1569109</v>
      </c>
      <c r="H33" s="567">
        <f t="shared" si="3"/>
        <v>-1616461</v>
      </c>
      <c r="I33" s="567">
        <f t="shared" si="3"/>
        <v>-685443</v>
      </c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3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2.75" customHeight="1" x14ac:dyDescent="0.35">
      <c r="A46" s="77"/>
      <c r="B46" s="70"/>
      <c r="C46" s="71"/>
      <c r="D46" s="72"/>
      <c r="E46" s="73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6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1">
    <tabColor theme="3"/>
  </sheetPr>
  <dimension ref="A1:K57"/>
  <sheetViews>
    <sheetView zoomScaleNormal="100" zoomScaleSheetLayoutView="90" workbookViewId="0">
      <selection activeCell="E14" sqref="E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31</v>
      </c>
      <c r="C6" s="880" t="s">
        <v>116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2995101</v>
      </c>
      <c r="C9" s="33">
        <v>3117312</v>
      </c>
      <c r="D9" s="219">
        <f t="shared" ref="D9:D15" si="0">+C9+SUMIF($C$20:$C$58,K9,$D$20:$D$58)</f>
        <v>3117312</v>
      </c>
      <c r="E9" s="114">
        <f t="shared" ref="E9:E15" si="1">+D9+SUMIF($C$20:$C$58,K9,$E$20:$E$58)</f>
        <v>3009970</v>
      </c>
      <c r="F9" s="396">
        <f t="shared" ref="F9:F15" si="2">+E9+SUMIF($C$20:$C$58,K9,$F$20:$F$58)</f>
        <v>3009970</v>
      </c>
      <c r="G9" s="33">
        <f t="shared" ref="G9:G15" si="3">+F9+SUMIF($C$20:$C$58,K9,$G$20:$G$58)</f>
        <v>3009970</v>
      </c>
      <c r="H9" s="219">
        <f t="shared" ref="H9:H15" si="4">+G9+SUMIF($C$20:$C$58,K9,$H$20:$H$58)</f>
        <v>3009970</v>
      </c>
      <c r="I9" s="50">
        <f t="shared" ref="I9:I15" si="5">+H9+SUMIF($C$20:$C$58,K9,$I$20:$I$58)</f>
        <v>3009970</v>
      </c>
      <c r="K9" s="7">
        <v>100</v>
      </c>
    </row>
    <row r="10" spans="1:11" x14ac:dyDescent="0.35">
      <c r="A10" s="10" t="s">
        <v>5</v>
      </c>
      <c r="B10" s="35">
        <v>994452</v>
      </c>
      <c r="C10" s="35">
        <v>743265</v>
      </c>
      <c r="D10" s="222">
        <f t="shared" si="0"/>
        <v>743265</v>
      </c>
      <c r="E10" s="506">
        <f t="shared" si="1"/>
        <v>758985</v>
      </c>
      <c r="F10" s="504">
        <f t="shared" si="2"/>
        <v>758985</v>
      </c>
      <c r="G10" s="35">
        <f t="shared" si="3"/>
        <v>758985</v>
      </c>
      <c r="H10" s="222">
        <f t="shared" si="4"/>
        <v>658985</v>
      </c>
      <c r="I10" s="36">
        <f t="shared" si="5"/>
        <v>658985</v>
      </c>
      <c r="K10" s="7">
        <v>200</v>
      </c>
    </row>
    <row r="11" spans="1:11" x14ac:dyDescent="0.35">
      <c r="A11" s="9" t="s">
        <v>6</v>
      </c>
      <c r="B11" s="33">
        <f>91007+139189</f>
        <v>230196</v>
      </c>
      <c r="C11" s="33">
        <v>143758</v>
      </c>
      <c r="D11" s="219">
        <f t="shared" si="0"/>
        <v>143758</v>
      </c>
      <c r="E11" s="114">
        <f t="shared" si="1"/>
        <v>143758</v>
      </c>
      <c r="F11" s="396">
        <f t="shared" si="2"/>
        <v>143758</v>
      </c>
      <c r="G11" s="33">
        <f t="shared" si="3"/>
        <v>143758</v>
      </c>
      <c r="H11" s="219">
        <f t="shared" si="4"/>
        <v>143758</v>
      </c>
      <c r="I11" s="34">
        <f t="shared" si="5"/>
        <v>143758</v>
      </c>
      <c r="K11" s="7" t="s">
        <v>167</v>
      </c>
    </row>
    <row r="12" spans="1:11" x14ac:dyDescent="0.35">
      <c r="A12" s="10" t="s">
        <v>7</v>
      </c>
      <c r="B12" s="35">
        <v>1450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4221199</v>
      </c>
      <c r="C16" s="39">
        <f t="shared" ref="C16:I16" si="6">SUM(C9:C15)</f>
        <v>4004335</v>
      </c>
      <c r="D16" s="39">
        <f t="shared" si="6"/>
        <v>4004335</v>
      </c>
      <c r="E16" s="529">
        <f t="shared" si="6"/>
        <v>3912713</v>
      </c>
      <c r="F16" s="39">
        <f t="shared" si="6"/>
        <v>3912713</v>
      </c>
      <c r="G16" s="39">
        <f t="shared" si="6"/>
        <v>3912713</v>
      </c>
      <c r="H16" s="39">
        <f t="shared" si="6"/>
        <v>3812713</v>
      </c>
      <c r="I16" s="39">
        <f t="shared" si="6"/>
        <v>3812713</v>
      </c>
    </row>
    <row r="18" spans="1:11" x14ac:dyDescent="0.35">
      <c r="E18" s="401">
        <f>+E16-D16</f>
        <v>-91622</v>
      </c>
    </row>
    <row r="19" spans="1:11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1" ht="15" customHeight="1" thickTop="1" x14ac:dyDescent="0.35">
      <c r="A20" s="701" t="s">
        <v>387</v>
      </c>
      <c r="B20" s="702"/>
      <c r="C20" s="232"/>
      <c r="D20" s="703"/>
      <c r="E20" s="73"/>
      <c r="F20" s="73"/>
      <c r="G20" s="73"/>
      <c r="H20" s="73"/>
      <c r="I20" s="73"/>
    </row>
    <row r="21" spans="1:11" ht="15" customHeight="1" x14ac:dyDescent="0.35">
      <c r="A21" s="779" t="s">
        <v>487</v>
      </c>
      <c r="B21" s="180"/>
      <c r="C21" s="709"/>
      <c r="D21" s="777"/>
      <c r="E21" s="69"/>
      <c r="F21" s="69"/>
      <c r="G21" s="69"/>
      <c r="H21" s="69"/>
      <c r="I21" s="69"/>
    </row>
    <row r="22" spans="1:11" ht="13" customHeight="1" x14ac:dyDescent="0.35">
      <c r="A22" s="778" t="s">
        <v>517</v>
      </c>
      <c r="B22" s="101"/>
      <c r="C22" s="102">
        <v>100</v>
      </c>
      <c r="D22" s="777"/>
      <c r="E22" s="94"/>
      <c r="F22" s="94">
        <v>191460</v>
      </c>
      <c r="G22" s="94"/>
      <c r="H22" s="94"/>
      <c r="I22" s="94"/>
      <c r="J22" s="17"/>
    </row>
    <row r="23" spans="1:11" s="58" customFormat="1" ht="13" customHeight="1" x14ac:dyDescent="0.35">
      <c r="A23" s="778" t="s">
        <v>518</v>
      </c>
      <c r="B23" s="180"/>
      <c r="C23" s="709">
        <v>200</v>
      </c>
      <c r="D23" s="777"/>
      <c r="E23" s="69"/>
      <c r="F23" s="69">
        <v>795514</v>
      </c>
      <c r="G23" s="69"/>
      <c r="H23" s="69"/>
      <c r="I23" s="69"/>
      <c r="J23" s="81"/>
      <c r="K23" s="7"/>
    </row>
    <row r="24" spans="1:11" ht="13" customHeight="1" x14ac:dyDescent="0.35">
      <c r="A24" s="778" t="s">
        <v>519</v>
      </c>
      <c r="B24" s="101"/>
      <c r="C24" s="102">
        <v>500</v>
      </c>
      <c r="D24" s="777"/>
      <c r="E24" s="94"/>
      <c r="F24" s="94">
        <v>1456</v>
      </c>
      <c r="G24" s="94"/>
      <c r="H24" s="94"/>
      <c r="I24" s="94"/>
      <c r="J24" s="17"/>
    </row>
    <row r="25" spans="1:11" ht="13" customHeight="1" x14ac:dyDescent="0.35">
      <c r="A25" s="778" t="s">
        <v>593</v>
      </c>
      <c r="B25" s="180"/>
      <c r="C25" s="709">
        <v>100</v>
      </c>
      <c r="D25" s="777"/>
      <c r="E25" s="69">
        <v>9047</v>
      </c>
      <c r="F25" s="69"/>
      <c r="G25" s="69"/>
      <c r="H25" s="69"/>
      <c r="I25" s="69"/>
      <c r="J25" s="17"/>
    </row>
    <row r="26" spans="1:11" ht="13" customHeight="1" x14ac:dyDescent="0.35">
      <c r="A26" s="779" t="s">
        <v>596</v>
      </c>
      <c r="B26" s="101"/>
      <c r="C26" s="102"/>
      <c r="D26" s="777"/>
      <c r="E26" s="94"/>
      <c r="F26" s="94"/>
      <c r="G26" s="94"/>
      <c r="H26" s="94"/>
      <c r="I26" s="94"/>
      <c r="J26" s="17"/>
    </row>
    <row r="27" spans="1:11" ht="13" customHeight="1" x14ac:dyDescent="0.35">
      <c r="A27" s="778" t="s">
        <v>616</v>
      </c>
      <c r="B27" s="180"/>
      <c r="C27" s="709">
        <v>100</v>
      </c>
      <c r="D27" s="777"/>
      <c r="E27" s="69"/>
      <c r="F27" s="69">
        <v>-191460</v>
      </c>
      <c r="G27" s="69">
        <v>191460</v>
      </c>
      <c r="H27" s="69"/>
      <c r="I27" s="69"/>
      <c r="J27" s="17"/>
    </row>
    <row r="28" spans="1:11" ht="13" customHeight="1" x14ac:dyDescent="0.35">
      <c r="A28" s="778"/>
      <c r="B28" s="101"/>
      <c r="C28" s="102">
        <v>200</v>
      </c>
      <c r="D28" s="777"/>
      <c r="E28" s="94"/>
      <c r="F28" s="94">
        <v>-795514</v>
      </c>
      <c r="G28" s="94">
        <v>795514</v>
      </c>
      <c r="H28" s="94"/>
      <c r="I28" s="94"/>
      <c r="J28" s="17"/>
    </row>
    <row r="29" spans="1:11" ht="13" customHeight="1" x14ac:dyDescent="0.35">
      <c r="A29" s="778"/>
      <c r="B29" s="180"/>
      <c r="C29" s="709">
        <v>500</v>
      </c>
      <c r="D29" s="777"/>
      <c r="E29" s="69"/>
      <c r="F29" s="69">
        <v>-1456</v>
      </c>
      <c r="G29" s="69">
        <v>1456</v>
      </c>
      <c r="H29" s="69"/>
      <c r="I29" s="69"/>
      <c r="J29" s="17"/>
    </row>
    <row r="30" spans="1:11" ht="13" customHeight="1" x14ac:dyDescent="0.35">
      <c r="A30" s="779" t="s">
        <v>748</v>
      </c>
      <c r="B30" s="101"/>
      <c r="C30" s="102"/>
      <c r="D30" s="777"/>
      <c r="E30" s="777"/>
      <c r="F30" s="94"/>
      <c r="G30" s="94"/>
      <c r="H30" s="94"/>
      <c r="I30" s="94"/>
      <c r="J30" s="17"/>
    </row>
    <row r="31" spans="1:11" ht="13" customHeight="1" x14ac:dyDescent="0.35">
      <c r="A31" s="778" t="s">
        <v>804</v>
      </c>
      <c r="B31" s="180"/>
      <c r="C31" s="709">
        <v>100</v>
      </c>
      <c r="D31" s="777"/>
      <c r="E31" s="777">
        <v>-116389</v>
      </c>
      <c r="F31" s="69"/>
      <c r="G31" s="69"/>
      <c r="H31" s="69"/>
      <c r="I31" s="69"/>
      <c r="J31" s="17"/>
    </row>
    <row r="32" spans="1:11" ht="13" customHeight="1" x14ac:dyDescent="0.35">
      <c r="A32" s="778"/>
      <c r="B32" s="101"/>
      <c r="C32" s="102">
        <v>200</v>
      </c>
      <c r="D32" s="777"/>
      <c r="E32" s="94">
        <v>-84280</v>
      </c>
      <c r="F32" s="94"/>
      <c r="G32" s="94"/>
      <c r="H32" s="94"/>
      <c r="I32" s="94"/>
      <c r="J32" s="17"/>
    </row>
    <row r="33" spans="1:10" ht="13" customHeight="1" x14ac:dyDescent="0.35">
      <c r="A33" s="778" t="s">
        <v>842</v>
      </c>
      <c r="B33" s="180"/>
      <c r="C33" s="709">
        <v>200</v>
      </c>
      <c r="D33" s="777"/>
      <c r="E33" s="69">
        <v>100000</v>
      </c>
      <c r="F33" s="69"/>
      <c r="G33" s="69"/>
      <c r="H33" s="69">
        <v>-100000</v>
      </c>
      <c r="I33" s="69"/>
      <c r="J33" s="17"/>
    </row>
    <row r="34" spans="1:10" ht="12" customHeight="1" x14ac:dyDescent="0.35">
      <c r="A34" s="778" t="s">
        <v>859</v>
      </c>
      <c r="B34" s="101"/>
      <c r="C34" s="102">
        <v>100</v>
      </c>
      <c r="D34" s="777"/>
      <c r="E34" s="94"/>
      <c r="F34" s="94"/>
      <c r="G34" s="94">
        <v>-191460</v>
      </c>
      <c r="H34" s="94"/>
      <c r="I34" s="94"/>
      <c r="J34" s="17"/>
    </row>
    <row r="35" spans="1:10" ht="13" customHeight="1" x14ac:dyDescent="0.35">
      <c r="A35" s="778"/>
      <c r="B35" s="180"/>
      <c r="C35" s="709">
        <v>200</v>
      </c>
      <c r="D35" s="777"/>
      <c r="E35" s="69"/>
      <c r="F35" s="69"/>
      <c r="G35" s="69">
        <v>-795514</v>
      </c>
      <c r="H35" s="69"/>
      <c r="I35" s="69"/>
      <c r="J35" s="17"/>
    </row>
    <row r="36" spans="1:10" ht="13" customHeight="1" x14ac:dyDescent="0.35">
      <c r="A36" s="778"/>
      <c r="B36" s="101"/>
      <c r="C36" s="102">
        <v>500</v>
      </c>
      <c r="D36" s="777"/>
      <c r="E36" s="94"/>
      <c r="F36" s="94"/>
      <c r="G36" s="94">
        <v>-1456</v>
      </c>
      <c r="H36" s="94"/>
      <c r="I36" s="94"/>
      <c r="J36" s="17"/>
    </row>
    <row r="37" spans="1:10" ht="13" customHeight="1" x14ac:dyDescent="0.35">
      <c r="A37" s="778"/>
      <c r="B37" s="180"/>
      <c r="C37" s="709"/>
      <c r="D37" s="777"/>
      <c r="E37" s="69"/>
      <c r="F37" s="69"/>
      <c r="G37" s="69"/>
      <c r="H37" s="69"/>
      <c r="I37" s="69"/>
      <c r="J37" s="17"/>
    </row>
    <row r="38" spans="1:10" ht="13" customHeight="1" x14ac:dyDescent="0.35">
      <c r="A38" s="778"/>
      <c r="B38" s="101"/>
      <c r="C38" s="102"/>
      <c r="D38" s="777"/>
      <c r="E38" s="777"/>
      <c r="F38" s="94"/>
      <c r="G38" s="94"/>
      <c r="H38" s="94"/>
      <c r="I38" s="94"/>
      <c r="J38" s="17"/>
    </row>
    <row r="39" spans="1:10" ht="13" customHeight="1" x14ac:dyDescent="0.35">
      <c r="A39" s="778"/>
      <c r="B39" s="180"/>
      <c r="C39" s="709"/>
      <c r="D39" s="777"/>
      <c r="E39" s="777"/>
      <c r="F39" s="69"/>
      <c r="G39" s="69"/>
      <c r="H39" s="69"/>
      <c r="I39" s="69"/>
      <c r="J39" s="17"/>
    </row>
    <row r="40" spans="1:10" ht="13" customHeight="1" x14ac:dyDescent="0.35">
      <c r="A40" s="77"/>
      <c r="B40" s="70"/>
      <c r="C40" s="71"/>
      <c r="D40" s="72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0"/>
      <c r="C41" s="71"/>
      <c r="D41" s="72"/>
      <c r="E41" s="72"/>
      <c r="F41" s="73"/>
      <c r="G41" s="73"/>
      <c r="H41" s="73"/>
      <c r="I41" s="73"/>
      <c r="J41" s="17"/>
    </row>
    <row r="42" spans="1:10" ht="13" customHeight="1" x14ac:dyDescent="0.35">
      <c r="A42" s="77"/>
      <c r="B42" s="70"/>
      <c r="C42" s="71"/>
      <c r="D42" s="72"/>
      <c r="E42" s="72"/>
      <c r="F42" s="73"/>
      <c r="G42" s="73"/>
      <c r="H42" s="73"/>
      <c r="I42" s="73"/>
      <c r="J42" s="17"/>
    </row>
    <row r="43" spans="1:10" ht="13" customHeight="1" x14ac:dyDescent="0.35">
      <c r="A43" s="77"/>
      <c r="B43" s="70"/>
      <c r="C43" s="71"/>
      <c r="D43" s="72"/>
      <c r="E43" s="72"/>
      <c r="F43" s="73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3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3"/>
      <c r="G45" s="73"/>
      <c r="H45" s="73"/>
      <c r="I45" s="73"/>
      <c r="J45" s="17"/>
    </row>
    <row r="46" spans="1:10" ht="13" customHeight="1" x14ac:dyDescent="0.35">
      <c r="A46" s="77"/>
      <c r="B46" s="70"/>
      <c r="C46" s="71"/>
      <c r="D46" s="72"/>
      <c r="E46" s="72"/>
      <c r="F46" s="73"/>
      <c r="G46" s="73"/>
      <c r="H46" s="73"/>
      <c r="I46" s="73"/>
      <c r="J46" s="17"/>
    </row>
    <row r="47" spans="1:10" ht="13" customHeight="1" x14ac:dyDescent="0.35">
      <c r="A47" s="77"/>
      <c r="B47" s="70"/>
      <c r="C47" s="71"/>
      <c r="D47" s="72"/>
      <c r="E47" s="72"/>
      <c r="F47" s="73"/>
      <c r="G47" s="73"/>
      <c r="H47" s="73"/>
      <c r="I47" s="73"/>
      <c r="J47" s="17"/>
    </row>
    <row r="48" spans="1:10" ht="13" customHeight="1" x14ac:dyDescent="0.35">
      <c r="A48" s="77"/>
      <c r="B48" s="70"/>
      <c r="C48" s="71"/>
      <c r="D48" s="72"/>
      <c r="E48" s="72"/>
      <c r="F48" s="73"/>
      <c r="G48" s="73"/>
      <c r="H48" s="73"/>
      <c r="I48" s="73"/>
      <c r="J48" s="17"/>
    </row>
    <row r="49" spans="1:10" ht="13" customHeight="1" x14ac:dyDescent="0.35">
      <c r="A49" s="77"/>
      <c r="B49" s="70"/>
      <c r="C49" s="71"/>
      <c r="D49" s="72"/>
      <c r="E49" s="72"/>
      <c r="F49" s="73"/>
      <c r="G49" s="73"/>
      <c r="H49" s="73"/>
      <c r="I49" s="73"/>
      <c r="J49" s="17"/>
    </row>
    <row r="50" spans="1:10" ht="13" customHeight="1" x14ac:dyDescent="0.35">
      <c r="A50" s="77"/>
      <c r="B50" s="70"/>
      <c r="C50" s="71"/>
      <c r="D50" s="72"/>
      <c r="E50" s="72"/>
      <c r="F50" s="73"/>
      <c r="G50" s="73"/>
      <c r="H50" s="73"/>
      <c r="I50" s="73"/>
      <c r="J50" s="17"/>
    </row>
    <row r="51" spans="1:10" ht="13" customHeight="1" x14ac:dyDescent="0.35">
      <c r="A51" s="77"/>
      <c r="B51" s="70"/>
      <c r="C51" s="71"/>
      <c r="D51" s="72"/>
      <c r="E51" s="72"/>
      <c r="F51" s="73"/>
      <c r="G51" s="73"/>
      <c r="H51" s="73"/>
      <c r="I51" s="73"/>
      <c r="J51" s="17"/>
    </row>
    <row r="52" spans="1:10" ht="13" customHeight="1" x14ac:dyDescent="0.35">
      <c r="A52" s="77"/>
      <c r="B52" s="78"/>
      <c r="C52" s="75"/>
      <c r="D52" s="73"/>
      <c r="E52" s="73"/>
      <c r="F52" s="73"/>
      <c r="G52" s="73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x14ac:dyDescent="0.35">
      <c r="A56" s="81"/>
      <c r="B56" s="81"/>
      <c r="C56" s="81"/>
      <c r="D56" s="81"/>
      <c r="E56" s="81"/>
      <c r="F56" s="81"/>
      <c r="G56" s="81"/>
      <c r="H56" s="81"/>
      <c r="I56" s="81"/>
    </row>
    <row r="57" spans="1:10" x14ac:dyDescent="0.35">
      <c r="A57" s="81"/>
      <c r="B57" s="81"/>
      <c r="C57" s="81"/>
      <c r="D57" s="81"/>
      <c r="E57" s="81"/>
      <c r="F57" s="81"/>
      <c r="G57" s="81"/>
      <c r="H57" s="81"/>
      <c r="I57" s="81"/>
    </row>
  </sheetData>
  <mergeCells count="6">
    <mergeCell ref="A1:I1"/>
    <mergeCell ref="A2:I2"/>
    <mergeCell ref="A3:I3"/>
    <mergeCell ref="A4:I4"/>
    <mergeCell ref="C6:I6"/>
    <mergeCell ref="C5:I5"/>
  </mergeCells>
  <conditionalFormatting sqref="A24:A25">
    <cfRule type="expression" dxfId="66" priority="21">
      <formula>MOD(ROW(),2)=1</formula>
    </cfRule>
  </conditionalFormatting>
  <conditionalFormatting sqref="D24:E25">
    <cfRule type="expression" dxfId="65" priority="20">
      <formula>MOD(ROW(),2)=1</formula>
    </cfRule>
  </conditionalFormatting>
  <conditionalFormatting sqref="A26 A29:A33">
    <cfRule type="expression" dxfId="64" priority="17">
      <formula>MOD(ROW(),2)=1</formula>
    </cfRule>
  </conditionalFormatting>
  <conditionalFormatting sqref="D33 D26:E26 D29:E32">
    <cfRule type="expression" dxfId="63" priority="16">
      <formula>MOD(ROW(),2)=1</formula>
    </cfRule>
  </conditionalFormatting>
  <conditionalFormatting sqref="E33">
    <cfRule type="expression" dxfId="62" priority="15">
      <formula>MOD(ROW(),2)=1</formula>
    </cfRule>
  </conditionalFormatting>
  <conditionalFormatting sqref="A27">
    <cfRule type="expression" dxfId="61" priority="14">
      <formula>MOD(ROW(),2)=1</formula>
    </cfRule>
  </conditionalFormatting>
  <conditionalFormatting sqref="D27:E27">
    <cfRule type="expression" dxfId="60" priority="13">
      <formula>MOD(ROW(),2)=1</formula>
    </cfRule>
  </conditionalFormatting>
  <conditionalFormatting sqref="A28">
    <cfRule type="expression" dxfId="59" priority="12">
      <formula>MOD(ROW(),2)=1</formula>
    </cfRule>
  </conditionalFormatting>
  <conditionalFormatting sqref="D28:E28">
    <cfRule type="expression" dxfId="58" priority="11">
      <formula>MOD(ROW(),2)=1</formula>
    </cfRule>
  </conditionalFormatting>
  <conditionalFormatting sqref="A34:A39">
    <cfRule type="expression" dxfId="57" priority="10">
      <formula>MOD(ROW(),2)=1</formula>
    </cfRule>
  </conditionalFormatting>
  <conditionalFormatting sqref="D34:E39">
    <cfRule type="expression" dxfId="56" priority="9">
      <formula>MOD(ROW(),2)=1</formula>
    </cfRule>
  </conditionalFormatting>
  <conditionalFormatting sqref="D33">
    <cfRule type="expression" dxfId="55" priority="8">
      <formula>MOD(ROW(),2)=1</formula>
    </cfRule>
  </conditionalFormatting>
  <conditionalFormatting sqref="A21:A25">
    <cfRule type="expression" dxfId="54" priority="7">
      <formula>MOD(ROW(),2)=1</formula>
    </cfRule>
  </conditionalFormatting>
  <conditionalFormatting sqref="D25 D21:E24">
    <cfRule type="expression" dxfId="53" priority="6">
      <formula>MOD(ROW(),2)=1</formula>
    </cfRule>
  </conditionalFormatting>
  <conditionalFormatting sqref="E25">
    <cfRule type="expression" dxfId="52" priority="5">
      <formula>MOD(ROW(),2)=1</formula>
    </cfRule>
  </conditionalFormatting>
  <conditionalFormatting sqref="A26:A31">
    <cfRule type="expression" dxfId="51" priority="4">
      <formula>MOD(ROW(),2)=1</formula>
    </cfRule>
  </conditionalFormatting>
  <conditionalFormatting sqref="D26:E31">
    <cfRule type="expression" dxfId="50" priority="3">
      <formula>MOD(ROW(),2)=1</formula>
    </cfRule>
  </conditionalFormatting>
  <conditionalFormatting sqref="D25">
    <cfRule type="expression" dxfId="49" priority="2">
      <formula>MOD(ROW(),2)=1</formula>
    </cfRule>
  </conditionalFormatting>
  <conditionalFormatting sqref="C9:I15">
    <cfRule type="cellIs" dxfId="48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2"/>
  <dimension ref="A1:K56"/>
  <sheetViews>
    <sheetView zoomScaleNormal="100" zoomScaleSheetLayoutView="90" workbookViewId="0">
      <selection activeCell="F12" sqref="F1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2">
        <v>68</v>
      </c>
      <c r="C6" s="880" t="s">
        <v>115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4523524</v>
      </c>
      <c r="C9" s="33">
        <v>3956193</v>
      </c>
      <c r="D9" s="219">
        <f t="shared" ref="D9:D15" si="0">+C9+SUMIF($C$20:$C$58,K9,$D$20:$D$58)</f>
        <v>3956193</v>
      </c>
      <c r="E9" s="114">
        <f t="shared" ref="E9:E15" si="1">+D9+SUMIF($C$20:$C$58,K9,$E$20:$E$58)</f>
        <v>3856193</v>
      </c>
      <c r="F9" s="396">
        <f t="shared" ref="F9:F15" si="2">+E9+SUMIF($C$20:$C$58,K9,$F$20:$F$58)</f>
        <v>3856193</v>
      </c>
      <c r="G9" s="33">
        <f t="shared" ref="G9:G15" si="3">+F9+SUMIF($C$20:$C$58,K9,$G$20:$G$58)</f>
        <v>3856193</v>
      </c>
      <c r="H9" s="219">
        <f t="shared" ref="H9:H15" si="4">+G9+SUMIF($C$20:$C$58,K9,$H$20:$H$58)</f>
        <v>3856193</v>
      </c>
      <c r="I9" s="50">
        <f t="shared" ref="I9:I15" si="5">+H9+SUMIF($C$20:$C$58,K9,$I$20:$I$58)</f>
        <v>3856193</v>
      </c>
      <c r="K9" s="7">
        <v>100</v>
      </c>
    </row>
    <row r="10" spans="1:11" x14ac:dyDescent="0.35">
      <c r="A10" s="10" t="s">
        <v>5</v>
      </c>
      <c r="B10" s="35">
        <v>237805</v>
      </c>
      <c r="C10" s="35">
        <v>125000</v>
      </c>
      <c r="D10" s="222">
        <f t="shared" si="0"/>
        <v>262004</v>
      </c>
      <c r="E10" s="506">
        <f t="shared" si="1"/>
        <v>125000</v>
      </c>
      <c r="F10" s="504">
        <f t="shared" si="2"/>
        <v>125000</v>
      </c>
      <c r="G10" s="35">
        <f t="shared" si="3"/>
        <v>125000</v>
      </c>
      <c r="H10" s="222">
        <f t="shared" si="4"/>
        <v>125000</v>
      </c>
      <c r="I10" s="36">
        <f t="shared" si="5"/>
        <v>125000</v>
      </c>
      <c r="K10" s="7">
        <v>200</v>
      </c>
    </row>
    <row r="11" spans="1:11" x14ac:dyDescent="0.35">
      <c r="A11" s="9" t="s">
        <v>6</v>
      </c>
      <c r="B11" s="33">
        <f>33773+96528</f>
        <v>130301</v>
      </c>
      <c r="C11" s="33">
        <v>140236</v>
      </c>
      <c r="D11" s="219">
        <f t="shared" si="0"/>
        <v>140236</v>
      </c>
      <c r="E11" s="114">
        <f t="shared" si="1"/>
        <v>140236</v>
      </c>
      <c r="F11" s="396">
        <f t="shared" si="2"/>
        <v>140236</v>
      </c>
      <c r="G11" s="33">
        <f t="shared" si="3"/>
        <v>140236</v>
      </c>
      <c r="H11" s="219">
        <f t="shared" si="4"/>
        <v>140236</v>
      </c>
      <c r="I11" s="34">
        <f t="shared" si="5"/>
        <v>140236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4891630</v>
      </c>
      <c r="C16" s="39">
        <f t="shared" ref="C16:I16" si="6">SUM(C9:C15)</f>
        <v>4221429</v>
      </c>
      <c r="D16" s="39">
        <f t="shared" si="6"/>
        <v>4358433</v>
      </c>
      <c r="E16" s="529">
        <f t="shared" si="6"/>
        <v>4121429</v>
      </c>
      <c r="F16" s="39">
        <f t="shared" si="6"/>
        <v>4121429</v>
      </c>
      <c r="G16" s="39">
        <f t="shared" si="6"/>
        <v>4121429</v>
      </c>
      <c r="H16" s="39">
        <f t="shared" si="6"/>
        <v>4121429</v>
      </c>
      <c r="I16" s="39">
        <f t="shared" si="6"/>
        <v>4121429</v>
      </c>
    </row>
    <row r="18" spans="1:10" x14ac:dyDescent="0.35">
      <c r="E18" s="401">
        <f>+E16-D16</f>
        <v>-237004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3" customHeight="1" thickTop="1" x14ac:dyDescent="0.35">
      <c r="A20" s="228" t="s">
        <v>635</v>
      </c>
      <c r="B20" s="78"/>
      <c r="C20" s="71"/>
      <c r="D20" s="72"/>
      <c r="E20" s="72"/>
      <c r="F20" s="72"/>
      <c r="G20" s="72"/>
      <c r="H20" s="73"/>
      <c r="I20" s="73"/>
      <c r="J20" s="17"/>
    </row>
    <row r="21" spans="1:10" ht="13" customHeight="1" x14ac:dyDescent="0.35">
      <c r="A21" s="165" t="s">
        <v>332</v>
      </c>
      <c r="B21" s="84"/>
      <c r="C21" s="67"/>
      <c r="D21" s="68"/>
      <c r="E21" s="68"/>
      <c r="F21" s="68"/>
      <c r="G21" s="69"/>
      <c r="H21" s="69"/>
      <c r="I21" s="69"/>
      <c r="J21" s="17"/>
    </row>
    <row r="22" spans="1:10" ht="13" customHeight="1" x14ac:dyDescent="0.35">
      <c r="A22" s="296" t="s">
        <v>345</v>
      </c>
      <c r="B22" s="78"/>
      <c r="C22" s="687" t="s">
        <v>167</v>
      </c>
      <c r="D22" s="72"/>
      <c r="E22" s="72">
        <v>49514</v>
      </c>
      <c r="F22" s="72"/>
      <c r="G22" s="94"/>
      <c r="H22" s="94"/>
      <c r="I22" s="94"/>
      <c r="J22" s="17"/>
    </row>
    <row r="23" spans="1:10" ht="13" customHeight="1" x14ac:dyDescent="0.35">
      <c r="A23" s="172"/>
      <c r="B23" s="151"/>
      <c r="C23" s="213">
        <v>200</v>
      </c>
      <c r="D23" s="142"/>
      <c r="E23" s="142">
        <v>-49514</v>
      </c>
      <c r="F23" s="142"/>
      <c r="G23" s="142"/>
      <c r="H23" s="142"/>
      <c r="I23" s="142"/>
      <c r="J23" s="17"/>
    </row>
    <row r="24" spans="1:10" ht="13" customHeight="1" x14ac:dyDescent="0.35">
      <c r="A24" s="819" t="s">
        <v>487</v>
      </c>
      <c r="B24" s="92"/>
      <c r="C24" s="102"/>
      <c r="D24" s="103"/>
      <c r="E24" s="103"/>
      <c r="F24" s="103"/>
      <c r="G24" s="103"/>
      <c r="H24" s="94"/>
      <c r="I24" s="94"/>
      <c r="J24" s="17"/>
    </row>
    <row r="25" spans="1:10" ht="13" customHeight="1" x14ac:dyDescent="0.35">
      <c r="A25" s="839" t="s">
        <v>517</v>
      </c>
      <c r="B25" s="151"/>
      <c r="C25" s="152">
        <v>100</v>
      </c>
      <c r="D25" s="141"/>
      <c r="E25" s="141"/>
      <c r="F25" s="141">
        <v>424091</v>
      </c>
      <c r="G25" s="142"/>
      <c r="H25" s="142"/>
      <c r="I25" s="142"/>
      <c r="J25" s="17"/>
    </row>
    <row r="26" spans="1:10" ht="13" customHeight="1" x14ac:dyDescent="0.35">
      <c r="A26" s="354" t="s">
        <v>548</v>
      </c>
      <c r="B26" s="92"/>
      <c r="C26" s="102">
        <v>100</v>
      </c>
      <c r="D26" s="103"/>
      <c r="E26" s="103"/>
      <c r="F26" s="103"/>
      <c r="G26" s="94"/>
      <c r="H26" s="94"/>
      <c r="I26" s="94"/>
      <c r="J26" s="17"/>
    </row>
    <row r="27" spans="1:10" ht="13" customHeight="1" x14ac:dyDescent="0.35">
      <c r="A27" s="744" t="s">
        <v>596</v>
      </c>
      <c r="B27" s="151"/>
      <c r="C27" s="152"/>
      <c r="D27" s="141"/>
      <c r="E27" s="141"/>
      <c r="F27" s="141"/>
      <c r="G27" s="142"/>
      <c r="H27" s="142"/>
      <c r="I27" s="142"/>
      <c r="J27" s="17"/>
    </row>
    <row r="28" spans="1:10" ht="13" customHeight="1" x14ac:dyDescent="0.35">
      <c r="A28" s="354" t="s">
        <v>616</v>
      </c>
      <c r="B28" s="92"/>
      <c r="C28" s="102">
        <v>100</v>
      </c>
      <c r="D28" s="103"/>
      <c r="E28" s="103"/>
      <c r="F28" s="103">
        <v>-424091</v>
      </c>
      <c r="G28" s="94">
        <v>424091</v>
      </c>
      <c r="H28" s="94"/>
      <c r="I28" s="94"/>
      <c r="J28" s="17"/>
    </row>
    <row r="29" spans="1:10" ht="13" customHeight="1" x14ac:dyDescent="0.35">
      <c r="A29" s="744" t="s">
        <v>713</v>
      </c>
      <c r="B29" s="151"/>
      <c r="C29" s="152"/>
      <c r="D29" s="141"/>
      <c r="E29" s="141"/>
      <c r="F29" s="141"/>
      <c r="G29" s="142"/>
      <c r="H29" s="142"/>
      <c r="I29" s="142"/>
      <c r="J29" s="17"/>
    </row>
    <row r="30" spans="1:10" ht="13" customHeight="1" x14ac:dyDescent="0.35">
      <c r="A30" s="354" t="s">
        <v>714</v>
      </c>
      <c r="B30" s="92"/>
      <c r="C30" s="102">
        <v>200</v>
      </c>
      <c r="D30" s="103">
        <v>137004</v>
      </c>
      <c r="E30" s="103">
        <v>-137004</v>
      </c>
      <c r="F30" s="103"/>
      <c r="G30" s="94"/>
      <c r="H30" s="94"/>
      <c r="I30" s="94"/>
      <c r="J30" s="17"/>
    </row>
    <row r="31" spans="1:10" ht="13" customHeight="1" x14ac:dyDescent="0.35">
      <c r="A31" s="387" t="s">
        <v>748</v>
      </c>
      <c r="B31" s="84"/>
      <c r="C31" s="67"/>
      <c r="D31" s="68"/>
      <c r="E31" s="68"/>
      <c r="F31" s="68"/>
      <c r="G31" s="69"/>
      <c r="H31" s="69"/>
      <c r="I31" s="69"/>
      <c r="J31" s="17"/>
    </row>
    <row r="32" spans="1:10" ht="13" customHeight="1" x14ac:dyDescent="0.35">
      <c r="A32" s="179" t="s">
        <v>722</v>
      </c>
      <c r="B32" s="78"/>
      <c r="C32" s="747" t="s">
        <v>167</v>
      </c>
      <c r="D32" s="72"/>
      <c r="E32" s="72">
        <v>-49514</v>
      </c>
      <c r="F32" s="72"/>
      <c r="G32" s="73"/>
      <c r="H32" s="73"/>
      <c r="I32" s="73"/>
      <c r="J32" s="17"/>
    </row>
    <row r="33" spans="1:10" ht="13" customHeight="1" x14ac:dyDescent="0.35">
      <c r="A33" s="753"/>
      <c r="B33" s="84"/>
      <c r="C33" s="67">
        <v>200</v>
      </c>
      <c r="D33" s="68"/>
      <c r="E33" s="68">
        <v>49514</v>
      </c>
      <c r="F33" s="68"/>
      <c r="G33" s="69"/>
      <c r="H33" s="69"/>
      <c r="I33" s="69"/>
      <c r="J33" s="17"/>
    </row>
    <row r="34" spans="1:10" ht="13" customHeight="1" x14ac:dyDescent="0.35">
      <c r="A34" s="179" t="s">
        <v>858</v>
      </c>
      <c r="B34" s="78"/>
      <c r="C34" s="71">
        <v>100</v>
      </c>
      <c r="D34" s="72"/>
      <c r="E34" s="72"/>
      <c r="F34" s="72"/>
      <c r="G34" s="73">
        <v>-424091</v>
      </c>
      <c r="H34" s="73"/>
      <c r="I34" s="73"/>
      <c r="J34" s="17"/>
    </row>
    <row r="35" spans="1:10" ht="12.75" customHeight="1" x14ac:dyDescent="0.35">
      <c r="A35" s="753" t="s">
        <v>881</v>
      </c>
      <c r="B35" s="84"/>
      <c r="C35" s="67">
        <v>100</v>
      </c>
      <c r="D35" s="68"/>
      <c r="E35" s="68">
        <v>-100000</v>
      </c>
      <c r="F35" s="68"/>
      <c r="G35" s="69"/>
      <c r="H35" s="69"/>
      <c r="I35" s="69"/>
      <c r="J35" s="17"/>
    </row>
    <row r="36" spans="1:10" ht="13" customHeight="1" x14ac:dyDescent="0.35">
      <c r="A36" s="179"/>
      <c r="B36" s="78"/>
      <c r="C36" s="747"/>
      <c r="D36" s="72"/>
      <c r="E36" s="72"/>
      <c r="F36" s="72"/>
      <c r="G36" s="73"/>
      <c r="H36" s="73"/>
      <c r="I36" s="73"/>
      <c r="J36" s="17"/>
    </row>
    <row r="37" spans="1:10" ht="13" customHeight="1" x14ac:dyDescent="0.35">
      <c r="A37" s="753"/>
      <c r="B37" s="84"/>
      <c r="C37" s="67"/>
      <c r="D37" s="68"/>
      <c r="E37" s="68"/>
      <c r="F37" s="68"/>
      <c r="G37" s="69"/>
      <c r="H37" s="69"/>
      <c r="I37" s="69"/>
      <c r="J37" s="17"/>
    </row>
    <row r="38" spans="1:10" ht="13" customHeight="1" x14ac:dyDescent="0.35">
      <c r="A38" s="179"/>
      <c r="B38" s="78"/>
      <c r="C38" s="71"/>
      <c r="D38" s="72"/>
      <c r="E38" s="72"/>
      <c r="F38" s="72"/>
      <c r="G38" s="73"/>
      <c r="H38" s="73"/>
      <c r="I38" s="73"/>
      <c r="J38" s="17"/>
    </row>
    <row r="39" spans="1:10" ht="13" customHeight="1" x14ac:dyDescent="0.35">
      <c r="A39" s="753"/>
      <c r="B39" s="84"/>
      <c r="C39" s="67"/>
      <c r="D39" s="68"/>
      <c r="E39" s="68"/>
      <c r="F39" s="68"/>
      <c r="G39" s="69"/>
      <c r="H39" s="69"/>
      <c r="I39" s="69"/>
      <c r="J39" s="17"/>
    </row>
    <row r="40" spans="1:10" ht="13" customHeight="1" x14ac:dyDescent="0.35">
      <c r="A40" s="179"/>
      <c r="B40" s="78"/>
      <c r="C40" s="71"/>
      <c r="D40" s="72"/>
      <c r="E40" s="72"/>
      <c r="F40" s="72"/>
      <c r="G40" s="73"/>
      <c r="H40" s="73"/>
      <c r="I40" s="73"/>
      <c r="J40" s="17"/>
    </row>
    <row r="41" spans="1:10" ht="13" customHeight="1" x14ac:dyDescent="0.35">
      <c r="A41" s="753"/>
      <c r="B41" s="84"/>
      <c r="C41" s="67"/>
      <c r="D41" s="68"/>
      <c r="E41" s="68"/>
      <c r="F41" s="68"/>
      <c r="G41" s="69"/>
      <c r="H41" s="69"/>
      <c r="I41" s="69"/>
      <c r="J41" s="17"/>
    </row>
    <row r="42" spans="1:10" ht="13" customHeight="1" x14ac:dyDescent="0.35">
      <c r="A42" s="179"/>
      <c r="B42" s="78"/>
      <c r="C42" s="71"/>
      <c r="D42" s="72"/>
      <c r="E42" s="72"/>
      <c r="F42" s="72"/>
      <c r="G42" s="73"/>
      <c r="H42" s="73"/>
      <c r="I42" s="73"/>
      <c r="J42" s="17"/>
    </row>
    <row r="43" spans="1:10" ht="13" customHeight="1" x14ac:dyDescent="0.35">
      <c r="A43" s="77"/>
      <c r="B43" s="78"/>
      <c r="C43" s="71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1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1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5"/>
      <c r="D53" s="73"/>
      <c r="E53" s="73"/>
      <c r="F53" s="73"/>
      <c r="G53" s="73"/>
      <c r="H53" s="73"/>
      <c r="I53" s="73"/>
      <c r="J53" s="17"/>
    </row>
    <row r="54" spans="1:10" ht="13" customHeight="1" x14ac:dyDescent="0.35">
      <c r="A54" s="77"/>
      <c r="B54" s="78"/>
      <c r="C54" s="75"/>
      <c r="D54" s="73"/>
      <c r="E54" s="73"/>
      <c r="F54" s="73"/>
      <c r="G54" s="73"/>
      <c r="H54" s="73"/>
      <c r="I54" s="73"/>
      <c r="J54" s="17"/>
    </row>
    <row r="55" spans="1:10" ht="13" customHeight="1" x14ac:dyDescent="0.35">
      <c r="A55" s="77"/>
      <c r="B55" s="78"/>
      <c r="C55" s="75"/>
      <c r="D55" s="73"/>
      <c r="E55" s="73"/>
      <c r="F55" s="73"/>
      <c r="G55" s="73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4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60"/>
  <sheetViews>
    <sheetView zoomScaleNormal="100" zoomScaleSheetLayoutView="90" workbookViewId="0">
      <selection activeCell="C14" sqref="C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1">
        <v>63</v>
      </c>
      <c r="C6" s="880" t="s">
        <v>164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1044789</v>
      </c>
      <c r="C9" s="33">
        <v>987587</v>
      </c>
      <c r="D9" s="219">
        <f t="shared" ref="D9:D15" si="0">+C9+SUMIF($C$20:$C$51,K9,$D$20:$D$51)</f>
        <v>987587</v>
      </c>
      <c r="E9" s="114">
        <f>+D9+SUMIF($C$20:$C$51,K9,$E$20:$E$51)</f>
        <v>997835</v>
      </c>
      <c r="F9" s="396">
        <f>+E9+SUMIF($C$20:$C$51,K9,$F$20:$F$51)</f>
        <v>997835</v>
      </c>
      <c r="G9" s="33">
        <f>+F9+SUMIF($C$20:$C$51,K9,$G$20:$G$51)</f>
        <v>997835</v>
      </c>
      <c r="H9" s="219">
        <f>+G9+SUMIF($C$20:$C$51,K9,$H$20:$H$51)</f>
        <v>997835</v>
      </c>
      <c r="I9" s="50">
        <f>+H9+SUMIF($C$20:$C$51,K9,$I$20:$I$51)</f>
        <v>997835</v>
      </c>
      <c r="K9" s="7">
        <v>100</v>
      </c>
    </row>
    <row r="10" spans="1:11" x14ac:dyDescent="0.35">
      <c r="A10" s="10" t="s">
        <v>5</v>
      </c>
      <c r="B10" s="35">
        <v>39013</v>
      </c>
      <c r="C10" s="35">
        <v>37900</v>
      </c>
      <c r="D10" s="222">
        <f t="shared" si="0"/>
        <v>37900</v>
      </c>
      <c r="E10" s="506">
        <f t="shared" ref="E10:E15" si="1">+D10+SUMIF($C$20:$C$51,K10,$E$20:$E$51)</f>
        <v>37900</v>
      </c>
      <c r="F10" s="504">
        <f t="shared" ref="F10:F15" si="2">+E10+SUMIF($C$20:$C$51,K10,$F$20:$F$51)</f>
        <v>37900</v>
      </c>
      <c r="G10" s="35">
        <f t="shared" ref="G10:G15" si="3">+F10+SUMIF($C$20:$C$51,K10,$G$20:$G$51)</f>
        <v>37900</v>
      </c>
      <c r="H10" s="222">
        <f t="shared" ref="H10:H15" si="4">+G10+SUMIF($C$20:$C$51,K10,$H$20:$H$51)</f>
        <v>37900</v>
      </c>
      <c r="I10" s="36">
        <f t="shared" ref="I10:I15" si="5">+H10+SUMIF($C$20:$C$51,K10,$I$20:$I$51)</f>
        <v>37900</v>
      </c>
      <c r="K10" s="7">
        <v>200</v>
      </c>
    </row>
    <row r="11" spans="1:11" x14ac:dyDescent="0.35">
      <c r="A11" s="9" t="s">
        <v>6</v>
      </c>
      <c r="B11" s="33">
        <f>13662+8909</f>
        <v>22571</v>
      </c>
      <c r="C11" s="33">
        <v>17727</v>
      </c>
      <c r="D11" s="219">
        <f t="shared" si="0"/>
        <v>17727</v>
      </c>
      <c r="E11" s="114">
        <f t="shared" si="1"/>
        <v>17727</v>
      </c>
      <c r="F11" s="396">
        <f t="shared" si="2"/>
        <v>17727</v>
      </c>
      <c r="G11" s="33">
        <f t="shared" si="3"/>
        <v>17727</v>
      </c>
      <c r="H11" s="219">
        <f t="shared" si="4"/>
        <v>17727</v>
      </c>
      <c r="I11" s="34">
        <f t="shared" si="5"/>
        <v>17727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1106373</v>
      </c>
      <c r="C16" s="39">
        <f t="shared" ref="C16:I16" si="6">SUM(C9:C15)</f>
        <v>1043214</v>
      </c>
      <c r="D16" s="39">
        <f t="shared" si="6"/>
        <v>1043214</v>
      </c>
      <c r="E16" s="529">
        <f t="shared" si="6"/>
        <v>1053462</v>
      </c>
      <c r="F16" s="39">
        <f t="shared" si="6"/>
        <v>1053462</v>
      </c>
      <c r="G16" s="39">
        <f t="shared" si="6"/>
        <v>1053462</v>
      </c>
      <c r="H16" s="39">
        <f t="shared" si="6"/>
        <v>1053462</v>
      </c>
      <c r="I16" s="39">
        <f t="shared" si="6"/>
        <v>1053462</v>
      </c>
    </row>
    <row r="17" spans="1:10" x14ac:dyDescent="0.35">
      <c r="B17" s="218"/>
    </row>
    <row r="18" spans="1:10" x14ac:dyDescent="0.35">
      <c r="E18" s="401">
        <f>+E16-D16</f>
        <v>10248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thickTop="1" x14ac:dyDescent="0.35">
      <c r="A20" s="228" t="s">
        <v>370</v>
      </c>
      <c r="B20" s="204"/>
      <c r="C20" s="204"/>
      <c r="D20" s="204"/>
      <c r="E20" s="204"/>
      <c r="F20" s="204"/>
      <c r="G20" s="204"/>
      <c r="H20" s="204"/>
      <c r="I20" s="204"/>
    </row>
    <row r="21" spans="1:10" ht="13" customHeight="1" x14ac:dyDescent="0.35">
      <c r="A21" s="432" t="s">
        <v>538</v>
      </c>
      <c r="B21" s="151"/>
      <c r="C21" s="181">
        <v>200</v>
      </c>
      <c r="D21" s="141"/>
      <c r="E21" s="141"/>
      <c r="F21" s="141">
        <v>5000</v>
      </c>
      <c r="G21" s="142"/>
      <c r="H21" s="142"/>
      <c r="I21" s="142"/>
      <c r="J21" s="17"/>
    </row>
    <row r="22" spans="1:10" s="58" customFormat="1" ht="13" customHeight="1" x14ac:dyDescent="0.35">
      <c r="A22" s="775" t="s">
        <v>539</v>
      </c>
      <c r="B22" s="78"/>
      <c r="C22" s="754" t="s">
        <v>167</v>
      </c>
      <c r="D22" s="72"/>
      <c r="E22" s="72"/>
      <c r="F22" s="72">
        <v>5000</v>
      </c>
      <c r="G22" s="73"/>
      <c r="H22" s="73"/>
      <c r="I22" s="73"/>
      <c r="J22" s="81"/>
    </row>
    <row r="23" spans="1:10" s="58" customFormat="1" ht="13" customHeight="1" x14ac:dyDescent="0.35">
      <c r="A23" s="432" t="s">
        <v>588</v>
      </c>
      <c r="B23" s="151"/>
      <c r="C23" s="181">
        <v>100</v>
      </c>
      <c r="D23" s="141"/>
      <c r="E23" s="141">
        <v>10248</v>
      </c>
      <c r="F23" s="141"/>
      <c r="G23" s="142"/>
      <c r="H23" s="142"/>
      <c r="I23" s="142"/>
      <c r="J23" s="81"/>
    </row>
    <row r="24" spans="1:10" s="58" customFormat="1" ht="13" customHeight="1" x14ac:dyDescent="0.35">
      <c r="A24" s="624" t="s">
        <v>594</v>
      </c>
      <c r="B24" s="78"/>
      <c r="C24" s="75"/>
      <c r="D24" s="72"/>
      <c r="E24" s="72"/>
      <c r="F24" s="72"/>
      <c r="G24" s="73"/>
      <c r="H24" s="73"/>
      <c r="I24" s="73"/>
      <c r="J24" s="81"/>
    </row>
    <row r="25" spans="1:10" ht="13" customHeight="1" x14ac:dyDescent="0.35">
      <c r="A25" s="432" t="s">
        <v>613</v>
      </c>
      <c r="B25" s="151"/>
      <c r="C25" s="181">
        <v>200</v>
      </c>
      <c r="D25" s="141"/>
      <c r="E25" s="141"/>
      <c r="F25" s="141">
        <v>-5000</v>
      </c>
      <c r="G25" s="142">
        <v>5000</v>
      </c>
      <c r="H25" s="142"/>
      <c r="I25" s="142"/>
      <c r="J25" s="17"/>
    </row>
    <row r="26" spans="1:10" ht="13" customHeight="1" x14ac:dyDescent="0.35">
      <c r="A26" s="77"/>
      <c r="B26" s="78"/>
      <c r="C26" s="754" t="s">
        <v>167</v>
      </c>
      <c r="D26" s="73"/>
      <c r="E26" s="73"/>
      <c r="F26" s="73">
        <v>-5000</v>
      </c>
      <c r="G26" s="73">
        <v>5000</v>
      </c>
      <c r="H26" s="73"/>
      <c r="I26" s="73"/>
      <c r="J26" s="17"/>
    </row>
    <row r="27" spans="1:10" ht="13" customHeight="1" x14ac:dyDescent="0.35">
      <c r="A27" s="203" t="s">
        <v>748</v>
      </c>
      <c r="B27" s="151"/>
      <c r="C27" s="181"/>
      <c r="D27" s="141"/>
      <c r="E27" s="141"/>
      <c r="F27" s="141"/>
      <c r="G27" s="141"/>
      <c r="H27" s="142"/>
      <c r="I27" s="142"/>
      <c r="J27" s="17"/>
    </row>
    <row r="28" spans="1:10" ht="13" customHeight="1" x14ac:dyDescent="0.35">
      <c r="A28" s="748" t="s">
        <v>853</v>
      </c>
      <c r="B28" s="92"/>
      <c r="C28" s="93">
        <v>200</v>
      </c>
      <c r="D28" s="103"/>
      <c r="E28" s="103"/>
      <c r="F28" s="103"/>
      <c r="G28" s="103">
        <v>-5000</v>
      </c>
      <c r="H28" s="94"/>
      <c r="I28" s="94"/>
      <c r="J28" s="17"/>
    </row>
    <row r="29" spans="1:10" ht="13" customHeight="1" x14ac:dyDescent="0.35">
      <c r="A29" s="432"/>
      <c r="B29" s="151"/>
      <c r="C29" s="796" t="s">
        <v>167</v>
      </c>
      <c r="D29" s="141"/>
      <c r="E29" s="141"/>
      <c r="F29" s="141"/>
      <c r="G29" s="142">
        <v>-5000</v>
      </c>
      <c r="H29" s="142"/>
      <c r="I29" s="142"/>
      <c r="J29" s="17"/>
    </row>
    <row r="30" spans="1:10" ht="13" customHeight="1" x14ac:dyDescent="0.35">
      <c r="A30" s="775"/>
      <c r="B30" s="78"/>
      <c r="C30" s="754"/>
      <c r="D30" s="72"/>
      <c r="E30" s="72"/>
      <c r="F30" s="72"/>
      <c r="G30" s="73"/>
      <c r="H30" s="73"/>
      <c r="I30" s="73"/>
      <c r="J30" s="17"/>
    </row>
    <row r="31" spans="1:10" ht="13" customHeight="1" x14ac:dyDescent="0.35">
      <c r="A31" s="432"/>
      <c r="B31" s="151"/>
      <c r="C31" s="181"/>
      <c r="D31" s="141"/>
      <c r="E31" s="141"/>
      <c r="F31" s="141"/>
      <c r="G31" s="142"/>
      <c r="H31" s="142"/>
      <c r="I31" s="142"/>
      <c r="J31" s="17"/>
    </row>
    <row r="32" spans="1:10" ht="13" customHeight="1" x14ac:dyDescent="0.35">
      <c r="A32" s="624"/>
      <c r="B32" s="78"/>
      <c r="C32" s="75"/>
      <c r="D32" s="72"/>
      <c r="E32" s="72"/>
      <c r="F32" s="72"/>
      <c r="G32" s="73"/>
      <c r="H32" s="73"/>
      <c r="I32" s="73"/>
      <c r="J32" s="17"/>
    </row>
    <row r="33" spans="1:10" ht="13" customHeight="1" x14ac:dyDescent="0.35">
      <c r="A33" s="432"/>
      <c r="B33" s="151"/>
      <c r="C33" s="181"/>
      <c r="D33" s="141"/>
      <c r="E33" s="141"/>
      <c r="F33" s="141"/>
      <c r="G33" s="142"/>
      <c r="H33" s="142"/>
      <c r="I33" s="142"/>
      <c r="J33" s="17"/>
    </row>
    <row r="34" spans="1:10" ht="13" customHeight="1" x14ac:dyDescent="0.35">
      <c r="A34" s="77"/>
      <c r="B34" s="78"/>
      <c r="C34" s="754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6.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8"/>
      <c r="C43" s="75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80"/>
      <c r="B44" s="78"/>
      <c r="C44" s="75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5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5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5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5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5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5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5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5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5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5"/>
      <c r="D56" s="72"/>
      <c r="E56" s="72"/>
      <c r="F56" s="72"/>
      <c r="G56" s="72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84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3">
    <tabColor theme="3"/>
  </sheetPr>
  <dimension ref="A1:K53"/>
  <sheetViews>
    <sheetView topLeftCell="A13" zoomScaleNormal="100" zoomScaleSheetLayoutView="90" workbookViewId="0">
      <selection activeCell="F14" sqref="F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36</v>
      </c>
      <c r="C6" s="880" t="s">
        <v>114</v>
      </c>
      <c r="D6" s="880"/>
      <c r="E6" s="880"/>
      <c r="F6" s="880"/>
      <c r="G6" s="880"/>
      <c r="H6" s="880"/>
      <c r="I6" s="880"/>
    </row>
    <row r="7" spans="1:11" ht="15" thickBot="1" x14ac:dyDescent="0.4"/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</row>
    <row r="9" spans="1:11" x14ac:dyDescent="0.35">
      <c r="A9" s="9" t="s">
        <v>4</v>
      </c>
      <c r="B9" s="33">
        <v>23489160</v>
      </c>
      <c r="C9" s="33">
        <v>22648673</v>
      </c>
      <c r="D9" s="219">
        <f t="shared" ref="D9:D15" si="0">+C9+SUMIF($C$20:$C$58,K9,$D$20:$D$58)</f>
        <v>22648673</v>
      </c>
      <c r="E9" s="114">
        <f t="shared" ref="E9:E15" si="1">+D9+SUMIF($C$20:$C$58,K9,$E$20:$E$58)</f>
        <v>20380548</v>
      </c>
      <c r="F9" s="396">
        <f t="shared" ref="F9:F15" si="2">+E9+SUMIF($C$20:$C$58,K9,$F$20:$F$58)</f>
        <v>20380548</v>
      </c>
      <c r="G9" s="33">
        <f t="shared" ref="G9:G15" si="3">+F9+SUMIF($C$20:$C$58,K9,$G$20:$G$58)</f>
        <v>20380548</v>
      </c>
      <c r="H9" s="219">
        <f t="shared" ref="H9:H15" si="4">+G9+SUMIF($C$20:$C$58,K9,$H$20:$H$58)</f>
        <v>20380548</v>
      </c>
      <c r="I9" s="50">
        <f t="shared" ref="I9:I15" si="5">+H9+SUMIF($C$20:$C$58,K9,$I$20:$I$58)</f>
        <v>20380548</v>
      </c>
      <c r="K9" s="7">
        <v>100</v>
      </c>
    </row>
    <row r="10" spans="1:11" x14ac:dyDescent="0.35">
      <c r="A10" s="10" t="s">
        <v>5</v>
      </c>
      <c r="B10" s="35">
        <f>5411604+34075</f>
        <v>5445679</v>
      </c>
      <c r="C10" s="35">
        <v>5787749</v>
      </c>
      <c r="D10" s="222">
        <f t="shared" si="0"/>
        <v>6225749</v>
      </c>
      <c r="E10" s="506">
        <f t="shared" si="1"/>
        <v>6087749</v>
      </c>
      <c r="F10" s="504">
        <f t="shared" si="2"/>
        <v>6087749</v>
      </c>
      <c r="G10" s="35">
        <f t="shared" si="3"/>
        <v>6087749</v>
      </c>
      <c r="H10" s="222">
        <f t="shared" si="4"/>
        <v>6087749</v>
      </c>
      <c r="I10" s="36">
        <f t="shared" si="5"/>
        <v>6087749</v>
      </c>
      <c r="K10" s="7">
        <v>200</v>
      </c>
    </row>
    <row r="11" spans="1:11" x14ac:dyDescent="0.35">
      <c r="A11" s="9" t="s">
        <v>6</v>
      </c>
      <c r="B11" s="33">
        <f>718343+362901</f>
        <v>1081244</v>
      </c>
      <c r="C11" s="33">
        <v>774976</v>
      </c>
      <c r="D11" s="219">
        <f t="shared" si="0"/>
        <v>774976</v>
      </c>
      <c r="E11" s="114">
        <f t="shared" si="1"/>
        <v>774976</v>
      </c>
      <c r="F11" s="396">
        <f t="shared" si="2"/>
        <v>774976</v>
      </c>
      <c r="G11" s="33">
        <f t="shared" si="3"/>
        <v>774976</v>
      </c>
      <c r="H11" s="219">
        <f t="shared" si="4"/>
        <v>774976</v>
      </c>
      <c r="I11" s="34">
        <f t="shared" si="5"/>
        <v>774976</v>
      </c>
      <c r="K11" s="7" t="s">
        <v>167</v>
      </c>
    </row>
    <row r="12" spans="1:11" x14ac:dyDescent="0.35">
      <c r="A12" s="10" t="s">
        <v>7</v>
      </c>
      <c r="B12" s="35">
        <v>305791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30321874</v>
      </c>
      <c r="C16" s="39">
        <f t="shared" ref="C16:I16" si="6">SUM(C9:C15)</f>
        <v>29211398</v>
      </c>
      <c r="D16" s="39">
        <f t="shared" si="6"/>
        <v>29649398</v>
      </c>
      <c r="E16" s="529">
        <f t="shared" si="6"/>
        <v>27243273</v>
      </c>
      <c r="F16" s="39">
        <f t="shared" si="6"/>
        <v>27243273</v>
      </c>
      <c r="G16" s="39">
        <f t="shared" si="6"/>
        <v>27243273</v>
      </c>
      <c r="H16" s="39">
        <f t="shared" si="6"/>
        <v>27243273</v>
      </c>
      <c r="I16" s="39">
        <f t="shared" si="6"/>
        <v>27243273</v>
      </c>
    </row>
    <row r="18" spans="1:10" x14ac:dyDescent="0.35">
      <c r="E18" s="401">
        <f>+E16-D16</f>
        <v>-2406125</v>
      </c>
    </row>
    <row r="19" spans="1:10" ht="15.75" customHeight="1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3.5" customHeight="1" thickTop="1" x14ac:dyDescent="0.35">
      <c r="A20" s="228" t="s">
        <v>635</v>
      </c>
      <c r="B20" s="70"/>
      <c r="C20" s="71"/>
      <c r="D20" s="72"/>
      <c r="E20" s="72"/>
      <c r="F20" s="73"/>
      <c r="G20" s="73"/>
      <c r="H20" s="73"/>
      <c r="I20" s="73"/>
    </row>
    <row r="21" spans="1:10" ht="12.75" customHeight="1" x14ac:dyDescent="0.35">
      <c r="A21" s="779" t="s">
        <v>487</v>
      </c>
      <c r="B21" s="143"/>
      <c r="C21" s="181"/>
      <c r="D21" s="141"/>
      <c r="E21" s="141"/>
      <c r="F21" s="141"/>
      <c r="G21" s="141"/>
      <c r="H21" s="141"/>
      <c r="I21" s="141"/>
      <c r="J21" s="17"/>
    </row>
    <row r="22" spans="1:10" ht="12.75" customHeight="1" x14ac:dyDescent="0.35">
      <c r="A22" s="778" t="s">
        <v>527</v>
      </c>
      <c r="B22" s="200"/>
      <c r="C22" s="93">
        <v>100</v>
      </c>
      <c r="D22" s="777"/>
      <c r="E22" s="777"/>
      <c r="F22" s="777">
        <v>1828162</v>
      </c>
      <c r="G22" s="777"/>
      <c r="H22" s="777"/>
      <c r="I22" s="777"/>
    </row>
    <row r="23" spans="1:10" ht="12.75" customHeight="1" x14ac:dyDescent="0.35">
      <c r="A23" s="778" t="s">
        <v>525</v>
      </c>
      <c r="B23" s="143"/>
      <c r="C23" s="181">
        <v>200</v>
      </c>
      <c r="D23" s="141"/>
      <c r="E23" s="141"/>
      <c r="F23" s="141">
        <v>2025000</v>
      </c>
      <c r="G23" s="141"/>
      <c r="H23" s="141"/>
      <c r="I23" s="141"/>
    </row>
    <row r="24" spans="1:10" ht="12.75" customHeight="1" x14ac:dyDescent="0.35">
      <c r="A24" s="778" t="s">
        <v>526</v>
      </c>
      <c r="B24" s="200"/>
      <c r="C24" s="93" t="s">
        <v>167</v>
      </c>
      <c r="D24" s="777"/>
      <c r="E24" s="777"/>
      <c r="F24" s="777">
        <v>105000</v>
      </c>
      <c r="G24" s="777"/>
      <c r="H24" s="777"/>
      <c r="I24" s="777"/>
    </row>
    <row r="25" spans="1:10" ht="12.75" customHeight="1" x14ac:dyDescent="0.35">
      <c r="A25" s="778" t="s">
        <v>593</v>
      </c>
      <c r="B25" s="143"/>
      <c r="C25" s="181">
        <v>100</v>
      </c>
      <c r="D25" s="141"/>
      <c r="E25" s="141">
        <v>116402</v>
      </c>
      <c r="F25" s="141"/>
      <c r="G25" s="141"/>
      <c r="H25" s="141"/>
      <c r="I25" s="141"/>
    </row>
    <row r="26" spans="1:10" ht="12.75" customHeight="1" x14ac:dyDescent="0.35">
      <c r="A26" s="779" t="s">
        <v>596</v>
      </c>
      <c r="B26" s="200"/>
      <c r="C26" s="93"/>
      <c r="D26" s="777"/>
      <c r="E26" s="777"/>
      <c r="F26" s="777"/>
      <c r="G26" s="777"/>
      <c r="H26" s="777"/>
      <c r="I26" s="777"/>
    </row>
    <row r="27" spans="1:10" ht="12.75" customHeight="1" x14ac:dyDescent="0.35">
      <c r="A27" s="778" t="s">
        <v>615</v>
      </c>
      <c r="B27" s="143"/>
      <c r="C27" s="181">
        <v>100</v>
      </c>
      <c r="D27" s="141"/>
      <c r="E27" s="141"/>
      <c r="F27" s="141">
        <v>-1828162</v>
      </c>
      <c r="G27" s="141">
        <v>1828162</v>
      </c>
      <c r="H27" s="141"/>
      <c r="I27" s="141"/>
    </row>
    <row r="28" spans="1:10" ht="12.75" customHeight="1" x14ac:dyDescent="0.35">
      <c r="A28" s="778"/>
      <c r="B28" s="200"/>
      <c r="C28" s="799">
        <v>200</v>
      </c>
      <c r="D28" s="777"/>
      <c r="E28" s="777"/>
      <c r="F28" s="777">
        <v>-2025000</v>
      </c>
      <c r="G28" s="777">
        <v>2025000</v>
      </c>
      <c r="H28" s="777"/>
      <c r="I28" s="777"/>
    </row>
    <row r="29" spans="1:10" ht="12.75" customHeight="1" x14ac:dyDescent="0.35">
      <c r="A29" s="778"/>
      <c r="B29" s="143"/>
      <c r="C29" s="796" t="s">
        <v>167</v>
      </c>
      <c r="D29" s="141"/>
      <c r="E29" s="141"/>
      <c r="F29" s="141">
        <v>-105000</v>
      </c>
      <c r="G29" s="141">
        <v>105000</v>
      </c>
      <c r="H29" s="141"/>
      <c r="I29" s="141"/>
    </row>
    <row r="30" spans="1:10" ht="12.75" customHeight="1" x14ac:dyDescent="0.35">
      <c r="A30" s="779" t="s">
        <v>648</v>
      </c>
      <c r="B30" s="200"/>
      <c r="C30" s="93"/>
      <c r="D30" s="777"/>
      <c r="E30" s="777"/>
      <c r="F30" s="777"/>
      <c r="G30" s="777"/>
      <c r="H30" s="777"/>
      <c r="I30" s="777"/>
    </row>
    <row r="31" spans="1:10" ht="12.75" customHeight="1" x14ac:dyDescent="0.35">
      <c r="A31" s="778" t="s">
        <v>679</v>
      </c>
      <c r="B31" s="143"/>
      <c r="C31" s="181">
        <v>200</v>
      </c>
      <c r="D31" s="141">
        <v>438000</v>
      </c>
      <c r="E31" s="141">
        <v>-438000</v>
      </c>
      <c r="F31" s="141"/>
      <c r="G31" s="141"/>
      <c r="H31" s="141"/>
      <c r="I31" s="141"/>
    </row>
    <row r="32" spans="1:10" ht="12.75" customHeight="1" x14ac:dyDescent="0.35">
      <c r="A32" s="779" t="s">
        <v>748</v>
      </c>
      <c r="B32" s="200"/>
      <c r="C32" s="93"/>
      <c r="D32" s="777"/>
      <c r="E32" s="777"/>
      <c r="F32" s="777"/>
      <c r="G32" s="777"/>
      <c r="H32" s="777"/>
      <c r="I32" s="777"/>
    </row>
    <row r="33" spans="1:9" ht="12.75" customHeight="1" x14ac:dyDescent="0.35">
      <c r="A33" s="778" t="s">
        <v>843</v>
      </c>
      <c r="B33" s="143"/>
      <c r="C33" s="181">
        <v>200</v>
      </c>
      <c r="D33" s="141"/>
      <c r="E33" s="141">
        <v>300000</v>
      </c>
      <c r="F33" s="141"/>
      <c r="G33" s="141"/>
      <c r="H33" s="141"/>
      <c r="I33" s="141"/>
    </row>
    <row r="34" spans="1:9" ht="12.75" customHeight="1" x14ac:dyDescent="0.35">
      <c r="A34" s="778" t="s">
        <v>858</v>
      </c>
      <c r="B34" s="200"/>
      <c r="C34" s="93">
        <v>100</v>
      </c>
      <c r="D34" s="777"/>
      <c r="E34" s="777"/>
      <c r="F34" s="777"/>
      <c r="G34" s="777">
        <v>-1828162</v>
      </c>
      <c r="H34" s="777"/>
      <c r="I34" s="777"/>
    </row>
    <row r="35" spans="1:9" ht="12.75" customHeight="1" x14ac:dyDescent="0.35">
      <c r="A35" s="778"/>
      <c r="B35" s="143"/>
      <c r="C35" s="181">
        <v>200</v>
      </c>
      <c r="D35" s="141"/>
      <c r="E35" s="141"/>
      <c r="F35" s="141"/>
      <c r="G35" s="141">
        <v>-2025000</v>
      </c>
      <c r="H35" s="141"/>
      <c r="I35" s="141"/>
    </row>
    <row r="36" spans="1:9" ht="12.75" customHeight="1" x14ac:dyDescent="0.35">
      <c r="A36" s="778"/>
      <c r="B36" s="200"/>
      <c r="C36" s="799" t="s">
        <v>167</v>
      </c>
      <c r="D36" s="777"/>
      <c r="E36" s="777"/>
      <c r="F36" s="777"/>
      <c r="G36" s="777">
        <v>-105000</v>
      </c>
      <c r="H36" s="777"/>
      <c r="I36" s="777"/>
    </row>
    <row r="37" spans="1:9" ht="12.75" customHeight="1" x14ac:dyDescent="0.35">
      <c r="A37" s="778" t="s">
        <v>899</v>
      </c>
      <c r="B37" s="143"/>
      <c r="C37" s="181">
        <v>100</v>
      </c>
      <c r="D37" s="141"/>
      <c r="E37" s="141">
        <v>-2384527</v>
      </c>
      <c r="F37" s="141"/>
      <c r="G37" s="141"/>
      <c r="H37" s="141"/>
      <c r="I37" s="141"/>
    </row>
    <row r="38" spans="1:9" ht="12.75" customHeight="1" x14ac:dyDescent="0.35">
      <c r="A38" s="778"/>
      <c r="B38" s="200"/>
      <c r="C38" s="93"/>
      <c r="D38" s="777"/>
      <c r="E38" s="777"/>
      <c r="F38" s="777"/>
      <c r="G38" s="777"/>
      <c r="H38" s="777"/>
      <c r="I38" s="777"/>
    </row>
    <row r="39" spans="1:9" ht="12.75" customHeight="1" x14ac:dyDescent="0.35">
      <c r="A39" s="778"/>
      <c r="B39" s="143"/>
      <c r="C39" s="181"/>
      <c r="D39" s="141"/>
      <c r="E39" s="141"/>
      <c r="F39" s="141"/>
      <c r="G39" s="141"/>
      <c r="H39" s="141"/>
      <c r="I39" s="141"/>
    </row>
    <row r="40" spans="1:9" ht="12.75" customHeight="1" x14ac:dyDescent="0.35">
      <c r="A40" s="778"/>
      <c r="B40" s="200"/>
      <c r="C40" s="93"/>
      <c r="D40" s="777"/>
      <c r="E40" s="777"/>
      <c r="F40" s="777"/>
      <c r="G40" s="777"/>
      <c r="H40" s="777"/>
      <c r="I40" s="777"/>
    </row>
    <row r="41" spans="1:9" ht="12.75" customHeight="1" x14ac:dyDescent="0.35">
      <c r="A41" s="778"/>
      <c r="B41" s="143"/>
      <c r="C41" s="181"/>
      <c r="D41" s="141"/>
      <c r="E41" s="141"/>
      <c r="F41" s="141"/>
      <c r="G41" s="141"/>
      <c r="H41" s="141"/>
      <c r="I41" s="141"/>
    </row>
    <row r="42" spans="1:9" ht="12.75" customHeight="1" x14ac:dyDescent="0.35">
      <c r="A42" s="779"/>
      <c r="B42" s="200"/>
      <c r="C42" s="93"/>
      <c r="D42" s="777"/>
      <c r="E42" s="777"/>
      <c r="F42" s="777"/>
      <c r="G42" s="777"/>
      <c r="H42" s="777"/>
      <c r="I42" s="777"/>
    </row>
    <row r="43" spans="1:9" ht="12.75" customHeight="1" x14ac:dyDescent="0.35">
      <c r="A43" s="778"/>
      <c r="B43" s="143"/>
      <c r="C43" s="181"/>
      <c r="D43" s="141"/>
      <c r="E43" s="141"/>
      <c r="F43" s="141"/>
      <c r="G43" s="141"/>
      <c r="H43" s="141"/>
      <c r="I43" s="141"/>
    </row>
    <row r="44" spans="1:9" ht="12.75" customHeight="1" x14ac:dyDescent="0.35">
      <c r="A44" s="778"/>
      <c r="B44" s="200"/>
      <c r="C44" s="799"/>
      <c r="D44" s="777"/>
      <c r="E44" s="777"/>
      <c r="F44" s="777"/>
      <c r="G44" s="777"/>
      <c r="H44" s="777"/>
      <c r="I44" s="777"/>
    </row>
    <row r="45" spans="1:9" ht="12.75" customHeight="1" x14ac:dyDescent="0.35">
      <c r="A45" s="778"/>
      <c r="B45" s="143"/>
      <c r="C45" s="796"/>
      <c r="D45" s="141"/>
      <c r="E45" s="141"/>
      <c r="F45" s="141"/>
      <c r="G45" s="141"/>
      <c r="H45" s="141"/>
      <c r="I45" s="141"/>
    </row>
    <row r="46" spans="1:9" ht="12.75" customHeight="1" x14ac:dyDescent="0.35">
      <c r="A46" s="778"/>
      <c r="B46" s="200"/>
      <c r="C46" s="93"/>
      <c r="D46" s="777"/>
      <c r="E46" s="777"/>
      <c r="F46" s="777"/>
      <c r="G46" s="777"/>
      <c r="H46" s="777"/>
      <c r="I46" s="777"/>
    </row>
    <row r="47" spans="1:9" ht="12.75" customHeight="1" x14ac:dyDescent="0.35">
      <c r="A47" s="778"/>
      <c r="B47" s="143"/>
      <c r="C47" s="181"/>
      <c r="D47" s="141"/>
      <c r="E47" s="141"/>
      <c r="F47" s="141"/>
      <c r="G47" s="141"/>
      <c r="H47" s="141"/>
      <c r="I47" s="141"/>
    </row>
    <row r="48" spans="1:9" ht="12.75" customHeight="1" x14ac:dyDescent="0.35">
      <c r="A48" s="778"/>
      <c r="B48" s="200"/>
      <c r="C48" s="93"/>
      <c r="D48" s="777"/>
      <c r="E48" s="777"/>
      <c r="F48" s="777"/>
      <c r="G48" s="777"/>
      <c r="H48" s="777"/>
      <c r="I48" s="777"/>
    </row>
    <row r="49" spans="1:9" ht="12.75" customHeight="1" x14ac:dyDescent="0.35">
      <c r="A49" s="778"/>
      <c r="B49" s="143"/>
      <c r="C49" s="181"/>
      <c r="D49" s="141"/>
      <c r="E49" s="141"/>
      <c r="F49" s="141"/>
      <c r="G49" s="141"/>
      <c r="H49" s="141"/>
      <c r="I49" s="141"/>
    </row>
    <row r="50" spans="1:9" ht="12.75" customHeight="1" x14ac:dyDescent="0.35">
      <c r="A50" s="778"/>
      <c r="B50" s="200"/>
      <c r="C50" s="93"/>
      <c r="D50" s="777"/>
      <c r="E50" s="777"/>
      <c r="F50" s="777"/>
      <c r="G50" s="777"/>
      <c r="H50" s="777"/>
      <c r="I50" s="777"/>
    </row>
    <row r="51" spans="1:9" ht="12.75" customHeight="1" x14ac:dyDescent="0.35">
      <c r="A51" s="778"/>
      <c r="B51" s="143"/>
      <c r="C51" s="181"/>
      <c r="D51" s="141"/>
      <c r="E51" s="141"/>
      <c r="F51" s="141"/>
      <c r="G51" s="141"/>
      <c r="H51" s="141"/>
      <c r="I51" s="141"/>
    </row>
    <row r="52" spans="1:9" ht="12.75" customHeight="1" x14ac:dyDescent="0.35">
      <c r="A52" s="778"/>
      <c r="B52" s="200"/>
      <c r="C52" s="93"/>
      <c r="D52" s="777"/>
      <c r="E52" s="777"/>
      <c r="F52" s="777"/>
      <c r="G52" s="777"/>
      <c r="H52" s="777"/>
      <c r="I52" s="777"/>
    </row>
    <row r="53" spans="1:9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A36:A41">
    <cfRule type="expression" dxfId="46" priority="25">
      <formula>MOD(ROW(),2)=1</formula>
    </cfRule>
  </conditionalFormatting>
  <conditionalFormatting sqref="D42:E46 E42:I42 E44:I44 E46:I46">
    <cfRule type="expression" dxfId="45" priority="18">
      <formula>MOD(ROW(),2)=1</formula>
    </cfRule>
  </conditionalFormatting>
  <conditionalFormatting sqref="D36:E41 E36:I36 E38:I38 E40:I40">
    <cfRule type="expression" dxfId="44" priority="20">
      <formula>MOD(ROW(),2)=1</formula>
    </cfRule>
  </conditionalFormatting>
  <conditionalFormatting sqref="A42:A46">
    <cfRule type="expression" dxfId="43" priority="19">
      <formula>MOD(ROW(),2)=1</formula>
    </cfRule>
  </conditionalFormatting>
  <conditionalFormatting sqref="A47:A52">
    <cfRule type="expression" dxfId="42" priority="13">
      <formula>MOD(ROW(),2)=1</formula>
    </cfRule>
  </conditionalFormatting>
  <conditionalFormatting sqref="F52:I52 D47:E52 E50:I50 E48:I48">
    <cfRule type="expression" dxfId="41" priority="12">
      <formula>MOD(ROW(),2)=1</formula>
    </cfRule>
  </conditionalFormatting>
  <conditionalFormatting sqref="H46 H48">
    <cfRule type="expression" dxfId="40" priority="11">
      <formula>MOD(ROW(),2)=1</formula>
    </cfRule>
  </conditionalFormatting>
  <conditionalFormatting sqref="G46 G48">
    <cfRule type="expression" dxfId="39" priority="10">
      <formula>MOD(ROW(),2)=1</formula>
    </cfRule>
  </conditionalFormatting>
  <conditionalFormatting sqref="A21:A25">
    <cfRule type="expression" dxfId="38" priority="9">
      <formula>MOD(ROW(),2)=1</formula>
    </cfRule>
  </conditionalFormatting>
  <conditionalFormatting sqref="D26:E30 F26:I26 F28:I28 F30:I30">
    <cfRule type="expression" dxfId="37" priority="6">
      <formula>MOD(ROW(),2)=1</formula>
    </cfRule>
  </conditionalFormatting>
  <conditionalFormatting sqref="D21:E25 F22:I22 F24:I24">
    <cfRule type="expression" dxfId="36" priority="8">
      <formula>MOD(ROW(),2)=1</formula>
    </cfRule>
  </conditionalFormatting>
  <conditionalFormatting sqref="A26:A30">
    <cfRule type="expression" dxfId="35" priority="7">
      <formula>MOD(ROW(),2)=1</formula>
    </cfRule>
  </conditionalFormatting>
  <conditionalFormatting sqref="A31:A35">
    <cfRule type="expression" dxfId="34" priority="5">
      <formula>MOD(ROW(),2)=1</formula>
    </cfRule>
  </conditionalFormatting>
  <conditionalFormatting sqref="D31:E35 F34:I34 F32:I32">
    <cfRule type="expression" dxfId="33" priority="4">
      <formula>MOD(ROW(),2)=1</formula>
    </cfRule>
  </conditionalFormatting>
  <conditionalFormatting sqref="H30 H32">
    <cfRule type="expression" dxfId="32" priority="3">
      <formula>MOD(ROW(),2)=1</formula>
    </cfRule>
  </conditionalFormatting>
  <conditionalFormatting sqref="G30 G32">
    <cfRule type="expression" dxfId="31" priority="2">
      <formula>MOD(ROW(),2)=1</formula>
    </cfRule>
  </conditionalFormatting>
  <conditionalFormatting sqref="C9:I15">
    <cfRule type="cellIs" dxfId="3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4"/>
  <dimension ref="A1:K53"/>
  <sheetViews>
    <sheetView zoomScaleNormal="100" zoomScaleSheetLayoutView="90" workbookViewId="0">
      <selection activeCell="F13" sqref="F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2">
        <v>70</v>
      </c>
      <c r="C6" s="880" t="s">
        <v>113</v>
      </c>
      <c r="D6" s="880"/>
      <c r="E6" s="880"/>
      <c r="F6" s="880"/>
      <c r="G6" s="880"/>
      <c r="H6" s="880"/>
      <c r="I6" s="880"/>
    </row>
    <row r="7" spans="1:11" ht="15" thickBot="1" x14ac:dyDescent="0.4">
      <c r="B7" s="491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</row>
    <row r="9" spans="1:11" x14ac:dyDescent="0.35">
      <c r="A9" s="9" t="s">
        <v>4</v>
      </c>
      <c r="B9" s="162">
        <v>28049726</v>
      </c>
      <c r="C9" s="33">
        <v>25192450</v>
      </c>
      <c r="D9" s="219">
        <f t="shared" ref="D9:D15" si="0">+C9+SUMIF($C$20:$C$58,K9,$D$20:$D$58)</f>
        <v>25192450</v>
      </c>
      <c r="E9" s="114">
        <f t="shared" ref="E9:E15" si="1">+D9+SUMIF($C$20:$C$58,K9,$E$20:$E$58)</f>
        <v>25192450</v>
      </c>
      <c r="F9" s="396">
        <f t="shared" ref="F9:F15" si="2">+E9+SUMIF($C$20:$C$58,K9,$F$20:$F$58)</f>
        <v>25192450</v>
      </c>
      <c r="G9" s="33">
        <f t="shared" ref="G9:G15" si="3">+F9+SUMIF($C$20:$C$58,K9,$G$20:$G$58)</f>
        <v>25192450</v>
      </c>
      <c r="H9" s="219">
        <f t="shared" ref="H9:H15" si="4">+G9+SUMIF($C$20:$C$58,K9,$H$20:$H$58)</f>
        <v>25192450</v>
      </c>
      <c r="I9" s="50">
        <f t="shared" ref="I9:I15" si="5">+H9+SUMIF($C$20:$C$58,K9,$I$20:$I$58)</f>
        <v>25192450</v>
      </c>
      <c r="K9" s="7">
        <v>100</v>
      </c>
    </row>
    <row r="10" spans="1:11" x14ac:dyDescent="0.35">
      <c r="A10" s="10" t="s">
        <v>5</v>
      </c>
      <c r="B10" s="35">
        <v>776791</v>
      </c>
      <c r="C10" s="35">
        <v>1105267</v>
      </c>
      <c r="D10" s="222">
        <f t="shared" si="0"/>
        <v>1105267</v>
      </c>
      <c r="E10" s="506">
        <f t="shared" si="1"/>
        <v>1105267</v>
      </c>
      <c r="F10" s="504">
        <f t="shared" si="2"/>
        <v>1105267</v>
      </c>
      <c r="G10" s="35">
        <f t="shared" si="3"/>
        <v>1105267</v>
      </c>
      <c r="H10" s="222">
        <f t="shared" si="4"/>
        <v>1105267</v>
      </c>
      <c r="I10" s="36">
        <f t="shared" si="5"/>
        <v>1105267</v>
      </c>
      <c r="K10" s="7">
        <v>200</v>
      </c>
    </row>
    <row r="11" spans="1:11" x14ac:dyDescent="0.35">
      <c r="A11" s="9" t="s">
        <v>6</v>
      </c>
      <c r="B11" s="33">
        <f>649580+32862</f>
        <v>682442</v>
      </c>
      <c r="C11" s="33">
        <v>498157</v>
      </c>
      <c r="D11" s="219">
        <f t="shared" si="0"/>
        <v>498157</v>
      </c>
      <c r="E11" s="114">
        <f t="shared" si="1"/>
        <v>498157</v>
      </c>
      <c r="F11" s="396">
        <f t="shared" si="2"/>
        <v>498157</v>
      </c>
      <c r="G11" s="33">
        <f t="shared" si="3"/>
        <v>498157</v>
      </c>
      <c r="H11" s="219">
        <f t="shared" si="4"/>
        <v>498157</v>
      </c>
      <c r="I11" s="34">
        <f t="shared" si="5"/>
        <v>498157</v>
      </c>
      <c r="K11" s="7" t="s">
        <v>167</v>
      </c>
    </row>
    <row r="12" spans="1:11" x14ac:dyDescent="0.35">
      <c r="A12" s="10" t="s">
        <v>7</v>
      </c>
      <c r="B12" s="42">
        <v>771500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30280459</v>
      </c>
      <c r="C16" s="39">
        <f t="shared" ref="C16:I16" si="6">SUM(C9:C15)</f>
        <v>26795874</v>
      </c>
      <c r="D16" s="39">
        <f t="shared" si="6"/>
        <v>26795874</v>
      </c>
      <c r="E16" s="529">
        <f t="shared" si="6"/>
        <v>26795874</v>
      </c>
      <c r="F16" s="39">
        <f t="shared" si="6"/>
        <v>26795874</v>
      </c>
      <c r="G16" s="39">
        <f t="shared" si="6"/>
        <v>26795874</v>
      </c>
      <c r="H16" s="39">
        <f t="shared" si="6"/>
        <v>26795874</v>
      </c>
      <c r="I16" s="39">
        <f t="shared" si="6"/>
        <v>26795874</v>
      </c>
    </row>
    <row r="17" spans="1:10" x14ac:dyDescent="0.35">
      <c r="B17" s="17"/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635</v>
      </c>
      <c r="B20" s="70"/>
      <c r="C20" s="71"/>
      <c r="D20" s="72"/>
      <c r="E20" s="72"/>
      <c r="F20" s="73"/>
      <c r="G20" s="73"/>
      <c r="H20" s="73"/>
      <c r="I20" s="73"/>
    </row>
    <row r="21" spans="1:10" ht="12.75" customHeight="1" x14ac:dyDescent="0.35">
      <c r="A21" s="170" t="s">
        <v>294</v>
      </c>
      <c r="B21" s="66"/>
      <c r="C21" s="67"/>
      <c r="D21" s="68"/>
      <c r="E21" s="69"/>
      <c r="F21" s="69"/>
      <c r="G21" s="69"/>
      <c r="H21" s="69"/>
      <c r="I21" s="69"/>
    </row>
    <row r="22" spans="1:10" ht="12.75" customHeight="1" x14ac:dyDescent="0.35">
      <c r="A22" s="782" t="s">
        <v>487</v>
      </c>
      <c r="B22" s="92"/>
      <c r="C22" s="639"/>
      <c r="D22" s="103"/>
      <c r="E22" s="103"/>
      <c r="F22" s="103"/>
      <c r="G22" s="94"/>
      <c r="H22" s="94"/>
      <c r="I22" s="94"/>
      <c r="J22" s="17"/>
    </row>
    <row r="23" spans="1:10" ht="12.75" customHeight="1" x14ac:dyDescent="0.35">
      <c r="A23" s="778" t="s">
        <v>565</v>
      </c>
      <c r="B23" s="66"/>
      <c r="C23" s="67">
        <v>100</v>
      </c>
      <c r="D23" s="777"/>
      <c r="E23" s="69"/>
      <c r="F23" s="69">
        <v>896539</v>
      </c>
      <c r="G23" s="69"/>
      <c r="H23" s="69"/>
      <c r="I23" s="69"/>
      <c r="J23" s="17"/>
    </row>
    <row r="24" spans="1:10" ht="12.75" customHeight="1" x14ac:dyDescent="0.35">
      <c r="A24" s="779" t="s">
        <v>596</v>
      </c>
      <c r="B24" s="179"/>
      <c r="C24" s="241"/>
      <c r="D24" s="777"/>
      <c r="E24" s="72"/>
      <c r="F24" s="72"/>
      <c r="G24" s="73"/>
      <c r="H24" s="73"/>
      <c r="I24" s="73"/>
      <c r="J24" s="17"/>
    </row>
    <row r="25" spans="1:10" ht="12.75" customHeight="1" x14ac:dyDescent="0.35">
      <c r="A25" s="778" t="s">
        <v>616</v>
      </c>
      <c r="B25" s="66"/>
      <c r="C25" s="67">
        <v>100</v>
      </c>
      <c r="D25" s="777"/>
      <c r="E25" s="69"/>
      <c r="F25" s="69">
        <v>-896539</v>
      </c>
      <c r="G25" s="69">
        <v>896539</v>
      </c>
      <c r="H25" s="69"/>
      <c r="I25" s="69"/>
      <c r="J25" s="17"/>
    </row>
    <row r="26" spans="1:10" ht="12.75" customHeight="1" x14ac:dyDescent="0.35">
      <c r="A26" s="779" t="s">
        <v>758</v>
      </c>
      <c r="B26" s="179"/>
      <c r="C26" s="241"/>
      <c r="D26" s="777"/>
      <c r="E26" s="72"/>
      <c r="F26" s="72"/>
      <c r="G26" s="73"/>
      <c r="H26" s="73"/>
      <c r="I26" s="73"/>
      <c r="J26" s="17"/>
    </row>
    <row r="27" spans="1:10" ht="12.75" customHeight="1" x14ac:dyDescent="0.35">
      <c r="A27" s="778" t="s">
        <v>853</v>
      </c>
      <c r="B27" s="66"/>
      <c r="C27" s="67">
        <v>100</v>
      </c>
      <c r="D27" s="777"/>
      <c r="E27" s="69"/>
      <c r="F27" s="69"/>
      <c r="G27" s="69">
        <v>-896539</v>
      </c>
      <c r="H27" s="69"/>
      <c r="I27" s="69"/>
      <c r="J27" s="17"/>
    </row>
    <row r="28" spans="1:10" ht="12.75" customHeight="1" x14ac:dyDescent="0.35">
      <c r="A28" s="778"/>
      <c r="B28" s="179"/>
      <c r="C28" s="241"/>
      <c r="D28" s="777"/>
      <c r="E28" s="72"/>
      <c r="F28" s="72"/>
      <c r="G28" s="73"/>
      <c r="H28" s="73"/>
      <c r="I28" s="73"/>
      <c r="J28" s="17"/>
    </row>
    <row r="29" spans="1:10" ht="12.75" customHeight="1" x14ac:dyDescent="0.35">
      <c r="A29" s="778"/>
      <c r="B29" s="66"/>
      <c r="C29" s="67"/>
      <c r="D29" s="777"/>
      <c r="E29" s="69"/>
      <c r="F29" s="69"/>
      <c r="G29" s="69"/>
      <c r="H29" s="69"/>
      <c r="I29" s="69"/>
      <c r="J29" s="17"/>
    </row>
    <row r="30" spans="1:10" ht="12.75" customHeight="1" x14ac:dyDescent="0.35">
      <c r="A30" s="778"/>
      <c r="B30" s="179"/>
      <c r="C30" s="241"/>
      <c r="D30" s="777"/>
      <c r="E30" s="72"/>
      <c r="F30" s="72"/>
      <c r="G30" s="73"/>
      <c r="H30" s="73"/>
      <c r="I30" s="73"/>
      <c r="J30" s="17"/>
    </row>
    <row r="31" spans="1:10" ht="12.75" customHeight="1" x14ac:dyDescent="0.35">
      <c r="A31" s="778"/>
      <c r="B31" s="66"/>
      <c r="C31" s="67"/>
      <c r="D31" s="777"/>
      <c r="E31" s="69"/>
      <c r="F31" s="69"/>
      <c r="G31" s="69"/>
      <c r="H31" s="69"/>
      <c r="I31" s="69"/>
      <c r="J31" s="17"/>
    </row>
    <row r="32" spans="1:10" ht="12.75" customHeight="1" x14ac:dyDescent="0.35">
      <c r="A32" s="782"/>
      <c r="B32" s="92"/>
      <c r="C32" s="639"/>
      <c r="D32" s="103"/>
      <c r="E32" s="103"/>
      <c r="F32" s="103"/>
      <c r="G32" s="94"/>
      <c r="H32" s="94"/>
      <c r="I32" s="94"/>
      <c r="J32" s="17"/>
    </row>
    <row r="33" spans="1:10" ht="12.75" customHeight="1" x14ac:dyDescent="0.35">
      <c r="A33" s="778"/>
      <c r="B33" s="66"/>
      <c r="C33" s="67"/>
      <c r="D33" s="777"/>
      <c r="E33" s="69"/>
      <c r="F33" s="69"/>
      <c r="G33" s="69"/>
      <c r="H33" s="69"/>
      <c r="I33" s="69"/>
      <c r="J33" s="17"/>
    </row>
    <row r="34" spans="1:10" ht="12.75" customHeight="1" x14ac:dyDescent="0.35">
      <c r="A34" s="779"/>
      <c r="B34" s="179"/>
      <c r="C34" s="241"/>
      <c r="D34" s="777"/>
      <c r="E34" s="72"/>
      <c r="F34" s="72"/>
      <c r="G34" s="73"/>
      <c r="H34" s="73"/>
      <c r="I34" s="73"/>
      <c r="J34" s="17"/>
    </row>
    <row r="35" spans="1:10" ht="12.75" customHeight="1" x14ac:dyDescent="0.35">
      <c r="A35" s="778"/>
      <c r="B35" s="66"/>
      <c r="C35" s="67"/>
      <c r="D35" s="777"/>
      <c r="E35" s="69"/>
      <c r="F35" s="69"/>
      <c r="G35" s="69"/>
      <c r="H35" s="69"/>
      <c r="I35" s="69"/>
      <c r="J35" s="17"/>
    </row>
    <row r="36" spans="1:10" ht="12.75" customHeight="1" x14ac:dyDescent="0.35">
      <c r="A36" s="778"/>
      <c r="B36" s="179"/>
      <c r="C36" s="241"/>
      <c r="D36" s="777"/>
      <c r="E36" s="777"/>
      <c r="F36" s="72"/>
      <c r="G36" s="72"/>
      <c r="H36" s="73"/>
      <c r="I36" s="73"/>
      <c r="J36" s="17"/>
    </row>
    <row r="37" spans="1:10" ht="12.75" customHeight="1" x14ac:dyDescent="0.35">
      <c r="A37" s="77"/>
      <c r="B37" s="78"/>
      <c r="C37" s="71"/>
      <c r="D37" s="72"/>
      <c r="E37" s="72"/>
      <c r="F37" s="72"/>
      <c r="G37" s="72"/>
      <c r="H37" s="73"/>
      <c r="I37" s="73"/>
      <c r="J37" s="17"/>
    </row>
    <row r="38" spans="1:10" ht="12.75" customHeight="1" x14ac:dyDescent="0.35">
      <c r="A38" s="77"/>
      <c r="B38" s="78"/>
      <c r="C38" s="71"/>
      <c r="D38" s="72"/>
      <c r="E38" s="72"/>
      <c r="F38" s="72"/>
      <c r="G38" s="72"/>
      <c r="H38" s="73"/>
      <c r="I38" s="73"/>
      <c r="J38" s="17"/>
    </row>
    <row r="39" spans="1:10" ht="12.75" customHeight="1" x14ac:dyDescent="0.35">
      <c r="A39" s="77"/>
      <c r="B39" s="78"/>
      <c r="C39" s="71"/>
      <c r="D39" s="72"/>
      <c r="E39" s="72"/>
      <c r="F39" s="72"/>
      <c r="G39" s="72"/>
      <c r="H39" s="73"/>
      <c r="I39" s="73"/>
      <c r="J39" s="17"/>
    </row>
    <row r="40" spans="1:10" ht="12.75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2.75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2.75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2.75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2.75" customHeight="1" x14ac:dyDescent="0.35">
      <c r="A44" s="81"/>
      <c r="B44" s="81"/>
      <c r="C44" s="81"/>
      <c r="D44" s="81"/>
      <c r="E44" s="81"/>
      <c r="F44" s="81"/>
      <c r="G44" s="81"/>
      <c r="H44" s="81"/>
      <c r="I44" s="81"/>
      <c r="J44" s="17"/>
    </row>
    <row r="45" spans="1:10" ht="12.75" customHeight="1" x14ac:dyDescent="0.35">
      <c r="A45" s="81"/>
      <c r="B45" s="81"/>
      <c r="C45" s="81"/>
      <c r="D45" s="81"/>
      <c r="E45" s="81"/>
      <c r="F45" s="81"/>
      <c r="G45" s="81"/>
      <c r="H45" s="81"/>
      <c r="I45" s="81"/>
      <c r="J45" s="17"/>
    </row>
    <row r="46" spans="1:10" ht="12.75" customHeight="1" x14ac:dyDescent="0.35">
      <c r="A46" s="81"/>
      <c r="B46" s="81"/>
      <c r="C46" s="81"/>
      <c r="D46" s="81"/>
      <c r="E46" s="81"/>
      <c r="F46" s="81"/>
      <c r="G46" s="81"/>
      <c r="H46" s="81"/>
      <c r="I46" s="81"/>
      <c r="J46" s="17"/>
    </row>
    <row r="47" spans="1:10" ht="12.75" customHeight="1" x14ac:dyDescent="0.35"/>
    <row r="48" spans="1:10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</sheetData>
  <mergeCells count="6">
    <mergeCell ref="A1:I1"/>
    <mergeCell ref="A2:I2"/>
    <mergeCell ref="A3:I3"/>
    <mergeCell ref="A4:I4"/>
    <mergeCell ref="C6:I6"/>
    <mergeCell ref="C5:I5"/>
  </mergeCells>
  <conditionalFormatting sqref="A26">
    <cfRule type="expression" dxfId="29" priority="35">
      <formula>MOD(ROW(),2)=1</formula>
    </cfRule>
  </conditionalFormatting>
  <conditionalFormatting sqref="D26:E26">
    <cfRule type="expression" dxfId="28" priority="34">
      <formula>MOD(ROW(),2)=1</formula>
    </cfRule>
  </conditionalFormatting>
  <conditionalFormatting sqref="A27">
    <cfRule type="expression" dxfId="27" priority="31">
      <formula>MOD(ROW(),2)=1</formula>
    </cfRule>
  </conditionalFormatting>
  <conditionalFormatting sqref="D27:E27">
    <cfRule type="expression" dxfId="26" priority="30">
      <formula>MOD(ROW(),2)=1</formula>
    </cfRule>
  </conditionalFormatting>
  <conditionalFormatting sqref="A28">
    <cfRule type="expression" dxfId="25" priority="29">
      <formula>MOD(ROW(),2)=1</formula>
    </cfRule>
  </conditionalFormatting>
  <conditionalFormatting sqref="A29">
    <cfRule type="expression" dxfId="24" priority="27">
      <formula>MOD(ROW(),2)=1</formula>
    </cfRule>
  </conditionalFormatting>
  <conditionalFormatting sqref="D28:E28">
    <cfRule type="expression" dxfId="23" priority="24">
      <formula>MOD(ROW(),2)=1</formula>
    </cfRule>
  </conditionalFormatting>
  <conditionalFormatting sqref="D29:E29">
    <cfRule type="expression" dxfId="22" priority="25">
      <formula>MOD(ROW(),2)=1</formula>
    </cfRule>
  </conditionalFormatting>
  <conditionalFormatting sqref="A30">
    <cfRule type="expression" dxfId="21" priority="19">
      <formula>MOD(ROW(),2)=1</formula>
    </cfRule>
  </conditionalFormatting>
  <conditionalFormatting sqref="A31">
    <cfRule type="expression" dxfId="20" priority="18">
      <formula>MOD(ROW(),2)=1</formula>
    </cfRule>
  </conditionalFormatting>
  <conditionalFormatting sqref="D31:E31">
    <cfRule type="expression" dxfId="19" priority="17">
      <formula>MOD(ROW(),2)=1</formula>
    </cfRule>
  </conditionalFormatting>
  <conditionalFormatting sqref="D30:E30">
    <cfRule type="expression" dxfId="18" priority="16">
      <formula>MOD(ROW(),2)=1</formula>
    </cfRule>
  </conditionalFormatting>
  <conditionalFormatting sqref="A33">
    <cfRule type="expression" dxfId="17" priority="15">
      <formula>MOD(ROW(),2)=1</formula>
    </cfRule>
  </conditionalFormatting>
  <conditionalFormatting sqref="D33:E33">
    <cfRule type="expression" dxfId="16" priority="14">
      <formula>MOD(ROW(),2)=1</formula>
    </cfRule>
  </conditionalFormatting>
  <conditionalFormatting sqref="A34">
    <cfRule type="expression" dxfId="15" priority="13">
      <formula>MOD(ROW(),2)=1</formula>
    </cfRule>
  </conditionalFormatting>
  <conditionalFormatting sqref="D34:E34">
    <cfRule type="expression" dxfId="14" priority="12">
      <formula>MOD(ROW(),2)=1</formula>
    </cfRule>
  </conditionalFormatting>
  <conditionalFormatting sqref="A35">
    <cfRule type="expression" dxfId="13" priority="11">
      <formula>MOD(ROW(),2)=1</formula>
    </cfRule>
  </conditionalFormatting>
  <conditionalFormatting sqref="D35:E35">
    <cfRule type="expression" dxfId="12" priority="10">
      <formula>MOD(ROW(),2)=1</formula>
    </cfRule>
  </conditionalFormatting>
  <conditionalFormatting sqref="A36">
    <cfRule type="expression" dxfId="11" priority="9">
      <formula>MOD(ROW(),2)=1</formula>
    </cfRule>
  </conditionalFormatting>
  <conditionalFormatting sqref="D36:E36">
    <cfRule type="expression" dxfId="10" priority="8">
      <formula>MOD(ROW(),2)=1</formula>
    </cfRule>
  </conditionalFormatting>
  <conditionalFormatting sqref="A23">
    <cfRule type="expression" dxfId="9" priority="7">
      <formula>MOD(ROW(),2)=1</formula>
    </cfRule>
  </conditionalFormatting>
  <conditionalFormatting sqref="D23:E23">
    <cfRule type="expression" dxfId="8" priority="6">
      <formula>MOD(ROW(),2)=1</formula>
    </cfRule>
  </conditionalFormatting>
  <conditionalFormatting sqref="A24">
    <cfRule type="expression" dxfId="7" priority="5">
      <formula>MOD(ROW(),2)=1</formula>
    </cfRule>
  </conditionalFormatting>
  <conditionalFormatting sqref="D24:E24">
    <cfRule type="expression" dxfId="6" priority="4">
      <formula>MOD(ROW(),2)=1</formula>
    </cfRule>
  </conditionalFormatting>
  <conditionalFormatting sqref="A25">
    <cfRule type="expression" dxfId="5" priority="3">
      <formula>MOD(ROW(),2)=1</formula>
    </cfRule>
  </conditionalFormatting>
  <conditionalFormatting sqref="D25:E25">
    <cfRule type="expression" dxfId="4" priority="2">
      <formula>MOD(ROW(),2)=1</formula>
    </cfRule>
  </conditionalFormatting>
  <conditionalFormatting sqref="C9:I15">
    <cfRule type="cellIs" dxfId="3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5">
    <tabColor theme="3"/>
  </sheetPr>
  <dimension ref="A1:K71"/>
  <sheetViews>
    <sheetView zoomScaleNormal="100" zoomScaleSheetLayoutView="90" workbookViewId="0">
      <selection activeCell="F12" sqref="F12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9.453125" style="7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258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2">
        <v>37</v>
      </c>
      <c r="C6" s="880" t="s">
        <v>112</v>
      </c>
      <c r="D6" s="880"/>
      <c r="E6" s="880"/>
      <c r="F6" s="880"/>
      <c r="G6" s="880"/>
      <c r="H6" s="880"/>
      <c r="I6" s="880"/>
    </row>
    <row r="7" spans="1:11" ht="15" thickBot="1" x14ac:dyDescent="0.4">
      <c r="A7" s="87" t="s">
        <v>196</v>
      </c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f>+C9</f>
        <v>0</v>
      </c>
      <c r="E9" s="114">
        <f>+D9</f>
        <v>0</v>
      </c>
      <c r="F9" s="396">
        <f t="shared" ref="E9:I15" si="0">+E9</f>
        <v>0</v>
      </c>
      <c r="G9" s="33">
        <f t="shared" si="0"/>
        <v>0</v>
      </c>
      <c r="H9" s="219">
        <f t="shared" si="0"/>
        <v>0</v>
      </c>
      <c r="I9" s="50">
        <f t="shared" si="0"/>
        <v>0</v>
      </c>
      <c r="K9" s="7">
        <v>100</v>
      </c>
    </row>
    <row r="10" spans="1:11" x14ac:dyDescent="0.35">
      <c r="A10" s="10" t="s">
        <v>5</v>
      </c>
      <c r="B10" s="42">
        <f>102005678+5122108</f>
        <v>107127786</v>
      </c>
      <c r="C10" s="48">
        <v>96918314</v>
      </c>
      <c r="D10" s="220">
        <f>+C10</f>
        <v>96918314</v>
      </c>
      <c r="E10" s="113">
        <v>104560657</v>
      </c>
      <c r="F10" s="397">
        <f>119241837+1</f>
        <v>119241838</v>
      </c>
      <c r="G10" s="48">
        <v>127412102</v>
      </c>
      <c r="H10" s="220">
        <v>127134732</v>
      </c>
      <c r="I10" s="49">
        <v>126250899</v>
      </c>
      <c r="J10" s="206">
        <f>SUM(E10:I10)</f>
        <v>604600228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f t="shared" ref="D11:D15" si="1">+C11</f>
        <v>0</v>
      </c>
      <c r="E11" s="114">
        <v>0</v>
      </c>
      <c r="F11" s="396">
        <v>0</v>
      </c>
      <c r="G11" s="33">
        <v>0</v>
      </c>
      <c r="H11" s="219">
        <v>0</v>
      </c>
      <c r="I11" s="34">
        <f t="shared" si="0"/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1"/>
        <v>0</v>
      </c>
      <c r="E12" s="506">
        <v>0</v>
      </c>
      <c r="F12" s="504">
        <v>0</v>
      </c>
      <c r="G12" s="35">
        <v>0</v>
      </c>
      <c r="H12" s="222">
        <v>0</v>
      </c>
      <c r="I12" s="36">
        <f t="shared" si="0"/>
        <v>0</v>
      </c>
      <c r="K12" s="7">
        <v>500</v>
      </c>
    </row>
    <row r="13" spans="1:11" x14ac:dyDescent="0.35">
      <c r="A13" s="9" t="s">
        <v>8</v>
      </c>
      <c r="B13" s="33">
        <f>159226532</f>
        <v>159226532</v>
      </c>
      <c r="C13" s="33">
        <v>185714117</v>
      </c>
      <c r="D13" s="219">
        <f>+C13</f>
        <v>185714117</v>
      </c>
      <c r="E13" s="471">
        <v>192666858</v>
      </c>
      <c r="F13" s="519">
        <v>204369866.25999999</v>
      </c>
      <c r="G13" s="162">
        <v>234852447</v>
      </c>
      <c r="H13" s="221">
        <v>247879034</v>
      </c>
      <c r="I13" s="117">
        <v>261405499</v>
      </c>
      <c r="J13" s="206">
        <f>SUM(E13:I13)</f>
        <v>1141173704.26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1"/>
        <v>0</v>
      </c>
      <c r="E14" s="506">
        <f t="shared" si="0"/>
        <v>0</v>
      </c>
      <c r="F14" s="504">
        <f t="shared" si="0"/>
        <v>0</v>
      </c>
      <c r="G14" s="35">
        <f t="shared" si="0"/>
        <v>0</v>
      </c>
      <c r="H14" s="222">
        <f t="shared" si="0"/>
        <v>0</v>
      </c>
      <c r="I14" s="36">
        <f t="shared" si="0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1"/>
        <v>0</v>
      </c>
      <c r="E15" s="507">
        <f t="shared" si="0"/>
        <v>0</v>
      </c>
      <c r="F15" s="505">
        <f t="shared" si="0"/>
        <v>0</v>
      </c>
      <c r="G15" s="37">
        <f t="shared" si="0"/>
        <v>0</v>
      </c>
      <c r="H15" s="223">
        <f t="shared" si="0"/>
        <v>0</v>
      </c>
      <c r="I15" s="38">
        <f t="shared" si="0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266354318</v>
      </c>
      <c r="C16" s="39">
        <f t="shared" ref="C16:J16" si="2">SUM(C9:C15)</f>
        <v>282632431</v>
      </c>
      <c r="D16" s="39">
        <f t="shared" si="2"/>
        <v>282632431</v>
      </c>
      <c r="E16" s="529">
        <f t="shared" si="2"/>
        <v>297227515</v>
      </c>
      <c r="F16" s="39">
        <f t="shared" si="2"/>
        <v>323611704.25999999</v>
      </c>
      <c r="G16" s="39">
        <f t="shared" si="2"/>
        <v>362264549</v>
      </c>
      <c r="H16" s="39">
        <f t="shared" si="2"/>
        <v>375013766</v>
      </c>
      <c r="I16" s="39">
        <f t="shared" si="2"/>
        <v>387656398</v>
      </c>
      <c r="J16" s="377">
        <f t="shared" si="2"/>
        <v>1745773932.26</v>
      </c>
    </row>
    <row r="17" spans="1:10" x14ac:dyDescent="0.35">
      <c r="E17" s="207"/>
    </row>
    <row r="18" spans="1:10" x14ac:dyDescent="0.35">
      <c r="E18" s="401">
        <f>+E16-D16</f>
        <v>14595084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  <c r="J19" s="376" t="s">
        <v>844</v>
      </c>
    </row>
    <row r="20" spans="1:10" ht="16.5" customHeight="1" thickTop="1" x14ac:dyDescent="0.35">
      <c r="J20" s="17"/>
    </row>
    <row r="21" spans="1:10" ht="13" customHeight="1" x14ac:dyDescent="0.35">
      <c r="A21" s="730" t="s">
        <v>472</v>
      </c>
      <c r="B21" s="797" t="s">
        <v>697</v>
      </c>
      <c r="C21" s="721">
        <v>200</v>
      </c>
      <c r="D21" s="722"/>
      <c r="E21" s="724">
        <v>104560657</v>
      </c>
      <c r="F21" s="724">
        <v>119241837</v>
      </c>
      <c r="G21" s="724">
        <v>127412102</v>
      </c>
      <c r="H21" s="724">
        <v>127134732</v>
      </c>
      <c r="I21" s="724">
        <v>126250899</v>
      </c>
      <c r="J21" s="725">
        <f t="shared" ref="J21:J22" si="3">SUM(E21:I21)</f>
        <v>604600227</v>
      </c>
    </row>
    <row r="22" spans="1:10" ht="13" customHeight="1" x14ac:dyDescent="0.35">
      <c r="A22" s="79"/>
      <c r="B22" s="720"/>
      <c r="C22" s="721">
        <v>700</v>
      </c>
      <c r="D22" s="722"/>
      <c r="E22" s="729">
        <v>192666858</v>
      </c>
      <c r="F22" s="729">
        <v>204369866.25999999</v>
      </c>
      <c r="G22" s="729">
        <v>234852447</v>
      </c>
      <c r="H22" s="729">
        <v>247879034</v>
      </c>
      <c r="I22" s="729">
        <v>261405499</v>
      </c>
      <c r="J22" s="725">
        <f t="shared" si="3"/>
        <v>1141173704.26</v>
      </c>
    </row>
    <row r="23" spans="1:10" ht="13" customHeight="1" x14ac:dyDescent="0.35">
      <c r="A23" s="79"/>
      <c r="B23" s="720"/>
      <c r="C23" s="721"/>
      <c r="D23" s="722"/>
      <c r="E23" s="726">
        <f t="shared" ref="E23:I23" si="4">SUM(E21:E22)</f>
        <v>297227515</v>
      </c>
      <c r="F23" s="726">
        <f t="shared" si="4"/>
        <v>323611703.25999999</v>
      </c>
      <c r="G23" s="726">
        <f t="shared" si="4"/>
        <v>362264549</v>
      </c>
      <c r="H23" s="726">
        <f t="shared" si="4"/>
        <v>375013766</v>
      </c>
      <c r="I23" s="726">
        <f t="shared" si="4"/>
        <v>387656398</v>
      </c>
      <c r="J23" s="726">
        <f t="shared" ref="J23" si="5">SUM(J21:J22)</f>
        <v>1745773931.26</v>
      </c>
    </row>
    <row r="24" spans="1:10" ht="13" customHeight="1" x14ac:dyDescent="0.35">
      <c r="A24" s="79"/>
      <c r="B24" s="720"/>
      <c r="C24" s="721"/>
      <c r="D24" s="722"/>
      <c r="E24" s="723"/>
      <c r="F24" s="724"/>
      <c r="G24" s="724"/>
      <c r="H24" s="724"/>
      <c r="I24" s="724"/>
      <c r="J24" s="727"/>
    </row>
    <row r="25" spans="1:10" ht="13" customHeight="1" x14ac:dyDescent="0.35">
      <c r="A25" s="79"/>
      <c r="B25" s="797" t="s">
        <v>603</v>
      </c>
      <c r="C25" s="721">
        <v>200</v>
      </c>
      <c r="D25" s="722"/>
      <c r="E25" s="724">
        <v>107630658</v>
      </c>
      <c r="F25" s="724">
        <v>120537138</v>
      </c>
      <c r="G25" s="724">
        <v>128709377</v>
      </c>
      <c r="H25" s="724">
        <v>128530733</v>
      </c>
      <c r="I25" s="724">
        <v>128530733</v>
      </c>
      <c r="J25" s="725">
        <f t="shared" ref="J25:J26" si="6">SUM(E25:I25)</f>
        <v>613938639</v>
      </c>
    </row>
    <row r="26" spans="1:10" ht="13" customHeight="1" x14ac:dyDescent="0.35">
      <c r="A26" s="79"/>
      <c r="B26" s="720"/>
      <c r="C26" s="721">
        <v>700</v>
      </c>
      <c r="D26" s="722"/>
      <c r="E26" s="724">
        <v>203916919</v>
      </c>
      <c r="F26" s="724">
        <v>216115419</v>
      </c>
      <c r="G26" s="724">
        <v>235167513</v>
      </c>
      <c r="H26" s="724">
        <v>245495557</v>
      </c>
      <c r="I26" s="724">
        <v>245495557</v>
      </c>
      <c r="J26" s="725">
        <f t="shared" si="6"/>
        <v>1146190965</v>
      </c>
    </row>
    <row r="27" spans="1:10" ht="13" customHeight="1" x14ac:dyDescent="0.35">
      <c r="A27" s="79"/>
      <c r="B27" s="720"/>
      <c r="C27" s="721"/>
      <c r="D27" s="722"/>
      <c r="E27" s="723">
        <f t="shared" ref="E27:I27" si="7">SUM(E25:E26)</f>
        <v>311547577</v>
      </c>
      <c r="F27" s="723">
        <f t="shared" si="7"/>
        <v>336652557</v>
      </c>
      <c r="G27" s="723">
        <f t="shared" si="7"/>
        <v>363876890</v>
      </c>
      <c r="H27" s="723">
        <f t="shared" si="7"/>
        <v>374026290</v>
      </c>
      <c r="I27" s="723">
        <f t="shared" si="7"/>
        <v>374026290</v>
      </c>
      <c r="J27" s="726">
        <f t="shared" ref="J27" si="8">SUM(J25:J26)</f>
        <v>1760129604</v>
      </c>
    </row>
    <row r="28" spans="1:10" ht="13" customHeight="1" x14ac:dyDescent="0.35">
      <c r="A28" s="79"/>
      <c r="B28" s="720"/>
      <c r="C28" s="721"/>
      <c r="D28" s="724"/>
      <c r="E28" s="723"/>
      <c r="F28" s="724"/>
      <c r="G28" s="724"/>
      <c r="H28" s="724"/>
      <c r="I28" s="724"/>
      <c r="J28" s="727"/>
    </row>
    <row r="29" spans="1:10" ht="13" customHeight="1" x14ac:dyDescent="0.35">
      <c r="A29" s="79"/>
      <c r="B29" s="720" t="s">
        <v>357</v>
      </c>
      <c r="C29" s="721">
        <v>200</v>
      </c>
      <c r="D29" s="722"/>
      <c r="E29" s="723">
        <f t="shared" ref="E29:H30" si="9">+E21-E25</f>
        <v>-3070001</v>
      </c>
      <c r="F29" s="723">
        <f t="shared" si="9"/>
        <v>-1295301</v>
      </c>
      <c r="G29" s="723">
        <f t="shared" si="9"/>
        <v>-1297275</v>
      </c>
      <c r="H29" s="723">
        <f t="shared" si="9"/>
        <v>-1396001</v>
      </c>
      <c r="I29" s="723">
        <f t="shared" ref="I29" si="10">+I21-I25</f>
        <v>-2279834</v>
      </c>
      <c r="J29" s="725">
        <f>SUM(E29:I29)</f>
        <v>-9338412</v>
      </c>
    </row>
    <row r="30" spans="1:10" ht="13" customHeight="1" x14ac:dyDescent="0.35">
      <c r="A30" s="79"/>
      <c r="B30" s="720"/>
      <c r="C30" s="721">
        <v>700</v>
      </c>
      <c r="D30" s="722"/>
      <c r="E30" s="728">
        <f t="shared" si="9"/>
        <v>-11250061</v>
      </c>
      <c r="F30" s="728">
        <f t="shared" si="9"/>
        <v>-11745552.74000001</v>
      </c>
      <c r="G30" s="728">
        <f t="shared" si="9"/>
        <v>-315066</v>
      </c>
      <c r="H30" s="728">
        <f t="shared" si="9"/>
        <v>2383477</v>
      </c>
      <c r="I30" s="728">
        <f t="shared" ref="I30" si="11">+I22-I26</f>
        <v>15909942</v>
      </c>
      <c r="J30" s="725">
        <f>SUM(E30:I30)</f>
        <v>-5017260.7400000095</v>
      </c>
    </row>
    <row r="31" spans="1:10" ht="13" customHeight="1" x14ac:dyDescent="0.35">
      <c r="A31" s="79"/>
      <c r="B31" s="720"/>
      <c r="C31" s="721"/>
      <c r="D31" s="722"/>
      <c r="E31" s="723">
        <f t="shared" ref="E31:H31" si="12">SUM(E29:E30)</f>
        <v>-14320062</v>
      </c>
      <c r="F31" s="723">
        <f t="shared" si="12"/>
        <v>-13040853.74000001</v>
      </c>
      <c r="G31" s="723">
        <f t="shared" si="12"/>
        <v>-1612341</v>
      </c>
      <c r="H31" s="723">
        <f t="shared" si="12"/>
        <v>987476</v>
      </c>
      <c r="I31" s="723">
        <f t="shared" ref="I31" si="13">SUM(I29:I30)</f>
        <v>13630108</v>
      </c>
      <c r="J31" s="726">
        <f t="shared" ref="J31" si="14">SUM(J29:J30)</f>
        <v>-14355672.74000001</v>
      </c>
    </row>
    <row r="32" spans="1:10" ht="13" customHeight="1" x14ac:dyDescent="0.35">
      <c r="A32" s="462"/>
      <c r="B32" s="101"/>
      <c r="C32" s="102"/>
      <c r="D32" s="102"/>
      <c r="E32" s="417"/>
      <c r="F32" s="417"/>
      <c r="G32" s="417"/>
      <c r="H32" s="417"/>
      <c r="I32" s="417"/>
      <c r="J32" s="417"/>
    </row>
    <row r="33" spans="1:10" ht="13" customHeight="1" x14ac:dyDescent="0.35">
      <c r="A33" s="52"/>
      <c r="B33" s="101"/>
      <c r="C33" s="102"/>
      <c r="D33" s="102"/>
      <c r="E33" s="417"/>
      <c r="F33" s="103"/>
      <c r="G33" s="103"/>
      <c r="H33" s="103"/>
      <c r="I33" s="103"/>
      <c r="J33" s="641"/>
    </row>
    <row r="34" spans="1:10" ht="13" customHeight="1" x14ac:dyDescent="0.35">
      <c r="A34" s="52"/>
      <c r="B34" s="101"/>
      <c r="C34" s="102"/>
      <c r="D34" s="103"/>
      <c r="E34" s="417"/>
      <c r="F34" s="103"/>
      <c r="G34" s="103"/>
      <c r="H34" s="103"/>
      <c r="I34" s="103"/>
      <c r="J34" s="641"/>
    </row>
    <row r="35" spans="1:10" ht="13" customHeight="1" x14ac:dyDescent="0.35">
      <c r="A35" s="640"/>
      <c r="B35" s="101"/>
      <c r="C35" s="102"/>
      <c r="D35" s="103"/>
      <c r="E35" s="724"/>
      <c r="F35" s="724"/>
      <c r="G35" s="724"/>
      <c r="H35" s="724"/>
      <c r="I35" s="724"/>
      <c r="J35" s="211"/>
    </row>
    <row r="36" spans="1:10" ht="12.75" customHeight="1" x14ac:dyDescent="0.35">
      <c r="A36" s="79"/>
      <c r="B36" s="70"/>
      <c r="C36" s="71"/>
      <c r="D36" s="168"/>
      <c r="E36" s="724"/>
      <c r="F36" s="724"/>
      <c r="G36" s="724"/>
      <c r="H36" s="724"/>
      <c r="I36" s="724"/>
      <c r="J36" s="168"/>
    </row>
    <row r="37" spans="1:10" ht="12.75" customHeight="1" x14ac:dyDescent="0.35">
      <c r="A37" s="79"/>
      <c r="B37" s="70"/>
      <c r="C37" s="71"/>
      <c r="D37" s="168"/>
      <c r="E37" s="168"/>
      <c r="F37" s="73"/>
      <c r="G37" s="73"/>
      <c r="H37" s="73"/>
      <c r="I37" s="73"/>
      <c r="J37" s="168"/>
    </row>
    <row r="38" spans="1:10" ht="12.75" customHeight="1" x14ac:dyDescent="0.35">
      <c r="A38" s="79"/>
      <c r="B38" s="70"/>
      <c r="C38" s="71"/>
      <c r="D38" s="72"/>
      <c r="E38" s="207"/>
      <c r="F38" s="73"/>
      <c r="G38" s="73"/>
      <c r="H38" s="73"/>
      <c r="I38" s="73"/>
      <c r="J38" s="17"/>
    </row>
    <row r="39" spans="1:10" ht="12.75" customHeight="1" x14ac:dyDescent="0.35">
      <c r="A39" s="79"/>
      <c r="B39" s="70"/>
      <c r="C39" s="71"/>
      <c r="D39" s="72"/>
      <c r="E39" s="207"/>
      <c r="F39" s="73"/>
      <c r="G39" s="73"/>
      <c r="H39" s="73"/>
      <c r="I39" s="73"/>
      <c r="J39" s="17"/>
    </row>
    <row r="40" spans="1:10" ht="12.75" customHeight="1" x14ac:dyDescent="0.35">
      <c r="A40" s="79"/>
      <c r="B40" s="70"/>
      <c r="C40" s="71"/>
      <c r="D40" s="72"/>
      <c r="F40" s="73"/>
      <c r="G40" s="73"/>
      <c r="H40" s="73"/>
      <c r="I40" s="73"/>
      <c r="J40" s="17"/>
    </row>
    <row r="41" spans="1:10" ht="12.75" customHeight="1" x14ac:dyDescent="0.35">
      <c r="A41" s="79"/>
      <c r="B41" s="70"/>
      <c r="C41" s="71"/>
      <c r="D41" s="72"/>
      <c r="F41" s="73"/>
      <c r="G41" s="73"/>
      <c r="H41" s="73"/>
      <c r="I41" s="73"/>
      <c r="J41" s="17"/>
    </row>
    <row r="42" spans="1:10" ht="12.75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2.75" customHeight="1" x14ac:dyDescent="0.35"/>
    <row r="44" spans="1:10" ht="12.75" customHeight="1" x14ac:dyDescent="0.35"/>
    <row r="45" spans="1:10" ht="12.75" customHeight="1" x14ac:dyDescent="0.35"/>
    <row r="46" spans="1:10" ht="12.75" customHeight="1" x14ac:dyDescent="0.35"/>
    <row r="47" spans="1:10" ht="12.75" customHeight="1" x14ac:dyDescent="0.35"/>
    <row r="48" spans="1:10" ht="12.75" customHeight="1" x14ac:dyDescent="0.35"/>
    <row r="49" spans="1:10" ht="12.75" customHeight="1" x14ac:dyDescent="0.35"/>
    <row r="50" spans="1:10" ht="12.75" customHeight="1" x14ac:dyDescent="0.35"/>
    <row r="51" spans="1:10" ht="12.75" customHeight="1" x14ac:dyDescent="0.35"/>
    <row r="58" spans="1:10" x14ac:dyDescent="0.35">
      <c r="A58" s="79" t="s">
        <v>319</v>
      </c>
      <c r="B58" s="469" t="s">
        <v>298</v>
      </c>
      <c r="C58" s="71">
        <v>200</v>
      </c>
      <c r="D58" s="372"/>
      <c r="E58" s="321">
        <v>109222498</v>
      </c>
      <c r="F58" s="72">
        <v>116331057</v>
      </c>
      <c r="G58" s="72">
        <v>121262323</v>
      </c>
      <c r="H58" s="72">
        <v>126368869</v>
      </c>
      <c r="I58" s="72">
        <v>125868393</v>
      </c>
      <c r="J58" s="168">
        <f t="shared" ref="J58:J59" si="15">SUM(E58:I58)</f>
        <v>599053140</v>
      </c>
    </row>
    <row r="59" spans="1:10" x14ac:dyDescent="0.35">
      <c r="A59" s="79"/>
      <c r="B59" s="70"/>
      <c r="C59" s="71">
        <v>700</v>
      </c>
      <c r="D59" s="372"/>
      <c r="E59" s="321">
        <v>187482819</v>
      </c>
      <c r="F59" s="72">
        <v>189460472</v>
      </c>
      <c r="G59" s="72">
        <v>214844846</v>
      </c>
      <c r="H59" s="72">
        <v>228964828</v>
      </c>
      <c r="I59" s="72">
        <v>253787321</v>
      </c>
      <c r="J59" s="168">
        <f t="shared" si="15"/>
        <v>1074540286</v>
      </c>
    </row>
    <row r="60" spans="1:10" x14ac:dyDescent="0.35">
      <c r="A60" s="79"/>
      <c r="B60" s="70"/>
      <c r="C60" s="71"/>
      <c r="D60" s="372"/>
      <c r="E60" s="373">
        <f t="shared" ref="E60:J60" si="16">SUM(E58:E59)</f>
        <v>296705317</v>
      </c>
      <c r="F60" s="373">
        <f t="shared" si="16"/>
        <v>305791529</v>
      </c>
      <c r="G60" s="373">
        <f t="shared" si="16"/>
        <v>336107169</v>
      </c>
      <c r="H60" s="373">
        <f t="shared" si="16"/>
        <v>355333697</v>
      </c>
      <c r="I60" s="373">
        <f t="shared" si="16"/>
        <v>379655714</v>
      </c>
      <c r="J60" s="373">
        <f t="shared" si="16"/>
        <v>1673593426</v>
      </c>
    </row>
    <row r="61" spans="1:10" x14ac:dyDescent="0.35">
      <c r="A61" s="79"/>
      <c r="B61" s="70"/>
      <c r="C61" s="71"/>
      <c r="D61" s="372"/>
      <c r="E61" s="321"/>
      <c r="F61" s="72"/>
      <c r="G61" s="72"/>
      <c r="H61" s="72"/>
      <c r="I61" s="72"/>
      <c r="J61" s="17"/>
    </row>
    <row r="62" spans="1:10" x14ac:dyDescent="0.35">
      <c r="A62" s="79"/>
      <c r="B62" s="565" t="s">
        <v>320</v>
      </c>
      <c r="C62" s="71">
        <v>200</v>
      </c>
      <c r="D62" s="372"/>
      <c r="E62" s="321">
        <v>134329061</v>
      </c>
      <c r="F62" s="72">
        <v>139314301</v>
      </c>
      <c r="G62" s="72">
        <v>149548463</v>
      </c>
      <c r="H62" s="72">
        <v>149280955</v>
      </c>
      <c r="I62" s="72">
        <f>+H62</f>
        <v>149280955</v>
      </c>
      <c r="J62" s="168">
        <f t="shared" ref="J62:J63" si="17">SUM(E62:I62)</f>
        <v>721753735</v>
      </c>
    </row>
    <row r="63" spans="1:10" x14ac:dyDescent="0.35">
      <c r="A63" s="79"/>
      <c r="B63" s="70"/>
      <c r="C63" s="71">
        <v>700</v>
      </c>
      <c r="D63" s="372"/>
      <c r="E63" s="374">
        <v>178902625</v>
      </c>
      <c r="F63" s="98">
        <v>190108996</v>
      </c>
      <c r="G63" s="98">
        <v>214711821</v>
      </c>
      <c r="H63" s="98">
        <v>227769515</v>
      </c>
      <c r="I63" s="98">
        <f>+H63</f>
        <v>227769515</v>
      </c>
      <c r="J63" s="168">
        <f t="shared" si="17"/>
        <v>1039262472</v>
      </c>
    </row>
    <row r="64" spans="1:10" x14ac:dyDescent="0.35">
      <c r="A64" s="79"/>
      <c r="B64" s="70"/>
      <c r="C64" s="71"/>
      <c r="D64" s="372"/>
      <c r="E64" s="321">
        <f t="shared" ref="E64:J64" si="18">SUM(E62:E63)</f>
        <v>313231686</v>
      </c>
      <c r="F64" s="321">
        <f t="shared" si="18"/>
        <v>329423297</v>
      </c>
      <c r="G64" s="321">
        <f t="shared" si="18"/>
        <v>364260284</v>
      </c>
      <c r="H64" s="321">
        <f t="shared" si="18"/>
        <v>377050470</v>
      </c>
      <c r="I64" s="321">
        <f t="shared" si="18"/>
        <v>377050470</v>
      </c>
      <c r="J64" s="373">
        <f t="shared" si="18"/>
        <v>1761016207</v>
      </c>
    </row>
    <row r="65" spans="1:10" x14ac:dyDescent="0.35">
      <c r="A65" s="79"/>
      <c r="B65" s="70"/>
      <c r="C65" s="71"/>
      <c r="D65" s="72"/>
      <c r="E65" s="321"/>
      <c r="F65" s="72"/>
      <c r="G65" s="72"/>
      <c r="H65" s="72"/>
      <c r="I65" s="72"/>
      <c r="J65" s="17"/>
    </row>
    <row r="66" spans="1:10" x14ac:dyDescent="0.35">
      <c r="A66" s="79"/>
      <c r="B66" s="621" t="s">
        <v>357</v>
      </c>
      <c r="C66" s="71">
        <v>200</v>
      </c>
      <c r="D66" s="372"/>
      <c r="E66" s="321">
        <f t="shared" ref="E66:I67" si="19">+E58-E62</f>
        <v>-25106563</v>
      </c>
      <c r="F66" s="321">
        <f t="shared" si="19"/>
        <v>-22983244</v>
      </c>
      <c r="G66" s="321">
        <f t="shared" si="19"/>
        <v>-28286140</v>
      </c>
      <c r="H66" s="321">
        <f t="shared" si="19"/>
        <v>-22912086</v>
      </c>
      <c r="I66" s="321">
        <f t="shared" si="19"/>
        <v>-23412562</v>
      </c>
      <c r="J66" s="168">
        <f>SUM(E66:I66)</f>
        <v>-122700595</v>
      </c>
    </row>
    <row r="67" spans="1:10" x14ac:dyDescent="0.35">
      <c r="A67" s="79"/>
      <c r="B67" s="70"/>
      <c r="C67" s="71">
        <v>700</v>
      </c>
      <c r="D67" s="372"/>
      <c r="E67" s="374">
        <f t="shared" ref="E67:H67" si="20">+E59-E63</f>
        <v>8580194</v>
      </c>
      <c r="F67" s="374">
        <f t="shared" si="20"/>
        <v>-648524</v>
      </c>
      <c r="G67" s="374">
        <f t="shared" si="20"/>
        <v>133025</v>
      </c>
      <c r="H67" s="374">
        <f t="shared" si="20"/>
        <v>1195313</v>
      </c>
      <c r="I67" s="374">
        <f t="shared" si="19"/>
        <v>26017806</v>
      </c>
      <c r="J67" s="168">
        <f>SUM(E67:I67)</f>
        <v>35277814</v>
      </c>
    </row>
    <row r="68" spans="1:10" x14ac:dyDescent="0.35">
      <c r="A68" s="79"/>
      <c r="B68" s="70"/>
      <c r="C68" s="71"/>
      <c r="D68" s="372"/>
      <c r="E68" s="321">
        <f t="shared" ref="E68:J68" si="21">SUM(E66:E67)</f>
        <v>-16526369</v>
      </c>
      <c r="F68" s="321">
        <f t="shared" si="21"/>
        <v>-23631768</v>
      </c>
      <c r="G68" s="321">
        <f t="shared" si="21"/>
        <v>-28153115</v>
      </c>
      <c r="H68" s="321">
        <f t="shared" si="21"/>
        <v>-21716773</v>
      </c>
      <c r="I68" s="321">
        <f t="shared" si="21"/>
        <v>2605244</v>
      </c>
      <c r="J68" s="373">
        <f t="shared" si="21"/>
        <v>-87422781</v>
      </c>
    </row>
    <row r="69" spans="1:10" x14ac:dyDescent="0.35">
      <c r="A69" s="79"/>
      <c r="B69" s="70"/>
      <c r="C69" s="71"/>
      <c r="D69" s="372"/>
      <c r="E69" s="321"/>
      <c r="F69" s="321"/>
      <c r="G69" s="321"/>
      <c r="H69" s="321"/>
      <c r="I69" s="321"/>
      <c r="J69" s="373"/>
    </row>
    <row r="70" spans="1:10" x14ac:dyDescent="0.35">
      <c r="B70" s="70"/>
      <c r="C70" s="71"/>
      <c r="D70" s="72"/>
      <c r="E70" s="321"/>
      <c r="F70" s="72"/>
      <c r="G70" s="72"/>
      <c r="H70" s="72"/>
      <c r="I70" s="72"/>
      <c r="J70" s="375">
        <f>SUM(E68:I68)</f>
        <v>-87422781</v>
      </c>
    </row>
    <row r="71" spans="1:10" x14ac:dyDescent="0.35">
      <c r="B71" s="70"/>
      <c r="C71" s="71"/>
      <c r="D71" s="72"/>
      <c r="E71" s="321"/>
      <c r="F71" s="72"/>
      <c r="G71" s="72"/>
      <c r="H71" s="72"/>
      <c r="I71" s="72"/>
      <c r="J71" s="420">
        <f>+J70-J68</f>
        <v>0</v>
      </c>
    </row>
  </sheetData>
  <autoFilter ref="A6:I16" xr:uid="{00000000-0009-0000-0000-000047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K50"/>
  <sheetViews>
    <sheetView zoomScaleNormal="100" zoomScaleSheetLayoutView="90" workbookViewId="0">
      <selection activeCell="G11" sqref="G11"/>
    </sheetView>
  </sheetViews>
  <sheetFormatPr defaultColWidth="9.1796875" defaultRowHeight="14.5" x14ac:dyDescent="0.35"/>
  <cols>
    <col min="1" max="1" width="35.81640625" style="7" customWidth="1"/>
    <col min="2" max="9" width="14.54296875" style="7" customWidth="1"/>
    <col min="10" max="11" width="9.1796875" style="7"/>
    <col min="12" max="12" width="12.453125" style="7" customWidth="1"/>
    <col min="13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381" t="s">
        <v>14</v>
      </c>
      <c r="B6" s="382">
        <v>12</v>
      </c>
      <c r="C6" s="880" t="s">
        <v>316</v>
      </c>
      <c r="D6" s="880"/>
      <c r="E6" s="880"/>
      <c r="F6" s="880"/>
      <c r="G6" s="880"/>
      <c r="H6" s="880"/>
      <c r="I6" s="880"/>
    </row>
    <row r="7" spans="1:11" ht="15" thickBot="1" x14ac:dyDescent="0.4">
      <c r="A7" s="478" t="s">
        <v>171</v>
      </c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531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0</v>
      </c>
      <c r="C9" s="33">
        <v>0</v>
      </c>
      <c r="D9" s="219">
        <v>0</v>
      </c>
      <c r="E9" s="114">
        <f>+D9</f>
        <v>0</v>
      </c>
      <c r="F9" s="396">
        <v>0</v>
      </c>
      <c r="G9" s="33">
        <v>0</v>
      </c>
      <c r="H9" s="219">
        <v>0</v>
      </c>
      <c r="I9" s="50">
        <v>0</v>
      </c>
      <c r="K9" s="7">
        <v>100</v>
      </c>
    </row>
    <row r="10" spans="1:11" x14ac:dyDescent="0.35">
      <c r="A10" s="10" t="s">
        <v>5</v>
      </c>
      <c r="B10" s="35">
        <f>38037043+2593811+6164723+2515505+518599</f>
        <v>49829681</v>
      </c>
      <c r="C10" s="35">
        <v>51462580</v>
      </c>
      <c r="D10" s="222">
        <f>+C10+D25</f>
        <v>59762580</v>
      </c>
      <c r="E10" s="113">
        <f>52270378+E31+E27</f>
        <v>59762580.000000007</v>
      </c>
      <c r="F10" s="397">
        <f>53503636+F31</f>
        <v>55027802</v>
      </c>
      <c r="G10" s="48">
        <f>55195419+G31</f>
        <v>56343783</v>
      </c>
      <c r="H10" s="224">
        <f>56954817+H31</f>
        <v>58149172</v>
      </c>
      <c r="I10" s="49">
        <f>56954817+I31</f>
        <v>60026719</v>
      </c>
      <c r="J10" s="7" t="s">
        <v>254</v>
      </c>
      <c r="K10" s="7">
        <v>200</v>
      </c>
    </row>
    <row r="11" spans="1:11" x14ac:dyDescent="0.35">
      <c r="A11" s="9" t="s">
        <v>6</v>
      </c>
      <c r="B11" s="33">
        <v>0</v>
      </c>
      <c r="C11" s="33">
        <v>0</v>
      </c>
      <c r="D11" s="219">
        <v>0</v>
      </c>
      <c r="E11" s="114">
        <v>0</v>
      </c>
      <c r="F11" s="396">
        <v>0</v>
      </c>
      <c r="G11" s="33">
        <v>0</v>
      </c>
      <c r="H11" s="219">
        <v>0</v>
      </c>
      <c r="I11" s="34">
        <v>0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v>0</v>
      </c>
      <c r="E12" s="506">
        <v>0</v>
      </c>
      <c r="F12" s="504">
        <v>0</v>
      </c>
      <c r="G12" s="35">
        <v>0</v>
      </c>
      <c r="H12" s="222">
        <v>0</v>
      </c>
      <c r="I12" s="36"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ref="D13:D15" si="0">+C13</f>
        <v>0</v>
      </c>
      <c r="E13" s="114">
        <f t="shared" ref="E13:I15" si="1">+D13</f>
        <v>0</v>
      </c>
      <c r="F13" s="396">
        <f t="shared" si="1"/>
        <v>0</v>
      </c>
      <c r="G13" s="33">
        <f t="shared" si="1"/>
        <v>0</v>
      </c>
      <c r="H13" s="219">
        <f t="shared" si="1"/>
        <v>0</v>
      </c>
      <c r="I13" s="34">
        <f t="shared" si="1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>+D14</f>
        <v>0</v>
      </c>
      <c r="F14" s="504">
        <f t="shared" si="1"/>
        <v>0</v>
      </c>
      <c r="G14" s="35">
        <f t="shared" si="1"/>
        <v>0</v>
      </c>
      <c r="H14" s="222">
        <f t="shared" si="1"/>
        <v>0</v>
      </c>
      <c r="I14" s="36">
        <f t="shared" si="1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1"/>
        <v>0</v>
      </c>
      <c r="G15" s="37">
        <f t="shared" si="1"/>
        <v>0</v>
      </c>
      <c r="H15" s="223">
        <f t="shared" si="1"/>
        <v>0</v>
      </c>
      <c r="I15" s="38">
        <f t="shared" si="1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49829681</v>
      </c>
      <c r="C16" s="39">
        <f t="shared" ref="C16:I16" si="2">SUM(C9:C15)</f>
        <v>51462580</v>
      </c>
      <c r="D16" s="39">
        <f t="shared" si="2"/>
        <v>59762580</v>
      </c>
      <c r="E16" s="115">
        <f t="shared" si="2"/>
        <v>59762580.000000007</v>
      </c>
      <c r="F16" s="39">
        <f t="shared" si="2"/>
        <v>55027802</v>
      </c>
      <c r="G16" s="39">
        <f t="shared" si="2"/>
        <v>56343783</v>
      </c>
      <c r="H16" s="39">
        <f t="shared" si="2"/>
        <v>58149172</v>
      </c>
      <c r="I16" s="39">
        <f t="shared" si="2"/>
        <v>60026719</v>
      </c>
    </row>
    <row r="17" spans="1:10" x14ac:dyDescent="0.35">
      <c r="E17" s="364"/>
    </row>
    <row r="18" spans="1:10" x14ac:dyDescent="0.35">
      <c r="E18" s="401">
        <f>+E16-D16</f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383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/>
      <c r="B20" s="70"/>
      <c r="C20" s="71"/>
      <c r="D20" s="72"/>
      <c r="E20" s="384"/>
      <c r="F20" s="72"/>
      <c r="G20" s="73"/>
      <c r="H20" s="73"/>
      <c r="I20" s="73"/>
    </row>
    <row r="21" spans="1:10" ht="24.75" hidden="1" customHeight="1" x14ac:dyDescent="0.35">
      <c r="A21" s="285" t="s">
        <v>229</v>
      </c>
      <c r="B21" s="286"/>
      <c r="C21" s="287">
        <v>200</v>
      </c>
      <c r="D21" s="288"/>
      <c r="E21" s="288">
        <f>39940750-1000000</f>
        <v>38940750</v>
      </c>
      <c r="F21" s="288">
        <f>40762593-1000000</f>
        <v>39762593</v>
      </c>
      <c r="G21" s="289">
        <f>41597010-1000000</f>
        <v>40597010</v>
      </c>
      <c r="H21" s="290">
        <f>41597010-1000000</f>
        <v>40597010</v>
      </c>
      <c r="I21" s="290"/>
      <c r="J21" s="168"/>
    </row>
    <row r="22" spans="1:10" ht="24.75" hidden="1" customHeight="1" x14ac:dyDescent="0.35">
      <c r="A22" s="282" t="s">
        <v>197</v>
      </c>
      <c r="B22" s="283"/>
      <c r="C22" s="284">
        <v>200</v>
      </c>
      <c r="D22" s="185"/>
      <c r="E22" s="185" t="e">
        <f>+#REF!-E21</f>
        <v>#REF!</v>
      </c>
      <c r="F22" s="185" t="e">
        <f>+#REF!-F21</f>
        <v>#REF!</v>
      </c>
      <c r="G22" s="185" t="e">
        <f>+#REF!-G21</f>
        <v>#REF!</v>
      </c>
      <c r="H22" s="185" t="e">
        <f>+#REF!-H21</f>
        <v>#REF!</v>
      </c>
      <c r="I22" s="185"/>
      <c r="J22" s="168"/>
    </row>
    <row r="23" spans="1:10" ht="12.75" customHeight="1" x14ac:dyDescent="0.35">
      <c r="A23" s="120"/>
      <c r="B23" s="120"/>
      <c r="C23" s="120"/>
      <c r="D23" s="120"/>
      <c r="E23" s="98"/>
      <c r="F23" s="98"/>
      <c r="G23" s="98"/>
      <c r="H23" s="98"/>
      <c r="I23" s="98"/>
      <c r="J23" s="17"/>
    </row>
    <row r="24" spans="1:10" ht="12.75" customHeight="1" x14ac:dyDescent="0.35">
      <c r="A24" s="437" t="s">
        <v>648</v>
      </c>
      <c r="B24" s="130"/>
      <c r="C24" s="130"/>
      <c r="D24" s="130"/>
      <c r="E24" s="130"/>
      <c r="F24" s="130"/>
      <c r="G24" s="130"/>
      <c r="H24" s="130"/>
      <c r="I24" s="130"/>
    </row>
    <row r="25" spans="1:10" ht="12.75" customHeight="1" x14ac:dyDescent="0.35">
      <c r="A25" s="792" t="s">
        <v>662</v>
      </c>
      <c r="B25" s="17"/>
      <c r="C25" s="544">
        <v>200</v>
      </c>
      <c r="D25" s="543">
        <v>8300000</v>
      </c>
      <c r="E25" s="543"/>
      <c r="F25" s="543"/>
      <c r="G25" s="543"/>
      <c r="H25" s="543"/>
      <c r="I25" s="543"/>
    </row>
    <row r="26" spans="1:10" ht="12.75" customHeight="1" x14ac:dyDescent="0.35">
      <c r="A26" s="858" t="s">
        <v>715</v>
      </c>
      <c r="B26" s="17"/>
      <c r="C26" s="17"/>
      <c r="D26" s="17"/>
      <c r="E26" s="17"/>
      <c r="F26" s="17"/>
      <c r="G26" s="17"/>
      <c r="H26" s="17"/>
      <c r="I26" s="17"/>
    </row>
    <row r="27" spans="1:10" ht="12.75" customHeight="1" x14ac:dyDescent="0.35">
      <c r="A27" s="792" t="s">
        <v>662</v>
      </c>
      <c r="B27" s="17"/>
      <c r="C27" s="17">
        <v>200</v>
      </c>
      <c r="D27" s="17"/>
      <c r="E27" s="543">
        <v>5596643</v>
      </c>
      <c r="F27" s="17"/>
      <c r="G27" s="17"/>
      <c r="H27" s="17"/>
      <c r="I27" s="17"/>
    </row>
    <row r="28" spans="1:10" ht="12.75" customHeight="1" x14ac:dyDescent="0.35">
      <c r="A28" s="792"/>
      <c r="B28" s="17"/>
      <c r="C28" s="17"/>
      <c r="D28" s="17"/>
      <c r="E28" s="17"/>
      <c r="F28" s="17"/>
      <c r="G28" s="17"/>
      <c r="H28" s="17"/>
      <c r="I28" s="17"/>
    </row>
    <row r="29" spans="1:10" ht="12.75" customHeight="1" x14ac:dyDescent="0.35">
      <c r="A29" s="542" t="s">
        <v>696</v>
      </c>
      <c r="D29" s="558">
        <v>59762580</v>
      </c>
      <c r="E29" s="558">
        <v>54165937.000000007</v>
      </c>
      <c r="F29" s="558">
        <v>55027802</v>
      </c>
      <c r="G29" s="558">
        <v>56343783</v>
      </c>
      <c r="H29" s="558">
        <v>58149172</v>
      </c>
      <c r="I29" s="558">
        <v>60026719</v>
      </c>
    </row>
    <row r="30" spans="1:10" ht="12.75" customHeight="1" x14ac:dyDescent="0.35">
      <c r="A30" s="745" t="s">
        <v>695</v>
      </c>
      <c r="B30" s="143"/>
      <c r="C30" s="143"/>
      <c r="D30" s="558">
        <v>51462580</v>
      </c>
      <c r="E30" s="558">
        <v>52270378</v>
      </c>
      <c r="F30" s="558">
        <v>53503636</v>
      </c>
      <c r="G30" s="558">
        <v>55195419</v>
      </c>
      <c r="H30" s="558">
        <v>56954817</v>
      </c>
      <c r="I30" s="142">
        <f>+H30</f>
        <v>56954817</v>
      </c>
    </row>
    <row r="31" spans="1:10" ht="12.75" customHeight="1" x14ac:dyDescent="0.35">
      <c r="A31" s="548" t="s">
        <v>197</v>
      </c>
      <c r="D31" s="559">
        <f>+D29-D30</f>
        <v>8300000</v>
      </c>
      <c r="E31" s="559">
        <f>+E29-E30</f>
        <v>1895559.0000000075</v>
      </c>
      <c r="F31" s="559">
        <f t="shared" ref="F31:I31" si="3">+F29-F30</f>
        <v>1524166</v>
      </c>
      <c r="G31" s="559">
        <f t="shared" si="3"/>
        <v>1148364</v>
      </c>
      <c r="H31" s="559">
        <f t="shared" si="3"/>
        <v>1194355</v>
      </c>
      <c r="I31" s="559">
        <f t="shared" si="3"/>
        <v>3071902</v>
      </c>
    </row>
    <row r="32" spans="1:10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</sheetData>
  <mergeCells count="6">
    <mergeCell ref="C6:I6"/>
    <mergeCell ref="A1:I1"/>
    <mergeCell ref="A2:I2"/>
    <mergeCell ref="A3:I3"/>
    <mergeCell ref="A4:I4"/>
    <mergeCell ref="C5:I5"/>
  </mergeCells>
  <conditionalFormatting sqref="C9:I15">
    <cfRule type="cellIs" dxfId="1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6">
    <tabColor theme="3"/>
  </sheetPr>
  <dimension ref="A1:K63"/>
  <sheetViews>
    <sheetView zoomScaleNormal="100" zoomScaleSheetLayoutView="100" workbookViewId="0">
      <selection activeCell="D14" sqref="D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1" width="9.1796875" style="7"/>
    <col min="12" max="12" width="12.453125" style="7" customWidth="1"/>
    <col min="13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230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127">
        <v>12</v>
      </c>
      <c r="C6" s="880" t="s">
        <v>266</v>
      </c>
      <c r="D6" s="880"/>
      <c r="E6" s="880"/>
      <c r="F6" s="880"/>
      <c r="G6" s="880"/>
      <c r="H6" s="880"/>
      <c r="I6" s="880"/>
    </row>
    <row r="7" spans="1:11" ht="15" thickBot="1" x14ac:dyDescent="0.4">
      <c r="A7" s="296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531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f>90344141+1</f>
        <v>90344142</v>
      </c>
      <c r="C9" s="33">
        <v>87283619</v>
      </c>
      <c r="D9" s="219">
        <f t="shared" ref="D9:D15" si="0">+C9+SUMIF($C$20:$C$62,K9,$D$20:$D$62)</f>
        <v>88909902</v>
      </c>
      <c r="E9" s="114">
        <f t="shared" ref="E9:E15" si="1">+D9+SUMIF($C$20:$C$62,K9,$E$20:$E$62)</f>
        <v>90986330</v>
      </c>
      <c r="F9" s="396">
        <f t="shared" ref="F9:F15" si="2">+E9+SUMIF($C$20:$C$62,K9,$F$20:$F$62)</f>
        <v>94158953</v>
      </c>
      <c r="G9" s="33">
        <f t="shared" ref="G9:G15" si="3">+F9+SUMIF($C$20:$C$62,K9,$G$20:$G$62)</f>
        <v>96837284</v>
      </c>
      <c r="H9" s="219">
        <f t="shared" ref="H9:H15" si="4">+G9+SUMIF($C$20:$C$62,K9,$H$20:$H$62)</f>
        <v>99539050</v>
      </c>
      <c r="I9" s="50">
        <f t="shared" ref="I9:I15" si="5">+H9+SUMIF($C$20:$C$62,K9,$I$20:$I$62)</f>
        <v>99539050</v>
      </c>
      <c r="K9" s="7">
        <v>100</v>
      </c>
    </row>
    <row r="10" spans="1:11" x14ac:dyDescent="0.35">
      <c r="A10" s="10" t="s">
        <v>5</v>
      </c>
      <c r="B10" s="35">
        <f>53622086-'12D-Streets-Disposal'!B10+518599+245440</f>
        <v>4556444</v>
      </c>
      <c r="C10" s="35">
        <v>8050100</v>
      </c>
      <c r="D10" s="222">
        <f t="shared" si="0"/>
        <v>9856825</v>
      </c>
      <c r="E10" s="113">
        <f t="shared" si="1"/>
        <v>8417345</v>
      </c>
      <c r="F10" s="397">
        <f t="shared" si="2"/>
        <v>8417345</v>
      </c>
      <c r="G10" s="48">
        <f t="shared" si="3"/>
        <v>8417345</v>
      </c>
      <c r="H10" s="224">
        <f t="shared" si="4"/>
        <v>8417345</v>
      </c>
      <c r="I10" s="49">
        <f t="shared" si="5"/>
        <v>8417345</v>
      </c>
      <c r="K10" s="7">
        <v>200</v>
      </c>
    </row>
    <row r="11" spans="1:11" x14ac:dyDescent="0.35">
      <c r="A11" s="9" t="s">
        <v>6</v>
      </c>
      <c r="B11" s="33">
        <f>3826579+3224120</f>
        <v>7050699</v>
      </c>
      <c r="C11" s="33">
        <v>6172885</v>
      </c>
      <c r="D11" s="219">
        <f t="shared" si="0"/>
        <v>4922885</v>
      </c>
      <c r="E11" s="114">
        <f t="shared" si="1"/>
        <v>14215207</v>
      </c>
      <c r="F11" s="396">
        <f t="shared" si="2"/>
        <v>13634280</v>
      </c>
      <c r="G11" s="33">
        <f t="shared" si="3"/>
        <v>13640602</v>
      </c>
      <c r="H11" s="219">
        <f t="shared" si="4"/>
        <v>-2431398</v>
      </c>
      <c r="I11" s="34">
        <f t="shared" si="5"/>
        <v>-2437720</v>
      </c>
      <c r="K11" s="7" t="s">
        <v>167</v>
      </c>
    </row>
    <row r="12" spans="1:11" x14ac:dyDescent="0.35">
      <c r="A12" s="10" t="s">
        <v>7</v>
      </c>
      <c r="B12" s="35">
        <f>23064364-1</f>
        <v>23064363</v>
      </c>
      <c r="C12" s="35">
        <v>53171</v>
      </c>
      <c r="D12" s="222">
        <f t="shared" si="0"/>
        <v>53171</v>
      </c>
      <c r="E12" s="506">
        <f t="shared" si="1"/>
        <v>53171</v>
      </c>
      <c r="F12" s="504">
        <f t="shared" si="2"/>
        <v>53171</v>
      </c>
      <c r="G12" s="35">
        <f t="shared" si="3"/>
        <v>53171</v>
      </c>
      <c r="H12" s="222">
        <f t="shared" si="4"/>
        <v>53171</v>
      </c>
      <c r="I12" s="36">
        <f t="shared" si="5"/>
        <v>53171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125015648</v>
      </c>
      <c r="C16" s="39">
        <f t="shared" ref="C16:I16" si="6">SUM(C9:C15)</f>
        <v>101559775</v>
      </c>
      <c r="D16" s="39">
        <f t="shared" si="6"/>
        <v>103742783</v>
      </c>
      <c r="E16" s="115">
        <f t="shared" si="6"/>
        <v>113672053</v>
      </c>
      <c r="F16" s="39">
        <f t="shared" si="6"/>
        <v>116263749</v>
      </c>
      <c r="G16" s="39">
        <f t="shared" si="6"/>
        <v>118948402</v>
      </c>
      <c r="H16" s="39">
        <f t="shared" si="6"/>
        <v>105578168</v>
      </c>
      <c r="I16" s="39">
        <f t="shared" si="6"/>
        <v>105571846</v>
      </c>
    </row>
    <row r="17" spans="1:10" x14ac:dyDescent="0.35">
      <c r="B17" s="717">
        <f>+'12D-Streets-Disposal'!B16</f>
        <v>49829681</v>
      </c>
    </row>
    <row r="18" spans="1:10" x14ac:dyDescent="0.35">
      <c r="B18" s="717">
        <f>+B17+B16</f>
        <v>174845329</v>
      </c>
      <c r="E18" s="401">
        <f>+E16-D16</f>
        <v>9929270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366</v>
      </c>
      <c r="B20" s="70"/>
      <c r="C20" s="71"/>
      <c r="D20" s="72"/>
      <c r="E20" s="72"/>
      <c r="F20" s="73"/>
      <c r="G20" s="73"/>
      <c r="H20" s="73"/>
      <c r="I20" s="73"/>
    </row>
    <row r="21" spans="1:10" ht="12.75" customHeight="1" x14ac:dyDescent="0.35">
      <c r="A21" s="165" t="s">
        <v>271</v>
      </c>
      <c r="B21" s="143"/>
      <c r="C21" s="143"/>
      <c r="D21" s="68"/>
      <c r="E21" s="68"/>
      <c r="F21" s="68"/>
      <c r="G21" s="69"/>
      <c r="H21" s="69"/>
      <c r="I21" s="69"/>
      <c r="J21" s="168"/>
    </row>
    <row r="22" spans="1:10" ht="12.75" customHeight="1" x14ac:dyDescent="0.35">
      <c r="A22" s="81" t="s">
        <v>279</v>
      </c>
      <c r="B22" s="81"/>
      <c r="C22" s="81">
        <v>100</v>
      </c>
      <c r="D22" s="72"/>
      <c r="E22" s="72">
        <v>0</v>
      </c>
      <c r="F22" s="72">
        <v>587249</v>
      </c>
      <c r="G22" s="73"/>
      <c r="H22" s="73"/>
      <c r="I22" s="73"/>
      <c r="J22" s="168"/>
    </row>
    <row r="23" spans="1:10" ht="12.75" customHeight="1" x14ac:dyDescent="0.35">
      <c r="A23" s="143"/>
      <c r="B23" s="143"/>
      <c r="C23" s="233">
        <v>200</v>
      </c>
      <c r="D23" s="68"/>
      <c r="E23" s="68">
        <v>0</v>
      </c>
      <c r="F23" s="68">
        <v>0</v>
      </c>
      <c r="G23" s="69"/>
      <c r="H23" s="69"/>
      <c r="I23" s="69"/>
      <c r="J23" s="17"/>
    </row>
    <row r="24" spans="1:10" ht="12.75" customHeight="1" x14ac:dyDescent="0.35">
      <c r="A24" s="58"/>
      <c r="B24" s="58"/>
      <c r="C24" s="318" t="s">
        <v>167</v>
      </c>
      <c r="D24" s="72"/>
      <c r="E24" s="72">
        <v>0</v>
      </c>
      <c r="F24" s="72">
        <v>-587249</v>
      </c>
      <c r="G24" s="73"/>
      <c r="H24" s="73"/>
      <c r="I24" s="73"/>
      <c r="J24" s="17"/>
    </row>
    <row r="25" spans="1:10" ht="12.75" customHeight="1" x14ac:dyDescent="0.35">
      <c r="A25" s="580" t="s">
        <v>332</v>
      </c>
      <c r="B25" s="130"/>
      <c r="C25" s="130"/>
      <c r="D25" s="141"/>
      <c r="E25" s="68"/>
      <c r="F25" s="68"/>
      <c r="G25" s="69"/>
      <c r="H25" s="69"/>
      <c r="I25" s="69"/>
    </row>
    <row r="26" spans="1:10" ht="12.75" customHeight="1" x14ac:dyDescent="0.35">
      <c r="A26" s="661" t="s">
        <v>333</v>
      </c>
      <c r="B26" s="20"/>
      <c r="C26" s="20">
        <v>200</v>
      </c>
      <c r="D26" s="103"/>
      <c r="E26" s="103">
        <v>367245</v>
      </c>
      <c r="F26" s="103"/>
      <c r="G26" s="94"/>
      <c r="H26" s="94"/>
      <c r="I26" s="94"/>
    </row>
    <row r="27" spans="1:10" ht="12.75" customHeight="1" x14ac:dyDescent="0.35">
      <c r="A27" s="704" t="s">
        <v>387</v>
      </c>
      <c r="B27" s="538"/>
      <c r="C27" s="705"/>
      <c r="D27" s="68"/>
      <c r="E27" s="68"/>
      <c r="F27" s="68"/>
      <c r="G27" s="68"/>
      <c r="H27" s="143"/>
      <c r="I27" s="143"/>
      <c r="J27" s="17"/>
    </row>
    <row r="28" spans="1:10" ht="12.75" customHeight="1" x14ac:dyDescent="0.35">
      <c r="A28" s="700" t="s">
        <v>428</v>
      </c>
      <c r="B28" s="664"/>
      <c r="C28" s="789"/>
      <c r="D28" s="665"/>
      <c r="E28" s="665"/>
      <c r="F28" s="72"/>
      <c r="G28" s="73"/>
      <c r="H28" s="73"/>
      <c r="I28" s="73"/>
      <c r="J28" s="17"/>
    </row>
    <row r="29" spans="1:10" ht="12.75" customHeight="1" x14ac:dyDescent="0.35">
      <c r="A29" s="662" t="s">
        <v>415</v>
      </c>
      <c r="B29" s="662"/>
      <c r="C29" s="741" t="s">
        <v>167</v>
      </c>
      <c r="D29" s="663"/>
      <c r="E29" s="663"/>
      <c r="F29" s="68"/>
      <c r="G29" s="69"/>
      <c r="H29" s="69"/>
      <c r="I29" s="69"/>
    </row>
    <row r="30" spans="1:10" ht="12.75" customHeight="1" x14ac:dyDescent="0.35">
      <c r="A30" s="664" t="s">
        <v>451</v>
      </c>
      <c r="B30" s="664"/>
      <c r="C30" s="789">
        <v>100</v>
      </c>
      <c r="D30" s="665"/>
      <c r="E30" s="665">
        <v>2517043</v>
      </c>
      <c r="F30" s="72">
        <v>2495221</v>
      </c>
      <c r="G30" s="73">
        <v>2495221</v>
      </c>
      <c r="H30" s="73"/>
      <c r="I30" s="73"/>
    </row>
    <row r="31" spans="1:10" ht="12.75" customHeight="1" x14ac:dyDescent="0.35">
      <c r="A31" s="662"/>
      <c r="B31" s="662"/>
      <c r="C31" s="741" t="s">
        <v>167</v>
      </c>
      <c r="D31" s="663"/>
      <c r="E31" s="663">
        <v>6322</v>
      </c>
      <c r="F31" s="68">
        <v>6322</v>
      </c>
      <c r="G31" s="69">
        <v>6322</v>
      </c>
      <c r="H31" s="69"/>
      <c r="I31" s="69"/>
    </row>
    <row r="32" spans="1:10" ht="12.75" customHeight="1" x14ac:dyDescent="0.35">
      <c r="A32" s="664"/>
      <c r="B32" s="664"/>
      <c r="C32" s="789" t="s">
        <v>167</v>
      </c>
      <c r="D32" s="665"/>
      <c r="E32" s="665"/>
      <c r="F32" s="72"/>
      <c r="G32" s="73"/>
      <c r="H32" s="73">
        <v>-8036000</v>
      </c>
      <c r="I32" s="73"/>
    </row>
    <row r="33" spans="1:9" ht="12.75" customHeight="1" x14ac:dyDescent="0.35">
      <c r="A33" s="662" t="s">
        <v>427</v>
      </c>
      <c r="B33" s="662"/>
      <c r="C33" s="741">
        <v>100</v>
      </c>
      <c r="D33" s="663"/>
      <c r="E33" s="663">
        <v>14824</v>
      </c>
      <c r="F33" s="68">
        <v>14765</v>
      </c>
      <c r="G33" s="69">
        <v>133206</v>
      </c>
      <c r="H33" s="69">
        <v>156640</v>
      </c>
      <c r="I33" s="69"/>
    </row>
    <row r="34" spans="1:9" ht="12.75" customHeight="1" x14ac:dyDescent="0.35">
      <c r="A34" s="700" t="s">
        <v>487</v>
      </c>
      <c r="B34" s="664"/>
      <c r="C34" s="789"/>
      <c r="D34" s="665"/>
      <c r="E34" s="665"/>
      <c r="F34" s="72"/>
      <c r="G34" s="73"/>
      <c r="H34" s="73"/>
      <c r="I34" s="73"/>
    </row>
    <row r="35" spans="1:9" ht="12.75" customHeight="1" x14ac:dyDescent="0.35">
      <c r="A35" s="745" t="s">
        <v>585</v>
      </c>
      <c r="B35" s="662"/>
      <c r="C35" s="741">
        <v>100</v>
      </c>
      <c r="D35" s="663"/>
      <c r="E35" s="663"/>
      <c r="F35" s="68">
        <v>8911493</v>
      </c>
      <c r="G35" s="69"/>
      <c r="H35" s="69"/>
      <c r="I35" s="69"/>
    </row>
    <row r="36" spans="1:9" ht="12.75" customHeight="1" x14ac:dyDescent="0.35">
      <c r="A36" s="664"/>
      <c r="B36" s="664"/>
      <c r="C36" s="789">
        <v>200</v>
      </c>
      <c r="D36" s="665"/>
      <c r="E36" s="665"/>
      <c r="F36" s="72">
        <v>532750</v>
      </c>
      <c r="G36" s="73"/>
      <c r="H36" s="73"/>
      <c r="I36" s="73"/>
    </row>
    <row r="37" spans="1:9" ht="12.75" customHeight="1" x14ac:dyDescent="0.35">
      <c r="A37" s="662"/>
      <c r="B37" s="662"/>
      <c r="C37" s="741" t="s">
        <v>167</v>
      </c>
      <c r="D37" s="663"/>
      <c r="E37" s="663"/>
      <c r="F37" s="68">
        <v>984784</v>
      </c>
      <c r="G37" s="69"/>
      <c r="H37" s="69"/>
      <c r="I37" s="69"/>
    </row>
    <row r="38" spans="1:9" ht="12.75" customHeight="1" x14ac:dyDescent="0.35">
      <c r="A38" s="664"/>
      <c r="B38" s="664"/>
      <c r="C38" s="789" t="s">
        <v>167</v>
      </c>
      <c r="D38" s="665"/>
      <c r="E38" s="665"/>
      <c r="F38" s="72">
        <v>8336000</v>
      </c>
      <c r="G38" s="73"/>
      <c r="H38" s="73"/>
      <c r="I38" s="73"/>
    </row>
    <row r="39" spans="1:9" ht="12.75" customHeight="1" x14ac:dyDescent="0.35">
      <c r="A39" s="745" t="s">
        <v>590</v>
      </c>
      <c r="B39" s="662"/>
      <c r="C39" s="741">
        <v>100</v>
      </c>
      <c r="D39" s="663"/>
      <c r="E39" s="663">
        <v>59708</v>
      </c>
      <c r="F39" s="68"/>
      <c r="G39" s="69"/>
      <c r="H39" s="69"/>
      <c r="I39" s="69"/>
    </row>
    <row r="40" spans="1:9" ht="12.75" customHeight="1" x14ac:dyDescent="0.35">
      <c r="A40" s="700" t="s">
        <v>596</v>
      </c>
      <c r="B40" s="664"/>
      <c r="C40" s="789"/>
      <c r="D40" s="665"/>
      <c r="E40" s="665"/>
      <c r="F40" s="72"/>
      <c r="G40" s="73"/>
      <c r="H40" s="73"/>
      <c r="I40" s="73"/>
    </row>
    <row r="41" spans="1:9" ht="12.75" customHeight="1" x14ac:dyDescent="0.35">
      <c r="A41" s="745" t="s">
        <v>616</v>
      </c>
      <c r="B41" s="662"/>
      <c r="C41" s="741">
        <v>100</v>
      </c>
      <c r="D41" s="663"/>
      <c r="E41" s="663"/>
      <c r="F41" s="68">
        <v>-8911493</v>
      </c>
      <c r="G41" s="68">
        <v>8911493</v>
      </c>
      <c r="H41" s="69"/>
      <c r="I41" s="69"/>
    </row>
    <row r="42" spans="1:9" ht="12.75" customHeight="1" x14ac:dyDescent="0.35">
      <c r="A42" s="664"/>
      <c r="B42" s="664"/>
      <c r="C42" s="789">
        <v>200</v>
      </c>
      <c r="D42" s="665"/>
      <c r="E42" s="665"/>
      <c r="F42" s="72">
        <v>-532750</v>
      </c>
      <c r="G42" s="72">
        <v>532750</v>
      </c>
      <c r="H42" s="73"/>
      <c r="I42" s="73"/>
    </row>
    <row r="43" spans="1:9" ht="12.75" customHeight="1" x14ac:dyDescent="0.35">
      <c r="A43" s="662"/>
      <c r="B43" s="662"/>
      <c r="C43" s="741" t="s">
        <v>167</v>
      </c>
      <c r="D43" s="663"/>
      <c r="E43" s="663"/>
      <c r="F43" s="68">
        <v>-984784</v>
      </c>
      <c r="G43" s="68">
        <v>984784</v>
      </c>
      <c r="H43" s="69"/>
      <c r="I43" s="69"/>
    </row>
    <row r="44" spans="1:9" ht="12.75" customHeight="1" x14ac:dyDescent="0.35">
      <c r="A44" s="664"/>
      <c r="B44" s="664"/>
      <c r="C44" s="789" t="s">
        <v>167</v>
      </c>
      <c r="D44" s="665"/>
      <c r="E44" s="665"/>
      <c r="F44" s="72">
        <v>-8336000</v>
      </c>
      <c r="G44" s="72">
        <v>8336000</v>
      </c>
      <c r="H44" s="73"/>
      <c r="I44" s="73"/>
    </row>
    <row r="45" spans="1:9" ht="12.75" customHeight="1" x14ac:dyDescent="0.35">
      <c r="A45" s="692" t="s">
        <v>648</v>
      </c>
      <c r="B45" s="662"/>
      <c r="C45" s="741"/>
      <c r="D45" s="663"/>
      <c r="E45" s="663"/>
      <c r="F45" s="68"/>
      <c r="G45" s="69"/>
      <c r="H45" s="69"/>
      <c r="I45" s="69"/>
    </row>
    <row r="46" spans="1:9" ht="12.75" customHeight="1" x14ac:dyDescent="0.35">
      <c r="A46" s="752" t="s">
        <v>659</v>
      </c>
      <c r="B46" s="664"/>
      <c r="C46" s="789">
        <v>100</v>
      </c>
      <c r="D46" s="665">
        <v>452322</v>
      </c>
      <c r="E46" s="665">
        <v>-452322</v>
      </c>
      <c r="F46" s="72"/>
      <c r="G46" s="73"/>
      <c r="H46" s="73"/>
      <c r="I46" s="73"/>
    </row>
    <row r="47" spans="1:9" ht="12.75" customHeight="1" x14ac:dyDescent="0.35">
      <c r="A47" s="745" t="s">
        <v>660</v>
      </c>
      <c r="B47" s="662"/>
      <c r="C47" s="741" t="s">
        <v>167</v>
      </c>
      <c r="D47" s="663">
        <v>-1250000</v>
      </c>
      <c r="E47" s="663">
        <v>1250000</v>
      </c>
      <c r="F47" s="68"/>
      <c r="G47" s="69"/>
      <c r="H47" s="69"/>
      <c r="I47" s="69"/>
    </row>
    <row r="48" spans="1:9" ht="12.75" customHeight="1" x14ac:dyDescent="0.35">
      <c r="A48" s="664"/>
      <c r="B48" s="664"/>
      <c r="C48" s="789">
        <v>100</v>
      </c>
      <c r="D48" s="665">
        <v>1250000</v>
      </c>
      <c r="E48" s="665">
        <v>-1250000</v>
      </c>
      <c r="F48" s="72"/>
      <c r="G48" s="73"/>
      <c r="H48" s="73"/>
      <c r="I48" s="73"/>
    </row>
    <row r="49" spans="1:9" ht="12.75" customHeight="1" x14ac:dyDescent="0.35">
      <c r="A49" s="745" t="s">
        <v>661</v>
      </c>
      <c r="B49" s="662"/>
      <c r="C49" s="741">
        <v>100</v>
      </c>
      <c r="D49" s="663">
        <v>-76039</v>
      </c>
      <c r="E49" s="663"/>
      <c r="F49" s="68"/>
      <c r="G49" s="69"/>
      <c r="H49" s="69"/>
      <c r="I49" s="69"/>
    </row>
    <row r="50" spans="1:9" ht="12.65" customHeight="1" x14ac:dyDescent="0.35">
      <c r="A50" s="752" t="s">
        <v>876</v>
      </c>
      <c r="B50" s="664"/>
      <c r="C50" s="789">
        <v>200</v>
      </c>
      <c r="D50" s="665">
        <v>1150000</v>
      </c>
      <c r="E50" s="665">
        <v>-1150000</v>
      </c>
      <c r="F50" s="72"/>
      <c r="G50" s="73"/>
      <c r="H50" s="73"/>
      <c r="I50" s="73"/>
    </row>
    <row r="51" spans="1:9" x14ac:dyDescent="0.35">
      <c r="A51" s="745" t="s">
        <v>877</v>
      </c>
      <c r="B51" s="662"/>
      <c r="C51" s="859">
        <v>200</v>
      </c>
      <c r="D51" s="663">
        <v>656725</v>
      </c>
      <c r="E51" s="663">
        <v>-656725</v>
      </c>
      <c r="F51" s="68"/>
      <c r="G51" s="69"/>
      <c r="H51" s="69"/>
      <c r="I51" s="69"/>
    </row>
    <row r="52" spans="1:9" x14ac:dyDescent="0.35">
      <c r="A52" s="700" t="s">
        <v>748</v>
      </c>
      <c r="B52" s="664"/>
      <c r="C52" s="789"/>
      <c r="D52" s="665"/>
      <c r="E52" s="665"/>
      <c r="F52" s="72"/>
      <c r="G52" s="73"/>
      <c r="H52" s="73"/>
      <c r="I52" s="73"/>
    </row>
    <row r="53" spans="1:9" x14ac:dyDescent="0.35">
      <c r="A53" s="662" t="s">
        <v>845</v>
      </c>
      <c r="B53" s="662"/>
      <c r="C53" s="859">
        <v>100</v>
      </c>
      <c r="D53" s="663"/>
      <c r="E53" s="663">
        <v>452322</v>
      </c>
      <c r="F53" s="68">
        <f>455547-E53</f>
        <v>3225</v>
      </c>
      <c r="G53" s="69"/>
      <c r="H53" s="69"/>
      <c r="I53" s="69"/>
    </row>
    <row r="54" spans="1:9" x14ac:dyDescent="0.35">
      <c r="A54" s="752" t="s">
        <v>846</v>
      </c>
      <c r="B54" s="664"/>
      <c r="C54" s="789">
        <v>100</v>
      </c>
      <c r="D54" s="665"/>
      <c r="E54" s="665">
        <v>5824</v>
      </c>
      <c r="F54" s="72">
        <f>77987-E54</f>
        <v>72163</v>
      </c>
      <c r="G54" s="73">
        <f>127891-F54-E54</f>
        <v>49904</v>
      </c>
      <c r="H54" s="73">
        <f>2673017-G54-F54-E54</f>
        <v>2545126</v>
      </c>
      <c r="I54" s="73"/>
    </row>
    <row r="55" spans="1:9" x14ac:dyDescent="0.35">
      <c r="A55" s="662"/>
      <c r="B55" s="662"/>
      <c r="C55" s="859" t="s">
        <v>167</v>
      </c>
      <c r="D55" s="663"/>
      <c r="E55" s="663"/>
      <c r="F55" s="68"/>
      <c r="G55" s="69"/>
      <c r="H55" s="69"/>
      <c r="I55" s="69">
        <v>-6322</v>
      </c>
    </row>
    <row r="56" spans="1:9" x14ac:dyDescent="0.35">
      <c r="A56" s="752"/>
      <c r="B56" s="664"/>
      <c r="C56" s="789" t="s">
        <v>167</v>
      </c>
      <c r="D56" s="665"/>
      <c r="E56" s="665">
        <v>8036000</v>
      </c>
      <c r="F56" s="72"/>
      <c r="G56" s="73"/>
      <c r="H56" s="73">
        <v>-8036000</v>
      </c>
      <c r="I56" s="73"/>
    </row>
    <row r="57" spans="1:9" x14ac:dyDescent="0.35">
      <c r="A57" s="662" t="s">
        <v>854</v>
      </c>
      <c r="B57" s="662"/>
      <c r="C57" s="859">
        <v>100</v>
      </c>
      <c r="D57" s="663"/>
      <c r="E57" s="663">
        <v>729029</v>
      </c>
      <c r="F57" s="68"/>
      <c r="G57" s="69"/>
      <c r="H57" s="69"/>
      <c r="I57" s="69"/>
    </row>
    <row r="58" spans="1:9" x14ac:dyDescent="0.35">
      <c r="A58" s="752" t="s">
        <v>857</v>
      </c>
      <c r="B58" s="664"/>
      <c r="C58" s="789">
        <v>100</v>
      </c>
      <c r="D58" s="665"/>
      <c r="E58" s="665"/>
      <c r="F58" s="72"/>
      <c r="G58" s="73">
        <v>-8911493</v>
      </c>
      <c r="H58" s="73"/>
      <c r="I58" s="73"/>
    </row>
    <row r="59" spans="1:9" x14ac:dyDescent="0.35">
      <c r="A59" s="662"/>
      <c r="B59" s="662"/>
      <c r="C59" s="859">
        <v>200</v>
      </c>
      <c r="D59" s="663"/>
      <c r="E59" s="663"/>
      <c r="F59" s="68"/>
      <c r="G59" s="69">
        <v>-532750</v>
      </c>
      <c r="H59" s="69"/>
      <c r="I59" s="69"/>
    </row>
    <row r="60" spans="1:9" x14ac:dyDescent="0.35">
      <c r="A60" s="752"/>
      <c r="B60" s="664"/>
      <c r="C60" s="789" t="s">
        <v>167</v>
      </c>
      <c r="D60" s="665"/>
      <c r="E60" s="665"/>
      <c r="F60" s="72"/>
      <c r="G60" s="73">
        <v>-984784</v>
      </c>
      <c r="H60" s="73"/>
      <c r="I60" s="73"/>
    </row>
    <row r="61" spans="1:9" x14ac:dyDescent="0.35">
      <c r="A61" s="662"/>
      <c r="B61" s="662"/>
      <c r="C61" s="859" t="s">
        <v>167</v>
      </c>
      <c r="D61" s="663"/>
      <c r="E61" s="663"/>
      <c r="F61" s="68"/>
      <c r="G61" s="69">
        <v>-8336000</v>
      </c>
      <c r="H61" s="69"/>
      <c r="I61" s="69"/>
    </row>
    <row r="62" spans="1:9" x14ac:dyDescent="0.35">
      <c r="A62" s="752"/>
      <c r="B62" s="664"/>
      <c r="C62" s="789"/>
      <c r="D62" s="665"/>
      <c r="E62" s="665"/>
      <c r="F62" s="72"/>
      <c r="G62" s="73"/>
      <c r="H62" s="73"/>
      <c r="I62" s="73"/>
    </row>
    <row r="63" spans="1:9" x14ac:dyDescent="0.35">
      <c r="A63" s="58"/>
      <c r="B63" s="58"/>
      <c r="C63" s="58"/>
      <c r="D63" s="58"/>
      <c r="E63" s="58"/>
      <c r="F63" s="58"/>
      <c r="G63" s="58"/>
      <c r="H63" s="58"/>
      <c r="I63" s="58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0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8"/>
  <dimension ref="A1:J60"/>
  <sheetViews>
    <sheetView topLeftCell="A18" zoomScaleNormal="100" zoomScaleSheetLayoutView="90" workbookViewId="0">
      <selection activeCell="E9" sqref="E9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107" t="s">
        <v>186</v>
      </c>
      <c r="C6" s="880" t="s">
        <v>187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48">
        <f>+'55-Civil Service Comm'!B9+'55L-CivServComm-Labor Reserve'!B9</f>
        <v>160826</v>
      </c>
      <c r="C9" s="249">
        <f>+'55-Civil Service Comm'!C9+'55L-CivServComm-Labor Reserve'!C9</f>
        <v>177148</v>
      </c>
      <c r="D9" s="508">
        <f>+'55-Civil Service Comm'!D9+'55L-CivServComm-Labor Reserve'!D9</f>
        <v>177148</v>
      </c>
      <c r="E9" s="526">
        <f>+'55-Civil Service Comm'!E9+'55L-CivServComm-Labor Reserve'!E9</f>
        <v>177148</v>
      </c>
      <c r="F9" s="515">
        <f>+'55-Civil Service Comm'!F9+'55L-CivServComm-Labor Reserve'!F9</f>
        <v>177148</v>
      </c>
      <c r="G9" s="249">
        <f>+'55-Civil Service Comm'!G9+'55L-CivServComm-Labor Reserve'!G9</f>
        <v>177148</v>
      </c>
      <c r="H9" s="248">
        <f>+'55-Civil Service Comm'!H9+'55L-CivServComm-Labor Reserve'!H9</f>
        <v>177148</v>
      </c>
      <c r="I9" s="273">
        <f>+'55-Civil Service Comm'!I9+'55L-CivServComm-Labor Reserve'!I9</f>
        <v>177148</v>
      </c>
    </row>
    <row r="10" spans="1:10" x14ac:dyDescent="0.35">
      <c r="A10" s="10" t="s">
        <v>5</v>
      </c>
      <c r="B10" s="250">
        <f>+'55-Civil Service Comm'!B10+'55L-CivServComm-Labor Reserve'!B10</f>
        <v>29500</v>
      </c>
      <c r="C10" s="251">
        <f>+'55-Civil Service Comm'!C10+'55L-CivServComm-Labor Reserve'!C10</f>
        <v>29500</v>
      </c>
      <c r="D10" s="509">
        <f>+'55-Civil Service Comm'!D10+'55L-CivServComm-Labor Reserve'!D10</f>
        <v>29500</v>
      </c>
      <c r="E10" s="525">
        <f>+'55-Civil Service Comm'!E10+'55L-CivServComm-Labor Reserve'!E10</f>
        <v>29500</v>
      </c>
      <c r="F10" s="516">
        <f>+'55-Civil Service Comm'!F10+'55L-CivServComm-Labor Reserve'!F10</f>
        <v>29500</v>
      </c>
      <c r="G10" s="251">
        <f>+'55-Civil Service Comm'!G10+'55L-CivServComm-Labor Reserve'!G10</f>
        <v>29500</v>
      </c>
      <c r="H10" s="250">
        <f>+'55-Civil Service Comm'!H10+'55L-CivServComm-Labor Reserve'!H10</f>
        <v>29500</v>
      </c>
      <c r="I10" s="274">
        <f>+'55-Civil Service Comm'!I10+'55L-CivServComm-Labor Reserve'!I10</f>
        <v>29500</v>
      </c>
    </row>
    <row r="11" spans="1:10" x14ac:dyDescent="0.35">
      <c r="A11" s="9" t="s">
        <v>6</v>
      </c>
      <c r="B11" s="252">
        <f>+'55-Civil Service Comm'!B11+'55L-CivServComm-Labor Reserve'!B11</f>
        <v>500</v>
      </c>
      <c r="C11" s="249">
        <f>+'55-Civil Service Comm'!C11+'55L-CivServComm-Labor Reserve'!C11</f>
        <v>1094</v>
      </c>
      <c r="D11" s="510">
        <f>+'55-Civil Service Comm'!D11+'55L-CivServComm-Labor Reserve'!D11</f>
        <v>1094</v>
      </c>
      <c r="E11" s="526">
        <f>+'55-Civil Service Comm'!E11+'55L-CivServComm-Labor Reserve'!E11</f>
        <v>1094</v>
      </c>
      <c r="F11" s="517">
        <f>+'55-Civil Service Comm'!F11+'55L-CivServComm-Labor Reserve'!F11</f>
        <v>1094</v>
      </c>
      <c r="G11" s="249">
        <f>+'55-Civil Service Comm'!G11+'55L-CivServComm-Labor Reserve'!G11</f>
        <v>1094</v>
      </c>
      <c r="H11" s="252">
        <f>+'55-Civil Service Comm'!H11+'55L-CivServComm-Labor Reserve'!H11</f>
        <v>1094</v>
      </c>
      <c r="I11" s="275">
        <f>+'55-Civil Service Comm'!I11+'55L-CivServComm-Labor Reserve'!I11</f>
        <v>1094</v>
      </c>
    </row>
    <row r="12" spans="1:10" x14ac:dyDescent="0.35">
      <c r="A12" s="10" t="s">
        <v>7</v>
      </c>
      <c r="B12" s="250">
        <f>+'55-Civil Service Comm'!B12+'55L-CivServComm-Labor Reserve'!B12</f>
        <v>0</v>
      </c>
      <c r="C12" s="251">
        <f>+'55-Civil Service Comm'!C12+'55L-CivServComm-Labor Reserve'!C12</f>
        <v>0</v>
      </c>
      <c r="D12" s="509">
        <f>+'55-Civil Service Comm'!D12+'55L-CivServComm-Labor Reserve'!D12</f>
        <v>0</v>
      </c>
      <c r="E12" s="525">
        <f>+'55-Civil Service Comm'!E12+'55L-CivServComm-Labor Reserve'!E12</f>
        <v>0</v>
      </c>
      <c r="F12" s="516">
        <f>+'55-Civil Service Comm'!F12+'55L-CivServComm-Labor Reserve'!F12</f>
        <v>0</v>
      </c>
      <c r="G12" s="251">
        <f>+'55-Civil Service Comm'!G12+'55L-CivServComm-Labor Reserve'!G12</f>
        <v>0</v>
      </c>
      <c r="H12" s="250">
        <f>+'55-Civil Service Comm'!H12+'55L-CivServComm-Labor Reserve'!H12</f>
        <v>0</v>
      </c>
      <c r="I12" s="274">
        <f>+'55-Civil Service Comm'!I12+'55L-CivServComm-Labor Reserve'!I12</f>
        <v>0</v>
      </c>
    </row>
    <row r="13" spans="1:10" x14ac:dyDescent="0.35">
      <c r="A13" s="9" t="s">
        <v>8</v>
      </c>
      <c r="B13" s="252">
        <f>+'55-Civil Service Comm'!B13+'55L-CivServComm-Labor Reserve'!B13</f>
        <v>0</v>
      </c>
      <c r="C13" s="249">
        <f>+'55-Civil Service Comm'!C13+'55L-CivServComm-Labor Reserve'!C13</f>
        <v>0</v>
      </c>
      <c r="D13" s="510">
        <f>+'55-Civil Service Comm'!D13+'55L-CivServComm-Labor Reserve'!D13</f>
        <v>0</v>
      </c>
      <c r="E13" s="526">
        <f>+'55-Civil Service Comm'!E13+'55L-CivServComm-Labor Reserve'!E13</f>
        <v>0</v>
      </c>
      <c r="F13" s="517">
        <f>+'55-Civil Service Comm'!F13+'55L-CivServComm-Labor Reserve'!F13</f>
        <v>0</v>
      </c>
      <c r="G13" s="249">
        <f>+'55-Civil Service Comm'!G13+'55L-CivServComm-Labor Reserve'!G13</f>
        <v>0</v>
      </c>
      <c r="H13" s="252">
        <f>+'55-Civil Service Comm'!H13+'55L-CivServComm-Labor Reserve'!H13</f>
        <v>0</v>
      </c>
      <c r="I13" s="275">
        <f>+'55-Civil Service Comm'!I13+'55L-CivServComm-Labor Reserve'!I13</f>
        <v>0</v>
      </c>
    </row>
    <row r="14" spans="1:10" x14ac:dyDescent="0.35">
      <c r="A14" s="10" t="s">
        <v>9</v>
      </c>
      <c r="B14" s="250">
        <f>+'55-Civil Service Comm'!B14+'55L-CivServComm-Labor Reserve'!B14</f>
        <v>0</v>
      </c>
      <c r="C14" s="251">
        <f>+'55-Civil Service Comm'!C14+'55L-CivServComm-Labor Reserve'!C14</f>
        <v>0</v>
      </c>
      <c r="D14" s="509">
        <f>+'55-Civil Service Comm'!D14+'55L-CivServComm-Labor Reserve'!D14</f>
        <v>0</v>
      </c>
      <c r="E14" s="525">
        <f>+'55-Civil Service Comm'!E14+'55L-CivServComm-Labor Reserve'!E14</f>
        <v>0</v>
      </c>
      <c r="F14" s="516">
        <f>+'55-Civil Service Comm'!F14+'55L-CivServComm-Labor Reserve'!F14</f>
        <v>0</v>
      </c>
      <c r="G14" s="251">
        <f>+'55-Civil Service Comm'!G14+'55L-CivServComm-Labor Reserve'!G14</f>
        <v>0</v>
      </c>
      <c r="H14" s="250">
        <f>+'55-Civil Service Comm'!H14+'55L-CivServComm-Labor Reserve'!H14</f>
        <v>0</v>
      </c>
      <c r="I14" s="274">
        <f>+'55-Civil Service Comm'!I14+'55L-CivServComm-Labor Reserve'!I14</f>
        <v>0</v>
      </c>
    </row>
    <row r="15" spans="1:10" ht="15" thickBot="1" x14ac:dyDescent="0.4">
      <c r="A15" s="11" t="s">
        <v>10</v>
      </c>
      <c r="B15" s="253">
        <f>+'55-Civil Service Comm'!B15+'55L-CivServComm-Labor Reserve'!B15</f>
        <v>0</v>
      </c>
      <c r="C15" s="254">
        <f>+'55-Civil Service Comm'!C15+'55L-CivServComm-Labor Reserve'!C15</f>
        <v>0</v>
      </c>
      <c r="D15" s="511">
        <f>+'55-Civil Service Comm'!D15+'55L-CivServComm-Labor Reserve'!D15</f>
        <v>0</v>
      </c>
      <c r="E15" s="527">
        <f>+'55-Civil Service Comm'!E15+'55L-CivServComm-Labor Reserve'!E15</f>
        <v>25000000</v>
      </c>
      <c r="F15" s="518">
        <f>+'55-Civil Service Comm'!F15+'55L-CivServComm-Labor Reserve'!F15</f>
        <v>35000000</v>
      </c>
      <c r="G15" s="254">
        <f>+'55-Civil Service Comm'!G15+'55L-CivServComm-Labor Reserve'!G15</f>
        <v>40000000</v>
      </c>
      <c r="H15" s="253">
        <f>+'55-Civil Service Comm'!H15+'55L-CivServComm-Labor Reserve'!H15</f>
        <v>50000000</v>
      </c>
      <c r="I15" s="276">
        <f>+'55-Civil Service Comm'!I15+'55L-CivServComm-Labor Reserve'!I15</f>
        <v>50000000</v>
      </c>
    </row>
    <row r="16" spans="1:10" ht="15" thickBot="1" x14ac:dyDescent="0.4">
      <c r="A16" s="4" t="s">
        <v>11</v>
      </c>
      <c r="B16" s="39">
        <f>SUM(B9:B15)</f>
        <v>190826</v>
      </c>
      <c r="C16" s="39">
        <f t="shared" ref="C16:I16" si="0">SUM(C9:C15)</f>
        <v>207742</v>
      </c>
      <c r="D16" s="39">
        <f t="shared" si="0"/>
        <v>207742</v>
      </c>
      <c r="E16" s="529">
        <f t="shared" si="0"/>
        <v>25207742</v>
      </c>
      <c r="F16" s="39">
        <f t="shared" si="0"/>
        <v>35207742</v>
      </c>
      <c r="G16" s="39">
        <f t="shared" si="0"/>
        <v>40207742</v>
      </c>
      <c r="H16" s="39">
        <f t="shared" si="0"/>
        <v>50207742</v>
      </c>
      <c r="I16" s="39">
        <f t="shared" si="0"/>
        <v>50207742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2.75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2.75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2.75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2.75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2.75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2.75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2.75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2.75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2.75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2.75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2.75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2.75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2.75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2.75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2.75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2.75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2.75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2.75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2.75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2.75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2.75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2.75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2.75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9"/>
  <dimension ref="A1:J60"/>
  <sheetViews>
    <sheetView topLeftCell="A18" zoomScaleNormal="100" zoomScaleSheetLayoutView="90" workbookViewId="0">
      <selection activeCell="B31" sqref="B31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107" t="s">
        <v>184</v>
      </c>
      <c r="C6" s="880" t="s">
        <v>185</v>
      </c>
      <c r="D6" s="880"/>
      <c r="E6" s="880"/>
      <c r="F6" s="880"/>
      <c r="G6" s="880"/>
      <c r="H6" s="880"/>
      <c r="I6" s="880"/>
    </row>
    <row r="7" spans="1:10" ht="15" thickBot="1" x14ac:dyDescent="0.4">
      <c r="E7" s="7" t="s">
        <v>237</v>
      </c>
    </row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5">
        <f>+'42-Commerce'!B9+'42CC-Commerce Convention Ctr'!B9+'42ES-Commerce Econ Stimulus'!B9</f>
        <v>3453180</v>
      </c>
      <c r="C9" s="256">
        <f>+'42-Commerce'!C9+'42CC-Commerce Convention Ctr'!C9+'42ES-Commerce Econ Stimulus'!C9</f>
        <v>2394341</v>
      </c>
      <c r="D9" s="255">
        <f>+'42-Commerce'!D9+'42CC-Commerce Convention Ctr'!D9+'42ES-Commerce Econ Stimulus'!D9</f>
        <v>2499341</v>
      </c>
      <c r="E9" s="522">
        <f>+'42-Commerce'!E9+'42CC-Commerce Convention Ctr'!E9+'42ES-Commerce Econ Stimulus'!E9</f>
        <v>2714341</v>
      </c>
      <c r="F9" s="512">
        <f>+'42-Commerce'!F9+'42CC-Commerce Convention Ctr'!F9+'42ES-Commerce Econ Stimulus'!F9</f>
        <v>2714341</v>
      </c>
      <c r="G9" s="255">
        <f>+'42-Commerce'!G9+'42CC-Commerce Convention Ctr'!G9+'42ES-Commerce Econ Stimulus'!G9</f>
        <v>2714341</v>
      </c>
      <c r="H9" s="255">
        <f>+'42-Commerce'!H9+'42CC-Commerce Convention Ctr'!H9+'42ES-Commerce Econ Stimulus'!H9</f>
        <v>2714341</v>
      </c>
      <c r="I9" s="272">
        <f>+'42-Commerce'!I9+'42CC-Commerce Convention Ctr'!I9+'42ES-Commerce Econ Stimulus'!I9</f>
        <v>2714341</v>
      </c>
    </row>
    <row r="10" spans="1:10" x14ac:dyDescent="0.35">
      <c r="A10" s="10" t="s">
        <v>5</v>
      </c>
      <c r="B10" s="257">
        <f>+'42-Commerce'!B10+'42CC-Commerce Convention Ctr'!B10+'42ES-Commerce Econ Stimulus'!B10</f>
        <v>26906745</v>
      </c>
      <c r="C10" s="258">
        <f>+'42-Commerce'!C10+'42CC-Commerce Convention Ctr'!C10+'42ES-Commerce Econ Stimulus'!C10</f>
        <v>19231153</v>
      </c>
      <c r="D10" s="257">
        <f>+'42-Commerce'!D10+'42CC-Commerce Convention Ctr'!D10+'42ES-Commerce Econ Stimulus'!D10</f>
        <v>18823831</v>
      </c>
      <c r="E10" s="521">
        <f>+'42-Commerce'!E10+'42CC-Commerce Convention Ctr'!E10+'42ES-Commerce Econ Stimulus'!E10</f>
        <v>22672989</v>
      </c>
      <c r="F10" s="270">
        <f>+'42-Commerce'!F10+'42CC-Commerce Convention Ctr'!F10+'42ES-Commerce Econ Stimulus'!F10</f>
        <v>33072989</v>
      </c>
      <c r="G10" s="257">
        <f>+'42-Commerce'!G10+'42CC-Commerce Convention Ctr'!G10+'42ES-Commerce Econ Stimulus'!G10</f>
        <v>33072989</v>
      </c>
      <c r="H10" s="257">
        <f>+'42-Commerce'!H10+'42CC-Commerce Convention Ctr'!H10+'42ES-Commerce Econ Stimulus'!H10</f>
        <v>30076153</v>
      </c>
      <c r="I10" s="264">
        <f>+'42-Commerce'!I10+'42CC-Commerce Convention Ctr'!I10+'42ES-Commerce Econ Stimulus'!I10</f>
        <v>30076153</v>
      </c>
    </row>
    <row r="11" spans="1:10" x14ac:dyDescent="0.35">
      <c r="A11" s="9" t="s">
        <v>6</v>
      </c>
      <c r="B11" s="259">
        <f>+'42-Commerce'!B11+'42CC-Commerce Convention Ctr'!B11+'42ES-Commerce Econ Stimulus'!B11</f>
        <v>21871</v>
      </c>
      <c r="C11" s="260">
        <f>+'42-Commerce'!C11+'42CC-Commerce Convention Ctr'!C11+'42ES-Commerce Econ Stimulus'!C11</f>
        <v>26654</v>
      </c>
      <c r="D11" s="259">
        <f>+'42-Commerce'!D11+'42CC-Commerce Convention Ctr'!D11+'42ES-Commerce Econ Stimulus'!D11</f>
        <v>26654</v>
      </c>
      <c r="E11" s="522">
        <f>+'42-Commerce'!E11+'42CC-Commerce Convention Ctr'!E11+'42ES-Commerce Econ Stimulus'!E11</f>
        <v>26654</v>
      </c>
      <c r="F11" s="269">
        <f>+'42-Commerce'!F11+'42CC-Commerce Convention Ctr'!F11+'42ES-Commerce Econ Stimulus'!F11</f>
        <v>26654</v>
      </c>
      <c r="G11" s="259">
        <f>+'42-Commerce'!G11+'42CC-Commerce Convention Ctr'!G11+'42ES-Commerce Econ Stimulus'!G11</f>
        <v>26654</v>
      </c>
      <c r="H11" s="259">
        <f>+'42-Commerce'!H11+'42CC-Commerce Convention Ctr'!H11+'42ES-Commerce Econ Stimulus'!H11</f>
        <v>26654</v>
      </c>
      <c r="I11" s="265">
        <f>+'42-Commerce'!I11+'42CC-Commerce Convention Ctr'!I11+'42ES-Commerce Econ Stimulus'!I11</f>
        <v>26654</v>
      </c>
    </row>
    <row r="12" spans="1:10" x14ac:dyDescent="0.35">
      <c r="A12" s="10" t="s">
        <v>7</v>
      </c>
      <c r="B12" s="257">
        <f>+'42-Commerce'!B12+'42CC-Commerce Convention Ctr'!B12+'42ES-Commerce Econ Stimulus'!B12</f>
        <v>500000</v>
      </c>
      <c r="C12" s="258">
        <f>+'42-Commerce'!C12+'42CC-Commerce Convention Ctr'!C12+'42ES-Commerce Econ Stimulus'!C12</f>
        <v>0</v>
      </c>
      <c r="D12" s="257">
        <f>+'42-Commerce'!D12+'42CC-Commerce Convention Ctr'!D12+'42ES-Commerce Econ Stimulus'!D12</f>
        <v>0</v>
      </c>
      <c r="E12" s="521">
        <f>+'42-Commerce'!E12+'42CC-Commerce Convention Ctr'!E12+'42ES-Commerce Econ Stimulus'!E12</f>
        <v>0</v>
      </c>
      <c r="F12" s="270">
        <f>+'42-Commerce'!F12+'42CC-Commerce Convention Ctr'!F12+'42ES-Commerce Econ Stimulus'!F12</f>
        <v>0</v>
      </c>
      <c r="G12" s="257">
        <f>+'42-Commerce'!G12+'42CC-Commerce Convention Ctr'!G12+'42ES-Commerce Econ Stimulus'!G12</f>
        <v>0</v>
      </c>
      <c r="H12" s="257">
        <f>+'42-Commerce'!H12+'42CC-Commerce Convention Ctr'!H12+'42ES-Commerce Econ Stimulus'!H12</f>
        <v>0</v>
      </c>
      <c r="I12" s="264">
        <f>+'42-Commerce'!I12+'42CC-Commerce Convention Ctr'!I12+'42ES-Commerce Econ Stimulus'!I12</f>
        <v>0</v>
      </c>
    </row>
    <row r="13" spans="1:10" x14ac:dyDescent="0.35">
      <c r="A13" s="9" t="s">
        <v>8</v>
      </c>
      <c r="B13" s="259">
        <f>+'42-Commerce'!B13+'42CC-Commerce Convention Ctr'!B13+'42ES-Commerce Econ Stimulus'!B13</f>
        <v>0</v>
      </c>
      <c r="C13" s="260">
        <f>+'42-Commerce'!C13+'42CC-Commerce Convention Ctr'!C13+'42ES-Commerce Econ Stimulus'!C13</f>
        <v>0</v>
      </c>
      <c r="D13" s="259">
        <f>+'42-Commerce'!D13+'42CC-Commerce Convention Ctr'!D13+'42ES-Commerce Econ Stimulus'!D13</f>
        <v>0</v>
      </c>
      <c r="E13" s="522">
        <f>+'42-Commerce'!E13+'42CC-Commerce Convention Ctr'!E13+'42ES-Commerce Econ Stimulus'!E13</f>
        <v>0</v>
      </c>
      <c r="F13" s="269">
        <f>+'42-Commerce'!F13+'42CC-Commerce Convention Ctr'!F13+'42ES-Commerce Econ Stimulus'!F13</f>
        <v>0</v>
      </c>
      <c r="G13" s="259">
        <f>+'42-Commerce'!G13+'42CC-Commerce Convention Ctr'!G13+'42ES-Commerce Econ Stimulus'!G13</f>
        <v>0</v>
      </c>
      <c r="H13" s="259">
        <f>+'42-Commerce'!H13+'42CC-Commerce Convention Ctr'!H13+'42ES-Commerce Econ Stimulus'!H13</f>
        <v>0</v>
      </c>
      <c r="I13" s="265">
        <f>+'42-Commerce'!I13+'42CC-Commerce Convention Ctr'!I13+'42ES-Commerce Econ Stimulus'!I13</f>
        <v>0</v>
      </c>
    </row>
    <row r="14" spans="1:10" x14ac:dyDescent="0.35">
      <c r="A14" s="10" t="s">
        <v>9</v>
      </c>
      <c r="B14" s="257">
        <f>+'42-Commerce'!B14+'42CC-Commerce Convention Ctr'!B14+'42ES-Commerce Econ Stimulus'!B14</f>
        <v>0</v>
      </c>
      <c r="C14" s="258">
        <f>+'42-Commerce'!C14+'42CC-Commerce Convention Ctr'!C14+'42ES-Commerce Econ Stimulus'!C14</f>
        <v>0</v>
      </c>
      <c r="D14" s="257">
        <f>+'42-Commerce'!D14+'42CC-Commerce Convention Ctr'!D14+'42ES-Commerce Econ Stimulus'!D14</f>
        <v>0</v>
      </c>
      <c r="E14" s="521">
        <f>+'42-Commerce'!E14+'42CC-Commerce Convention Ctr'!E14+'42ES-Commerce Econ Stimulus'!E14</f>
        <v>0</v>
      </c>
      <c r="F14" s="270">
        <f>+'42-Commerce'!F14+'42CC-Commerce Convention Ctr'!F14+'42ES-Commerce Econ Stimulus'!F14</f>
        <v>0</v>
      </c>
      <c r="G14" s="257">
        <f>+'42-Commerce'!G14+'42CC-Commerce Convention Ctr'!G14+'42ES-Commerce Econ Stimulus'!G14</f>
        <v>0</v>
      </c>
      <c r="H14" s="257">
        <f>+'42-Commerce'!H14+'42CC-Commerce Convention Ctr'!H14+'42ES-Commerce Econ Stimulus'!H14</f>
        <v>0</v>
      </c>
      <c r="I14" s="264">
        <f>+'42-Commerce'!I14+'42CC-Commerce Convention Ctr'!I14+'42ES-Commerce Econ Stimulus'!I14</f>
        <v>0</v>
      </c>
    </row>
    <row r="15" spans="1:10" ht="15" thickBot="1" x14ac:dyDescent="0.4">
      <c r="A15" s="11" t="s">
        <v>10</v>
      </c>
      <c r="B15" s="261">
        <f>+'42-Commerce'!B15+'42CC-Commerce Convention Ctr'!B15+'42ES-Commerce Econ Stimulus'!B15</f>
        <v>0</v>
      </c>
      <c r="C15" s="262">
        <f>+'42-Commerce'!C15+'42CC-Commerce Convention Ctr'!C15+'42ES-Commerce Econ Stimulus'!C15</f>
        <v>0</v>
      </c>
      <c r="D15" s="261">
        <f>+'42-Commerce'!D15+'42CC-Commerce Convention Ctr'!D15+'42ES-Commerce Econ Stimulus'!D15</f>
        <v>0</v>
      </c>
      <c r="E15" s="523">
        <f>+'42-Commerce'!E15+'42CC-Commerce Convention Ctr'!E15+'42ES-Commerce Econ Stimulus'!E15</f>
        <v>0</v>
      </c>
      <c r="F15" s="271">
        <f>+'42-Commerce'!F15+'42CC-Commerce Convention Ctr'!F15+'42ES-Commerce Econ Stimulus'!F15</f>
        <v>0</v>
      </c>
      <c r="G15" s="261">
        <f>+'42-Commerce'!G15+'42CC-Commerce Convention Ctr'!G15+'42ES-Commerce Econ Stimulus'!G15</f>
        <v>0</v>
      </c>
      <c r="H15" s="261">
        <f>+'42-Commerce'!H15+'42CC-Commerce Convention Ctr'!H15+'42ES-Commerce Econ Stimulus'!H15</f>
        <v>0</v>
      </c>
      <c r="I15" s="266">
        <f>+'42-Commerce'!I15+'42CC-Commerce Convention Ctr'!I15+'42ES-Commerce Econ Stimulus'!I15</f>
        <v>0</v>
      </c>
    </row>
    <row r="16" spans="1:10" ht="15" thickBot="1" x14ac:dyDescent="0.4">
      <c r="A16" s="4" t="s">
        <v>11</v>
      </c>
      <c r="B16" s="39">
        <f>SUM(B9:B15)</f>
        <v>30881796</v>
      </c>
      <c r="C16" s="39">
        <f t="shared" ref="C16:I16" si="0">SUM(C9:C15)</f>
        <v>21652148</v>
      </c>
      <c r="D16" s="39">
        <f t="shared" si="0"/>
        <v>21349826</v>
      </c>
      <c r="E16" s="529">
        <f t="shared" si="0"/>
        <v>25413984</v>
      </c>
      <c r="F16" s="39">
        <f t="shared" si="0"/>
        <v>35813984</v>
      </c>
      <c r="G16" s="39">
        <f t="shared" si="0"/>
        <v>35813984</v>
      </c>
      <c r="H16" s="39">
        <f t="shared" si="0"/>
        <v>32817148</v>
      </c>
      <c r="I16" s="39">
        <f t="shared" si="0"/>
        <v>32817148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80"/>
  <dimension ref="A1:J61"/>
  <sheetViews>
    <sheetView zoomScaleNormal="100" zoomScaleSheetLayoutView="90" workbookViewId="0">
      <selection activeCell="C6" sqref="C6:I6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107" t="s">
        <v>180</v>
      </c>
      <c r="C6" s="880" t="s">
        <v>179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10" t="s">
        <v>4</v>
      </c>
      <c r="B9" s="267">
        <f>+'35-Finance'!B9+'35CC-Finance - CCP'!B9+'35H-Finance - Hero'!B9+'35I-Finance - Indemnities'!B9+'35R-Finance - Refunds'!B9+'35SD-Finance-School District'!B9+'35W-Finance - Witness Fees'!B9+'35D-Finance Reg32'!B9+'35R-Finance - Pandemic Reserve'!B9+'35BS-Finance-BudgetStabilizat''n'!B9</f>
        <v>10314652</v>
      </c>
      <c r="C9" s="267">
        <f>+'35-Finance'!C9+'35CC-Finance - CCP'!C9+'35H-Finance - Hero'!C9+'35I-Finance - Indemnities'!C9+'35R-Finance - Refunds'!C9+'35SD-Finance-School District'!C9+'35W-Finance - Witness Fees'!C9+'35D-Finance Reg32'!C9+'35R-Finance - Pandemic Reserve'!C9+'35BS-Finance-BudgetStabilizat''n'!C9</f>
        <v>12962396</v>
      </c>
      <c r="D9" s="267">
        <f>+'35-Finance'!D9+'35CC-Finance - CCP'!D9+'35H-Finance - Hero'!D9+'35I-Finance - Indemnities'!D9+'35R-Finance - Refunds'!D9+'35SD-Finance-School District'!D9+'35W-Finance - Witness Fees'!D9+'35D-Finance Reg32'!D9+'35R-Finance - Pandemic Reserve'!D9+'35BS-Finance-BudgetStabilizat''n'!D9</f>
        <v>11567135</v>
      </c>
      <c r="E9" s="521">
        <f>+'35-Finance'!E9+'35CC-Finance - CCP'!E9+'35H-Finance - Hero'!E9+'35I-Finance - Indemnities'!E9+'35R-Finance - Refunds'!E9+'35SD-Finance-School District'!E9+'35W-Finance - Witness Fees'!E9+'35D-Finance Reg32'!E9+'35R-Finance - Pandemic Reserve'!E9+'35BS-Finance-BudgetStabilizat''n'!E9</f>
        <v>12519056</v>
      </c>
      <c r="F9" s="513">
        <f>+'35-Finance'!F9+'35CC-Finance - CCP'!F9+'35H-Finance - Hero'!F9+'35I-Finance - Indemnities'!F9+'35R-Finance - Refunds'!F9+'35SD-Finance-School District'!F9+'35W-Finance - Witness Fees'!F9+'35D-Finance Reg32'!F9+'35R-Finance - Pandemic Reserve'!F9+'35BS-Finance-BudgetStabilizat''n'!F9</f>
        <v>12493256</v>
      </c>
      <c r="G9" s="267">
        <f>+'35-Finance'!G9+'35CC-Finance - CCP'!G9+'35H-Finance - Hero'!G9+'35I-Finance - Indemnities'!G9+'35R-Finance - Refunds'!G9+'35SD-Finance-School District'!G9+'35W-Finance - Witness Fees'!G9+'35D-Finance Reg32'!G9+'35R-Finance - Pandemic Reserve'!G9+'35BS-Finance-BudgetStabilizat''n'!G9</f>
        <v>12592398</v>
      </c>
      <c r="H9" s="267">
        <f>+'35-Finance'!H9+'35CC-Finance - CCP'!H9+'35H-Finance - Hero'!H9+'35I-Finance - Indemnities'!H9+'35R-Finance - Refunds'!H9+'35SD-Finance-School District'!H9+'35W-Finance - Witness Fees'!H9+'35D-Finance Reg32'!H9+'35R-Finance - Pandemic Reserve'!H9+'35BS-Finance-BudgetStabilizat''n'!H9</f>
        <v>12694514</v>
      </c>
      <c r="I9" s="392">
        <f>+'35-Finance'!I9+'35CC-Finance - CCP'!I9+'35H-Finance - Hero'!I9+'35I-Finance - Indemnities'!I9+'35R-Finance - Refunds'!I9+'35SD-Finance-School District'!I9+'35W-Finance - Witness Fees'!I9+'35D-Finance Reg32'!I9+'35R-Finance - Pandemic Reserve'!I9+'35BS-Finance-BudgetStabilizat''n'!I9</f>
        <v>12694514</v>
      </c>
    </row>
    <row r="10" spans="1:10" x14ac:dyDescent="0.35">
      <c r="A10" s="30" t="s">
        <v>108</v>
      </c>
      <c r="B10" s="268">
        <f>+'35EB-Finance - Benefits'!B9</f>
        <v>1363379633</v>
      </c>
      <c r="C10" s="268">
        <f>+'35EB-Finance - Benefits'!C9</f>
        <v>1287159003</v>
      </c>
      <c r="D10" s="268">
        <f>+'35EB-Finance - Benefits'!D9</f>
        <v>1302161016</v>
      </c>
      <c r="E10" s="524">
        <f>+'35EB-Finance - Benefits'!E9</f>
        <v>1434553835</v>
      </c>
      <c r="F10" s="514">
        <f>+'35EB-Finance - Benefits'!F9</f>
        <v>1501975576</v>
      </c>
      <c r="G10" s="268">
        <f>+'35EB-Finance - Benefits'!G9</f>
        <v>1568556052</v>
      </c>
      <c r="H10" s="268">
        <f>+'35EB-Finance - Benefits'!H9</f>
        <v>1619677604</v>
      </c>
      <c r="I10" s="263">
        <f>+'35EB-Finance - Benefits'!I9</f>
        <v>1675168998</v>
      </c>
    </row>
    <row r="11" spans="1:10" x14ac:dyDescent="0.35">
      <c r="A11" s="10" t="s">
        <v>5</v>
      </c>
      <c r="B11" s="257">
        <f>+'35-Finance'!B10+'35CC-Finance - CCP'!B10+'35H-Finance - Hero'!B10+'35I-Finance - Indemnities'!B10+'35R-Finance - Refunds'!B10+'35SD-Finance-School District'!B10+'35W-Finance - Witness Fees'!B10+'35R-Finance - Pandemic Reserve'!B10</f>
        <v>3138973</v>
      </c>
      <c r="C11" s="257">
        <f>+'35-Finance'!C10+'35CC-Finance - CCP'!C10+'35H-Finance - Hero'!C10+'35I-Finance - Indemnities'!C10+'35R-Finance - Refunds'!C10+'35SD-Finance-School District'!C10+'35W-Finance - Witness Fees'!C10+'35R-Finance - Pandemic Reserve'!C10</f>
        <v>2798178</v>
      </c>
      <c r="D11" s="257">
        <f>+'35-Finance'!D10+'35CC-Finance - CCP'!D10+'35H-Finance - Hero'!D10+'35I-Finance - Indemnities'!D10+'35R-Finance - Refunds'!D10+'35SD-Finance-School District'!D10+'35W-Finance - Witness Fees'!D10+'35R-Finance - Pandemic Reserve'!D10</f>
        <v>3193439</v>
      </c>
      <c r="E11" s="521">
        <f>+'35-Finance'!E10+'35CC-Finance - CCP'!E10+'35H-Finance - Hero'!E10+'35I-Finance - Indemnities'!E10+'35R-Finance - Refunds'!E10+'35SD-Finance-School District'!E10+'35W-Finance - Witness Fees'!E10+'35R-Finance - Pandemic Reserve'!E10</f>
        <v>3610785</v>
      </c>
      <c r="F11" s="270">
        <f>+'35-Finance'!F10+'35CC-Finance - CCP'!F10+'35H-Finance - Hero'!F10+'35I-Finance - Indemnities'!F10+'35R-Finance - Refunds'!F10+'35SD-Finance-School District'!F10+'35W-Finance - Witness Fees'!F10+'35R-Finance - Pandemic Reserve'!F10</f>
        <v>3703822</v>
      </c>
      <c r="G11" s="257">
        <f>+'35-Finance'!G10+'35CC-Finance - CCP'!G10+'35H-Finance - Hero'!G10+'35I-Finance - Indemnities'!G10+'35R-Finance - Refunds'!G10+'35SD-Finance-School District'!G10+'35W-Finance - Witness Fees'!G10+'35R-Finance - Pandemic Reserve'!G10</f>
        <v>3949054</v>
      </c>
      <c r="H11" s="257">
        <f>+'35-Finance'!H10+'35CC-Finance - CCP'!H10+'35H-Finance - Hero'!H10+'35I-Finance - Indemnities'!H10+'35R-Finance - Refunds'!H10+'35SD-Finance-School District'!H10+'35W-Finance - Witness Fees'!H10+'35R-Finance - Pandemic Reserve'!H10</f>
        <v>4275231</v>
      </c>
      <c r="I11" s="264">
        <f>+'35-Finance'!I10+'35CC-Finance - CCP'!I10+'35H-Finance - Hero'!I10+'35I-Finance - Indemnities'!I10+'35R-Finance - Refunds'!I10+'35SD-Finance-School District'!I10+'35W-Finance - Witness Fees'!I10+'35R-Finance - Pandemic Reserve'!I10</f>
        <v>4650335</v>
      </c>
    </row>
    <row r="12" spans="1:10" x14ac:dyDescent="0.35">
      <c r="A12" s="9" t="s">
        <v>6</v>
      </c>
      <c r="B12" s="259">
        <f>+'35-Finance'!B11+'35CC-Finance - CCP'!B11+'35H-Finance - Hero'!B11+'35I-Finance - Indemnities'!B11+'35R-Finance - Refunds'!B11+'35SD-Finance-School District'!B11+'35W-Finance - Witness Fees'!B11+'35R-Finance - Pandemic Reserve'!B11</f>
        <v>46241</v>
      </c>
      <c r="C12" s="259">
        <f>+'35-Finance'!C11+'35CC-Finance - CCP'!C11+'35H-Finance - Hero'!C11+'35I-Finance - Indemnities'!C11+'35R-Finance - Refunds'!C11+'35SD-Finance-School District'!C11+'35W-Finance - Witness Fees'!C11+'35R-Finance - Pandemic Reserve'!C11</f>
        <v>35616</v>
      </c>
      <c r="D12" s="259">
        <f>+'35-Finance'!D11+'35CC-Finance - CCP'!D11+'35H-Finance - Hero'!D11+'35I-Finance - Indemnities'!D11+'35R-Finance - Refunds'!D11+'35SD-Finance-School District'!D11+'35W-Finance - Witness Fees'!D11+'35R-Finance - Pandemic Reserve'!D11</f>
        <v>35616</v>
      </c>
      <c r="E12" s="522">
        <f>+'35-Finance'!E11+'35CC-Finance - CCP'!E11+'35H-Finance - Hero'!E11+'35I-Finance - Indemnities'!E11+'35R-Finance - Refunds'!E11+'35SD-Finance-School District'!E11+'35W-Finance - Witness Fees'!E11+'35R-Finance - Pandemic Reserve'!E11</f>
        <v>35616</v>
      </c>
      <c r="F12" s="269">
        <f>+'35-Finance'!F11+'35CC-Finance - CCP'!F11+'35H-Finance - Hero'!F11+'35I-Finance - Indemnities'!F11+'35R-Finance - Refunds'!F11+'35SD-Finance-School District'!F11+'35W-Finance - Witness Fees'!F11+'35R-Finance - Pandemic Reserve'!F11</f>
        <v>35616</v>
      </c>
      <c r="G12" s="259">
        <f>+'35-Finance'!G11+'35CC-Finance - CCP'!G11+'35H-Finance - Hero'!G11+'35I-Finance - Indemnities'!G11+'35R-Finance - Refunds'!G11+'35SD-Finance-School District'!G11+'35W-Finance - Witness Fees'!G11+'35R-Finance - Pandemic Reserve'!G11</f>
        <v>35616</v>
      </c>
      <c r="H12" s="259">
        <f>+'35-Finance'!H11+'35CC-Finance - CCP'!H11+'35H-Finance - Hero'!H11+'35I-Finance - Indemnities'!H11+'35R-Finance - Refunds'!H11+'35SD-Finance-School District'!H11+'35W-Finance - Witness Fees'!H11+'35R-Finance - Pandemic Reserve'!H11</f>
        <v>35616</v>
      </c>
      <c r="I12" s="265">
        <f>+'35-Finance'!I11+'35CC-Finance - CCP'!I11+'35H-Finance - Hero'!I11+'35I-Finance - Indemnities'!I11+'35R-Finance - Refunds'!I11+'35SD-Finance-School District'!I11+'35W-Finance - Witness Fees'!I11+'35R-Finance - Pandemic Reserve'!I11</f>
        <v>35616</v>
      </c>
    </row>
    <row r="13" spans="1:10" x14ac:dyDescent="0.35">
      <c r="A13" s="10" t="s">
        <v>7</v>
      </c>
      <c r="B13" s="257">
        <f>+'35-Finance'!B12+'35CC-Finance - CCP'!B12+'35H-Finance - Hero'!B12+'35I-Finance - Indemnities'!B12+'35R-Finance - Refunds'!B12+'35SD-Finance-School District'!B12+'35W-Finance - Witness Fees'!B12+'35R-Finance - Pandemic Reserve'!B12</f>
        <v>276106724</v>
      </c>
      <c r="C13" s="257">
        <f>+'35-Finance'!C12+'35CC-Finance - CCP'!C12+'35H-Finance - Hero'!C12+'35I-Finance - Indemnities'!C12+'35R-Finance - Refunds'!C12+'35SD-Finance-School District'!C12+'35W-Finance - Witness Fees'!C12+'35R-Finance - Pandemic Reserve'!C12</f>
        <v>347459717</v>
      </c>
      <c r="D13" s="257">
        <f>+'35-Finance'!D12+'35CC-Finance - CCP'!D12+'35H-Finance - Hero'!D12+'35I-Finance - Indemnities'!D12+'35R-Finance - Refunds'!D12+'35SD-Finance-School District'!D12+'35W-Finance - Witness Fees'!D12+'35R-Finance - Pandemic Reserve'!D12</f>
        <v>362705074</v>
      </c>
      <c r="E13" s="521">
        <f>+'35-Finance'!E12+'35CC-Finance - CCP'!E12+'35H-Finance - Hero'!E12+'35I-Finance - Indemnities'!E12+'35R-Finance - Refunds'!E12+'35SD-Finance-School District'!E12+'35W-Finance - Witness Fees'!E12+'35R-Finance - Pandemic Reserve'!E12</f>
        <v>355017976</v>
      </c>
      <c r="F13" s="270">
        <f>+'35-Finance'!F12+'35CC-Finance - CCP'!F12+'35H-Finance - Hero'!F12+'35I-Finance - Indemnities'!F12+'35R-Finance - Refunds'!F12+'35SD-Finance-School District'!F12+'35W-Finance - Witness Fees'!F12+'35R-Finance - Pandemic Reserve'!F12</f>
        <v>371480854</v>
      </c>
      <c r="G13" s="257">
        <f>+'35-Finance'!G12+'35CC-Finance - CCP'!G12+'35H-Finance - Hero'!G12+'35I-Finance - Indemnities'!G12+'35R-Finance - Refunds'!G12+'35SD-Finance-School District'!G12+'35W-Finance - Witness Fees'!G12+'35R-Finance - Pandemic Reserve'!G12</f>
        <v>384834586</v>
      </c>
      <c r="H13" s="257">
        <f>+'35-Finance'!H12+'35CC-Finance - CCP'!H12+'35H-Finance - Hero'!H12+'35I-Finance - Indemnities'!H12+'35R-Finance - Refunds'!H12+'35SD-Finance-School District'!H12+'35W-Finance - Witness Fees'!H12+'35R-Finance - Pandemic Reserve'!H12</f>
        <v>391171519</v>
      </c>
      <c r="I13" s="264">
        <f>+'35-Finance'!I12+'35CC-Finance - CCP'!I12+'35H-Finance - Hero'!I12+'35I-Finance - Indemnities'!I12+'35R-Finance - Refunds'!I12+'35SD-Finance-School District'!I12+'35W-Finance - Witness Fees'!I12+'35R-Finance - Pandemic Reserve'!I12</f>
        <v>390871519</v>
      </c>
    </row>
    <row r="14" spans="1:10" x14ac:dyDescent="0.35">
      <c r="A14" s="9" t="s">
        <v>8</v>
      </c>
      <c r="B14" s="259">
        <f>+'35-Finance'!B13+'35CC-Finance - CCP'!B13+'35H-Finance - Hero'!B13+'35I-Finance - Indemnities'!B13+'35R-Finance - Refunds'!B13+'35SD-Finance-School District'!B13+'35W-Finance - Witness Fees'!B13+'35R-Finance - Pandemic Reserve'!B13</f>
        <v>0</v>
      </c>
      <c r="C14" s="259">
        <f>+'35-Finance'!C13+'35CC-Finance - CCP'!C13+'35H-Finance - Hero'!C13+'35I-Finance - Indemnities'!C13+'35R-Finance - Refunds'!C13+'35SD-Finance-School District'!C13+'35W-Finance - Witness Fees'!C13+'35R-Finance - Pandemic Reserve'!C13</f>
        <v>0</v>
      </c>
      <c r="D14" s="259">
        <f>+'35-Finance'!D13+'35CC-Finance - CCP'!D13+'35H-Finance - Hero'!D13+'35I-Finance - Indemnities'!D13+'35R-Finance - Refunds'!D13+'35SD-Finance-School District'!D13+'35W-Finance - Witness Fees'!D13+'35R-Finance - Pandemic Reserve'!D13</f>
        <v>0</v>
      </c>
      <c r="E14" s="522">
        <f>+'35-Finance'!E13+'35CC-Finance - CCP'!E13+'35H-Finance - Hero'!E13+'35I-Finance - Indemnities'!E13+'35R-Finance - Refunds'!E13+'35SD-Finance-School District'!E13+'35W-Finance - Witness Fees'!E13+'35R-Finance - Pandemic Reserve'!E13</f>
        <v>0</v>
      </c>
      <c r="F14" s="269">
        <f>+'35-Finance'!F13+'35CC-Finance - CCP'!F13+'35H-Finance - Hero'!F13+'35I-Finance - Indemnities'!F13+'35R-Finance - Refunds'!F13+'35SD-Finance-School District'!F13+'35W-Finance - Witness Fees'!F13+'35R-Finance - Pandemic Reserve'!F13</f>
        <v>0</v>
      </c>
      <c r="G14" s="259">
        <f>+'35-Finance'!G13+'35CC-Finance - CCP'!G13+'35H-Finance - Hero'!G13+'35I-Finance - Indemnities'!G13+'35R-Finance - Refunds'!G13+'35SD-Finance-School District'!G13+'35W-Finance - Witness Fees'!G13+'35R-Finance - Pandemic Reserve'!G13</f>
        <v>0</v>
      </c>
      <c r="H14" s="259">
        <f>+'35-Finance'!H13+'35CC-Finance - CCP'!H13+'35H-Finance - Hero'!H13+'35I-Finance - Indemnities'!H13+'35R-Finance - Refunds'!H13+'35SD-Finance-School District'!H13+'35W-Finance - Witness Fees'!H13+'35R-Finance - Pandemic Reserve'!H13</f>
        <v>0</v>
      </c>
      <c r="I14" s="265">
        <f>+'35-Finance'!I13+'35CC-Finance - CCP'!I13+'35H-Finance - Hero'!I13+'35I-Finance - Indemnities'!I13+'35R-Finance - Refunds'!I13+'35SD-Finance-School District'!I13+'35W-Finance - Witness Fees'!I13+'35R-Finance - Pandemic Reserve'!I13</f>
        <v>0</v>
      </c>
    </row>
    <row r="15" spans="1:10" x14ac:dyDescent="0.35">
      <c r="A15" s="10" t="s">
        <v>9</v>
      </c>
      <c r="B15" s="257">
        <f>+'35-Finance'!B14+'35CC-Finance - CCP'!B14+'35H-Finance - Hero'!B14+'35I-Finance - Indemnities'!B14+'35R-Finance - Refunds'!B14+'35SD-Finance-School District'!B14+'35W-Finance - Witness Fees'!B14+'35R-Finance - Pandemic Reserve'!B14+'35BS-Finance-BudgetStabilizat''n'!B14</f>
        <v>115561000</v>
      </c>
      <c r="C15" s="257">
        <f>+'35-Finance'!C14+'35CC-Finance - CCP'!C14+'35H-Finance - Hero'!C14+'35I-Finance - Indemnities'!C14+'35R-Finance - Refunds'!C14+'35SD-Finance-School District'!C14+'35W-Finance - Witness Fees'!C14+'35R-Finance - Pandemic Reserve'!C14+'35BS-Finance-BudgetStabilizat''n'!C14</f>
        <v>24500000</v>
      </c>
      <c r="D15" s="257">
        <f>+'35-Finance'!D14+'35CC-Finance - CCP'!D14+'35H-Finance - Hero'!D14+'35I-Finance - Indemnities'!D14+'35R-Finance - Refunds'!D14+'35SD-Finance-School District'!D14+'35W-Finance - Witness Fees'!D14+'35R-Finance - Pandemic Reserve'!D14+'35BS-Finance-BudgetStabilizat''n'!D14</f>
        <v>24500000</v>
      </c>
      <c r="E15" s="521">
        <f>+'35-Finance'!E14+'35CC-Finance - CCP'!E14+'35H-Finance - Hero'!E14+'35I-Finance - Indemnities'!E14+'35R-Finance - Refunds'!E14+'35SD-Finance-School District'!E14+'35W-Finance - Witness Fees'!E14+'35R-Finance - Pandemic Reserve'!E14+'35BS-Finance-BudgetStabilizat''n'!E14</f>
        <v>11360000</v>
      </c>
      <c r="F15" s="270">
        <f>+'35-Finance'!F14+'35CC-Finance - CCP'!F14+'35H-Finance - Hero'!F14+'35I-Finance - Indemnities'!F14+'35R-Finance - Refunds'!F14+'35SD-Finance-School District'!F14+'35W-Finance - Witness Fees'!F14+'35R-Finance - Pandemic Reserve'!F14+'35BS-Finance-BudgetStabilizat''n'!F14</f>
        <v>7730925</v>
      </c>
      <c r="G15" s="257">
        <f>+'35-Finance'!G14+'35CC-Finance - CCP'!G14+'35H-Finance - Hero'!G14+'35I-Finance - Indemnities'!G14+'35R-Finance - Refunds'!G14+'35SD-Finance-School District'!G14+'35W-Finance - Witness Fees'!G14+'35R-Finance - Pandemic Reserve'!G14+'35BS-Finance-BudgetStabilizat''n'!G14</f>
        <v>14174037</v>
      </c>
      <c r="H15" s="257">
        <f>+'35-Finance'!H14+'35CC-Finance - CCP'!H14+'35H-Finance - Hero'!H14+'35I-Finance - Indemnities'!H14+'35R-Finance - Refunds'!H14+'35SD-Finance-School District'!H14+'35W-Finance - Witness Fees'!H14+'35R-Finance - Pandemic Reserve'!H14+'35BS-Finance-BudgetStabilizat''n'!H14</f>
        <v>11665950</v>
      </c>
      <c r="I15" s="264">
        <f>+'35-Finance'!I14+'35CC-Finance - CCP'!I14+'35H-Finance - Hero'!I14+'35I-Finance - Indemnities'!I14+'35R-Finance - Refunds'!I14+'35SD-Finance-School District'!I14+'35W-Finance - Witness Fees'!I14+'35R-Finance - Pandemic Reserve'!I14+'35BS-Finance-BudgetStabilizat''n'!I14</f>
        <v>15352212</v>
      </c>
    </row>
    <row r="16" spans="1:10" ht="15" thickBot="1" x14ac:dyDescent="0.4">
      <c r="A16" s="11" t="s">
        <v>10</v>
      </c>
      <c r="B16" s="261">
        <f>+'35-Finance'!B15+'35CC-Finance - CCP'!B15+'35H-Finance - Hero'!B15+'35I-Finance - Indemnities'!B15+'35R-Finance - Refunds'!B15+'35SD-Finance-School District'!B15+'35W-Finance - Witness Fees'!B15+'35R-Finance - Pandemic Reserve'!B15</f>
        <v>0</v>
      </c>
      <c r="C16" s="261">
        <f>+'35-Finance'!C15+'35CC-Finance - CCP'!C15+'35H-Finance - Hero'!C15+'35I-Finance - Indemnities'!C15+'35R-Finance - Refunds'!C15+'35SD-Finance-School District'!C15+'35W-Finance - Witness Fees'!C15+'35R-Finance - Pandemic Reserve'!C15</f>
        <v>25000000</v>
      </c>
      <c r="D16" s="261">
        <f>+'35-Finance'!D15+'35CC-Finance - CCP'!D15+'35H-Finance - Hero'!D15+'35I-Finance - Indemnities'!D15+'35R-Finance - Refunds'!D15+'35SD-Finance-School District'!D15+'35W-Finance - Witness Fees'!D15+'35R-Finance - Pandemic Reserve'!D15</f>
        <v>0</v>
      </c>
      <c r="E16" s="523">
        <f>+'35-Finance'!E15+'35CC-Finance - CCP'!E15+'35H-Finance - Hero'!E15+'35I-Finance - Indemnities'!E15+'35R-Finance - Refunds'!E15+'35SD-Finance-School District'!E15+'35W-Finance - Witness Fees'!E15+'35R-Finance - Pandemic Reserve'!E15</f>
        <v>75000000</v>
      </c>
      <c r="F16" s="261">
        <f>+'35-Finance'!F15+'35CC-Finance - CCP'!F15+'35H-Finance - Hero'!F15+'35I-Finance - Indemnities'!F15+'35R-Finance - Refunds'!F15+'35SD-Finance-School District'!F15+'35W-Finance - Witness Fees'!F15+'35R-Finance - Pandemic Reserve'!F15</f>
        <v>75000000</v>
      </c>
      <c r="G16" s="261">
        <f>+'35-Finance'!G15+'35CC-Finance - CCP'!G15+'35H-Finance - Hero'!G15+'35I-Finance - Indemnities'!G15+'35R-Finance - Refunds'!G15+'35SD-Finance-School District'!G15+'35W-Finance - Witness Fees'!G15+'35R-Finance - Pandemic Reserve'!G15</f>
        <v>25000000</v>
      </c>
      <c r="H16" s="261">
        <f>+'35-Finance'!H15+'35CC-Finance - CCP'!H15+'35H-Finance - Hero'!H15+'35I-Finance - Indemnities'!H15+'35R-Finance - Refunds'!H15+'35SD-Finance-School District'!H15+'35W-Finance - Witness Fees'!H15+'35R-Finance - Pandemic Reserve'!H15</f>
        <v>25000000</v>
      </c>
      <c r="I16" s="266">
        <f>+'35-Finance'!I15+'35CC-Finance - CCP'!I15+'35H-Finance - Hero'!I15+'35I-Finance - Indemnities'!I15+'35R-Finance - Refunds'!I15+'35SD-Finance-School District'!I15+'35W-Finance - Witness Fees'!I15+'35R-Finance - Pandemic Reserve'!I15</f>
        <v>25000000</v>
      </c>
    </row>
    <row r="17" spans="1:10" ht="15" thickBot="1" x14ac:dyDescent="0.4">
      <c r="A17" s="4" t="s">
        <v>11</v>
      </c>
      <c r="B17" s="39">
        <f>SUM(B9:B16)</f>
        <v>1768547223</v>
      </c>
      <c r="C17" s="39">
        <f t="shared" ref="C17:I17" si="0">SUM(C9:C16)</f>
        <v>1699914910</v>
      </c>
      <c r="D17" s="39">
        <f t="shared" si="0"/>
        <v>1704162280</v>
      </c>
      <c r="E17" s="530">
        <f t="shared" si="0"/>
        <v>1892097268</v>
      </c>
      <c r="F17" s="39">
        <f t="shared" si="0"/>
        <v>1972420049</v>
      </c>
      <c r="G17" s="39">
        <f t="shared" si="0"/>
        <v>2009141743</v>
      </c>
      <c r="H17" s="39">
        <f t="shared" si="0"/>
        <v>2064520434</v>
      </c>
      <c r="I17" s="39">
        <f t="shared" si="0"/>
        <v>2123773194</v>
      </c>
    </row>
    <row r="19" spans="1:10" ht="15" thickBot="1" x14ac:dyDescent="0.4">
      <c r="A19" s="59" t="s">
        <v>12</v>
      </c>
      <c r="B19" s="59"/>
      <c r="C19" s="59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186"/>
      <c r="B20" s="186"/>
      <c r="C20" s="186"/>
      <c r="D20" s="186"/>
      <c r="E20" s="186"/>
      <c r="F20" s="186"/>
      <c r="G20" s="186"/>
      <c r="H20" s="186"/>
      <c r="I20" s="186"/>
    </row>
    <row r="21" spans="1:10" ht="13" customHeight="1" x14ac:dyDescent="0.35">
      <c r="A21" s="697"/>
      <c r="B21" s="70"/>
      <c r="C21" s="71"/>
      <c r="D21" s="72"/>
      <c r="E21" s="72"/>
      <c r="F21" s="72"/>
      <c r="G21" s="73"/>
      <c r="H21" s="73"/>
      <c r="I21" s="73"/>
      <c r="J21" s="17"/>
    </row>
    <row r="22" spans="1:10" ht="13" customHeight="1" x14ac:dyDescent="0.35">
      <c r="A22" s="698"/>
      <c r="B22" s="70"/>
      <c r="C22" s="71"/>
      <c r="D22" s="72"/>
      <c r="E22" s="72"/>
      <c r="F22" s="72"/>
      <c r="G22" s="73"/>
      <c r="H22" s="73"/>
      <c r="I22" s="73"/>
      <c r="J22" s="17"/>
    </row>
    <row r="23" spans="1:10" s="58" customFormat="1" ht="13" customHeight="1" x14ac:dyDescent="0.35">
      <c r="A23" s="77"/>
      <c r="B23" s="70"/>
      <c r="C23" s="71"/>
      <c r="D23" s="72"/>
      <c r="E23" s="72"/>
      <c r="F23" s="72"/>
      <c r="G23" s="73"/>
      <c r="H23" s="73"/>
      <c r="I23" s="73"/>
      <c r="J23" s="81"/>
    </row>
    <row r="24" spans="1:10" ht="13" customHeight="1" x14ac:dyDescent="0.35">
      <c r="A24" s="81"/>
      <c r="B24" s="81"/>
      <c r="C24" s="81"/>
      <c r="D24" s="81"/>
      <c r="E24" s="81"/>
      <c r="F24" s="81"/>
      <c r="G24" s="81"/>
      <c r="H24" s="81"/>
      <c r="I24" s="81"/>
      <c r="J24" s="17"/>
    </row>
    <row r="25" spans="1:10" s="58" customFormat="1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81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1"/>
      <c r="D34" s="72"/>
      <c r="E34" s="72"/>
      <c r="F34" s="72"/>
      <c r="G34" s="72"/>
      <c r="H34" s="72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7"/>
      <c r="B43" s="78"/>
      <c r="C43" s="75"/>
      <c r="D43" s="73"/>
      <c r="E43" s="73"/>
      <c r="F43" s="73"/>
      <c r="G43" s="73"/>
      <c r="H43" s="73"/>
      <c r="I43" s="73"/>
      <c r="J43" s="17"/>
    </row>
    <row r="44" spans="1:10" ht="13" customHeight="1" x14ac:dyDescent="0.35">
      <c r="A44" s="79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0"/>
      <c r="C46" s="71"/>
      <c r="D46" s="72"/>
      <c r="E46" s="72"/>
      <c r="F46" s="72"/>
      <c r="G46" s="73"/>
      <c r="H46" s="73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1"/>
      <c r="D57" s="72"/>
      <c r="E57" s="72"/>
      <c r="F57" s="72"/>
      <c r="G57" s="72"/>
      <c r="H57" s="72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  <row r="61" spans="1:10" x14ac:dyDescent="0.35">
      <c r="A61" s="83"/>
      <c r="B61" s="84"/>
      <c r="C61" s="74"/>
      <c r="D61" s="69"/>
      <c r="E61" s="69"/>
      <c r="F61" s="69"/>
      <c r="G61" s="69"/>
      <c r="H61" s="69"/>
      <c r="I61" s="69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1"/>
  <dimension ref="A1:J60"/>
  <sheetViews>
    <sheetView zoomScaleNormal="100" zoomScaleSheetLayoutView="90" workbookViewId="0">
      <selection activeCell="E33" sqref="E3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78" t="s">
        <v>14</v>
      </c>
      <c r="B6" s="32">
        <v>25</v>
      </c>
      <c r="C6" s="880" t="s">
        <v>203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6">
        <f>+'25-Fleet'!B9+'25V-Fleet - Vehicle'!B9</f>
        <v>18563332</v>
      </c>
      <c r="C9" s="269">
        <f>+'25-Fleet'!C9+'25V-Fleet - Vehicle'!C9</f>
        <v>19073455</v>
      </c>
      <c r="D9" s="255">
        <f>+'25-Fleet'!D9+'25V-Fleet - Vehicle'!D9</f>
        <v>19073455</v>
      </c>
      <c r="E9" s="522">
        <f>+'25-Fleet'!E9+'25V-Fleet - Vehicle'!E9</f>
        <v>18695138</v>
      </c>
      <c r="F9" s="512">
        <f>+'25-Fleet'!F9+'25V-Fleet - Vehicle'!F9</f>
        <v>18865138</v>
      </c>
      <c r="G9" s="255">
        <f>+'25-Fleet'!G9+'25V-Fleet - Vehicle'!G9</f>
        <v>19035138</v>
      </c>
      <c r="H9" s="255">
        <f>+'25-Fleet'!H9+'25V-Fleet - Vehicle'!H9</f>
        <v>19035138</v>
      </c>
      <c r="I9" s="272">
        <f>+'25-Fleet'!I9+'25V-Fleet - Vehicle'!I9</f>
        <v>19035138</v>
      </c>
    </row>
    <row r="10" spans="1:10" x14ac:dyDescent="0.35">
      <c r="A10" s="10" t="s">
        <v>5</v>
      </c>
      <c r="B10" s="258">
        <f>+'25-Fleet'!B10+'25V-Fleet - Vehicle'!B10</f>
        <v>5379360</v>
      </c>
      <c r="C10" s="270">
        <f>+'25-Fleet'!C10+'25V-Fleet - Vehicle'!C10</f>
        <v>5353396</v>
      </c>
      <c r="D10" s="257">
        <f>+'25-Fleet'!D10+'25V-Fleet - Vehicle'!D10</f>
        <v>5353396</v>
      </c>
      <c r="E10" s="521">
        <f>+'25-Fleet'!E10+'25V-Fleet - Vehicle'!E10</f>
        <v>5401396</v>
      </c>
      <c r="F10" s="270">
        <f>+'25-Fleet'!F10+'25V-Fleet - Vehicle'!F10</f>
        <v>5449396</v>
      </c>
      <c r="G10" s="257">
        <f>+'25-Fleet'!G10+'25V-Fleet - Vehicle'!G10</f>
        <v>5449396</v>
      </c>
      <c r="H10" s="257">
        <f>+'25-Fleet'!H10+'25V-Fleet - Vehicle'!H10</f>
        <v>5449396</v>
      </c>
      <c r="I10" s="264">
        <f>+'25-Fleet'!I10+'25V-Fleet - Vehicle'!I10</f>
        <v>5449396</v>
      </c>
    </row>
    <row r="11" spans="1:10" x14ac:dyDescent="0.35">
      <c r="A11" s="9" t="s">
        <v>6</v>
      </c>
      <c r="B11" s="260">
        <f>+'25-Fleet'!B11+'25V-Fleet - Vehicle'!B11</f>
        <v>40405686</v>
      </c>
      <c r="C11" s="269">
        <f>+'25-Fleet'!C11+'25V-Fleet - Vehicle'!C11</f>
        <v>32174612</v>
      </c>
      <c r="D11" s="259">
        <f>+'25-Fleet'!D11+'25V-Fleet - Vehicle'!D11</f>
        <v>32174612</v>
      </c>
      <c r="E11" s="522">
        <f>+'25-Fleet'!E11+'25V-Fleet - Vehicle'!E11</f>
        <v>29992494</v>
      </c>
      <c r="F11" s="269">
        <f>+'25-Fleet'!F11+'25V-Fleet - Vehicle'!F11</f>
        <v>29992494</v>
      </c>
      <c r="G11" s="259">
        <f>+'25-Fleet'!G11+'25V-Fleet - Vehicle'!G11</f>
        <v>29992494</v>
      </c>
      <c r="H11" s="259">
        <f>+'25-Fleet'!H11+'25V-Fleet - Vehicle'!H11</f>
        <v>29992494</v>
      </c>
      <c r="I11" s="265">
        <f>+'25-Fleet'!I11+'25V-Fleet - Vehicle'!I11</f>
        <v>29992494</v>
      </c>
    </row>
    <row r="12" spans="1:10" x14ac:dyDescent="0.35">
      <c r="A12" s="10" t="s">
        <v>7</v>
      </c>
      <c r="B12" s="258">
        <f>+'25-Fleet'!B12+'25V-Fleet - Vehicle'!B12</f>
        <v>500</v>
      </c>
      <c r="C12" s="270">
        <f>+'25-Fleet'!C12+'25V-Fleet - Vehicle'!C12</f>
        <v>0</v>
      </c>
      <c r="D12" s="257">
        <f>+'25-Fleet'!D12+'25V-Fleet - Vehicle'!D12</f>
        <v>0</v>
      </c>
      <c r="E12" s="521">
        <f>+'25-Fleet'!E12+'25V-Fleet - Vehicle'!E12</f>
        <v>0</v>
      </c>
      <c r="F12" s="270">
        <f>+'25-Fleet'!F12+'25V-Fleet - Vehicle'!F12</f>
        <v>0</v>
      </c>
      <c r="G12" s="257">
        <f>+'25-Fleet'!G12+'25V-Fleet - Vehicle'!G12</f>
        <v>0</v>
      </c>
      <c r="H12" s="257">
        <f>+'25-Fleet'!H12+'25V-Fleet - Vehicle'!H12</f>
        <v>0</v>
      </c>
      <c r="I12" s="264">
        <f>+'25-Fleet'!I12+'25V-Fleet - Vehicle'!I12</f>
        <v>0</v>
      </c>
    </row>
    <row r="13" spans="1:10" x14ac:dyDescent="0.35">
      <c r="A13" s="9" t="s">
        <v>8</v>
      </c>
      <c r="B13" s="260">
        <f>+'25-Fleet'!B13+'25V-Fleet - Vehicle'!B13</f>
        <v>0</v>
      </c>
      <c r="C13" s="269">
        <f>+'25-Fleet'!C13+'25V-Fleet - Vehicle'!C13</f>
        <v>0</v>
      </c>
      <c r="D13" s="259">
        <f>+'25-Fleet'!D13+'25V-Fleet - Vehicle'!D13</f>
        <v>0</v>
      </c>
      <c r="E13" s="522">
        <f>+'25-Fleet'!E13+'25V-Fleet - Vehicle'!E13</f>
        <v>0</v>
      </c>
      <c r="F13" s="269">
        <f>+'25-Fleet'!F13+'25V-Fleet - Vehicle'!F13</f>
        <v>0</v>
      </c>
      <c r="G13" s="259">
        <f>+'25-Fleet'!G13+'25V-Fleet - Vehicle'!G13</f>
        <v>0</v>
      </c>
      <c r="H13" s="259">
        <f>+'25-Fleet'!H13+'25V-Fleet - Vehicle'!H13</f>
        <v>0</v>
      </c>
      <c r="I13" s="265">
        <f>+'25-Fleet'!I13+'25V-Fleet - Vehicle'!I13</f>
        <v>0</v>
      </c>
    </row>
    <row r="14" spans="1:10" x14ac:dyDescent="0.35">
      <c r="A14" s="10" t="s">
        <v>9</v>
      </c>
      <c r="B14" s="258">
        <f>+'25-Fleet'!B14+'25V-Fleet - Vehicle'!B14</f>
        <v>0</v>
      </c>
      <c r="C14" s="270">
        <f>+'25-Fleet'!C14+'25V-Fleet - Vehicle'!C14</f>
        <v>0</v>
      </c>
      <c r="D14" s="257">
        <f>+'25-Fleet'!D14+'25V-Fleet - Vehicle'!D14</f>
        <v>0</v>
      </c>
      <c r="E14" s="521">
        <f>+'25-Fleet'!E14+'25V-Fleet - Vehicle'!E14</f>
        <v>0</v>
      </c>
      <c r="F14" s="270">
        <f>+'25-Fleet'!F14+'25V-Fleet - Vehicle'!F14</f>
        <v>0</v>
      </c>
      <c r="G14" s="257">
        <f>+'25-Fleet'!G14+'25V-Fleet - Vehicle'!G14</f>
        <v>0</v>
      </c>
      <c r="H14" s="257">
        <f>+'25-Fleet'!H14+'25V-Fleet - Vehicle'!H14</f>
        <v>0</v>
      </c>
      <c r="I14" s="264">
        <f>+'25-Fleet'!I14+'25V-Fleet - Vehicle'!I14</f>
        <v>0</v>
      </c>
    </row>
    <row r="15" spans="1:10" ht="15" thickBot="1" x14ac:dyDescent="0.4">
      <c r="A15" s="11" t="s">
        <v>10</v>
      </c>
      <c r="B15" s="262">
        <f>+'25-Fleet'!B15+'25V-Fleet - Vehicle'!B15</f>
        <v>0</v>
      </c>
      <c r="C15" s="271">
        <f>+'25-Fleet'!C15+'25V-Fleet - Vehicle'!C15</f>
        <v>0</v>
      </c>
      <c r="D15" s="261">
        <f>+'25-Fleet'!D15+'25V-Fleet - Vehicle'!D15</f>
        <v>0</v>
      </c>
      <c r="E15" s="523">
        <f>+'25-Fleet'!E15+'25V-Fleet - Vehicle'!E15</f>
        <v>0</v>
      </c>
      <c r="F15" s="271">
        <f>+'25-Fleet'!F15+'25V-Fleet - Vehicle'!F15</f>
        <v>0</v>
      </c>
      <c r="G15" s="261">
        <f>+'25-Fleet'!G15+'25V-Fleet - Vehicle'!G15</f>
        <v>0</v>
      </c>
      <c r="H15" s="261">
        <f>+'25-Fleet'!H15+'25V-Fleet - Vehicle'!H15</f>
        <v>0</v>
      </c>
      <c r="I15" s="266">
        <f>+'25-Fleet'!I15+'25V-Fleet - Vehicle'!I15</f>
        <v>0</v>
      </c>
    </row>
    <row r="16" spans="1:10" ht="15" thickBot="1" x14ac:dyDescent="0.4">
      <c r="A16" s="4" t="s">
        <v>11</v>
      </c>
      <c r="B16" s="39">
        <f>SUM(B9:B15)</f>
        <v>64348878</v>
      </c>
      <c r="C16" s="39">
        <f t="shared" ref="C16:I16" si="0">SUM(C9:C15)</f>
        <v>56601463</v>
      </c>
      <c r="D16" s="39">
        <f t="shared" si="0"/>
        <v>56601463</v>
      </c>
      <c r="E16" s="529">
        <f t="shared" si="0"/>
        <v>54089028</v>
      </c>
      <c r="F16" s="39">
        <f t="shared" si="0"/>
        <v>54307028</v>
      </c>
      <c r="G16" s="39">
        <f t="shared" si="0"/>
        <v>54477028</v>
      </c>
      <c r="H16" s="39">
        <f t="shared" si="0"/>
        <v>54477028</v>
      </c>
      <c r="I16" s="39">
        <f t="shared" si="0"/>
        <v>54477028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3"/>
  <dimension ref="A1:J60"/>
  <sheetViews>
    <sheetView zoomScale="90" zoomScaleNormal="90" zoomScaleSheetLayoutView="90" workbookViewId="0">
      <selection activeCell="A73" sqref="A7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107" t="s">
        <v>174</v>
      </c>
      <c r="C6" s="880" t="s">
        <v>188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6">
        <f>+'10-MDO'!B9+'10LS-MDO-Legal Svcs'!B9</f>
        <v>40052290</v>
      </c>
      <c r="C9" s="269">
        <f>+'10-MDO'!C9+'10LS-MDO-Legal Svcs'!C9</f>
        <v>36119907</v>
      </c>
      <c r="D9" s="255">
        <f>+'10-MDO'!D9+'10LS-MDO-Legal Svcs'!D9</f>
        <v>42562601</v>
      </c>
      <c r="E9" s="522">
        <f>+'10-MDO'!E9+'10LS-MDO-Legal Svcs'!E9</f>
        <v>42224013</v>
      </c>
      <c r="F9" s="512">
        <f>+'10-MDO'!F9+'10LS-MDO-Legal Svcs'!F9</f>
        <v>43211806</v>
      </c>
      <c r="G9" s="255">
        <f>+'10-MDO'!G9+'10LS-MDO-Legal Svcs'!G9</f>
        <v>43479114</v>
      </c>
      <c r="H9" s="255">
        <f>+'10-MDO'!H9+'10LS-MDO-Legal Svcs'!H9</f>
        <v>42861459</v>
      </c>
      <c r="I9" s="272">
        <f>+'10-MDO'!I9+'10LS-MDO-Legal Svcs'!I9</f>
        <v>42963134</v>
      </c>
    </row>
    <row r="10" spans="1:10" x14ac:dyDescent="0.35">
      <c r="A10" s="10" t="s">
        <v>5</v>
      </c>
      <c r="B10" s="258">
        <f>+'10-MDO'!B10+'10LS-MDO-Legal Svcs'!B10</f>
        <v>98452567</v>
      </c>
      <c r="C10" s="270">
        <f>+'10-MDO'!C10+'10LS-MDO-Legal Svcs'!C10</f>
        <v>81692731</v>
      </c>
      <c r="D10" s="257">
        <f>+'10-MDO'!D10+'10LS-MDO-Legal Svcs'!D10</f>
        <v>103985898</v>
      </c>
      <c r="E10" s="521">
        <f>+'10-MDO'!E10+'10LS-MDO-Legal Svcs'!E10</f>
        <v>95416632</v>
      </c>
      <c r="F10" s="270">
        <f>+'10-MDO'!F10+'10LS-MDO-Legal Svcs'!F10</f>
        <v>93192591</v>
      </c>
      <c r="G10" s="257">
        <f>+'10-MDO'!G10+'10LS-MDO-Legal Svcs'!G10</f>
        <v>94480551</v>
      </c>
      <c r="H10" s="257">
        <f>+'10-MDO'!H10+'10LS-MDO-Legal Svcs'!H10</f>
        <v>92590551</v>
      </c>
      <c r="I10" s="264">
        <f>+'10-MDO'!I10+'10LS-MDO-Legal Svcs'!I10</f>
        <v>92590551</v>
      </c>
    </row>
    <row r="11" spans="1:10" x14ac:dyDescent="0.35">
      <c r="A11" s="9" t="s">
        <v>6</v>
      </c>
      <c r="B11" s="260">
        <f>+'10-MDO'!B11+'10LS-MDO-Legal Svcs'!B11</f>
        <v>16807137</v>
      </c>
      <c r="C11" s="269">
        <f>+'10-MDO'!C11+'10LS-MDO-Legal Svcs'!C11</f>
        <v>1556787</v>
      </c>
      <c r="D11" s="259">
        <f>+'10-MDO'!D11+'10LS-MDO-Legal Svcs'!D11</f>
        <v>26438745</v>
      </c>
      <c r="E11" s="522">
        <f>+'10-MDO'!E11+'10LS-MDO-Legal Svcs'!E11</f>
        <v>4059265</v>
      </c>
      <c r="F11" s="269">
        <f>+'10-MDO'!F11+'10LS-MDO-Legal Svcs'!F11</f>
        <v>1383059</v>
      </c>
      <c r="G11" s="259">
        <f>+'10-MDO'!G11+'10LS-MDO-Legal Svcs'!G11</f>
        <v>1383059</v>
      </c>
      <c r="H11" s="259">
        <f>+'10-MDO'!H11+'10LS-MDO-Legal Svcs'!H11</f>
        <v>1190059</v>
      </c>
      <c r="I11" s="265">
        <f>+'10-MDO'!I11+'10LS-MDO-Legal Svcs'!I11</f>
        <v>1190059</v>
      </c>
    </row>
    <row r="12" spans="1:10" x14ac:dyDescent="0.35">
      <c r="A12" s="10" t="s">
        <v>7</v>
      </c>
      <c r="B12" s="258">
        <f>+'10-MDO'!B12+'10LS-MDO-Legal Svcs'!B12</f>
        <v>603507</v>
      </c>
      <c r="C12" s="270">
        <f>+'10-MDO'!C12+'10LS-MDO-Legal Svcs'!C12</f>
        <v>1350000</v>
      </c>
      <c r="D12" s="257">
        <f>+'10-MDO'!D12+'10LS-MDO-Legal Svcs'!D12</f>
        <v>1350000</v>
      </c>
      <c r="E12" s="521">
        <f>+'10-MDO'!E12+'10LS-MDO-Legal Svcs'!E12</f>
        <v>2500000</v>
      </c>
      <c r="F12" s="270">
        <f>+'10-MDO'!F12+'10LS-MDO-Legal Svcs'!F12</f>
        <v>2500000</v>
      </c>
      <c r="G12" s="257">
        <f>+'10-MDO'!G12+'10LS-MDO-Legal Svcs'!G12</f>
        <v>2500000</v>
      </c>
      <c r="H12" s="257">
        <f>+'10-MDO'!H12+'10LS-MDO-Legal Svcs'!H12</f>
        <v>2500000</v>
      </c>
      <c r="I12" s="264">
        <f>+'10-MDO'!I12+'10LS-MDO-Legal Svcs'!I12</f>
        <v>2500000</v>
      </c>
    </row>
    <row r="13" spans="1:10" x14ac:dyDescent="0.35">
      <c r="A13" s="9" t="s">
        <v>8</v>
      </c>
      <c r="B13" s="260">
        <f>+'10-MDO'!B13+'10LS-MDO-Legal Svcs'!B13</f>
        <v>0</v>
      </c>
      <c r="C13" s="269">
        <f>+'10-MDO'!C13+'10LS-MDO-Legal Svcs'!C13</f>
        <v>0</v>
      </c>
      <c r="D13" s="259">
        <f>+'10-MDO'!D13+'10LS-MDO-Legal Svcs'!D13</f>
        <v>0</v>
      </c>
      <c r="E13" s="522">
        <f>+'10-MDO'!E13+'10LS-MDO-Legal Svcs'!E13</f>
        <v>0</v>
      </c>
      <c r="F13" s="269">
        <f>+'10-MDO'!F13+'10LS-MDO-Legal Svcs'!F13</f>
        <v>0</v>
      </c>
      <c r="G13" s="259">
        <f>+'10-MDO'!G13+'10LS-MDO-Legal Svcs'!G13</f>
        <v>0</v>
      </c>
      <c r="H13" s="259">
        <f>+'10-MDO'!H13+'10LS-MDO-Legal Svcs'!H13</f>
        <v>0</v>
      </c>
      <c r="I13" s="265">
        <f>+'10-MDO'!I13+'10LS-MDO-Legal Svcs'!I13</f>
        <v>0</v>
      </c>
    </row>
    <row r="14" spans="1:10" x14ac:dyDescent="0.35">
      <c r="A14" s="10" t="s">
        <v>9</v>
      </c>
      <c r="B14" s="258">
        <f>+'10-MDO'!B14+'10LS-MDO-Legal Svcs'!B14</f>
        <v>1947849</v>
      </c>
      <c r="C14" s="270">
        <f>+'10-MDO'!C14+'10LS-MDO-Legal Svcs'!C14</f>
        <v>0</v>
      </c>
      <c r="D14" s="257">
        <f>+'10-MDO'!D14+'10LS-MDO-Legal Svcs'!D14</f>
        <v>0</v>
      </c>
      <c r="E14" s="521">
        <f>+'10-MDO'!E14+'10LS-MDO-Legal Svcs'!E14</f>
        <v>0</v>
      </c>
      <c r="F14" s="270">
        <f>+'10-MDO'!F14+'10LS-MDO-Legal Svcs'!F14</f>
        <v>0</v>
      </c>
      <c r="G14" s="257">
        <f>+'10-MDO'!G14+'10LS-MDO-Legal Svcs'!G14</f>
        <v>0</v>
      </c>
      <c r="H14" s="257">
        <f>+'10-MDO'!H14+'10LS-MDO-Legal Svcs'!H14</f>
        <v>0</v>
      </c>
      <c r="I14" s="264">
        <f>+'10-MDO'!I14+'10LS-MDO-Legal Svcs'!I14</f>
        <v>0</v>
      </c>
    </row>
    <row r="15" spans="1:10" ht="15" thickBot="1" x14ac:dyDescent="0.4">
      <c r="A15" s="11" t="s">
        <v>10</v>
      </c>
      <c r="B15" s="262">
        <f>+'10-MDO'!B15+'10LS-MDO-Legal Svcs'!B15</f>
        <v>0</v>
      </c>
      <c r="C15" s="271">
        <f>+'10-MDO'!C15+'10LS-MDO-Legal Svcs'!C15</f>
        <v>0</v>
      </c>
      <c r="D15" s="261">
        <f>+'10-MDO'!D15+'10LS-MDO-Legal Svcs'!D15</f>
        <v>0</v>
      </c>
      <c r="E15" s="523">
        <f>+'10-MDO'!E15+'10LS-MDO-Legal Svcs'!E15</f>
        <v>0</v>
      </c>
      <c r="F15" s="271">
        <f>+'10-MDO'!F15+'10LS-MDO-Legal Svcs'!F15</f>
        <v>0</v>
      </c>
      <c r="G15" s="261">
        <f>+'10-MDO'!G15+'10LS-MDO-Legal Svcs'!G15</f>
        <v>0</v>
      </c>
      <c r="H15" s="261">
        <f>+'10-MDO'!H15+'10LS-MDO-Legal Svcs'!H15</f>
        <v>0</v>
      </c>
      <c r="I15" s="266">
        <f>+'10-MDO'!I15+'10LS-MDO-Legal Svcs'!I15</f>
        <v>0</v>
      </c>
    </row>
    <row r="16" spans="1:10" ht="15" thickBot="1" x14ac:dyDescent="0.4">
      <c r="A16" s="4" t="s">
        <v>11</v>
      </c>
      <c r="B16" s="39">
        <f>SUM(B9:B15)</f>
        <v>157863350</v>
      </c>
      <c r="C16" s="39">
        <f t="shared" ref="C16:I16" si="0">SUM(C9:C15)</f>
        <v>120719425</v>
      </c>
      <c r="D16" s="39">
        <f t="shared" si="0"/>
        <v>174337244</v>
      </c>
      <c r="E16" s="529">
        <f t="shared" si="0"/>
        <v>144199910</v>
      </c>
      <c r="F16" s="39">
        <f t="shared" si="0"/>
        <v>140287456</v>
      </c>
      <c r="G16" s="39">
        <f t="shared" si="0"/>
        <v>141842724</v>
      </c>
      <c r="H16" s="39">
        <f t="shared" si="0"/>
        <v>139142069</v>
      </c>
      <c r="I16" s="39">
        <f t="shared" si="0"/>
        <v>139243744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626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A1:K53"/>
  <sheetViews>
    <sheetView topLeftCell="A8"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0" width="10.36328125" style="7" bestFit="1" customWidth="1"/>
    <col min="11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1" t="s">
        <v>306</v>
      </c>
      <c r="D5" s="881"/>
      <c r="E5" s="881"/>
      <c r="F5" s="881"/>
      <c r="G5" s="881"/>
      <c r="H5" s="881"/>
      <c r="I5" s="881"/>
    </row>
    <row r="6" spans="1:11" ht="15.5" x14ac:dyDescent="0.35">
      <c r="A6" s="5" t="s">
        <v>14</v>
      </c>
      <c r="B6" s="31">
        <v>73</v>
      </c>
      <c r="C6" s="880" t="s">
        <v>163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7075077</v>
      </c>
      <c r="C9" s="33">
        <v>6714174</v>
      </c>
      <c r="D9" s="219">
        <f t="shared" ref="D9:D15" si="0">+C9+SUMIF($C$20:$C$51,K9,$D$20:$D$51)</f>
        <v>6714174</v>
      </c>
      <c r="E9" s="114">
        <f>+D9+SUMIF($C$20:$C$51,K9,$E$20:$E$51)</f>
        <v>8413534</v>
      </c>
      <c r="F9" s="396">
        <f>+E9+SUMIF($C$20:$C$51,K9,$F$20:$F$51)</f>
        <v>8413534</v>
      </c>
      <c r="G9" s="33">
        <f>+F9+SUMIF($C$20:$C$51,K9,$G$20:$G$51)</f>
        <v>8413534</v>
      </c>
      <c r="H9" s="219">
        <f>+G9+SUMIF($C$20:$C$51,K9,$H$20:$H$51)</f>
        <v>8413534</v>
      </c>
      <c r="I9" s="50">
        <f>+H9+SUMIF($C$20:$C$51,K9,$I$20:$I$51)</f>
        <v>8413534</v>
      </c>
      <c r="K9" s="7">
        <v>100</v>
      </c>
    </row>
    <row r="10" spans="1:11" x14ac:dyDescent="0.35">
      <c r="A10" s="10" t="s">
        <v>5</v>
      </c>
      <c r="B10" s="48">
        <f>4955640+693000</f>
        <v>5648640</v>
      </c>
      <c r="C10" s="35">
        <v>5011061</v>
      </c>
      <c r="D10" s="222">
        <f t="shared" si="0"/>
        <v>11493925</v>
      </c>
      <c r="E10" s="506">
        <f t="shared" ref="E10:E15" si="1">+D10+SUMIF($C$20:$C$51,K10,$E$20:$E$51)</f>
        <v>6862101</v>
      </c>
      <c r="F10" s="504">
        <f t="shared" ref="F10:F15" si="2">+E10+SUMIF($C$20:$C$51,K10,$F$20:$F$51)</f>
        <v>6862101</v>
      </c>
      <c r="G10" s="35">
        <f t="shared" ref="G10:G15" si="3">+F10+SUMIF($C$20:$C$51,K10,$G$20:$G$51)</f>
        <v>6967101</v>
      </c>
      <c r="H10" s="222">
        <f t="shared" ref="H10:H15" si="4">+G10+SUMIF($C$20:$C$51,K10,$H$20:$H$51)</f>
        <v>10449965</v>
      </c>
      <c r="I10" s="36">
        <f t="shared" ref="I10:I15" si="5">+H10+SUMIF($C$20:$C$51,K10,$I$20:$I$51)</f>
        <v>6967101</v>
      </c>
      <c r="K10" s="7">
        <v>200</v>
      </c>
    </row>
    <row r="11" spans="1:11" x14ac:dyDescent="0.35">
      <c r="A11" s="9" t="s">
        <v>6</v>
      </c>
      <c r="B11" s="33">
        <f>986979+42458+430244</f>
        <v>1459681</v>
      </c>
      <c r="C11" s="33">
        <v>572617</v>
      </c>
      <c r="D11" s="219">
        <f t="shared" si="0"/>
        <v>3836583</v>
      </c>
      <c r="E11" s="114">
        <f t="shared" si="1"/>
        <v>2771217</v>
      </c>
      <c r="F11" s="396">
        <f t="shared" si="2"/>
        <v>2771217</v>
      </c>
      <c r="G11" s="33">
        <f t="shared" si="3"/>
        <v>2802217</v>
      </c>
      <c r="H11" s="219">
        <f t="shared" si="4"/>
        <v>3066183</v>
      </c>
      <c r="I11" s="34">
        <f t="shared" si="5"/>
        <v>2802217</v>
      </c>
      <c r="K11" s="7" t="s">
        <v>167</v>
      </c>
    </row>
    <row r="12" spans="1:11" x14ac:dyDescent="0.35">
      <c r="A12" s="10" t="s">
        <v>7</v>
      </c>
      <c r="B12" s="35">
        <v>0</v>
      </c>
      <c r="C12" s="35">
        <v>0</v>
      </c>
      <c r="D12" s="222">
        <f t="shared" si="0"/>
        <v>0</v>
      </c>
      <c r="E12" s="506">
        <f t="shared" si="1"/>
        <v>0</v>
      </c>
      <c r="F12" s="504">
        <f t="shared" si="2"/>
        <v>0</v>
      </c>
      <c r="G12" s="35">
        <f t="shared" si="3"/>
        <v>0</v>
      </c>
      <c r="H12" s="222">
        <f t="shared" si="4"/>
        <v>0</v>
      </c>
      <c r="I12" s="36">
        <f t="shared" si="5"/>
        <v>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0</v>
      </c>
      <c r="D14" s="222">
        <f t="shared" si="0"/>
        <v>0</v>
      </c>
      <c r="E14" s="506">
        <f t="shared" si="1"/>
        <v>0</v>
      </c>
      <c r="F14" s="504">
        <f t="shared" si="2"/>
        <v>0</v>
      </c>
      <c r="G14" s="35">
        <f t="shared" si="3"/>
        <v>0</v>
      </c>
      <c r="H14" s="222">
        <f t="shared" si="4"/>
        <v>0</v>
      </c>
      <c r="I14" s="36">
        <f t="shared" si="5"/>
        <v>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0</v>
      </c>
      <c r="D15" s="223">
        <f t="shared" si="0"/>
        <v>0</v>
      </c>
      <c r="E15" s="507">
        <f t="shared" si="1"/>
        <v>0</v>
      </c>
      <c r="F15" s="505">
        <f t="shared" si="2"/>
        <v>0</v>
      </c>
      <c r="G15" s="37">
        <f t="shared" si="3"/>
        <v>0</v>
      </c>
      <c r="H15" s="223">
        <f t="shared" si="4"/>
        <v>0</v>
      </c>
      <c r="I15" s="38">
        <f t="shared" si="5"/>
        <v>0</v>
      </c>
      <c r="K15" s="7">
        <v>900</v>
      </c>
    </row>
    <row r="16" spans="1:11" ht="15" thickBot="1" x14ac:dyDescent="0.4">
      <c r="A16" s="4" t="s">
        <v>11</v>
      </c>
      <c r="B16" s="39">
        <f>SUM(B9:B15)</f>
        <v>14183398</v>
      </c>
      <c r="C16" s="39">
        <f t="shared" ref="C16:I16" si="6">SUM(C9:C15)</f>
        <v>12297852</v>
      </c>
      <c r="D16" s="39">
        <f t="shared" si="6"/>
        <v>22044682</v>
      </c>
      <c r="E16" s="529">
        <f t="shared" si="6"/>
        <v>18046852</v>
      </c>
      <c r="F16" s="39">
        <f t="shared" si="6"/>
        <v>18046852</v>
      </c>
      <c r="G16" s="39">
        <f t="shared" si="6"/>
        <v>18182852</v>
      </c>
      <c r="H16" s="39">
        <f t="shared" si="6"/>
        <v>21929682</v>
      </c>
      <c r="I16" s="39">
        <f t="shared" si="6"/>
        <v>18182852</v>
      </c>
      <c r="J16" s="206">
        <v>23929682</v>
      </c>
    </row>
    <row r="17" spans="1:10" x14ac:dyDescent="0.35">
      <c r="B17" s="17"/>
      <c r="J17" s="206">
        <f>H16-G16</f>
        <v>3746830</v>
      </c>
    </row>
    <row r="18" spans="1:10" x14ac:dyDescent="0.35">
      <c r="B18" s="490"/>
      <c r="C18" s="58"/>
      <c r="E18" s="401">
        <f>+E16-D16</f>
        <v>-3997830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228" t="s">
        <v>635</v>
      </c>
      <c r="B20" s="78"/>
      <c r="C20" s="75"/>
      <c r="D20" s="72"/>
      <c r="E20" s="72"/>
      <c r="F20" s="72"/>
      <c r="G20" s="72"/>
      <c r="H20" s="72"/>
      <c r="I20" s="73"/>
    </row>
    <row r="21" spans="1:10" ht="13" customHeight="1" x14ac:dyDescent="0.35">
      <c r="A21" s="312" t="s">
        <v>294</v>
      </c>
      <c r="B21" s="84"/>
      <c r="C21" s="74"/>
      <c r="D21" s="69"/>
      <c r="E21" s="69"/>
      <c r="F21" s="69"/>
      <c r="G21" s="69"/>
      <c r="H21" s="69"/>
      <c r="I21" s="69"/>
      <c r="J21" s="17"/>
    </row>
    <row r="22" spans="1:10" ht="13" customHeight="1" x14ac:dyDescent="0.35">
      <c r="A22" s="77" t="s">
        <v>234</v>
      </c>
      <c r="B22" s="78"/>
      <c r="C22" s="75">
        <v>200</v>
      </c>
      <c r="E22" s="73">
        <v>-150000</v>
      </c>
      <c r="F22" s="73"/>
      <c r="G22" s="73">
        <v>150000</v>
      </c>
      <c r="H22" s="73"/>
      <c r="I22" s="73"/>
      <c r="J22" s="435" t="s">
        <v>295</v>
      </c>
    </row>
    <row r="23" spans="1:10" ht="12.75" customHeight="1" x14ac:dyDescent="0.35">
      <c r="A23" s="172"/>
      <c r="B23" s="151"/>
      <c r="C23" s="213" t="s">
        <v>167</v>
      </c>
      <c r="D23" s="196"/>
      <c r="E23" s="142">
        <v>-31000</v>
      </c>
      <c r="F23" s="142"/>
      <c r="G23" s="142">
        <v>31000</v>
      </c>
      <c r="H23" s="142"/>
      <c r="I23" s="142"/>
      <c r="J23" s="481" t="s">
        <v>304</v>
      </c>
    </row>
    <row r="24" spans="1:10" ht="13" customHeight="1" x14ac:dyDescent="0.35">
      <c r="A24" s="157" t="s">
        <v>332</v>
      </c>
      <c r="B24" s="78"/>
      <c r="C24" s="75"/>
      <c r="D24" s="72"/>
      <c r="E24" s="72"/>
      <c r="F24" s="72"/>
      <c r="G24" s="72"/>
      <c r="H24" s="73"/>
      <c r="I24" s="73"/>
      <c r="J24" s="17"/>
    </row>
    <row r="25" spans="1:10" ht="13" customHeight="1" x14ac:dyDescent="0.35">
      <c r="A25" s="660" t="s">
        <v>577</v>
      </c>
      <c r="B25" s="151"/>
      <c r="C25" s="181">
        <v>100</v>
      </c>
      <c r="D25" s="141"/>
      <c r="E25" s="141"/>
      <c r="F25" s="141"/>
      <c r="G25" s="141"/>
      <c r="H25" s="142"/>
      <c r="I25" s="142"/>
      <c r="J25" s="17"/>
    </row>
    <row r="26" spans="1:10" ht="13" customHeight="1" x14ac:dyDescent="0.35">
      <c r="A26" s="179" t="s">
        <v>347</v>
      </c>
      <c r="C26" s="7">
        <v>200</v>
      </c>
      <c r="G26" s="72">
        <v>-45000</v>
      </c>
      <c r="H26" s="73"/>
      <c r="I26" s="73"/>
      <c r="J26" s="17"/>
    </row>
    <row r="27" spans="1:10" ht="13" customHeight="1" x14ac:dyDescent="0.35">
      <c r="A27" s="805" t="s">
        <v>370</v>
      </c>
      <c r="B27" s="806"/>
      <c r="C27" s="807"/>
      <c r="D27" s="147"/>
      <c r="E27" s="147"/>
      <c r="F27" s="148"/>
      <c r="G27" s="148"/>
      <c r="H27" s="148"/>
      <c r="I27" s="148"/>
      <c r="J27" s="17"/>
    </row>
    <row r="28" spans="1:10" ht="13" customHeight="1" x14ac:dyDescent="0.35">
      <c r="A28" s="804" t="s">
        <v>428</v>
      </c>
      <c r="B28" s="20"/>
      <c r="C28" s="20"/>
      <c r="D28" s="20"/>
      <c r="E28" s="94"/>
      <c r="F28" s="94"/>
      <c r="G28" s="94"/>
      <c r="H28" s="94"/>
      <c r="I28" s="94"/>
      <c r="J28" s="17"/>
    </row>
    <row r="29" spans="1:10" ht="13" customHeight="1" x14ac:dyDescent="0.35">
      <c r="A29" s="750" t="s">
        <v>449</v>
      </c>
      <c r="B29" s="151"/>
      <c r="C29" s="181">
        <v>100</v>
      </c>
      <c r="D29" s="141"/>
      <c r="E29" s="141">
        <v>-500000</v>
      </c>
      <c r="F29" s="141"/>
      <c r="G29" s="141"/>
      <c r="H29" s="142"/>
      <c r="I29" s="142"/>
      <c r="J29" s="435"/>
    </row>
    <row r="30" spans="1:10" ht="13" customHeight="1" x14ac:dyDescent="0.35">
      <c r="A30" s="748"/>
      <c r="B30" s="92"/>
      <c r="C30" s="93">
        <v>200</v>
      </c>
      <c r="D30" s="52"/>
      <c r="E30" s="94">
        <v>-2268868</v>
      </c>
      <c r="F30" s="94"/>
      <c r="G30" s="94"/>
      <c r="H30" s="94"/>
      <c r="I30" s="94"/>
      <c r="J30" s="481"/>
    </row>
    <row r="31" spans="1:10" ht="13" customHeight="1" x14ac:dyDescent="0.35">
      <c r="A31" s="172"/>
      <c r="B31" s="151"/>
      <c r="C31" s="213" t="s">
        <v>167</v>
      </c>
      <c r="D31" s="196"/>
      <c r="E31" s="142">
        <v>-5062018</v>
      </c>
      <c r="F31" s="142"/>
      <c r="G31" s="142"/>
      <c r="H31" s="142"/>
      <c r="I31" s="142"/>
      <c r="J31" s="17"/>
    </row>
    <row r="32" spans="1:10" ht="13" customHeight="1" x14ac:dyDescent="0.35">
      <c r="A32" s="442" t="s">
        <v>487</v>
      </c>
      <c r="B32" s="92"/>
      <c r="C32" s="799"/>
      <c r="D32" s="52"/>
      <c r="E32" s="94"/>
      <c r="F32" s="94"/>
      <c r="G32" s="94"/>
      <c r="H32" s="94"/>
      <c r="I32" s="94"/>
      <c r="J32" s="17"/>
    </row>
    <row r="33" spans="1:10" ht="13" customHeight="1" x14ac:dyDescent="0.35">
      <c r="A33" s="808" t="s">
        <v>542</v>
      </c>
      <c r="B33" s="151"/>
      <c r="C33" s="213">
        <v>100</v>
      </c>
      <c r="D33" s="809"/>
      <c r="E33" s="809">
        <v>500000</v>
      </c>
      <c r="F33" s="142">
        <v>3438958</v>
      </c>
      <c r="G33" s="142">
        <v>-500000</v>
      </c>
      <c r="H33" s="142"/>
      <c r="I33" s="142"/>
      <c r="J33" s="17"/>
    </row>
    <row r="34" spans="1:10" ht="13" customHeight="1" x14ac:dyDescent="0.35">
      <c r="A34" s="808"/>
      <c r="B34" s="92"/>
      <c r="C34" s="799">
        <v>200</v>
      </c>
      <c r="D34" s="809"/>
      <c r="E34" s="809">
        <v>2268868</v>
      </c>
      <c r="F34" s="94">
        <v>1747868</v>
      </c>
      <c r="G34" s="94">
        <v>-2268868</v>
      </c>
      <c r="H34" s="94"/>
      <c r="I34" s="94"/>
      <c r="J34" s="17"/>
    </row>
    <row r="35" spans="1:10" ht="13" customHeight="1" x14ac:dyDescent="0.35">
      <c r="A35" s="172"/>
      <c r="B35" s="151"/>
      <c r="C35" s="213" t="s">
        <v>167</v>
      </c>
      <c r="D35" s="809"/>
      <c r="E35" s="142">
        <v>5062018</v>
      </c>
      <c r="F35" s="142">
        <v>5062018</v>
      </c>
      <c r="G35" s="142">
        <v>-5062018</v>
      </c>
      <c r="H35" s="142"/>
      <c r="I35" s="142"/>
      <c r="J35" s="17"/>
    </row>
    <row r="36" spans="1:10" ht="13" customHeight="1" x14ac:dyDescent="0.35">
      <c r="A36" s="810" t="s">
        <v>596</v>
      </c>
      <c r="B36" s="92"/>
      <c r="C36" s="799"/>
      <c r="D36" s="809"/>
      <c r="E36" s="809"/>
      <c r="F36" s="94"/>
      <c r="G36" s="94"/>
      <c r="H36" s="94"/>
      <c r="I36" s="94"/>
      <c r="J36" s="17"/>
    </row>
    <row r="37" spans="1:10" ht="13" customHeight="1" x14ac:dyDescent="0.35">
      <c r="A37" s="750" t="s">
        <v>613</v>
      </c>
      <c r="B37" s="151"/>
      <c r="C37" s="213">
        <v>100</v>
      </c>
      <c r="D37" s="809"/>
      <c r="E37" s="142"/>
      <c r="F37" s="142">
        <v>-3438958</v>
      </c>
      <c r="G37" s="142">
        <v>3938958</v>
      </c>
      <c r="H37" s="142">
        <v>-500000</v>
      </c>
      <c r="I37" s="142"/>
      <c r="J37" s="17"/>
    </row>
    <row r="38" spans="1:10" ht="12.75" customHeight="1" x14ac:dyDescent="0.35">
      <c r="A38" s="442"/>
      <c r="B38" s="92"/>
      <c r="C38" s="799">
        <v>200</v>
      </c>
      <c r="D38" s="52"/>
      <c r="E38" s="94"/>
      <c r="F38" s="94">
        <v>-1747868</v>
      </c>
      <c r="G38" s="94">
        <v>4016736</v>
      </c>
      <c r="H38" s="94">
        <v>-2268868</v>
      </c>
      <c r="I38" s="94"/>
      <c r="J38" s="17"/>
    </row>
    <row r="39" spans="1:10" ht="12.75" customHeight="1" x14ac:dyDescent="0.35">
      <c r="A39" s="861"/>
      <c r="B39" s="862"/>
      <c r="C39" s="863" t="s">
        <v>167</v>
      </c>
      <c r="D39" s="142"/>
      <c r="E39" s="142"/>
      <c r="F39" s="142">
        <v>-5062018</v>
      </c>
      <c r="G39" s="142">
        <v>10124036</v>
      </c>
      <c r="H39" s="142">
        <v>-5062018</v>
      </c>
      <c r="I39" s="142"/>
    </row>
    <row r="40" spans="1:10" ht="12.75" customHeight="1" x14ac:dyDescent="0.35">
      <c r="A40" s="157" t="s">
        <v>648</v>
      </c>
      <c r="B40" s="78"/>
      <c r="C40" s="754"/>
      <c r="E40" s="73"/>
      <c r="F40" s="73"/>
      <c r="G40" s="73"/>
      <c r="H40" s="73"/>
      <c r="I40" s="73"/>
    </row>
    <row r="41" spans="1:10" ht="12.75" customHeight="1" x14ac:dyDescent="0.35">
      <c r="A41" s="750" t="s">
        <v>690</v>
      </c>
      <c r="B41" s="151"/>
      <c r="C41" s="213">
        <v>200</v>
      </c>
      <c r="D41" s="142">
        <v>6482864</v>
      </c>
      <c r="E41" s="142">
        <v>-6482864</v>
      </c>
      <c r="F41" s="142"/>
      <c r="G41" s="142"/>
      <c r="H41" s="142">
        <f>6482864</f>
        <v>6482864</v>
      </c>
      <c r="I41" s="142">
        <v>-6482864</v>
      </c>
    </row>
    <row r="42" spans="1:10" ht="12.75" customHeight="1" x14ac:dyDescent="0.35">
      <c r="A42" s="700"/>
      <c r="B42" s="81"/>
      <c r="C42" s="318" t="s">
        <v>167</v>
      </c>
      <c r="D42" s="73">
        <v>3263966</v>
      </c>
      <c r="E42" s="73">
        <v>-3263966</v>
      </c>
      <c r="F42" s="73"/>
      <c r="G42" s="73"/>
      <c r="H42" s="73">
        <f>3263966</f>
        <v>3263966</v>
      </c>
      <c r="I42" s="73">
        <v>-3263966</v>
      </c>
    </row>
    <row r="43" spans="1:10" ht="12.75" customHeight="1" x14ac:dyDescent="0.35">
      <c r="A43" s="744" t="s">
        <v>849</v>
      </c>
      <c r="B43" s="151"/>
      <c r="C43" s="213"/>
      <c r="D43" s="196"/>
      <c r="E43" s="142"/>
      <c r="F43" s="142"/>
      <c r="G43" s="142"/>
      <c r="H43" s="142"/>
      <c r="I43" s="142"/>
    </row>
    <row r="44" spans="1:10" ht="12.75" customHeight="1" x14ac:dyDescent="0.35">
      <c r="A44" s="746" t="s">
        <v>850</v>
      </c>
      <c r="B44" s="78"/>
      <c r="C44" s="754">
        <v>100</v>
      </c>
      <c r="E44" s="73">
        <v>1699360</v>
      </c>
      <c r="F44" s="73"/>
      <c r="G44" s="73"/>
      <c r="H44" s="73"/>
      <c r="I44" s="73"/>
    </row>
    <row r="45" spans="1:10" ht="12.75" customHeight="1" x14ac:dyDescent="0.35">
      <c r="A45" s="172"/>
      <c r="B45" s="151"/>
      <c r="C45" s="796">
        <v>200</v>
      </c>
      <c r="D45" s="196"/>
      <c r="E45" s="142">
        <v>2001040</v>
      </c>
      <c r="F45" s="142"/>
      <c r="G45" s="142"/>
      <c r="H45" s="142"/>
      <c r="I45" s="142"/>
    </row>
    <row r="46" spans="1:10" ht="12.75" customHeight="1" x14ac:dyDescent="0.35">
      <c r="A46" s="77"/>
      <c r="B46" s="78"/>
      <c r="C46" s="754" t="s">
        <v>167</v>
      </c>
      <c r="E46" s="73">
        <v>2229600</v>
      </c>
      <c r="F46" s="73"/>
      <c r="G46" s="73"/>
      <c r="H46" s="73"/>
      <c r="I46" s="73"/>
    </row>
    <row r="47" spans="1:10" ht="12.75" customHeight="1" x14ac:dyDescent="0.35">
      <c r="A47" s="750" t="s">
        <v>858</v>
      </c>
      <c r="B47" s="151"/>
      <c r="C47" s="213">
        <v>100</v>
      </c>
      <c r="D47" s="196"/>
      <c r="E47" s="142"/>
      <c r="F47" s="142"/>
      <c r="G47" s="142">
        <v>-3438958</v>
      </c>
      <c r="H47" s="142">
        <v>500000</v>
      </c>
      <c r="I47" s="142"/>
    </row>
    <row r="48" spans="1:10" ht="12.75" customHeight="1" x14ac:dyDescent="0.35">
      <c r="A48" s="746"/>
      <c r="B48" s="78"/>
      <c r="C48" s="754">
        <v>200</v>
      </c>
      <c r="E48" s="73"/>
      <c r="F48" s="73"/>
      <c r="G48" s="73">
        <v>-1747868</v>
      </c>
      <c r="H48" s="73">
        <v>2268868</v>
      </c>
      <c r="I48" s="73"/>
    </row>
    <row r="49" spans="1:9" ht="12.75" customHeight="1" x14ac:dyDescent="0.35">
      <c r="A49" s="750"/>
      <c r="B49" s="151"/>
      <c r="C49" s="796" t="s">
        <v>167</v>
      </c>
      <c r="D49" s="196"/>
      <c r="E49" s="142"/>
      <c r="F49" s="142"/>
      <c r="G49" s="142">
        <v>-5062018</v>
      </c>
      <c r="H49" s="142">
        <v>5062018</v>
      </c>
      <c r="I49" s="142"/>
    </row>
    <row r="50" spans="1:9" x14ac:dyDescent="0.35">
      <c r="A50" s="746" t="s">
        <v>892</v>
      </c>
      <c r="B50" s="78"/>
      <c r="C50" s="754">
        <v>200</v>
      </c>
      <c r="E50" s="73"/>
      <c r="F50" s="73"/>
      <c r="G50" s="73"/>
      <c r="H50" s="73">
        <v>-3000000</v>
      </c>
      <c r="I50" s="73">
        <v>3000000</v>
      </c>
    </row>
    <row r="51" spans="1:9" x14ac:dyDescent="0.35">
      <c r="A51" s="750"/>
      <c r="B51" s="151"/>
      <c r="C51" s="796" t="s">
        <v>167</v>
      </c>
      <c r="D51" s="196"/>
      <c r="E51" s="142"/>
      <c r="F51" s="142"/>
      <c r="G51" s="142"/>
      <c r="H51" s="142">
        <v>-3000000</v>
      </c>
      <c r="I51" s="142">
        <v>3000000</v>
      </c>
    </row>
    <row r="52" spans="1:9" x14ac:dyDescent="0.35">
      <c r="A52" s="746"/>
      <c r="B52" s="78"/>
      <c r="C52" s="754"/>
      <c r="E52" s="73"/>
      <c r="F52" s="73"/>
      <c r="G52" s="73"/>
      <c r="H52" s="73"/>
      <c r="I52" s="73"/>
    </row>
    <row r="53" spans="1:9" x14ac:dyDescent="0.35">
      <c r="A53" s="750"/>
      <c r="B53" s="151"/>
      <c r="C53" s="213"/>
      <c r="D53" s="196"/>
      <c r="E53" s="142"/>
      <c r="F53" s="142"/>
      <c r="G53" s="142"/>
      <c r="H53" s="142"/>
      <c r="I53" s="142"/>
    </row>
  </sheetData>
  <mergeCells count="6">
    <mergeCell ref="A1:I1"/>
    <mergeCell ref="A2:I2"/>
    <mergeCell ref="A3:I3"/>
    <mergeCell ref="A4:I4"/>
    <mergeCell ref="C6:I6"/>
    <mergeCell ref="C5:I5"/>
  </mergeCells>
  <conditionalFormatting sqref="A33:A34">
    <cfRule type="expression" dxfId="283" priority="9">
      <formula>MOD(ROW(),2)=1</formula>
    </cfRule>
  </conditionalFormatting>
  <conditionalFormatting sqref="D33:F34">
    <cfRule type="expression" dxfId="282" priority="8">
      <formula>MOD(ROW(),2)=1</formula>
    </cfRule>
  </conditionalFormatting>
  <conditionalFormatting sqref="D35">
    <cfRule type="expression" dxfId="281" priority="5">
      <formula>MOD(ROW(),2)=1</formula>
    </cfRule>
  </conditionalFormatting>
  <conditionalFormatting sqref="A36">
    <cfRule type="expression" dxfId="280" priority="4">
      <formula>MOD(ROW(),2)=1</formula>
    </cfRule>
  </conditionalFormatting>
  <conditionalFormatting sqref="D36:F36">
    <cfRule type="expression" dxfId="279" priority="3">
      <formula>MOD(ROW(),2)=1</formula>
    </cfRule>
  </conditionalFormatting>
  <conditionalFormatting sqref="D37">
    <cfRule type="expression" dxfId="278" priority="2">
      <formula>MOD(ROW(),2)=1</formula>
    </cfRule>
  </conditionalFormatting>
  <conditionalFormatting sqref="C9:I15">
    <cfRule type="cellIs" dxfId="277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2"/>
  <dimension ref="A1:J60"/>
  <sheetViews>
    <sheetView zoomScaleNormal="100" zoomScaleSheetLayoutView="90" workbookViewId="0">
      <selection activeCell="E43" sqref="E4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32" t="s">
        <v>59</v>
      </c>
      <c r="C6" s="880" t="s">
        <v>190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5">
        <f>+'05-Mayor'!B9+'05S-Mayor-Schol'!B9</f>
        <v>5526098</v>
      </c>
      <c r="C9" s="255">
        <f>+'05-Mayor'!C9+'05S-Mayor-Schol'!C9</f>
        <v>5775991</v>
      </c>
      <c r="D9" s="255">
        <f>+'05-Mayor'!D9+'05S-Mayor-Schol'!D9</f>
        <v>5808491</v>
      </c>
      <c r="E9" s="522">
        <f>+'05-Mayor'!E9+'05S-Mayor-Schol'!E9</f>
        <v>5892600</v>
      </c>
      <c r="F9" s="512">
        <f>+'05-Mayor'!F9+'05S-Mayor-Schol'!F9</f>
        <v>5892600</v>
      </c>
      <c r="G9" s="255">
        <f>+'05-Mayor'!G9+'05S-Mayor-Schol'!G9</f>
        <v>5892600</v>
      </c>
      <c r="H9" s="255">
        <f>+'05-Mayor'!H9+'05S-Mayor-Schol'!H9</f>
        <v>5892600</v>
      </c>
      <c r="I9" s="272">
        <f>+'05-Mayor'!I9+'05S-Mayor-Schol'!I9</f>
        <v>5892600</v>
      </c>
    </row>
    <row r="10" spans="1:10" x14ac:dyDescent="0.35">
      <c r="A10" s="10" t="s">
        <v>5</v>
      </c>
      <c r="B10" s="257">
        <f>+'05-Mayor'!B10+'05S-Mayor-Schol'!B10</f>
        <v>586190</v>
      </c>
      <c r="C10" s="257">
        <f>+'05-Mayor'!C10+'05S-Mayor-Schol'!C10</f>
        <v>646260</v>
      </c>
      <c r="D10" s="257">
        <f>+'05-Mayor'!D10+'05S-Mayor-Schol'!D10</f>
        <v>930260</v>
      </c>
      <c r="E10" s="521">
        <f>+'05-Mayor'!E10+'05S-Mayor-Schol'!E10</f>
        <v>780260</v>
      </c>
      <c r="F10" s="270">
        <f>+'05-Mayor'!F10+'05S-Mayor-Schol'!F10</f>
        <v>730260</v>
      </c>
      <c r="G10" s="257">
        <f>+'05-Mayor'!G10+'05S-Mayor-Schol'!G10</f>
        <v>680260</v>
      </c>
      <c r="H10" s="257">
        <f>+'05-Mayor'!H10+'05S-Mayor-Schol'!H10</f>
        <v>680260</v>
      </c>
      <c r="I10" s="264">
        <f>+'05-Mayor'!I10+'05S-Mayor-Schol'!I10</f>
        <v>680260</v>
      </c>
    </row>
    <row r="11" spans="1:10" x14ac:dyDescent="0.35">
      <c r="A11" s="9" t="s">
        <v>6</v>
      </c>
      <c r="B11" s="259">
        <f>+'05-Mayor'!B11+'05S-Mayor-Schol'!B11</f>
        <v>24441</v>
      </c>
      <c r="C11" s="259">
        <f>+'05-Mayor'!C11+'05S-Mayor-Schol'!C11</f>
        <v>41341</v>
      </c>
      <c r="D11" s="259">
        <f>+'05-Mayor'!D11+'05S-Mayor-Schol'!D11</f>
        <v>41341</v>
      </c>
      <c r="E11" s="522">
        <f>+'05-Mayor'!E11+'05S-Mayor-Schol'!E11</f>
        <v>41341</v>
      </c>
      <c r="F11" s="269">
        <f>+'05-Mayor'!F11+'05S-Mayor-Schol'!F11</f>
        <v>41341</v>
      </c>
      <c r="G11" s="259">
        <f>+'05-Mayor'!G11+'05S-Mayor-Schol'!G11</f>
        <v>41341</v>
      </c>
      <c r="H11" s="259">
        <f>+'05-Mayor'!H11+'05S-Mayor-Schol'!H11</f>
        <v>41341</v>
      </c>
      <c r="I11" s="265">
        <f>+'05-Mayor'!I11+'05S-Mayor-Schol'!I11</f>
        <v>41341</v>
      </c>
    </row>
    <row r="12" spans="1:10" x14ac:dyDescent="0.35">
      <c r="A12" s="10" t="s">
        <v>7</v>
      </c>
      <c r="B12" s="257">
        <f>+'05-Mayor'!B12+'05S-Mayor-Schol'!B12</f>
        <v>200500</v>
      </c>
      <c r="C12" s="257">
        <f>+'05-Mayor'!C12+'05S-Mayor-Schol'!C12</f>
        <v>100000</v>
      </c>
      <c r="D12" s="257">
        <f>+'05-Mayor'!D12+'05S-Mayor-Schol'!D12</f>
        <v>200000</v>
      </c>
      <c r="E12" s="521">
        <f>+'05-Mayor'!E12+'05S-Mayor-Schol'!E12</f>
        <v>100000</v>
      </c>
      <c r="F12" s="270">
        <f>+'05-Mayor'!F12+'05S-Mayor-Schol'!F12</f>
        <v>100000</v>
      </c>
      <c r="G12" s="257">
        <f>+'05-Mayor'!G12+'05S-Mayor-Schol'!G12</f>
        <v>100000</v>
      </c>
      <c r="H12" s="257">
        <f>+'05-Mayor'!H12+'05S-Mayor-Schol'!H12</f>
        <v>100000</v>
      </c>
      <c r="I12" s="264">
        <f>+'05-Mayor'!I12+'05S-Mayor-Schol'!I12</f>
        <v>100000</v>
      </c>
    </row>
    <row r="13" spans="1:10" x14ac:dyDescent="0.35">
      <c r="A13" s="9" t="s">
        <v>8</v>
      </c>
      <c r="B13" s="259">
        <f>+'05-Mayor'!B13+'05S-Mayor-Schol'!B13</f>
        <v>0</v>
      </c>
      <c r="C13" s="259">
        <f>+'05-Mayor'!C13+'05S-Mayor-Schol'!C13</f>
        <v>0</v>
      </c>
      <c r="D13" s="259">
        <f>+'05-Mayor'!D13+'05S-Mayor-Schol'!D13</f>
        <v>0</v>
      </c>
      <c r="E13" s="522">
        <f>+'05-Mayor'!E13+'05S-Mayor-Schol'!E13</f>
        <v>0</v>
      </c>
      <c r="F13" s="269">
        <f>+'05-Mayor'!F13+'05S-Mayor-Schol'!F13</f>
        <v>0</v>
      </c>
      <c r="G13" s="259">
        <f>+'05-Mayor'!G13+'05S-Mayor-Schol'!G13</f>
        <v>0</v>
      </c>
      <c r="H13" s="259">
        <f>+'05-Mayor'!H13+'05S-Mayor-Schol'!H13</f>
        <v>0</v>
      </c>
      <c r="I13" s="265">
        <f>+'05-Mayor'!I13+'05S-Mayor-Schol'!I13</f>
        <v>0</v>
      </c>
    </row>
    <row r="14" spans="1:10" x14ac:dyDescent="0.35">
      <c r="A14" s="10" t="s">
        <v>9</v>
      </c>
      <c r="B14" s="257">
        <f>+'05-Mayor'!B14+'05S-Mayor-Schol'!B14</f>
        <v>0</v>
      </c>
      <c r="C14" s="257">
        <f>+'05-Mayor'!C14+'05S-Mayor-Schol'!C14</f>
        <v>0</v>
      </c>
      <c r="D14" s="257">
        <f>+'05-Mayor'!D14+'05S-Mayor-Schol'!D14</f>
        <v>0</v>
      </c>
      <c r="E14" s="521">
        <f>+'05-Mayor'!E14+'05S-Mayor-Schol'!E14</f>
        <v>0</v>
      </c>
      <c r="F14" s="270">
        <f>+'05-Mayor'!F14+'05S-Mayor-Schol'!F14</f>
        <v>0</v>
      </c>
      <c r="G14" s="257">
        <f>+'05-Mayor'!G14+'05S-Mayor-Schol'!G14</f>
        <v>0</v>
      </c>
      <c r="H14" s="257">
        <f>+'05-Mayor'!H14+'05S-Mayor-Schol'!H14</f>
        <v>0</v>
      </c>
      <c r="I14" s="264">
        <f>+'05-Mayor'!I14+'05S-Mayor-Schol'!I14</f>
        <v>0</v>
      </c>
    </row>
    <row r="15" spans="1:10" ht="15" thickBot="1" x14ac:dyDescent="0.4">
      <c r="A15" s="11" t="s">
        <v>10</v>
      </c>
      <c r="B15" s="261">
        <f>+'05-Mayor'!B15+'05S-Mayor-Schol'!B15</f>
        <v>0</v>
      </c>
      <c r="C15" s="261">
        <f>+'05-Mayor'!C15+'05S-Mayor-Schol'!C15</f>
        <v>0</v>
      </c>
      <c r="D15" s="261">
        <f>+'05-Mayor'!D15+'05S-Mayor-Schol'!D15</f>
        <v>0</v>
      </c>
      <c r="E15" s="523">
        <f>+'05-Mayor'!E15+'05S-Mayor-Schol'!E15</f>
        <v>0</v>
      </c>
      <c r="F15" s="271">
        <f>+'05-Mayor'!F15+'05S-Mayor-Schol'!F15</f>
        <v>0</v>
      </c>
      <c r="G15" s="261">
        <f>+'05-Mayor'!G15+'05S-Mayor-Schol'!G15</f>
        <v>0</v>
      </c>
      <c r="H15" s="261">
        <f>+'05-Mayor'!H15+'05S-Mayor-Schol'!H15</f>
        <v>0</v>
      </c>
      <c r="I15" s="266">
        <f>+'05-Mayor'!I15+'05S-Mayor-Schol'!I15</f>
        <v>0</v>
      </c>
    </row>
    <row r="16" spans="1:10" ht="15" thickBot="1" x14ac:dyDescent="0.4">
      <c r="A16" s="4" t="s">
        <v>11</v>
      </c>
      <c r="B16" s="39">
        <f>SUM(B9:B15)</f>
        <v>6337229</v>
      </c>
      <c r="C16" s="39">
        <f t="shared" ref="C16:I16" si="0">SUM(C9:C15)</f>
        <v>6563592</v>
      </c>
      <c r="D16" s="39">
        <f t="shared" si="0"/>
        <v>6980092</v>
      </c>
      <c r="E16" s="529">
        <f t="shared" si="0"/>
        <v>6814201</v>
      </c>
      <c r="F16" s="39">
        <f t="shared" si="0"/>
        <v>6764201</v>
      </c>
      <c r="G16" s="39">
        <f t="shared" si="0"/>
        <v>6714201</v>
      </c>
      <c r="H16" s="39">
        <f t="shared" si="0"/>
        <v>6714201</v>
      </c>
      <c r="I16" s="39">
        <f t="shared" si="0"/>
        <v>6714201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4"/>
  <dimension ref="A1:J60"/>
  <sheetViews>
    <sheetView zoomScale="90" zoomScaleNormal="90" zoomScaleSheetLayoutView="90" workbookViewId="0">
      <selection activeCell="A64" sqref="A6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107" t="s">
        <v>183</v>
      </c>
      <c r="C6" s="880" t="s">
        <v>189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6">
        <f>+'04-OIT'!B9+'04-OIT-911'!B9</f>
        <v>24148702</v>
      </c>
      <c r="C9" s="269">
        <f>+'04-OIT'!C9+'04-OIT-911'!C9</f>
        <v>24163694</v>
      </c>
      <c r="D9" s="255">
        <f>+'04-OIT'!D9+'04-OIT-911'!D9</f>
        <v>24828634</v>
      </c>
      <c r="E9" s="522">
        <f>+'04-OIT'!E9+'04-OIT-911'!E9</f>
        <v>30999418</v>
      </c>
      <c r="F9" s="512">
        <f>+'04-OIT'!F9+'04-OIT-911'!F9</f>
        <v>30672898</v>
      </c>
      <c r="G9" s="255">
        <f>+'04-OIT'!G9+'04-OIT-911'!G9</f>
        <v>29948296</v>
      </c>
      <c r="H9" s="255">
        <f>+'04-OIT'!H9+'04-OIT-911'!H9</f>
        <v>29987277</v>
      </c>
      <c r="I9" s="272">
        <f>+'04-OIT'!I9+'04-OIT-911'!I9</f>
        <v>29987277</v>
      </c>
    </row>
    <row r="10" spans="1:10" x14ac:dyDescent="0.35">
      <c r="A10" s="10" t="s">
        <v>5</v>
      </c>
      <c r="B10" s="258">
        <f>+'04-OIT'!B10+'04-OIT-911'!B10</f>
        <v>61629312</v>
      </c>
      <c r="C10" s="270">
        <f>+'04-OIT'!C10+'04-OIT-911'!C10</f>
        <v>75735607</v>
      </c>
      <c r="D10" s="257">
        <f>+'04-OIT'!D10+'04-OIT-911'!D10</f>
        <v>79142936</v>
      </c>
      <c r="E10" s="521">
        <f>+'04-OIT'!E10+'04-OIT-911'!E10</f>
        <v>70443320</v>
      </c>
      <c r="F10" s="270">
        <f>+'04-OIT'!F10+'04-OIT-911'!F10</f>
        <v>67595538</v>
      </c>
      <c r="G10" s="257">
        <f>+'04-OIT'!G10+'04-OIT-911'!G10</f>
        <v>66996492</v>
      </c>
      <c r="H10" s="257">
        <f>+'04-OIT'!H10+'04-OIT-911'!H10</f>
        <v>67008636</v>
      </c>
      <c r="I10" s="264">
        <f>+'04-OIT'!I10+'04-OIT-911'!I10</f>
        <v>66199074</v>
      </c>
    </row>
    <row r="11" spans="1:10" x14ac:dyDescent="0.35">
      <c r="A11" s="9" t="s">
        <v>6</v>
      </c>
      <c r="B11" s="260">
        <f>+'04-OIT'!B11+'04-OIT-911'!B11</f>
        <v>10114415</v>
      </c>
      <c r="C11" s="269">
        <f>+'04-OIT'!C11+'04-OIT-911'!C11</f>
        <v>29460827</v>
      </c>
      <c r="D11" s="259">
        <f>+'04-OIT'!D11+'04-OIT-911'!D11</f>
        <v>26910827</v>
      </c>
      <c r="E11" s="522">
        <f>+'04-OIT'!E11+'04-OIT-911'!E11</f>
        <v>11048009</v>
      </c>
      <c r="F11" s="269">
        <f>+'04-OIT'!F11+'04-OIT-911'!F11</f>
        <v>11048009</v>
      </c>
      <c r="G11" s="259">
        <f>+'04-OIT'!G11+'04-OIT-911'!G11</f>
        <v>11048009</v>
      </c>
      <c r="H11" s="259">
        <f>+'04-OIT'!H11+'04-OIT-911'!H11</f>
        <v>11048009</v>
      </c>
      <c r="I11" s="265">
        <f>+'04-OIT'!I11+'04-OIT-911'!I11</f>
        <v>11048009</v>
      </c>
    </row>
    <row r="12" spans="1:10" x14ac:dyDescent="0.35">
      <c r="A12" s="10" t="s">
        <v>7</v>
      </c>
      <c r="B12" s="258">
        <f>+'04-OIT'!B12+'04-OIT-911'!B12</f>
        <v>1970</v>
      </c>
      <c r="C12" s="270">
        <f>+'04-OIT'!C12+'04-OIT-911'!C12</f>
        <v>0</v>
      </c>
      <c r="D12" s="257">
        <f>+'04-OIT'!D12+'04-OIT-911'!D12</f>
        <v>0</v>
      </c>
      <c r="E12" s="521">
        <f>+'04-OIT'!E12+'04-OIT-911'!E12</f>
        <v>0</v>
      </c>
      <c r="F12" s="270">
        <f>+'04-OIT'!F12+'04-OIT-911'!F12</f>
        <v>0</v>
      </c>
      <c r="G12" s="257">
        <f>+'04-OIT'!G12+'04-OIT-911'!G12</f>
        <v>0</v>
      </c>
      <c r="H12" s="257">
        <f>+'04-OIT'!H12+'04-OIT-911'!H12</f>
        <v>0</v>
      </c>
      <c r="I12" s="264">
        <f>+'04-OIT'!I12+'04-OIT-911'!I12</f>
        <v>0</v>
      </c>
    </row>
    <row r="13" spans="1:10" x14ac:dyDescent="0.35">
      <c r="A13" s="9" t="s">
        <v>8</v>
      </c>
      <c r="B13" s="260">
        <f>+'04-OIT'!B13+'04-OIT-911'!B13</f>
        <v>0</v>
      </c>
      <c r="C13" s="269">
        <f>+'04-OIT'!C13+'04-OIT-911'!C13</f>
        <v>0</v>
      </c>
      <c r="D13" s="259">
        <f>+'04-OIT'!D13+'04-OIT-911'!D13</f>
        <v>0</v>
      </c>
      <c r="E13" s="522">
        <f>+'04-OIT'!E13+'04-OIT-911'!E13</f>
        <v>0</v>
      </c>
      <c r="F13" s="269">
        <f>+'04-OIT'!F13+'04-OIT-911'!F13</f>
        <v>0</v>
      </c>
      <c r="G13" s="259">
        <f>+'04-OIT'!G13+'04-OIT-911'!G13</f>
        <v>0</v>
      </c>
      <c r="H13" s="259">
        <f>+'04-OIT'!H13+'04-OIT-911'!H13</f>
        <v>0</v>
      </c>
      <c r="I13" s="265">
        <f>+'04-OIT'!I13+'04-OIT-911'!I13</f>
        <v>0</v>
      </c>
    </row>
    <row r="14" spans="1:10" x14ac:dyDescent="0.35">
      <c r="A14" s="10" t="s">
        <v>9</v>
      </c>
      <c r="B14" s="258">
        <f>+'04-OIT'!B14+'04-OIT-911'!B14</f>
        <v>0</v>
      </c>
      <c r="C14" s="270">
        <f>+'04-OIT'!C14+'04-OIT-911'!C14</f>
        <v>0</v>
      </c>
      <c r="D14" s="257">
        <f>+'04-OIT'!D14+'04-OIT-911'!D14</f>
        <v>0</v>
      </c>
      <c r="E14" s="521">
        <f>+'04-OIT'!E14+'04-OIT-911'!E14</f>
        <v>0</v>
      </c>
      <c r="F14" s="270">
        <f>+'04-OIT'!F14+'04-OIT-911'!F14</f>
        <v>0</v>
      </c>
      <c r="G14" s="257">
        <f>+'04-OIT'!G14+'04-OIT-911'!G14</f>
        <v>0</v>
      </c>
      <c r="H14" s="257">
        <f>+'04-OIT'!H14+'04-OIT-911'!H14</f>
        <v>0</v>
      </c>
      <c r="I14" s="264">
        <f>+'04-OIT'!I14+'04-OIT-911'!I14</f>
        <v>0</v>
      </c>
    </row>
    <row r="15" spans="1:10" ht="15" thickBot="1" x14ac:dyDescent="0.4">
      <c r="A15" s="11" t="s">
        <v>10</v>
      </c>
      <c r="B15" s="262">
        <f>+'04-OIT'!B15+'04-OIT-911'!B15</f>
        <v>0</v>
      </c>
      <c r="C15" s="271">
        <f>+'04-OIT'!C15+'04-OIT-911'!C15</f>
        <v>0</v>
      </c>
      <c r="D15" s="261">
        <f>+'04-OIT'!D15+'04-OIT-911'!D15</f>
        <v>0</v>
      </c>
      <c r="E15" s="523">
        <f>+'04-OIT'!E15+'04-OIT-911'!E15</f>
        <v>0</v>
      </c>
      <c r="F15" s="271">
        <f>+'04-OIT'!F15+'04-OIT-911'!F15</f>
        <v>0</v>
      </c>
      <c r="G15" s="261">
        <f>+'04-OIT'!G15+'04-OIT-911'!G15</f>
        <v>0</v>
      </c>
      <c r="H15" s="261">
        <f>+'04-OIT'!H15+'04-OIT-911'!H15</f>
        <v>0</v>
      </c>
      <c r="I15" s="266">
        <f>+'04-OIT'!I15+'04-OIT-911'!I15</f>
        <v>0</v>
      </c>
    </row>
    <row r="16" spans="1:10" ht="15" thickBot="1" x14ac:dyDescent="0.4">
      <c r="A16" s="4" t="s">
        <v>11</v>
      </c>
      <c r="B16" s="39">
        <f>SUM(B9:B15)</f>
        <v>95894399</v>
      </c>
      <c r="C16" s="39">
        <f t="shared" ref="C16:I16" si="0">SUM(C9:C15)</f>
        <v>129360128</v>
      </c>
      <c r="D16" s="39">
        <f t="shared" si="0"/>
        <v>130882397</v>
      </c>
      <c r="E16" s="529">
        <f t="shared" si="0"/>
        <v>112490747</v>
      </c>
      <c r="F16" s="39">
        <f t="shared" si="0"/>
        <v>109316445</v>
      </c>
      <c r="G16" s="39">
        <f t="shared" si="0"/>
        <v>107992797</v>
      </c>
      <c r="H16" s="39">
        <f t="shared" si="0"/>
        <v>108043922</v>
      </c>
      <c r="I16" s="39">
        <f t="shared" si="0"/>
        <v>107234360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5"/>
  <dimension ref="A1:J60"/>
  <sheetViews>
    <sheetView topLeftCell="A18" zoomScaleNormal="100" zoomScaleSheetLayoutView="90" workbookViewId="0">
      <selection activeCell="E14" sqref="E14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106" t="s">
        <v>14</v>
      </c>
      <c r="B6" s="107" t="s">
        <v>181</v>
      </c>
      <c r="C6" s="880" t="s">
        <v>182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5">
        <f>+'20-Public Property'!B9+'20S-Public Prop-SEPTA'!B9+'20SR-Public Prop-Space Rentals'!B9+'20U-Public Prop-Utilities'!B9</f>
        <v>8610609</v>
      </c>
      <c r="C9" s="255">
        <f>+'20-Public Property'!C9+'20S-Public Prop-SEPTA'!C9+'20SR-Public Prop-Space Rentals'!C9+'20U-Public Prop-Utilities'!C9</f>
        <v>10101149</v>
      </c>
      <c r="D9" s="255">
        <f>+'20-Public Property'!D9+'20S-Public Prop-SEPTA'!D9+'20SR-Public Prop-Space Rentals'!D9+'20U-Public Prop-Utilities'!D9</f>
        <v>10101149</v>
      </c>
      <c r="E9" s="522">
        <f>+'20-Public Property'!E9+'20S-Public Prop-SEPTA'!E9+'20SR-Public Prop-Space Rentals'!E9+'20U-Public Prop-Utilities'!E9</f>
        <v>10098527</v>
      </c>
      <c r="F9" s="512">
        <f>+'20-Public Property'!F9+'20S-Public Prop-SEPTA'!F9+'20SR-Public Prop-Space Rentals'!F9+'20U-Public Prop-Utilities'!F9</f>
        <v>10104653</v>
      </c>
      <c r="G9" s="255">
        <f>+'20-Public Property'!G9+'20S-Public Prop-SEPTA'!G9+'20SR-Public Prop-Space Rentals'!G9+'20U-Public Prop-Utilities'!G9</f>
        <v>10110962</v>
      </c>
      <c r="H9" s="255">
        <f>+'20-Public Property'!H9+'20S-Public Prop-SEPTA'!H9+'20SR-Public Prop-Space Rentals'!H9+'20U-Public Prop-Utilities'!H9</f>
        <v>10115460</v>
      </c>
      <c r="I9" s="272">
        <f>+'20-Public Property'!I9+'20S-Public Prop-SEPTA'!I9+'20SR-Public Prop-Space Rentals'!I9+'20U-Public Prop-Utilities'!I9</f>
        <v>10122154</v>
      </c>
    </row>
    <row r="10" spans="1:10" x14ac:dyDescent="0.35">
      <c r="A10" s="10" t="s">
        <v>5</v>
      </c>
      <c r="B10" s="257">
        <f>+'20-Public Property'!B10+'20S-Public Prop-SEPTA'!B10+'20SR-Public Prop-Space Rentals'!B10+'20U-Public Prop-Utilities'!B10</f>
        <v>176880460</v>
      </c>
      <c r="C10" s="257">
        <f>+'20-Public Property'!C10+'20S-Public Prop-SEPTA'!C10+'20SR-Public Prop-Space Rentals'!C10+'20U-Public Prop-Utilities'!C10</f>
        <v>166172995</v>
      </c>
      <c r="D10" s="257">
        <f>+'20-Public Property'!D10+'20S-Public Prop-SEPTA'!D10+'20SR-Public Prop-Space Rentals'!D10+'20U-Public Prop-Utilities'!D10</f>
        <v>167079532</v>
      </c>
      <c r="E10" s="521">
        <f>+'20-Public Property'!E10+'20S-Public Prop-SEPTA'!E10+'20SR-Public Prop-Space Rentals'!E10+'20U-Public Prop-Utilities'!E10</f>
        <v>182065196</v>
      </c>
      <c r="F10" s="270">
        <f>+'20-Public Property'!F10+'20S-Public Prop-SEPTA'!F10+'20SR-Public Prop-Space Rentals'!F10+'20U-Public Prop-Utilities'!F10</f>
        <v>186923995</v>
      </c>
      <c r="G10" s="257">
        <f>+'20-Public Property'!G10+'20S-Public Prop-SEPTA'!G10+'20SR-Public Prop-Space Rentals'!G10+'20U-Public Prop-Utilities'!G10</f>
        <v>192393467</v>
      </c>
      <c r="H10" s="257">
        <f>+'20-Public Property'!H10+'20S-Public Prop-SEPTA'!H10+'20SR-Public Prop-Space Rentals'!H10+'20U-Public Prop-Utilities'!H10</f>
        <v>197812272</v>
      </c>
      <c r="I10" s="264">
        <f>+'20-Public Property'!I10+'20S-Public Prop-SEPTA'!I10+'20SR-Public Prop-Space Rentals'!I10+'20U-Public Prop-Utilities'!I10</f>
        <v>203627501</v>
      </c>
    </row>
    <row r="11" spans="1:10" x14ac:dyDescent="0.35">
      <c r="A11" s="9" t="s">
        <v>6</v>
      </c>
      <c r="B11" s="259">
        <f>+'20-Public Property'!B11+'20S-Public Prop-SEPTA'!B11+'20SR-Public Prop-Space Rentals'!B11+'20U-Public Prop-Utilities'!B11</f>
        <v>1044238</v>
      </c>
      <c r="C11" s="259">
        <f>+'20-Public Property'!C11+'20S-Public Prop-SEPTA'!C11+'20SR-Public Prop-Space Rentals'!C11+'20U-Public Prop-Utilities'!C11</f>
        <v>1338535</v>
      </c>
      <c r="D11" s="259">
        <f>+'20-Public Property'!D11+'20S-Public Prop-SEPTA'!D11+'20SR-Public Prop-Space Rentals'!D11+'20U-Public Prop-Utilities'!D11</f>
        <v>1338535</v>
      </c>
      <c r="E11" s="522">
        <f>+'20-Public Property'!E11+'20S-Public Prop-SEPTA'!E11+'20SR-Public Prop-Space Rentals'!E11+'20U-Public Prop-Utilities'!E11</f>
        <v>1338535</v>
      </c>
      <c r="F11" s="269">
        <f>+'20-Public Property'!F11+'20S-Public Prop-SEPTA'!F11+'20SR-Public Prop-Space Rentals'!F11+'20U-Public Prop-Utilities'!F11</f>
        <v>1338535</v>
      </c>
      <c r="G11" s="259">
        <f>+'20-Public Property'!G11+'20S-Public Prop-SEPTA'!G11+'20SR-Public Prop-Space Rentals'!G11+'20U-Public Prop-Utilities'!G11</f>
        <v>1338535</v>
      </c>
      <c r="H11" s="259">
        <f>+'20-Public Property'!H11+'20S-Public Prop-SEPTA'!H11+'20SR-Public Prop-Space Rentals'!H11+'20U-Public Prop-Utilities'!H11</f>
        <v>1338535</v>
      </c>
      <c r="I11" s="265">
        <f>+'20-Public Property'!I11+'20S-Public Prop-SEPTA'!I11+'20SR-Public Prop-Space Rentals'!I11+'20U-Public Prop-Utilities'!I11</f>
        <v>1338535</v>
      </c>
    </row>
    <row r="12" spans="1:10" x14ac:dyDescent="0.35">
      <c r="A12" s="10" t="s">
        <v>7</v>
      </c>
      <c r="B12" s="257">
        <f>+'20-Public Property'!B12+'20S-Public Prop-SEPTA'!B12+'20SR-Public Prop-Space Rentals'!B12+'20U-Public Prop-Utilities'!B12</f>
        <v>211400</v>
      </c>
      <c r="C12" s="257">
        <f>+'20-Public Property'!C12+'20S-Public Prop-SEPTA'!C12+'20SR-Public Prop-Space Rentals'!C12+'20U-Public Prop-Utilities'!C12</f>
        <v>0</v>
      </c>
      <c r="D12" s="257">
        <f>+'20-Public Property'!D12+'20S-Public Prop-SEPTA'!D12+'20SR-Public Prop-Space Rentals'!D12+'20U-Public Prop-Utilities'!D12</f>
        <v>0</v>
      </c>
      <c r="E12" s="521">
        <f>+'20-Public Property'!E12+'20S-Public Prop-SEPTA'!E12+'20SR-Public Prop-Space Rentals'!E12+'20U-Public Prop-Utilities'!E12</f>
        <v>0</v>
      </c>
      <c r="F12" s="270">
        <f>+'20-Public Property'!F12+'20S-Public Prop-SEPTA'!F12+'20SR-Public Prop-Space Rentals'!F12+'20U-Public Prop-Utilities'!F12</f>
        <v>0</v>
      </c>
      <c r="G12" s="257">
        <f>+'20-Public Property'!G12+'20S-Public Prop-SEPTA'!G12+'20SR-Public Prop-Space Rentals'!G12+'20U-Public Prop-Utilities'!G12</f>
        <v>0</v>
      </c>
      <c r="H12" s="257">
        <f>+'20-Public Property'!H12+'20S-Public Prop-SEPTA'!H12+'20SR-Public Prop-Space Rentals'!H12+'20U-Public Prop-Utilities'!H12</f>
        <v>0</v>
      </c>
      <c r="I12" s="264">
        <f>+'20-Public Property'!I12+'20S-Public Prop-SEPTA'!I12+'20SR-Public Prop-Space Rentals'!I12+'20U-Public Prop-Utilities'!I12</f>
        <v>0</v>
      </c>
    </row>
    <row r="13" spans="1:10" x14ac:dyDescent="0.35">
      <c r="A13" s="9" t="s">
        <v>8</v>
      </c>
      <c r="B13" s="259">
        <f>+'20-Public Property'!B13+'20S-Public Prop-SEPTA'!B13+'20SR-Public Prop-Space Rentals'!B13+'20U-Public Prop-Utilities'!B13</f>
        <v>0</v>
      </c>
      <c r="C13" s="259">
        <f>+'20-Public Property'!C13+'20S-Public Prop-SEPTA'!C13+'20SR-Public Prop-Space Rentals'!C13+'20U-Public Prop-Utilities'!C13</f>
        <v>0</v>
      </c>
      <c r="D13" s="259">
        <f>+'20-Public Property'!D13+'20S-Public Prop-SEPTA'!D13+'20SR-Public Prop-Space Rentals'!D13+'20U-Public Prop-Utilities'!D13</f>
        <v>0</v>
      </c>
      <c r="E13" s="522">
        <f>+'20-Public Property'!E13+'20S-Public Prop-SEPTA'!E13+'20SR-Public Prop-Space Rentals'!E13+'20U-Public Prop-Utilities'!E13</f>
        <v>0</v>
      </c>
      <c r="F13" s="269">
        <f>+'20-Public Property'!F13+'20S-Public Prop-SEPTA'!F13+'20SR-Public Prop-Space Rentals'!F13+'20U-Public Prop-Utilities'!F13</f>
        <v>0</v>
      </c>
      <c r="G13" s="259">
        <f>+'20-Public Property'!G13+'20S-Public Prop-SEPTA'!G13+'20SR-Public Prop-Space Rentals'!G13+'20U-Public Prop-Utilities'!G13</f>
        <v>0</v>
      </c>
      <c r="H13" s="259">
        <f>+'20-Public Property'!H13+'20S-Public Prop-SEPTA'!H13+'20SR-Public Prop-Space Rentals'!H13+'20U-Public Prop-Utilities'!H13</f>
        <v>0</v>
      </c>
      <c r="I13" s="265">
        <f>+'20-Public Property'!I13+'20S-Public Prop-SEPTA'!I13+'20SR-Public Prop-Space Rentals'!I13+'20U-Public Prop-Utilities'!I13</f>
        <v>0</v>
      </c>
    </row>
    <row r="14" spans="1:10" x14ac:dyDescent="0.35">
      <c r="A14" s="10" t="s">
        <v>9</v>
      </c>
      <c r="B14" s="257">
        <f>+'20-Public Property'!B14+'20S-Public Prop-SEPTA'!B14+'20SR-Public Prop-Space Rentals'!B14+'20U-Public Prop-Utilities'!B14</f>
        <v>23169407</v>
      </c>
      <c r="C14" s="257">
        <f>+'20-Public Property'!C14+'20S-Public Prop-SEPTA'!C14+'20SR-Public Prop-Space Rentals'!C14+'20U-Public Prop-Utilities'!C14</f>
        <v>28235000</v>
      </c>
      <c r="D14" s="257">
        <f>+'20-Public Property'!D14+'20S-Public Prop-SEPTA'!D14+'20SR-Public Prop-Space Rentals'!D14+'20U-Public Prop-Utilities'!D14</f>
        <v>28235000</v>
      </c>
      <c r="E14" s="521">
        <f>+'20-Public Property'!E14+'20S-Public Prop-SEPTA'!E14+'20SR-Public Prop-Space Rentals'!E14+'20U-Public Prop-Utilities'!E14</f>
        <v>26262470</v>
      </c>
      <c r="F14" s="270">
        <f>+'20-Public Property'!F14+'20S-Public Prop-SEPTA'!F14+'20SR-Public Prop-Space Rentals'!F14+'20U-Public Prop-Utilities'!F14</f>
        <v>27509288</v>
      </c>
      <c r="G14" s="257">
        <f>+'20-Public Property'!G14+'20S-Public Prop-SEPTA'!G14+'20SR-Public Prop-Space Rentals'!G14+'20U-Public Prop-Utilities'!G14</f>
        <v>28966288</v>
      </c>
      <c r="H14" s="257">
        <f>+'20-Public Property'!H14+'20S-Public Prop-SEPTA'!H14+'20SR-Public Prop-Space Rentals'!H14+'20U-Public Prop-Utilities'!H14</f>
        <v>29594798</v>
      </c>
      <c r="I14" s="264">
        <f>+'20-Public Property'!I14+'20S-Public Prop-SEPTA'!I14+'20SR-Public Prop-Space Rentals'!I14+'20U-Public Prop-Utilities'!I14</f>
        <v>30290293</v>
      </c>
    </row>
    <row r="15" spans="1:10" ht="15" thickBot="1" x14ac:dyDescent="0.4">
      <c r="A15" s="11" t="s">
        <v>10</v>
      </c>
      <c r="B15" s="261">
        <f>+'20-Public Property'!B15+'20S-Public Prop-SEPTA'!B15+'20SR-Public Prop-Space Rentals'!B15+'20U-Public Prop-Utilities'!B15</f>
        <v>0</v>
      </c>
      <c r="C15" s="261">
        <f>+'20-Public Property'!C15+'20S-Public Prop-SEPTA'!C15+'20SR-Public Prop-Space Rentals'!C15+'20U-Public Prop-Utilities'!C15</f>
        <v>0</v>
      </c>
      <c r="D15" s="261">
        <f>+'20-Public Property'!D15+'20S-Public Prop-SEPTA'!D15+'20SR-Public Prop-Space Rentals'!D15+'20U-Public Prop-Utilities'!D15</f>
        <v>0</v>
      </c>
      <c r="E15" s="523">
        <f>+'20-Public Property'!E15+'20S-Public Prop-SEPTA'!E15+'20SR-Public Prop-Space Rentals'!E15+'20U-Public Prop-Utilities'!E15</f>
        <v>0</v>
      </c>
      <c r="F15" s="271">
        <f>+'20-Public Property'!F15+'20S-Public Prop-SEPTA'!F15+'20SR-Public Prop-Space Rentals'!F15+'20U-Public Prop-Utilities'!F15</f>
        <v>0</v>
      </c>
      <c r="G15" s="261">
        <f>+'20-Public Property'!G15+'20S-Public Prop-SEPTA'!G15+'20SR-Public Prop-Space Rentals'!G15+'20U-Public Prop-Utilities'!G15</f>
        <v>0</v>
      </c>
      <c r="H15" s="261">
        <f>+'20-Public Property'!H15+'20S-Public Prop-SEPTA'!H15+'20SR-Public Prop-Space Rentals'!H15+'20U-Public Prop-Utilities'!H15</f>
        <v>0</v>
      </c>
      <c r="I15" s="266">
        <f>+'20-Public Property'!I15+'20S-Public Prop-SEPTA'!I15+'20SR-Public Prop-Space Rentals'!I15+'20U-Public Prop-Utilities'!I15</f>
        <v>0</v>
      </c>
    </row>
    <row r="16" spans="1:10" ht="15" thickBot="1" x14ac:dyDescent="0.4">
      <c r="A16" s="4" t="s">
        <v>11</v>
      </c>
      <c r="B16" s="39">
        <f>SUM(B9:B15)</f>
        <v>209916114</v>
      </c>
      <c r="C16" s="39">
        <f t="shared" ref="C16:I16" si="0">SUM(C9:C15)</f>
        <v>205847679</v>
      </c>
      <c r="D16" s="39">
        <f t="shared" si="0"/>
        <v>206754216</v>
      </c>
      <c r="E16" s="529">
        <f t="shared" si="0"/>
        <v>219764728</v>
      </c>
      <c r="F16" s="39">
        <f t="shared" si="0"/>
        <v>225876471</v>
      </c>
      <c r="G16" s="39">
        <f t="shared" si="0"/>
        <v>232809252</v>
      </c>
      <c r="H16" s="39">
        <f t="shared" si="0"/>
        <v>238861065</v>
      </c>
      <c r="I16" s="39">
        <f t="shared" si="0"/>
        <v>245378483</v>
      </c>
    </row>
    <row r="18" spans="1:10" x14ac:dyDescent="0.35">
      <c r="E18" s="541">
        <f>+E16-D16</f>
        <v>13010512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77"/>
      <c r="B23" s="78"/>
      <c r="C23" s="71"/>
      <c r="D23" s="72"/>
      <c r="E23" s="72"/>
      <c r="F23" s="72"/>
      <c r="G23" s="72"/>
      <c r="H23" s="72"/>
      <c r="I23" s="73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77"/>
      <c r="B25" s="78"/>
      <c r="C25" s="71"/>
      <c r="D25" s="72"/>
      <c r="E25" s="72"/>
      <c r="F25" s="72"/>
      <c r="G25" s="72"/>
      <c r="H25" s="72"/>
      <c r="I25" s="73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J60"/>
  <sheetViews>
    <sheetView zoomScale="90" zoomScaleNormal="90" zoomScaleSheetLayoutView="90" workbookViewId="0">
      <selection activeCell="E16" sqref="E16"/>
    </sheetView>
  </sheetViews>
  <sheetFormatPr defaultColWidth="9.1796875" defaultRowHeight="14.5" x14ac:dyDescent="0.35"/>
  <cols>
    <col min="1" max="1" width="35.81640625" style="7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C5" s="880"/>
      <c r="D5" s="880"/>
      <c r="E5" s="880"/>
      <c r="F5" s="880"/>
      <c r="G5" s="880"/>
      <c r="H5" s="880"/>
      <c r="I5" s="880"/>
    </row>
    <row r="6" spans="1:10" ht="15.5" x14ac:dyDescent="0.35">
      <c r="A6" s="381" t="s">
        <v>14</v>
      </c>
      <c r="B6" s="382" t="s">
        <v>265</v>
      </c>
      <c r="C6" s="880" t="s">
        <v>267</v>
      </c>
      <c r="D6" s="880"/>
      <c r="E6" s="880"/>
      <c r="F6" s="880"/>
      <c r="G6" s="880"/>
      <c r="H6" s="880"/>
      <c r="I6" s="880"/>
    </row>
    <row r="7" spans="1:10" ht="15" thickBot="1" x14ac:dyDescent="0.4"/>
    <row r="8" spans="1:10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0" x14ac:dyDescent="0.35">
      <c r="A9" s="9" t="s">
        <v>4</v>
      </c>
      <c r="B9" s="255">
        <f>+'12-Streets'!B9+'12D-Streets-Disposal'!B9</f>
        <v>90344142</v>
      </c>
      <c r="C9" s="255">
        <f>+'12-Streets'!C9+'12D-Streets-Disposal'!C9</f>
        <v>87283619</v>
      </c>
      <c r="D9" s="255">
        <f>+'12-Streets'!D9+'12D-Streets-Disposal'!D9</f>
        <v>88909902</v>
      </c>
      <c r="E9" s="522">
        <f>+'12-Streets'!E9+'12D-Streets-Disposal'!E9</f>
        <v>90986330</v>
      </c>
      <c r="F9" s="512">
        <f>+'12-Streets'!F9+'12D-Streets-Disposal'!F9</f>
        <v>94158953</v>
      </c>
      <c r="G9" s="255">
        <f>+'12-Streets'!G9+'12D-Streets-Disposal'!G9</f>
        <v>96837284</v>
      </c>
      <c r="H9" s="255">
        <f>+'12-Streets'!H9+'12D-Streets-Disposal'!H9</f>
        <v>99539050</v>
      </c>
      <c r="I9" s="272">
        <f>+'12-Streets'!I9+'12D-Streets-Disposal'!I9</f>
        <v>99539050</v>
      </c>
    </row>
    <row r="10" spans="1:10" x14ac:dyDescent="0.35">
      <c r="A10" s="10" t="s">
        <v>5</v>
      </c>
      <c r="B10" s="257">
        <f>+'12-Streets'!B10+'12D-Streets-Disposal'!B10</f>
        <v>54386125</v>
      </c>
      <c r="C10" s="257">
        <f>+'12-Streets'!C10+'12D-Streets-Disposal'!C10</f>
        <v>59512680</v>
      </c>
      <c r="D10" s="257">
        <f>+'12-Streets'!D10+'12D-Streets-Disposal'!D10</f>
        <v>69619405</v>
      </c>
      <c r="E10" s="521">
        <f>+'12-Streets'!E10+'12D-Streets-Disposal'!E10</f>
        <v>68179925</v>
      </c>
      <c r="F10" s="270">
        <f>+'12-Streets'!F10+'12D-Streets-Disposal'!F10</f>
        <v>63445147</v>
      </c>
      <c r="G10" s="257">
        <f>+'12-Streets'!G10+'12D-Streets-Disposal'!G10</f>
        <v>64761128</v>
      </c>
      <c r="H10" s="257">
        <f>+'12-Streets'!H10+'12D-Streets-Disposal'!H10</f>
        <v>66566517</v>
      </c>
      <c r="I10" s="264">
        <f>+'12-Streets'!I10+'12D-Streets-Disposal'!I10</f>
        <v>68444064</v>
      </c>
    </row>
    <row r="11" spans="1:10" x14ac:dyDescent="0.35">
      <c r="A11" s="9" t="s">
        <v>6</v>
      </c>
      <c r="B11" s="259">
        <f>+'12-Streets'!B11+'12D-Streets-Disposal'!B11</f>
        <v>7050699</v>
      </c>
      <c r="C11" s="259">
        <f>+'12-Streets'!C11+'12D-Streets-Disposal'!C11</f>
        <v>6172885</v>
      </c>
      <c r="D11" s="259">
        <f>+'12-Streets'!D11+'12D-Streets-Disposal'!D11</f>
        <v>4922885</v>
      </c>
      <c r="E11" s="522">
        <f>+'12-Streets'!E11+'12D-Streets-Disposal'!E11</f>
        <v>14215207</v>
      </c>
      <c r="F11" s="269">
        <f>+'12-Streets'!F11+'12D-Streets-Disposal'!F11</f>
        <v>13634280</v>
      </c>
      <c r="G11" s="259">
        <f>+'12-Streets'!G11+'12D-Streets-Disposal'!G11</f>
        <v>13640602</v>
      </c>
      <c r="H11" s="259">
        <f>+'12-Streets'!H11+'12D-Streets-Disposal'!H11</f>
        <v>-2431398</v>
      </c>
      <c r="I11" s="265">
        <f>+'12-Streets'!I11+'12D-Streets-Disposal'!I11</f>
        <v>-2437720</v>
      </c>
    </row>
    <row r="12" spans="1:10" x14ac:dyDescent="0.35">
      <c r="A12" s="10" t="s">
        <v>7</v>
      </c>
      <c r="B12" s="257">
        <f>+'12-Streets'!B12+'12D-Streets-Disposal'!B12</f>
        <v>23064363</v>
      </c>
      <c r="C12" s="257">
        <f>+'12-Streets'!C12+'12D-Streets-Disposal'!C12</f>
        <v>53171</v>
      </c>
      <c r="D12" s="257">
        <f>+'12-Streets'!D12+'12D-Streets-Disposal'!D12</f>
        <v>53171</v>
      </c>
      <c r="E12" s="521">
        <f>+'12-Streets'!E12+'12D-Streets-Disposal'!E12</f>
        <v>53171</v>
      </c>
      <c r="F12" s="270">
        <f>+'12-Streets'!F12+'12D-Streets-Disposal'!F12</f>
        <v>53171</v>
      </c>
      <c r="G12" s="257">
        <f>+'12-Streets'!G12+'12D-Streets-Disposal'!G12</f>
        <v>53171</v>
      </c>
      <c r="H12" s="257">
        <f>+'12-Streets'!H12+'12D-Streets-Disposal'!H12</f>
        <v>53171</v>
      </c>
      <c r="I12" s="264">
        <f>+'12-Streets'!I12+'12D-Streets-Disposal'!I12</f>
        <v>53171</v>
      </c>
    </row>
    <row r="13" spans="1:10" x14ac:dyDescent="0.35">
      <c r="A13" s="9" t="s">
        <v>8</v>
      </c>
      <c r="B13" s="259">
        <f>+'12-Streets'!B13+'12D-Streets-Disposal'!B13</f>
        <v>0</v>
      </c>
      <c r="C13" s="259">
        <f>+'12-Streets'!C13+'12D-Streets-Disposal'!C13</f>
        <v>0</v>
      </c>
      <c r="D13" s="259">
        <f>+'12-Streets'!D13+'12D-Streets-Disposal'!D13</f>
        <v>0</v>
      </c>
      <c r="E13" s="522">
        <f>+'12-Streets'!E13+'12D-Streets-Disposal'!E13</f>
        <v>0</v>
      </c>
      <c r="F13" s="269">
        <f>+'12-Streets'!F13+'12D-Streets-Disposal'!F13</f>
        <v>0</v>
      </c>
      <c r="G13" s="259">
        <f>+'12-Streets'!G13+'12D-Streets-Disposal'!G13</f>
        <v>0</v>
      </c>
      <c r="H13" s="259">
        <f>+'12-Streets'!H13+'12D-Streets-Disposal'!H13</f>
        <v>0</v>
      </c>
      <c r="I13" s="265">
        <f>+'12-Streets'!I13+'12D-Streets-Disposal'!I13</f>
        <v>0</v>
      </c>
    </row>
    <row r="14" spans="1:10" x14ac:dyDescent="0.35">
      <c r="A14" s="10" t="s">
        <v>9</v>
      </c>
      <c r="B14" s="257">
        <f>+'12-Streets'!B14+'12D-Streets-Disposal'!B14</f>
        <v>0</v>
      </c>
      <c r="C14" s="257">
        <f>+'12-Streets'!C14+'12D-Streets-Disposal'!C14</f>
        <v>0</v>
      </c>
      <c r="D14" s="257">
        <f>+'12-Streets'!D14+'12D-Streets-Disposal'!D14</f>
        <v>0</v>
      </c>
      <c r="E14" s="521">
        <f>+'12-Streets'!E14+'12D-Streets-Disposal'!E14</f>
        <v>0</v>
      </c>
      <c r="F14" s="270">
        <f>+'12-Streets'!F14+'12D-Streets-Disposal'!F14</f>
        <v>0</v>
      </c>
      <c r="G14" s="257">
        <f>+'12-Streets'!G14+'12D-Streets-Disposal'!G14</f>
        <v>0</v>
      </c>
      <c r="H14" s="257">
        <f>+'12-Streets'!H14+'12D-Streets-Disposal'!H14</f>
        <v>0</v>
      </c>
      <c r="I14" s="264">
        <f>+'12-Streets'!I14+'12D-Streets-Disposal'!I14</f>
        <v>0</v>
      </c>
    </row>
    <row r="15" spans="1:10" ht="15" thickBot="1" x14ac:dyDescent="0.4">
      <c r="A15" s="11" t="s">
        <v>10</v>
      </c>
      <c r="B15" s="261">
        <f>+'12-Streets'!B15+'12D-Streets-Disposal'!B15</f>
        <v>0</v>
      </c>
      <c r="C15" s="261">
        <f>+'12-Streets'!C15+'12D-Streets-Disposal'!C15</f>
        <v>0</v>
      </c>
      <c r="D15" s="261">
        <f>+'12-Streets'!D15+'12D-Streets-Disposal'!D15</f>
        <v>0</v>
      </c>
      <c r="E15" s="523">
        <f>+'12-Streets'!E15+'12D-Streets-Disposal'!E15</f>
        <v>0</v>
      </c>
      <c r="F15" s="271">
        <f>+'12-Streets'!F15+'12D-Streets-Disposal'!F15</f>
        <v>0</v>
      </c>
      <c r="G15" s="261">
        <f>+'12-Streets'!G15+'12D-Streets-Disposal'!G15</f>
        <v>0</v>
      </c>
      <c r="H15" s="261">
        <f>+'12-Streets'!H15+'12D-Streets-Disposal'!H15</f>
        <v>0</v>
      </c>
      <c r="I15" s="266">
        <f>+'12-Streets'!I15+'12D-Streets-Disposal'!I15</f>
        <v>0</v>
      </c>
    </row>
    <row r="16" spans="1:10" ht="15" thickBot="1" x14ac:dyDescent="0.4">
      <c r="A16" s="4" t="s">
        <v>11</v>
      </c>
      <c r="B16" s="39">
        <f>SUM(B9:B15)</f>
        <v>174845329</v>
      </c>
      <c r="C16" s="39">
        <f t="shared" ref="C16:I16" si="0">SUM(C9:C15)</f>
        <v>153022355</v>
      </c>
      <c r="D16" s="39">
        <f t="shared" si="0"/>
        <v>163505363</v>
      </c>
      <c r="E16" s="529">
        <f t="shared" si="0"/>
        <v>173434633</v>
      </c>
      <c r="F16" s="39">
        <f t="shared" si="0"/>
        <v>171291551</v>
      </c>
      <c r="G16" s="39">
        <f t="shared" si="0"/>
        <v>175292185</v>
      </c>
      <c r="H16" s="39">
        <f t="shared" si="0"/>
        <v>163727340</v>
      </c>
      <c r="I16" s="39">
        <f t="shared" si="0"/>
        <v>165598565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77"/>
      <c r="B21" s="70"/>
      <c r="C21" s="71"/>
      <c r="D21" s="72"/>
      <c r="E21" s="72"/>
      <c r="F21" s="72"/>
      <c r="G21" s="73"/>
      <c r="H21" s="73"/>
      <c r="I21" s="73"/>
      <c r="J21" s="17"/>
    </row>
    <row r="22" spans="1:10" s="58" customFormat="1" ht="13" customHeight="1" x14ac:dyDescent="0.35">
      <c r="A22" s="77"/>
      <c r="B22" s="70">
        <f>+'12D-Streets-Disposal'!B16+'12-Streets'!B16</f>
        <v>174845329</v>
      </c>
      <c r="C22" s="70">
        <f>+'12D-Streets-Disposal'!C16+'12-Streets'!C16</f>
        <v>153022355</v>
      </c>
      <c r="D22" s="70">
        <f>+'12D-Streets-Disposal'!D16+'12-Streets'!D16</f>
        <v>163505363</v>
      </c>
      <c r="E22" s="70">
        <f>+'12D-Streets-Disposal'!E16+'12-Streets'!E16</f>
        <v>173434633</v>
      </c>
      <c r="F22" s="70">
        <f>+'12D-Streets-Disposal'!F16+'12-Streets'!F16</f>
        <v>171291551</v>
      </c>
      <c r="G22" s="70">
        <f>+'12D-Streets-Disposal'!G16+'12-Streets'!G16</f>
        <v>175292185</v>
      </c>
      <c r="H22" s="70">
        <f>+'12D-Streets-Disposal'!H16+'12-Streets'!H16</f>
        <v>163727340</v>
      </c>
      <c r="I22" s="70">
        <f>+'12D-Streets-Disposal'!I16+'12-Streets'!I16</f>
        <v>165598565</v>
      </c>
      <c r="J22" s="81"/>
    </row>
    <row r="23" spans="1:10" ht="13" customHeight="1" x14ac:dyDescent="0.35">
      <c r="A23" s="77"/>
      <c r="B23" s="70">
        <f>+B22-B16</f>
        <v>0</v>
      </c>
      <c r="C23" s="70">
        <f>+C22-C16</f>
        <v>0</v>
      </c>
      <c r="D23" s="70">
        <f>+D22-D16</f>
        <v>0</v>
      </c>
      <c r="E23" s="70">
        <f t="shared" ref="E23:I23" si="1">+E22-E16</f>
        <v>0</v>
      </c>
      <c r="F23" s="70">
        <f t="shared" si="1"/>
        <v>0</v>
      </c>
      <c r="G23" s="70">
        <f t="shared" si="1"/>
        <v>0</v>
      </c>
      <c r="H23" s="70">
        <f t="shared" si="1"/>
        <v>0</v>
      </c>
      <c r="I23" s="70">
        <f t="shared" si="1"/>
        <v>0</v>
      </c>
      <c r="J23" s="17"/>
    </row>
    <row r="24" spans="1:10" s="58" customFormat="1" ht="13" customHeight="1" x14ac:dyDescent="0.35">
      <c r="A24" s="77"/>
      <c r="B24" s="70"/>
      <c r="C24" s="70"/>
      <c r="D24" s="70"/>
      <c r="E24" s="70"/>
      <c r="F24" s="70"/>
      <c r="G24" s="70"/>
      <c r="H24" s="70"/>
      <c r="I24" s="70">
        <f>SUM(E23:I23)</f>
        <v>0</v>
      </c>
      <c r="J24" s="81"/>
    </row>
    <row r="25" spans="1:10" ht="13" customHeight="1" x14ac:dyDescent="0.35">
      <c r="A25" s="227"/>
      <c r="B25" s="70"/>
      <c r="C25" s="70"/>
      <c r="D25" s="70"/>
      <c r="E25" s="70"/>
      <c r="F25" s="70"/>
      <c r="G25" s="70"/>
      <c r="H25" s="70"/>
      <c r="I25" s="70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77"/>
      <c r="B27" s="78"/>
      <c r="C27" s="71"/>
      <c r="D27" s="72"/>
      <c r="E27" s="72"/>
      <c r="F27" s="72"/>
      <c r="G27" s="72"/>
      <c r="H27" s="72"/>
      <c r="I27" s="73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77"/>
      <c r="B29" s="78"/>
      <c r="C29" s="71"/>
      <c r="D29" s="72"/>
      <c r="E29" s="72"/>
      <c r="F29" s="72"/>
      <c r="G29" s="72"/>
      <c r="H29" s="72"/>
      <c r="I29" s="73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77"/>
      <c r="B31" s="78"/>
      <c r="C31" s="71"/>
      <c r="D31" s="72"/>
      <c r="E31" s="72"/>
      <c r="F31" s="72"/>
      <c r="G31" s="72"/>
      <c r="H31" s="72"/>
      <c r="I31" s="73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77"/>
      <c r="B33" s="78"/>
      <c r="C33" s="71"/>
      <c r="D33" s="72"/>
      <c r="E33" s="72"/>
      <c r="F33" s="72"/>
      <c r="G33" s="72"/>
      <c r="H33" s="72"/>
      <c r="I33" s="73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77"/>
      <c r="B35" s="78"/>
      <c r="C35" s="75"/>
      <c r="D35" s="73"/>
      <c r="E35" s="73"/>
      <c r="F35" s="73"/>
      <c r="G35" s="73"/>
      <c r="H35" s="73"/>
      <c r="I35" s="73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C6:I6"/>
    <mergeCell ref="A1:I1"/>
    <mergeCell ref="A2:I2"/>
    <mergeCell ref="A3:I3"/>
    <mergeCell ref="A4:I4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6"/>
  <dimension ref="A1:J60"/>
  <sheetViews>
    <sheetView zoomScaleNormal="100" zoomScaleSheetLayoutView="90" workbookViewId="0">
      <selection activeCell="A16" sqref="A16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0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0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0" ht="15.5" x14ac:dyDescent="0.35">
      <c r="A3" s="875" t="s">
        <v>365</v>
      </c>
      <c r="B3" s="875"/>
      <c r="C3" s="875"/>
      <c r="D3" s="875"/>
      <c r="E3" s="875"/>
      <c r="F3" s="875"/>
      <c r="G3" s="875"/>
      <c r="H3" s="875"/>
      <c r="I3" s="875"/>
    </row>
    <row r="4" spans="1:10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0" ht="15.5" x14ac:dyDescent="0.35">
      <c r="A5" s="109" t="s">
        <v>191</v>
      </c>
      <c r="C5" s="880"/>
      <c r="D5" s="880"/>
      <c r="E5" s="880"/>
      <c r="F5" s="880"/>
      <c r="G5" s="880"/>
      <c r="H5" s="880"/>
      <c r="I5" s="880"/>
    </row>
    <row r="6" spans="1:10" ht="15.5" x14ac:dyDescent="0.35">
      <c r="A6" s="5" t="s">
        <v>14</v>
      </c>
      <c r="B6" s="32" t="s">
        <v>173</v>
      </c>
      <c r="C6" s="880" t="s">
        <v>172</v>
      </c>
      <c r="D6" s="880"/>
      <c r="E6" s="880"/>
      <c r="F6" s="880"/>
      <c r="G6" s="880"/>
      <c r="H6" s="880"/>
      <c r="I6" s="880"/>
    </row>
    <row r="7" spans="1:10" ht="15" thickBot="1" x14ac:dyDescent="0.4">
      <c r="E7" s="7" t="s">
        <v>237</v>
      </c>
    </row>
    <row r="8" spans="1:10" s="8" customFormat="1" ht="30" customHeight="1" x14ac:dyDescent="0.35">
      <c r="A8" s="1" t="s">
        <v>3</v>
      </c>
      <c r="B8" s="2" t="s">
        <v>371</v>
      </c>
      <c r="C8" s="2" t="s">
        <v>359</v>
      </c>
      <c r="D8" s="326" t="s">
        <v>362</v>
      </c>
      <c r="E8" s="399" t="s">
        <v>204</v>
      </c>
      <c r="F8" s="395" t="s">
        <v>223</v>
      </c>
      <c r="G8" s="2" t="s">
        <v>242</v>
      </c>
      <c r="H8" s="2" t="s">
        <v>291</v>
      </c>
      <c r="I8" s="3" t="s">
        <v>360</v>
      </c>
      <c r="J8" s="8" t="s">
        <v>292</v>
      </c>
    </row>
    <row r="9" spans="1:10" x14ac:dyDescent="0.35">
      <c r="A9" s="9" t="s">
        <v>4</v>
      </c>
      <c r="B9" s="33">
        <v>0</v>
      </c>
      <c r="C9" s="33">
        <v>0</v>
      </c>
      <c r="D9" s="219">
        <v>0</v>
      </c>
      <c r="E9" s="114">
        <f t="shared" ref="E9:I15" si="0">+D9</f>
        <v>0</v>
      </c>
      <c r="F9" s="396">
        <f t="shared" si="0"/>
        <v>0</v>
      </c>
      <c r="G9" s="33">
        <f t="shared" si="0"/>
        <v>0</v>
      </c>
      <c r="H9" s="219">
        <f t="shared" si="0"/>
        <v>0</v>
      </c>
      <c r="I9" s="50">
        <f t="shared" si="0"/>
        <v>0</v>
      </c>
    </row>
    <row r="10" spans="1:10" x14ac:dyDescent="0.35">
      <c r="A10" s="10" t="s">
        <v>5</v>
      </c>
      <c r="B10" s="35">
        <v>0</v>
      </c>
      <c r="C10" s="35">
        <v>0</v>
      </c>
      <c r="D10" s="222">
        <v>0</v>
      </c>
      <c r="E10" s="506">
        <f t="shared" si="0"/>
        <v>0</v>
      </c>
      <c r="F10" s="504">
        <f t="shared" si="0"/>
        <v>0</v>
      </c>
      <c r="G10" s="35">
        <f t="shared" si="0"/>
        <v>0</v>
      </c>
      <c r="H10" s="222">
        <f t="shared" si="0"/>
        <v>0</v>
      </c>
      <c r="I10" s="36">
        <f t="shared" si="0"/>
        <v>0</v>
      </c>
    </row>
    <row r="11" spans="1:10" x14ac:dyDescent="0.35">
      <c r="A11" s="9" t="s">
        <v>6</v>
      </c>
      <c r="B11" s="33">
        <v>0</v>
      </c>
      <c r="C11" s="33">
        <v>0</v>
      </c>
      <c r="D11" s="219">
        <v>0</v>
      </c>
      <c r="E11" s="114">
        <f t="shared" si="0"/>
        <v>0</v>
      </c>
      <c r="F11" s="396">
        <f t="shared" si="0"/>
        <v>0</v>
      </c>
      <c r="G11" s="33">
        <f t="shared" si="0"/>
        <v>0</v>
      </c>
      <c r="H11" s="219">
        <f t="shared" si="0"/>
        <v>0</v>
      </c>
      <c r="I11" s="34">
        <f t="shared" si="0"/>
        <v>0</v>
      </c>
    </row>
    <row r="12" spans="1:10" x14ac:dyDescent="0.35">
      <c r="A12" s="10" t="s">
        <v>7</v>
      </c>
      <c r="B12" s="35">
        <v>0</v>
      </c>
      <c r="C12" s="35">
        <v>0</v>
      </c>
      <c r="D12" s="222">
        <v>0</v>
      </c>
      <c r="E12" s="506">
        <f t="shared" si="0"/>
        <v>0</v>
      </c>
      <c r="F12" s="504">
        <f t="shared" si="0"/>
        <v>0</v>
      </c>
      <c r="G12" s="35">
        <f t="shared" si="0"/>
        <v>0</v>
      </c>
      <c r="H12" s="222">
        <f t="shared" si="0"/>
        <v>0</v>
      </c>
      <c r="I12" s="36">
        <f t="shared" si="0"/>
        <v>0</v>
      </c>
    </row>
    <row r="13" spans="1:10" x14ac:dyDescent="0.35">
      <c r="A13" s="9" t="s">
        <v>8</v>
      </c>
      <c r="B13" s="33">
        <v>0</v>
      </c>
      <c r="C13" s="33">
        <v>0</v>
      </c>
      <c r="D13" s="219">
        <v>0</v>
      </c>
      <c r="E13" s="114">
        <f t="shared" si="0"/>
        <v>0</v>
      </c>
      <c r="F13" s="396">
        <f t="shared" si="0"/>
        <v>0</v>
      </c>
      <c r="G13" s="33">
        <f t="shared" si="0"/>
        <v>0</v>
      </c>
      <c r="H13" s="219">
        <f t="shared" si="0"/>
        <v>0</v>
      </c>
      <c r="I13" s="34">
        <f t="shared" si="0"/>
        <v>0</v>
      </c>
    </row>
    <row r="14" spans="1:10" x14ac:dyDescent="0.35">
      <c r="A14" s="10" t="s">
        <v>9</v>
      </c>
      <c r="B14" s="35">
        <v>0</v>
      </c>
      <c r="C14" s="35">
        <v>0</v>
      </c>
      <c r="D14" s="222">
        <v>0</v>
      </c>
      <c r="E14" s="506">
        <f t="shared" si="0"/>
        <v>0</v>
      </c>
      <c r="F14" s="504">
        <f t="shared" si="0"/>
        <v>0</v>
      </c>
      <c r="G14" s="35">
        <f t="shared" si="0"/>
        <v>0</v>
      </c>
      <c r="H14" s="222">
        <f t="shared" si="0"/>
        <v>0</v>
      </c>
      <c r="I14" s="36">
        <f t="shared" si="0"/>
        <v>0</v>
      </c>
    </row>
    <row r="15" spans="1:10" ht="15" thickBot="1" x14ac:dyDescent="0.4">
      <c r="A15" s="11" t="s">
        <v>10</v>
      </c>
      <c r="B15" s="37">
        <v>0</v>
      </c>
      <c r="C15" s="37">
        <v>0</v>
      </c>
      <c r="D15" s="223">
        <v>0</v>
      </c>
      <c r="E15" s="507">
        <f t="shared" si="0"/>
        <v>0</v>
      </c>
      <c r="F15" s="505">
        <f t="shared" si="0"/>
        <v>0</v>
      </c>
      <c r="G15" s="37">
        <f t="shared" si="0"/>
        <v>0</v>
      </c>
      <c r="H15" s="223">
        <f t="shared" si="0"/>
        <v>0</v>
      </c>
      <c r="I15" s="38">
        <f t="shared" si="0"/>
        <v>0</v>
      </c>
    </row>
    <row r="16" spans="1:10" ht="15" thickBot="1" x14ac:dyDescent="0.4">
      <c r="A16" s="4" t="s">
        <v>11</v>
      </c>
      <c r="B16" s="39">
        <f>SUM(B9:B15)</f>
        <v>0</v>
      </c>
      <c r="C16" s="39">
        <f t="shared" ref="C16:I16" si="1">SUM(C9:C15)</f>
        <v>0</v>
      </c>
      <c r="D16" s="39">
        <f t="shared" si="1"/>
        <v>0</v>
      </c>
      <c r="E16" s="529">
        <f t="shared" si="1"/>
        <v>0</v>
      </c>
      <c r="F16" s="39">
        <f t="shared" si="1"/>
        <v>0</v>
      </c>
      <c r="G16" s="39">
        <f t="shared" si="1"/>
        <v>0</v>
      </c>
      <c r="H16" s="39">
        <f t="shared" si="1"/>
        <v>0</v>
      </c>
      <c r="I16" s="39">
        <f t="shared" si="1"/>
        <v>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89</v>
      </c>
      <c r="E19" s="24" t="s">
        <v>205</v>
      </c>
      <c r="F19" s="24" t="s">
        <v>224</v>
      </c>
      <c r="G19" s="24" t="s">
        <v>243</v>
      </c>
      <c r="H19" s="24" t="s">
        <v>293</v>
      </c>
      <c r="I19" s="24" t="s">
        <v>361</v>
      </c>
    </row>
    <row r="20" spans="1:10" ht="15" customHeight="1" thickTop="1" x14ac:dyDescent="0.35">
      <c r="A20" s="79"/>
      <c r="B20" s="70"/>
      <c r="C20" s="71"/>
      <c r="D20" s="72"/>
      <c r="E20" s="72"/>
      <c r="F20" s="72"/>
      <c r="G20" s="73"/>
      <c r="H20" s="73"/>
      <c r="I20" s="73"/>
    </row>
    <row r="21" spans="1:10" ht="13" customHeight="1" x14ac:dyDescent="0.35">
      <c r="A21" s="83"/>
      <c r="B21" s="66"/>
      <c r="C21" s="67"/>
      <c r="D21" s="68"/>
      <c r="E21" s="68"/>
      <c r="F21" s="68"/>
      <c r="G21" s="69"/>
      <c r="H21" s="69"/>
      <c r="I21" s="69"/>
      <c r="J21" s="17"/>
    </row>
    <row r="22" spans="1:10" s="58" customFormat="1" ht="13" customHeight="1" x14ac:dyDescent="0.35">
      <c r="A22" s="77"/>
      <c r="B22" s="70"/>
      <c r="C22" s="71"/>
      <c r="D22" s="72"/>
      <c r="E22" s="72"/>
      <c r="F22" s="72"/>
      <c r="G22" s="73"/>
      <c r="H22" s="73"/>
      <c r="I22" s="73"/>
      <c r="J22" s="81"/>
    </row>
    <row r="23" spans="1:10" ht="13" customHeight="1" x14ac:dyDescent="0.35">
      <c r="A23" s="83"/>
      <c r="B23" s="84"/>
      <c r="C23" s="67"/>
      <c r="D23" s="68"/>
      <c r="E23" s="68"/>
      <c r="F23" s="68"/>
      <c r="G23" s="68"/>
      <c r="H23" s="68"/>
      <c r="I23" s="69"/>
      <c r="J23" s="17"/>
    </row>
    <row r="24" spans="1:10" s="58" customFormat="1" ht="13" customHeight="1" x14ac:dyDescent="0.35">
      <c r="A24" s="77"/>
      <c r="B24" s="78"/>
      <c r="C24" s="71"/>
      <c r="D24" s="72"/>
      <c r="E24" s="72"/>
      <c r="F24" s="72"/>
      <c r="G24" s="72"/>
      <c r="H24" s="72"/>
      <c r="I24" s="73"/>
      <c r="J24" s="81"/>
    </row>
    <row r="25" spans="1:10" ht="13" customHeight="1" x14ac:dyDescent="0.35">
      <c r="A25" s="83"/>
      <c r="B25" s="84"/>
      <c r="C25" s="67"/>
      <c r="D25" s="68"/>
      <c r="E25" s="68"/>
      <c r="F25" s="68"/>
      <c r="G25" s="68"/>
      <c r="H25" s="68"/>
      <c r="I25" s="69"/>
      <c r="J25" s="17"/>
    </row>
    <row r="26" spans="1:10" ht="13" customHeight="1" x14ac:dyDescent="0.35">
      <c r="A26" s="77"/>
      <c r="B26" s="78"/>
      <c r="C26" s="71"/>
      <c r="D26" s="72"/>
      <c r="E26" s="72"/>
      <c r="F26" s="72"/>
      <c r="G26" s="72"/>
      <c r="H26" s="72"/>
      <c r="I26" s="73"/>
      <c r="J26" s="17"/>
    </row>
    <row r="27" spans="1:10" ht="13" customHeight="1" x14ac:dyDescent="0.35">
      <c r="A27" s="83"/>
      <c r="B27" s="84"/>
      <c r="C27" s="67"/>
      <c r="D27" s="68"/>
      <c r="E27" s="68"/>
      <c r="F27" s="68"/>
      <c r="G27" s="68"/>
      <c r="H27" s="68"/>
      <c r="I27" s="69"/>
      <c r="J27" s="17"/>
    </row>
    <row r="28" spans="1:10" ht="13" customHeight="1" x14ac:dyDescent="0.35">
      <c r="A28" s="77"/>
      <c r="B28" s="78"/>
      <c r="C28" s="71"/>
      <c r="D28" s="72"/>
      <c r="E28" s="72"/>
      <c r="F28" s="72"/>
      <c r="G28" s="72"/>
      <c r="H28" s="72"/>
      <c r="I28" s="73"/>
      <c r="J28" s="17"/>
    </row>
    <row r="29" spans="1:10" ht="13" customHeight="1" x14ac:dyDescent="0.35">
      <c r="A29" s="83"/>
      <c r="B29" s="84"/>
      <c r="C29" s="67"/>
      <c r="D29" s="68"/>
      <c r="E29" s="68"/>
      <c r="F29" s="68"/>
      <c r="G29" s="68"/>
      <c r="H29" s="68"/>
      <c r="I29" s="69"/>
      <c r="J29" s="17"/>
    </row>
    <row r="30" spans="1:10" ht="13" customHeight="1" x14ac:dyDescent="0.35">
      <c r="A30" s="77"/>
      <c r="B30" s="78"/>
      <c r="C30" s="71"/>
      <c r="D30" s="72"/>
      <c r="E30" s="72"/>
      <c r="F30" s="72"/>
      <c r="G30" s="72"/>
      <c r="H30" s="72"/>
      <c r="I30" s="73"/>
      <c r="J30" s="17"/>
    </row>
    <row r="31" spans="1:10" ht="13" customHeight="1" x14ac:dyDescent="0.35">
      <c r="A31" s="83"/>
      <c r="B31" s="84"/>
      <c r="C31" s="67"/>
      <c r="D31" s="68"/>
      <c r="E31" s="68"/>
      <c r="F31" s="68"/>
      <c r="G31" s="68"/>
      <c r="H31" s="68"/>
      <c r="I31" s="69"/>
      <c r="J31" s="17"/>
    </row>
    <row r="32" spans="1:10" ht="13" customHeight="1" x14ac:dyDescent="0.35">
      <c r="A32" s="77"/>
      <c r="B32" s="78"/>
      <c r="C32" s="71"/>
      <c r="D32" s="72"/>
      <c r="E32" s="72"/>
      <c r="F32" s="72"/>
      <c r="G32" s="72"/>
      <c r="H32" s="72"/>
      <c r="I32" s="73"/>
      <c r="J32" s="17"/>
    </row>
    <row r="33" spans="1:10" ht="13" customHeight="1" x14ac:dyDescent="0.35">
      <c r="A33" s="83"/>
      <c r="B33" s="84"/>
      <c r="C33" s="67"/>
      <c r="D33" s="68"/>
      <c r="E33" s="68"/>
      <c r="F33" s="68"/>
      <c r="G33" s="68"/>
      <c r="H33" s="68"/>
      <c r="I33" s="69"/>
      <c r="J33" s="17"/>
    </row>
    <row r="34" spans="1:10" ht="13" customHeight="1" x14ac:dyDescent="0.35">
      <c r="A34" s="77"/>
      <c r="B34" s="78"/>
      <c r="C34" s="75"/>
      <c r="D34" s="73"/>
      <c r="E34" s="73"/>
      <c r="F34" s="73"/>
      <c r="G34" s="73"/>
      <c r="H34" s="73"/>
      <c r="I34" s="73"/>
      <c r="J34" s="17"/>
    </row>
    <row r="35" spans="1:10" ht="13" customHeight="1" x14ac:dyDescent="0.35">
      <c r="A35" s="83"/>
      <c r="B35" s="84"/>
      <c r="C35" s="74"/>
      <c r="D35" s="69"/>
      <c r="E35" s="69"/>
      <c r="F35" s="69"/>
      <c r="G35" s="69"/>
      <c r="H35" s="69"/>
      <c r="I35" s="69"/>
      <c r="J35" s="17"/>
    </row>
    <row r="36" spans="1:10" ht="13" customHeight="1" x14ac:dyDescent="0.35">
      <c r="A36" s="77"/>
      <c r="B36" s="78"/>
      <c r="C36" s="75"/>
      <c r="D36" s="73"/>
      <c r="E36" s="73"/>
      <c r="F36" s="73"/>
      <c r="G36" s="73"/>
      <c r="H36" s="73"/>
      <c r="I36" s="73"/>
      <c r="J36" s="17"/>
    </row>
    <row r="37" spans="1:10" ht="13" customHeight="1" x14ac:dyDescent="0.35">
      <c r="A37" s="77"/>
      <c r="B37" s="78"/>
      <c r="C37" s="75"/>
      <c r="D37" s="73"/>
      <c r="E37" s="73"/>
      <c r="F37" s="73"/>
      <c r="G37" s="73"/>
      <c r="H37" s="73"/>
      <c r="I37" s="73"/>
      <c r="J37" s="17"/>
    </row>
    <row r="38" spans="1:10" ht="13" customHeight="1" x14ac:dyDescent="0.35">
      <c r="A38" s="77"/>
      <c r="B38" s="78"/>
      <c r="C38" s="75"/>
      <c r="D38" s="73"/>
      <c r="E38" s="73"/>
      <c r="F38" s="73"/>
      <c r="G38" s="73"/>
      <c r="H38" s="73"/>
      <c r="I38" s="73"/>
      <c r="J38" s="17"/>
    </row>
    <row r="39" spans="1:10" ht="13" customHeight="1" x14ac:dyDescent="0.35">
      <c r="A39" s="77"/>
      <c r="B39" s="78"/>
      <c r="C39" s="75"/>
      <c r="D39" s="73"/>
      <c r="E39" s="73"/>
      <c r="F39" s="73"/>
      <c r="G39" s="73"/>
      <c r="H39" s="73"/>
      <c r="I39" s="73"/>
      <c r="J39" s="17"/>
    </row>
    <row r="40" spans="1:10" ht="13" customHeight="1" x14ac:dyDescent="0.35">
      <c r="A40" s="77"/>
      <c r="B40" s="78"/>
      <c r="C40" s="75"/>
      <c r="D40" s="73"/>
      <c r="E40" s="73"/>
      <c r="F40" s="73"/>
      <c r="G40" s="73"/>
      <c r="H40" s="73"/>
      <c r="I40" s="73"/>
      <c r="J40" s="17"/>
    </row>
    <row r="41" spans="1:10" ht="13" customHeight="1" x14ac:dyDescent="0.35">
      <c r="A41" s="77"/>
      <c r="B41" s="78"/>
      <c r="C41" s="75"/>
      <c r="D41" s="73"/>
      <c r="E41" s="73"/>
      <c r="F41" s="73"/>
      <c r="G41" s="73"/>
      <c r="H41" s="73"/>
      <c r="I41" s="73"/>
      <c r="J41" s="17"/>
    </row>
    <row r="42" spans="1:10" ht="13" customHeight="1" x14ac:dyDescent="0.35">
      <c r="A42" s="77"/>
      <c r="B42" s="78"/>
      <c r="C42" s="75"/>
      <c r="D42" s="73"/>
      <c r="E42" s="73"/>
      <c r="F42" s="73"/>
      <c r="G42" s="73"/>
      <c r="H42" s="73"/>
      <c r="I42" s="73"/>
      <c r="J42" s="17"/>
    </row>
    <row r="43" spans="1:10" ht="13" customHeight="1" x14ac:dyDescent="0.35">
      <c r="A43" s="79"/>
      <c r="B43" s="70"/>
      <c r="C43" s="71"/>
      <c r="D43" s="72"/>
      <c r="E43" s="72"/>
      <c r="F43" s="72"/>
      <c r="G43" s="73"/>
      <c r="H43" s="73"/>
      <c r="I43" s="73"/>
      <c r="J43" s="17"/>
    </row>
    <row r="44" spans="1:10" ht="13" customHeight="1" x14ac:dyDescent="0.35">
      <c r="A44" s="77"/>
      <c r="B44" s="70"/>
      <c r="C44" s="71"/>
      <c r="D44" s="72"/>
      <c r="E44" s="72"/>
      <c r="F44" s="72"/>
      <c r="G44" s="73"/>
      <c r="H44" s="73"/>
      <c r="I44" s="73"/>
      <c r="J44" s="17"/>
    </row>
    <row r="45" spans="1:10" ht="13" customHeight="1" x14ac:dyDescent="0.35">
      <c r="A45" s="77"/>
      <c r="B45" s="70"/>
      <c r="C45" s="71"/>
      <c r="D45" s="72"/>
      <c r="E45" s="72"/>
      <c r="F45" s="72"/>
      <c r="G45" s="73"/>
      <c r="H45" s="73"/>
      <c r="I45" s="73"/>
      <c r="J45" s="17"/>
    </row>
    <row r="46" spans="1:10" ht="13" customHeight="1" x14ac:dyDescent="0.35">
      <c r="A46" s="77"/>
      <c r="B46" s="78"/>
      <c r="C46" s="71"/>
      <c r="D46" s="72"/>
      <c r="E46" s="72"/>
      <c r="F46" s="72"/>
      <c r="G46" s="72"/>
      <c r="H46" s="72"/>
      <c r="I46" s="73"/>
      <c r="J46" s="17"/>
    </row>
    <row r="47" spans="1:10" ht="13" customHeight="1" x14ac:dyDescent="0.35">
      <c r="A47" s="77"/>
      <c r="B47" s="78"/>
      <c r="C47" s="71"/>
      <c r="D47" s="72"/>
      <c r="E47" s="72"/>
      <c r="F47" s="72"/>
      <c r="G47" s="72"/>
      <c r="H47" s="72"/>
      <c r="I47" s="73"/>
      <c r="J47" s="17"/>
    </row>
    <row r="48" spans="1:10" ht="13" customHeight="1" x14ac:dyDescent="0.35">
      <c r="A48" s="77"/>
      <c r="B48" s="78"/>
      <c r="C48" s="71"/>
      <c r="D48" s="72"/>
      <c r="E48" s="72"/>
      <c r="F48" s="72"/>
      <c r="G48" s="72"/>
      <c r="H48" s="72"/>
      <c r="I48" s="73"/>
      <c r="J48" s="17"/>
    </row>
    <row r="49" spans="1:10" ht="13" customHeight="1" x14ac:dyDescent="0.35">
      <c r="A49" s="77"/>
      <c r="B49" s="78"/>
      <c r="C49" s="71"/>
      <c r="D49" s="72"/>
      <c r="E49" s="72"/>
      <c r="F49" s="72"/>
      <c r="G49" s="72"/>
      <c r="H49" s="72"/>
      <c r="I49" s="73"/>
      <c r="J49" s="17"/>
    </row>
    <row r="50" spans="1:10" ht="13" customHeight="1" x14ac:dyDescent="0.35">
      <c r="A50" s="77"/>
      <c r="B50" s="78"/>
      <c r="C50" s="71"/>
      <c r="D50" s="72"/>
      <c r="E50" s="72"/>
      <c r="F50" s="72"/>
      <c r="G50" s="72"/>
      <c r="H50" s="72"/>
      <c r="I50" s="73"/>
      <c r="J50" s="17"/>
    </row>
    <row r="51" spans="1:10" ht="13" customHeight="1" x14ac:dyDescent="0.35">
      <c r="A51" s="77"/>
      <c r="B51" s="78"/>
      <c r="C51" s="71"/>
      <c r="D51" s="72"/>
      <c r="E51" s="72"/>
      <c r="F51" s="72"/>
      <c r="G51" s="72"/>
      <c r="H51" s="72"/>
      <c r="I51" s="73"/>
      <c r="J51" s="17"/>
    </row>
    <row r="52" spans="1:10" ht="13" customHeight="1" x14ac:dyDescent="0.35">
      <c r="A52" s="77"/>
      <c r="B52" s="78"/>
      <c r="C52" s="71"/>
      <c r="D52" s="72"/>
      <c r="E52" s="72"/>
      <c r="F52" s="72"/>
      <c r="G52" s="72"/>
      <c r="H52" s="72"/>
      <c r="I52" s="73"/>
      <c r="J52" s="17"/>
    </row>
    <row r="53" spans="1:10" ht="13" customHeight="1" x14ac:dyDescent="0.35">
      <c r="A53" s="77"/>
      <c r="B53" s="78"/>
      <c r="C53" s="71"/>
      <c r="D53" s="72"/>
      <c r="E53" s="72"/>
      <c r="F53" s="72"/>
      <c r="G53" s="72"/>
      <c r="H53" s="72"/>
      <c r="I53" s="73"/>
      <c r="J53" s="17"/>
    </row>
    <row r="54" spans="1:10" ht="13" customHeight="1" x14ac:dyDescent="0.35">
      <c r="A54" s="77"/>
      <c r="B54" s="78"/>
      <c r="C54" s="71"/>
      <c r="D54" s="72"/>
      <c r="E54" s="72"/>
      <c r="F54" s="72"/>
      <c r="G54" s="72"/>
      <c r="H54" s="72"/>
      <c r="I54" s="73"/>
      <c r="J54" s="17"/>
    </row>
    <row r="55" spans="1:10" ht="13" customHeight="1" x14ac:dyDescent="0.35">
      <c r="A55" s="77"/>
      <c r="B55" s="78"/>
      <c r="C55" s="71"/>
      <c r="D55" s="72"/>
      <c r="E55" s="72"/>
      <c r="F55" s="72"/>
      <c r="G55" s="72"/>
      <c r="H55" s="72"/>
      <c r="I55" s="73"/>
      <c r="J55" s="17"/>
    </row>
    <row r="56" spans="1:10" ht="13" customHeight="1" x14ac:dyDescent="0.35">
      <c r="A56" s="77"/>
      <c r="B56" s="78"/>
      <c r="C56" s="71"/>
      <c r="D56" s="72"/>
      <c r="E56" s="72"/>
      <c r="F56" s="72"/>
      <c r="G56" s="72"/>
      <c r="H56" s="72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ht="13" customHeight="1" x14ac:dyDescent="0.35">
      <c r="A58" s="77"/>
      <c r="B58" s="78"/>
      <c r="C58" s="75"/>
      <c r="D58" s="73"/>
      <c r="E58" s="73"/>
      <c r="F58" s="73"/>
      <c r="G58" s="73"/>
      <c r="H58" s="73"/>
      <c r="I58" s="73"/>
      <c r="J58" s="17"/>
    </row>
    <row r="59" spans="1:10" ht="13" customHeight="1" x14ac:dyDescent="0.35">
      <c r="A59" s="77"/>
      <c r="B59" s="78"/>
      <c r="C59" s="75"/>
      <c r="D59" s="73"/>
      <c r="E59" s="73"/>
      <c r="F59" s="73"/>
      <c r="G59" s="73"/>
      <c r="H59" s="73"/>
      <c r="I59" s="73"/>
      <c r="J59" s="17"/>
    </row>
    <row r="60" spans="1:10" ht="13" customHeight="1" x14ac:dyDescent="0.35">
      <c r="A60" s="77"/>
      <c r="B60" s="78"/>
      <c r="C60" s="75"/>
      <c r="D60" s="73"/>
      <c r="E60" s="73"/>
      <c r="F60" s="73"/>
      <c r="G60" s="73"/>
      <c r="H60" s="73"/>
      <c r="I60" s="73"/>
      <c r="J60" s="17"/>
    </row>
  </sheetData>
  <mergeCells count="6">
    <mergeCell ref="A1:I1"/>
    <mergeCell ref="A2:I2"/>
    <mergeCell ref="A3:I3"/>
    <mergeCell ref="A4:I4"/>
    <mergeCell ref="C6:I6"/>
    <mergeCell ref="C5:I5"/>
  </mergeCells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59"/>
  <sheetViews>
    <sheetView zoomScaleNormal="100" zoomScaleSheetLayoutView="90" workbookViewId="0">
      <selection activeCell="C13" sqref="C13"/>
    </sheetView>
  </sheetViews>
  <sheetFormatPr defaultColWidth="9.1796875" defaultRowHeight="14.5" x14ac:dyDescent="0.35"/>
  <cols>
    <col min="1" max="1" width="35.81640625" style="7" bestFit="1" customWidth="1"/>
    <col min="2" max="9" width="14.54296875" style="7" customWidth="1"/>
    <col min="10" max="16384" width="9.1796875" style="7"/>
  </cols>
  <sheetData>
    <row r="1" spans="1:11" ht="15.5" x14ac:dyDescent="0.35">
      <c r="A1" s="875" t="s">
        <v>0</v>
      </c>
      <c r="B1" s="875"/>
      <c r="C1" s="875"/>
      <c r="D1" s="875"/>
      <c r="E1" s="875"/>
      <c r="F1" s="875"/>
      <c r="G1" s="875"/>
      <c r="H1" s="875"/>
      <c r="I1" s="875"/>
    </row>
    <row r="2" spans="1:11" ht="15.5" x14ac:dyDescent="0.35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1" ht="15.5" x14ac:dyDescent="0.35">
      <c r="A3" s="875" t="s">
        <v>629</v>
      </c>
      <c r="B3" s="875"/>
      <c r="C3" s="875"/>
      <c r="D3" s="875"/>
      <c r="E3" s="875"/>
      <c r="F3" s="875"/>
      <c r="G3" s="875"/>
      <c r="H3" s="875"/>
      <c r="I3" s="875"/>
    </row>
    <row r="4" spans="1:11" ht="15.5" x14ac:dyDescent="0.35">
      <c r="A4" s="875" t="s">
        <v>2</v>
      </c>
      <c r="B4" s="875"/>
      <c r="C4" s="875"/>
      <c r="D4" s="875"/>
      <c r="E4" s="875"/>
      <c r="F4" s="875"/>
      <c r="G4" s="875"/>
      <c r="H4" s="875"/>
      <c r="I4" s="875"/>
    </row>
    <row r="5" spans="1:11" ht="15.5" x14ac:dyDescent="0.35">
      <c r="C5" s="880"/>
      <c r="D5" s="880"/>
      <c r="E5" s="880"/>
      <c r="F5" s="880"/>
      <c r="G5" s="880"/>
      <c r="H5" s="880"/>
      <c r="I5" s="880"/>
    </row>
    <row r="6" spans="1:11" ht="15.5" x14ac:dyDescent="0.35">
      <c r="A6" s="5" t="s">
        <v>14</v>
      </c>
      <c r="B6" s="32" t="s">
        <v>24</v>
      </c>
      <c r="C6" s="880" t="s">
        <v>162</v>
      </c>
      <c r="D6" s="880"/>
      <c r="E6" s="880"/>
      <c r="F6" s="880"/>
      <c r="G6" s="880"/>
      <c r="H6" s="880"/>
      <c r="I6" s="880"/>
    </row>
    <row r="7" spans="1:11" ht="15" thickBot="1" x14ac:dyDescent="0.4">
      <c r="E7" s="430"/>
      <c r="F7" s="430"/>
      <c r="G7" s="430"/>
      <c r="H7" s="430"/>
      <c r="I7" s="430"/>
    </row>
    <row r="8" spans="1:11" s="8" customFormat="1" ht="30" customHeight="1" x14ac:dyDescent="0.35">
      <c r="A8" s="1" t="s">
        <v>3</v>
      </c>
      <c r="B8" s="2" t="s">
        <v>630</v>
      </c>
      <c r="C8" s="2" t="s">
        <v>631</v>
      </c>
      <c r="D8" s="326" t="s">
        <v>632</v>
      </c>
      <c r="E8" s="399" t="s">
        <v>223</v>
      </c>
      <c r="F8" s="395" t="s">
        <v>242</v>
      </c>
      <c r="G8" s="2" t="s">
        <v>291</v>
      </c>
      <c r="H8" s="2" t="s">
        <v>360</v>
      </c>
      <c r="I8" s="3" t="s">
        <v>633</v>
      </c>
      <c r="J8" s="8" t="s">
        <v>292</v>
      </c>
    </row>
    <row r="9" spans="1:11" x14ac:dyDescent="0.35">
      <c r="A9" s="9" t="s">
        <v>4</v>
      </c>
      <c r="B9" s="33">
        <v>14433197</v>
      </c>
      <c r="C9" s="33">
        <v>14877138</v>
      </c>
      <c r="D9" s="219">
        <f t="shared" ref="D9:D15" si="0">+C9+SUMIF($C$20:$C$35,K9,$D$20:$D$51)</f>
        <v>14677138</v>
      </c>
      <c r="E9" s="114">
        <f>+D9+SUMIF($C$20:$C$51,K9,$E$20:$E$51)</f>
        <v>15379138</v>
      </c>
      <c r="F9" s="396">
        <f>+E9+SUMIF($C$20:$C$51,K9,$F$20:$F$51)</f>
        <v>16129138</v>
      </c>
      <c r="G9" s="33">
        <f>+F9+SUMIF($C$20:$C$51,K9,$G$20:$G$51)</f>
        <v>16129138</v>
      </c>
      <c r="H9" s="219">
        <f>+G9+SUMIF($C$20:$C$51,K9,$H$20:$H$51)</f>
        <v>16129138</v>
      </c>
      <c r="I9" s="50">
        <f>+H9+SUMIF($C$20:$C$51,K9,$I$20:$I$51)</f>
        <v>16129138</v>
      </c>
      <c r="K9" s="7">
        <v>100</v>
      </c>
    </row>
    <row r="10" spans="1:11" x14ac:dyDescent="0.35">
      <c r="A10" s="10" t="s">
        <v>5</v>
      </c>
      <c r="B10" s="35">
        <v>2444348</v>
      </c>
      <c r="C10" s="35">
        <v>1976885</v>
      </c>
      <c r="D10" s="222">
        <f t="shared" si="0"/>
        <v>2255885</v>
      </c>
      <c r="E10" s="506">
        <f t="shared" ref="E10:E15" si="1">+D10+SUMIF($C$20:$C$51,K10,$E$20:$E$51)</f>
        <v>2121885</v>
      </c>
      <c r="F10" s="504">
        <f t="shared" ref="F10:F15" si="2">+E10+SUMIF($C$20:$C$51,K10,$F$20:$F$51)</f>
        <v>2271885</v>
      </c>
      <c r="G10" s="35">
        <f t="shared" ref="G10:G15" si="3">+F10+SUMIF($C$20:$C$51,K10,$G$20:$G$51)</f>
        <v>2271885</v>
      </c>
      <c r="H10" s="222">
        <f t="shared" ref="H10:H15" si="4">+G10+SUMIF($C$20:$C$51,K10,$H$20:$H$51)</f>
        <v>2271885</v>
      </c>
      <c r="I10" s="36">
        <f t="shared" ref="I10:I15" si="5">+H10+SUMIF($C$20:$C$51,K10,$I$20:$I$51)</f>
        <v>2271885</v>
      </c>
      <c r="K10" s="7">
        <v>200</v>
      </c>
    </row>
    <row r="11" spans="1:11" x14ac:dyDescent="0.35">
      <c r="A11" s="9" t="s">
        <v>6</v>
      </c>
      <c r="B11" s="33">
        <f>366469+161662</f>
        <v>528131</v>
      </c>
      <c r="C11" s="33">
        <v>428650</v>
      </c>
      <c r="D11" s="219">
        <f t="shared" si="0"/>
        <v>428650</v>
      </c>
      <c r="E11" s="114">
        <f t="shared" si="1"/>
        <v>528650</v>
      </c>
      <c r="F11" s="396">
        <f t="shared" si="2"/>
        <v>628650</v>
      </c>
      <c r="G11" s="33">
        <f t="shared" si="3"/>
        <v>628650</v>
      </c>
      <c r="H11" s="219">
        <f t="shared" si="4"/>
        <v>628650</v>
      </c>
      <c r="I11" s="34">
        <f t="shared" si="5"/>
        <v>628650</v>
      </c>
      <c r="K11" s="7" t="s">
        <v>167</v>
      </c>
    </row>
    <row r="12" spans="1:11" x14ac:dyDescent="0.35">
      <c r="A12" s="10" t="s">
        <v>7</v>
      </c>
      <c r="B12" s="35">
        <v>793</v>
      </c>
      <c r="C12" s="35">
        <v>25000100</v>
      </c>
      <c r="D12" s="222">
        <f t="shared" si="0"/>
        <v>19250100</v>
      </c>
      <c r="E12" s="506">
        <f t="shared" si="1"/>
        <v>100</v>
      </c>
      <c r="F12" s="504">
        <f t="shared" si="2"/>
        <v>100</v>
      </c>
      <c r="G12" s="35">
        <f t="shared" si="3"/>
        <v>100</v>
      </c>
      <c r="H12" s="222">
        <f t="shared" si="4"/>
        <v>100</v>
      </c>
      <c r="I12" s="36">
        <f t="shared" si="5"/>
        <v>100</v>
      </c>
      <c r="K12" s="7">
        <v>500</v>
      </c>
    </row>
    <row r="13" spans="1:11" x14ac:dyDescent="0.35">
      <c r="A13" s="9" t="s">
        <v>8</v>
      </c>
      <c r="B13" s="33">
        <v>0</v>
      </c>
      <c r="C13" s="33">
        <v>0</v>
      </c>
      <c r="D13" s="219">
        <f t="shared" si="0"/>
        <v>0</v>
      </c>
      <c r="E13" s="114">
        <f t="shared" si="1"/>
        <v>0</v>
      </c>
      <c r="F13" s="396">
        <f t="shared" si="2"/>
        <v>0</v>
      </c>
      <c r="G13" s="33">
        <f t="shared" si="3"/>
        <v>0</v>
      </c>
      <c r="H13" s="219">
        <f t="shared" si="4"/>
        <v>0</v>
      </c>
      <c r="I13" s="34">
        <f t="shared" si="5"/>
        <v>0</v>
      </c>
      <c r="K13" s="7">
        <v>700</v>
      </c>
    </row>
    <row r="14" spans="1:11" x14ac:dyDescent="0.35">
      <c r="A14" s="10" t="s">
        <v>9</v>
      </c>
      <c r="B14" s="35">
        <v>0</v>
      </c>
      <c r="C14" s="35">
        <v>100</v>
      </c>
      <c r="D14" s="222">
        <f t="shared" si="0"/>
        <v>100</v>
      </c>
      <c r="E14" s="506">
        <f t="shared" si="1"/>
        <v>100</v>
      </c>
      <c r="F14" s="504">
        <f t="shared" si="2"/>
        <v>100</v>
      </c>
      <c r="G14" s="35">
        <f t="shared" si="3"/>
        <v>100</v>
      </c>
      <c r="H14" s="222">
        <f t="shared" si="4"/>
        <v>100</v>
      </c>
      <c r="I14" s="36">
        <f t="shared" si="5"/>
        <v>100</v>
      </c>
      <c r="K14" s="7">
        <v>800</v>
      </c>
    </row>
    <row r="15" spans="1:11" ht="15" thickBot="1" x14ac:dyDescent="0.4">
      <c r="A15" s="11" t="s">
        <v>10</v>
      </c>
      <c r="B15" s="37">
        <v>0</v>
      </c>
      <c r="C15" s="37">
        <v>100</v>
      </c>
      <c r="D15" s="223">
        <f t="shared" si="0"/>
        <v>100</v>
      </c>
      <c r="E15" s="507">
        <f t="shared" si="1"/>
        <v>100</v>
      </c>
      <c r="F15" s="505">
        <f t="shared" si="2"/>
        <v>100</v>
      </c>
      <c r="G15" s="37">
        <f t="shared" si="3"/>
        <v>100</v>
      </c>
      <c r="H15" s="223">
        <f t="shared" si="4"/>
        <v>100</v>
      </c>
      <c r="I15" s="38">
        <f t="shared" si="5"/>
        <v>100</v>
      </c>
      <c r="K15" s="7">
        <v>900</v>
      </c>
    </row>
    <row r="16" spans="1:11" ht="15" thickBot="1" x14ac:dyDescent="0.4">
      <c r="A16" s="4" t="s">
        <v>11</v>
      </c>
      <c r="B16" s="39">
        <f>SUM(B9:B15)</f>
        <v>17406469</v>
      </c>
      <c r="C16" s="39">
        <f t="shared" ref="C16:I16" si="6">SUM(C9:C15)</f>
        <v>42282973</v>
      </c>
      <c r="D16" s="39">
        <f t="shared" si="6"/>
        <v>36611973</v>
      </c>
      <c r="E16" s="529">
        <f t="shared" si="6"/>
        <v>18029973</v>
      </c>
      <c r="F16" s="39">
        <f t="shared" si="6"/>
        <v>19029973</v>
      </c>
      <c r="G16" s="39">
        <f t="shared" si="6"/>
        <v>19029973</v>
      </c>
      <c r="H16" s="39">
        <f t="shared" si="6"/>
        <v>19029973</v>
      </c>
      <c r="I16" s="39">
        <f t="shared" si="6"/>
        <v>19029973</v>
      </c>
    </row>
    <row r="18" spans="1:10" x14ac:dyDescent="0.35">
      <c r="E18" s="401">
        <f>+E16-D16</f>
        <v>-18582000</v>
      </c>
    </row>
    <row r="19" spans="1:10" ht="15" thickBot="1" x14ac:dyDescent="0.4">
      <c r="A19" s="24" t="s">
        <v>12</v>
      </c>
      <c r="B19" s="24"/>
      <c r="C19" s="24" t="s">
        <v>13</v>
      </c>
      <c r="D19" s="24" t="s">
        <v>205</v>
      </c>
      <c r="E19" s="24" t="s">
        <v>224</v>
      </c>
      <c r="F19" s="24" t="s">
        <v>243</v>
      </c>
      <c r="G19" s="24" t="s">
        <v>293</v>
      </c>
      <c r="H19" s="24" t="s">
        <v>361</v>
      </c>
      <c r="I19" s="24" t="s">
        <v>634</v>
      </c>
    </row>
    <row r="20" spans="1:10" ht="12.75" customHeight="1" thickTop="1" x14ac:dyDescent="0.35">
      <c r="A20" s="228" t="s">
        <v>392</v>
      </c>
      <c r="B20" s="295"/>
      <c r="C20" s="85"/>
      <c r="D20" s="242"/>
      <c r="E20" s="242"/>
      <c r="F20" s="72"/>
      <c r="G20" s="72"/>
      <c r="H20" s="72"/>
      <c r="I20" s="73"/>
    </row>
    <row r="21" spans="1:10" ht="12.75" customHeight="1" x14ac:dyDescent="0.35">
      <c r="A21" s="774" t="s">
        <v>486</v>
      </c>
      <c r="B21" s="84"/>
      <c r="C21" s="74"/>
      <c r="D21" s="68"/>
      <c r="E21" s="68"/>
      <c r="F21" s="141"/>
      <c r="G21" s="141"/>
      <c r="H21" s="142"/>
      <c r="I21" s="142"/>
    </row>
    <row r="22" spans="1:10" ht="12.75" customHeight="1" x14ac:dyDescent="0.35">
      <c r="A22" s="179" t="s">
        <v>625</v>
      </c>
      <c r="B22" s="78"/>
      <c r="C22" s="612">
        <v>100</v>
      </c>
      <c r="D22" s="72"/>
      <c r="E22" s="72"/>
      <c r="F22" s="72">
        <v>750000</v>
      </c>
      <c r="G22" s="72"/>
      <c r="H22" s="72"/>
      <c r="I22" s="72"/>
      <c r="J22" s="17"/>
    </row>
    <row r="23" spans="1:10" s="58" customFormat="1" ht="12.75" customHeight="1" x14ac:dyDescent="0.35">
      <c r="A23" s="753"/>
      <c r="B23" s="84"/>
      <c r="C23" s="74">
        <v>200</v>
      </c>
      <c r="D23" s="68"/>
      <c r="E23" s="68"/>
      <c r="F23" s="68">
        <v>150000</v>
      </c>
      <c r="G23" s="68"/>
      <c r="H23" s="68"/>
      <c r="I23" s="68"/>
      <c r="J23" s="81"/>
    </row>
    <row r="24" spans="1:10" ht="12.75" customHeight="1" x14ac:dyDescent="0.35">
      <c r="A24" s="179"/>
      <c r="B24" s="78"/>
      <c r="C24" s="754" t="s">
        <v>167</v>
      </c>
      <c r="D24" s="72"/>
      <c r="E24" s="72"/>
      <c r="F24" s="72">
        <v>100000</v>
      </c>
      <c r="G24" s="72"/>
      <c r="H24" s="72"/>
      <c r="I24" s="72"/>
      <c r="J24" s="17"/>
    </row>
    <row r="25" spans="1:10" ht="12.75" customHeight="1" x14ac:dyDescent="0.35">
      <c r="A25" s="387" t="s">
        <v>594</v>
      </c>
      <c r="B25" s="84"/>
      <c r="C25" s="74"/>
      <c r="D25" s="68"/>
      <c r="E25" s="68"/>
      <c r="F25" s="68"/>
      <c r="G25" s="68"/>
      <c r="H25" s="68"/>
      <c r="I25" s="68"/>
      <c r="J25" s="17"/>
    </row>
    <row r="26" spans="1:10" ht="12.75" customHeight="1" x14ac:dyDescent="0.35">
      <c r="A26" s="179" t="s">
        <v>609</v>
      </c>
      <c r="B26" s="78"/>
      <c r="C26" s="612">
        <v>500</v>
      </c>
      <c r="D26" s="72"/>
      <c r="E26" s="72">
        <v>-25000000</v>
      </c>
      <c r="F26" s="72"/>
      <c r="G26" s="72"/>
      <c r="H26" s="72"/>
      <c r="I26" s="72"/>
      <c r="J26" s="17"/>
    </row>
    <row r="27" spans="1:10" ht="12.75" customHeight="1" x14ac:dyDescent="0.35">
      <c r="A27" s="387" t="s">
        <v>648</v>
      </c>
      <c r="B27" s="84"/>
      <c r="C27" s="74"/>
      <c r="D27" s="68"/>
      <c r="E27" s="68"/>
      <c r="F27" s="68"/>
      <c r="G27" s="68"/>
      <c r="H27" s="68"/>
      <c r="I27" s="68"/>
      <c r="J27" s="17"/>
    </row>
    <row r="28" spans="1:10" ht="12.75" customHeight="1" x14ac:dyDescent="0.35">
      <c r="A28" s="179" t="s">
        <v>707</v>
      </c>
      <c r="B28" s="78"/>
      <c r="C28" s="612">
        <v>500</v>
      </c>
      <c r="D28" s="72">
        <v>-150000</v>
      </c>
      <c r="E28" s="72">
        <v>150000</v>
      </c>
      <c r="F28" s="72"/>
      <c r="G28" s="72"/>
      <c r="H28" s="72"/>
      <c r="I28" s="72"/>
      <c r="J28" s="17"/>
    </row>
    <row r="29" spans="1:10" ht="12.75" customHeight="1" x14ac:dyDescent="0.35">
      <c r="A29" s="753" t="s">
        <v>708</v>
      </c>
      <c r="B29" s="84"/>
      <c r="C29" s="74">
        <v>200</v>
      </c>
      <c r="D29" s="68">
        <v>79000</v>
      </c>
      <c r="E29" s="68">
        <v>-79000</v>
      </c>
      <c r="F29" s="68"/>
      <c r="G29" s="68"/>
      <c r="H29" s="68"/>
      <c r="I29" s="68"/>
      <c r="J29" s="17"/>
    </row>
    <row r="30" spans="1:10" ht="12.75" customHeight="1" x14ac:dyDescent="0.35">
      <c r="A30" s="179" t="s">
        <v>735</v>
      </c>
      <c r="B30" s="78"/>
      <c r="C30" s="612">
        <v>100</v>
      </c>
      <c r="D30" s="72">
        <v>-200000</v>
      </c>
      <c r="E30" s="72">
        <v>200000</v>
      </c>
      <c r="F30" s="72"/>
      <c r="G30" s="72"/>
      <c r="H30" s="72"/>
      <c r="I30" s="72"/>
      <c r="J30" s="17"/>
    </row>
    <row r="31" spans="1:10" ht="12.75" customHeight="1" x14ac:dyDescent="0.35">
      <c r="A31" s="753"/>
      <c r="B31" s="84"/>
      <c r="C31" s="74">
        <v>500</v>
      </c>
      <c r="D31" s="68">
        <v>-3800000</v>
      </c>
      <c r="E31" s="68">
        <v>3800000</v>
      </c>
      <c r="F31" s="68"/>
      <c r="G31" s="68"/>
      <c r="H31" s="68"/>
      <c r="I31" s="68"/>
      <c r="J31" s="17"/>
    </row>
    <row r="32" spans="1:10" ht="12.75" customHeight="1" x14ac:dyDescent="0.35">
      <c r="A32" s="179"/>
      <c r="B32" s="78"/>
      <c r="C32" s="612">
        <v>200</v>
      </c>
      <c r="D32" s="72">
        <v>200000</v>
      </c>
      <c r="E32" s="72">
        <v>-200000</v>
      </c>
      <c r="F32" s="72"/>
      <c r="G32" s="72"/>
      <c r="H32" s="72"/>
      <c r="I32" s="72"/>
      <c r="J32" s="17"/>
    </row>
    <row r="33" spans="1:10" ht="12.75" customHeight="1" x14ac:dyDescent="0.35">
      <c r="A33" s="753" t="s">
        <v>737</v>
      </c>
      <c r="B33" s="84"/>
      <c r="C33" s="74">
        <v>500</v>
      </c>
      <c r="D33" s="68">
        <v>-500000</v>
      </c>
      <c r="E33" s="68">
        <v>500000</v>
      </c>
      <c r="F33" s="68"/>
      <c r="G33" s="68"/>
      <c r="H33" s="68"/>
      <c r="I33" s="68"/>
      <c r="J33" s="17"/>
    </row>
    <row r="34" spans="1:10" ht="13" customHeight="1" x14ac:dyDescent="0.35">
      <c r="A34" s="179" t="s">
        <v>738</v>
      </c>
      <c r="B34" s="78"/>
      <c r="C34" s="612">
        <v>500</v>
      </c>
      <c r="D34" s="72">
        <v>-1300000</v>
      </c>
      <c r="E34" s="72">
        <v>1300000</v>
      </c>
      <c r="F34" s="72"/>
      <c r="G34" s="72"/>
      <c r="H34" s="72"/>
      <c r="I34" s="72"/>
      <c r="J34" s="17"/>
    </row>
    <row r="35" spans="1:10" ht="13" customHeight="1" x14ac:dyDescent="0.35">
      <c r="A35" s="387" t="s">
        <v>746</v>
      </c>
      <c r="B35" s="84"/>
      <c r="C35" s="74"/>
      <c r="D35" s="68"/>
      <c r="E35" s="68"/>
      <c r="F35" s="68"/>
      <c r="G35" s="68"/>
      <c r="H35" s="68"/>
      <c r="I35" s="68"/>
      <c r="J35" s="17"/>
    </row>
    <row r="36" spans="1:10" ht="12.75" customHeight="1" x14ac:dyDescent="0.35">
      <c r="A36" s="179" t="s">
        <v>745</v>
      </c>
      <c r="B36" s="78"/>
      <c r="C36" s="612">
        <v>100</v>
      </c>
      <c r="D36" s="72"/>
      <c r="E36" s="72">
        <v>750000</v>
      </c>
      <c r="F36" s="72"/>
      <c r="G36" s="72"/>
      <c r="H36" s="72"/>
      <c r="I36" s="72"/>
      <c r="J36" s="17"/>
    </row>
    <row r="37" spans="1:10" ht="13" customHeight="1" x14ac:dyDescent="0.35">
      <c r="A37" s="753"/>
      <c r="B37" s="84"/>
      <c r="C37" s="74">
        <v>200</v>
      </c>
      <c r="D37" s="68"/>
      <c r="E37" s="68">
        <v>145000</v>
      </c>
      <c r="F37" s="68"/>
      <c r="G37" s="68"/>
      <c r="H37" s="68"/>
      <c r="I37" s="68"/>
      <c r="J37" s="17"/>
    </row>
    <row r="38" spans="1:10" ht="13" customHeight="1" x14ac:dyDescent="0.35">
      <c r="A38" s="179"/>
      <c r="B38" s="78"/>
      <c r="C38" s="754" t="s">
        <v>167</v>
      </c>
      <c r="D38" s="72"/>
      <c r="E38" s="72">
        <v>100000</v>
      </c>
      <c r="F38" s="72"/>
      <c r="G38" s="72"/>
      <c r="H38" s="72"/>
      <c r="I38" s="72"/>
      <c r="J38" s="17"/>
    </row>
    <row r="39" spans="1:10" ht="13" customHeight="1" x14ac:dyDescent="0.35">
      <c r="A39" s="753" t="s">
        <v>900</v>
      </c>
      <c r="B39" s="84"/>
      <c r="C39" s="74">
        <v>100</v>
      </c>
      <c r="D39" s="68"/>
      <c r="E39" s="68">
        <v>-248000</v>
      </c>
      <c r="F39" s="68"/>
      <c r="G39" s="68"/>
      <c r="H39" s="68"/>
      <c r="I39" s="68"/>
      <c r="J39" s="17"/>
    </row>
    <row r="40" spans="1:10" ht="13" customHeight="1" x14ac:dyDescent="0.35">
      <c r="A40" s="179"/>
      <c r="B40" s="78"/>
      <c r="C40" s="612"/>
      <c r="D40" s="72"/>
      <c r="E40" s="72"/>
      <c r="F40" s="72"/>
      <c r="G40" s="72"/>
      <c r="H40" s="72"/>
      <c r="I40" s="72"/>
      <c r="J40" s="17"/>
    </row>
    <row r="41" spans="1:10" ht="13" customHeight="1" x14ac:dyDescent="0.35">
      <c r="A41" s="753"/>
      <c r="B41" s="84"/>
      <c r="C41" s="74"/>
      <c r="D41" s="68"/>
      <c r="E41" s="68"/>
      <c r="F41" s="68"/>
      <c r="G41" s="68"/>
      <c r="H41" s="68"/>
      <c r="I41" s="68"/>
      <c r="J41" s="17"/>
    </row>
    <row r="42" spans="1:10" ht="13" customHeight="1" x14ac:dyDescent="0.35">
      <c r="A42" s="179"/>
      <c r="B42" s="78"/>
      <c r="C42" s="612"/>
      <c r="D42" s="72"/>
      <c r="E42" s="72"/>
      <c r="F42" s="72"/>
      <c r="G42" s="72"/>
      <c r="H42" s="72"/>
      <c r="I42" s="72"/>
      <c r="J42" s="17"/>
    </row>
    <row r="43" spans="1:10" ht="13" customHeight="1" x14ac:dyDescent="0.35">
      <c r="A43" s="80"/>
      <c r="B43" s="78"/>
      <c r="C43" s="75"/>
      <c r="D43" s="72"/>
      <c r="E43" s="72"/>
      <c r="F43" s="72"/>
      <c r="G43" s="72"/>
      <c r="H43" s="73"/>
      <c r="I43" s="73"/>
      <c r="J43" s="17"/>
    </row>
    <row r="44" spans="1:10" ht="13" customHeight="1" x14ac:dyDescent="0.35">
      <c r="A44" s="77"/>
      <c r="B44" s="78"/>
      <c r="C44" s="75"/>
      <c r="D44" s="72"/>
      <c r="E44" s="72"/>
      <c r="F44" s="72"/>
      <c r="G44" s="72"/>
      <c r="H44" s="73"/>
      <c r="I44" s="73"/>
      <c r="J44" s="17"/>
    </row>
    <row r="45" spans="1:10" ht="13" customHeight="1" x14ac:dyDescent="0.35">
      <c r="A45" s="77"/>
      <c r="B45" s="78"/>
      <c r="C45" s="75"/>
      <c r="D45" s="72"/>
      <c r="E45" s="72"/>
      <c r="F45" s="72"/>
      <c r="G45" s="72"/>
      <c r="H45" s="73"/>
      <c r="I45" s="73"/>
      <c r="J45" s="17"/>
    </row>
    <row r="46" spans="1:10" ht="13" customHeight="1" x14ac:dyDescent="0.35">
      <c r="A46" s="77"/>
      <c r="B46" s="78"/>
      <c r="C46" s="75"/>
      <c r="D46" s="72"/>
      <c r="E46" s="72"/>
      <c r="F46" s="72"/>
      <c r="G46" s="72"/>
      <c r="H46" s="73"/>
      <c r="I46" s="73"/>
      <c r="J46" s="17"/>
    </row>
    <row r="47" spans="1:10" ht="13" customHeight="1" x14ac:dyDescent="0.35">
      <c r="A47" s="77"/>
      <c r="B47" s="78"/>
      <c r="C47" s="75"/>
      <c r="D47" s="72"/>
      <c r="E47" s="72"/>
      <c r="F47" s="72"/>
      <c r="G47" s="72"/>
      <c r="H47" s="73"/>
      <c r="I47" s="73"/>
      <c r="J47" s="17"/>
    </row>
    <row r="48" spans="1:10" ht="13" customHeight="1" x14ac:dyDescent="0.35">
      <c r="A48" s="77"/>
      <c r="B48" s="78"/>
      <c r="C48" s="75"/>
      <c r="D48" s="72"/>
      <c r="E48" s="72"/>
      <c r="F48" s="72"/>
      <c r="G48" s="72"/>
      <c r="H48" s="73"/>
      <c r="I48" s="73"/>
      <c r="J48" s="17"/>
    </row>
    <row r="49" spans="1:10" ht="13" customHeight="1" x14ac:dyDescent="0.35">
      <c r="A49" s="77"/>
      <c r="B49" s="78"/>
      <c r="C49" s="75"/>
      <c r="D49" s="72"/>
      <c r="E49" s="72"/>
      <c r="F49" s="72"/>
      <c r="G49" s="72"/>
      <c r="H49" s="73"/>
      <c r="I49" s="73"/>
      <c r="J49" s="17"/>
    </row>
    <row r="50" spans="1:10" ht="13" customHeight="1" x14ac:dyDescent="0.35">
      <c r="A50" s="77"/>
      <c r="B50" s="78"/>
      <c r="C50" s="75"/>
      <c r="D50" s="72"/>
      <c r="E50" s="72"/>
      <c r="F50" s="72"/>
      <c r="G50" s="72"/>
      <c r="H50" s="73"/>
      <c r="I50" s="73"/>
      <c r="J50" s="17"/>
    </row>
    <row r="51" spans="1:10" ht="13" customHeight="1" x14ac:dyDescent="0.35">
      <c r="A51" s="77"/>
      <c r="B51" s="78"/>
      <c r="C51" s="75"/>
      <c r="D51" s="72"/>
      <c r="E51" s="72"/>
      <c r="F51" s="72"/>
      <c r="G51" s="72"/>
      <c r="H51" s="73"/>
      <c r="I51" s="73"/>
      <c r="J51" s="17"/>
    </row>
    <row r="52" spans="1:10" ht="13" customHeight="1" x14ac:dyDescent="0.35">
      <c r="A52" s="77"/>
      <c r="B52" s="78"/>
      <c r="C52" s="75"/>
      <c r="D52" s="72"/>
      <c r="E52" s="72"/>
      <c r="F52" s="72"/>
      <c r="G52" s="72"/>
      <c r="H52" s="73"/>
      <c r="I52" s="73"/>
      <c r="J52" s="17"/>
    </row>
    <row r="53" spans="1:10" ht="13" customHeight="1" x14ac:dyDescent="0.35">
      <c r="A53" s="77"/>
      <c r="B53" s="78"/>
      <c r="C53" s="75"/>
      <c r="D53" s="72"/>
      <c r="E53" s="72"/>
      <c r="F53" s="72"/>
      <c r="G53" s="72"/>
      <c r="H53" s="73"/>
      <c r="I53" s="73"/>
      <c r="J53" s="17"/>
    </row>
    <row r="54" spans="1:10" ht="13" customHeight="1" x14ac:dyDescent="0.35">
      <c r="A54" s="77"/>
      <c r="B54" s="78"/>
      <c r="C54" s="75"/>
      <c r="D54" s="72"/>
      <c r="E54" s="72"/>
      <c r="F54" s="72"/>
      <c r="G54" s="72"/>
      <c r="H54" s="73"/>
      <c r="I54" s="73"/>
      <c r="J54" s="17"/>
    </row>
    <row r="55" spans="1:10" ht="13" customHeight="1" x14ac:dyDescent="0.35">
      <c r="A55" s="77"/>
      <c r="B55" s="78"/>
      <c r="C55" s="75"/>
      <c r="D55" s="72"/>
      <c r="E55" s="72"/>
      <c r="F55" s="72"/>
      <c r="G55" s="72"/>
      <c r="H55" s="73"/>
      <c r="I55" s="73"/>
      <c r="J55" s="17"/>
    </row>
    <row r="56" spans="1:10" ht="13" customHeight="1" x14ac:dyDescent="0.35">
      <c r="A56" s="77"/>
      <c r="B56" s="78"/>
      <c r="C56" s="75"/>
      <c r="D56" s="73"/>
      <c r="E56" s="73"/>
      <c r="F56" s="73"/>
      <c r="G56" s="73"/>
      <c r="H56" s="73"/>
      <c r="I56" s="73"/>
      <c r="J56" s="17"/>
    </row>
    <row r="57" spans="1:10" ht="13" customHeight="1" x14ac:dyDescent="0.35">
      <c r="A57" s="77"/>
      <c r="B57" s="78"/>
      <c r="C57" s="75"/>
      <c r="D57" s="73"/>
      <c r="E57" s="73"/>
      <c r="F57" s="73"/>
      <c r="G57" s="73"/>
      <c r="H57" s="73"/>
      <c r="I57" s="73"/>
      <c r="J57" s="17"/>
    </row>
    <row r="58" spans="1:10" x14ac:dyDescent="0.35">
      <c r="A58" s="56"/>
      <c r="B58" s="60"/>
      <c r="C58" s="64"/>
      <c r="D58" s="61"/>
      <c r="E58" s="61"/>
      <c r="F58" s="61"/>
      <c r="G58" s="61"/>
      <c r="H58" s="61"/>
      <c r="I58" s="61"/>
    </row>
    <row r="59" spans="1:10" x14ac:dyDescent="0.35">
      <c r="A59" s="57"/>
      <c r="B59" s="62"/>
      <c r="C59" s="65"/>
      <c r="D59" s="63"/>
      <c r="E59" s="63"/>
      <c r="F59" s="63"/>
      <c r="G59" s="63"/>
      <c r="H59" s="63"/>
      <c r="I59" s="63"/>
    </row>
  </sheetData>
  <mergeCells count="6">
    <mergeCell ref="A1:I1"/>
    <mergeCell ref="A2:I2"/>
    <mergeCell ref="A3:I3"/>
    <mergeCell ref="A4:I4"/>
    <mergeCell ref="C6:I6"/>
    <mergeCell ref="C5:I5"/>
  </mergeCells>
  <conditionalFormatting sqref="C9:I15">
    <cfRule type="cellIs" dxfId="276" priority="1" operator="lessThan">
      <formula>0</formula>
    </cfRule>
  </conditionalFormatting>
  <pageMargins left="0.5" right="0.5" top="0.5" bottom="0.5" header="0.3" footer="0.3"/>
  <pageSetup scale="76" orientation="landscape" r:id="rId1"/>
  <headerFooter>
    <oddHeader>&amp;L&amp;10FY 2022-26 Proposed Budget&amp;R&amp;D
&amp;T</oddHeader>
    <oddFooter>&amp;L
&amp;C&amp;10Page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84</vt:i4>
      </vt:variant>
      <vt:variant>
        <vt:lpstr>Named Ranges</vt:lpstr>
      </vt:variant>
      <vt:variant>
        <vt:i4>94</vt:i4>
      </vt:variant>
    </vt:vector>
  </HeadingPairs>
  <TitlesOfParts>
    <vt:vector size="178" baseType="lpstr">
      <vt:lpstr>Summary</vt:lpstr>
      <vt:lpstr>DeptSummary</vt:lpstr>
      <vt:lpstr>34-Art Museum Subsidy</vt:lpstr>
      <vt:lpstr>18-Atwater Kent Museum</vt:lpstr>
      <vt:lpstr>61-Auditing</vt:lpstr>
      <vt:lpstr>45-Board of Ethics</vt:lpstr>
      <vt:lpstr>63-Board of Revision of Taxes</vt:lpstr>
      <vt:lpstr>73-City Commissioners</vt:lpstr>
      <vt:lpstr>01-City Council</vt:lpstr>
      <vt:lpstr>41-City Representative</vt:lpstr>
      <vt:lpstr>40-City Treasurer</vt:lpstr>
      <vt:lpstr>55-Civil Service Comm</vt:lpstr>
      <vt:lpstr>55L-CivServComm-Labor Reserve</vt:lpstr>
      <vt:lpstr>42-Commerce</vt:lpstr>
      <vt:lpstr>42CC-Commerce Convention Ctr</vt:lpstr>
      <vt:lpstr>42ES-Commerce Econ Stimulus</vt:lpstr>
      <vt:lpstr>69-District Attorney</vt:lpstr>
      <vt:lpstr>35-Finance</vt:lpstr>
      <vt:lpstr>35R-Finance - Pandemic Reserve</vt:lpstr>
      <vt:lpstr>35D-Finance Reg32</vt:lpstr>
      <vt:lpstr>35CC-Finance - CCP</vt:lpstr>
      <vt:lpstr>35BS-Finance-BudgetStabilizat'n</vt:lpstr>
      <vt:lpstr>35EB-Finance - Benefits</vt:lpstr>
      <vt:lpstr>35H-Finance - Hero</vt:lpstr>
      <vt:lpstr>35I-Finance - Indemnities</vt:lpstr>
      <vt:lpstr>35R-Finance - Refunds</vt:lpstr>
      <vt:lpstr>35SD-Finance-School District</vt:lpstr>
      <vt:lpstr>35W-Finance - Witness Fees</vt:lpstr>
      <vt:lpstr>13-Fire</vt:lpstr>
      <vt:lpstr>84-FJD</vt:lpstr>
      <vt:lpstr>25-Fleet</vt:lpstr>
      <vt:lpstr>25V-Fleet - Vehicle</vt:lpstr>
      <vt:lpstr>52-Free Library</vt:lpstr>
      <vt:lpstr>54-Human Relations Comm</vt:lpstr>
      <vt:lpstr>22-Human Services</vt:lpstr>
      <vt:lpstr>03-Labor</vt:lpstr>
      <vt:lpstr>44-Law</vt:lpstr>
      <vt:lpstr>26-L+I</vt:lpstr>
      <vt:lpstr>29-L+I -Bd Bldg Standards</vt:lpstr>
      <vt:lpstr>27-L+I -Bd LI Rev</vt:lpstr>
      <vt:lpstr>10-MDO</vt:lpstr>
      <vt:lpstr>10LS-MDO-Legal Svcs</vt:lpstr>
      <vt:lpstr>05-Mayor</vt:lpstr>
      <vt:lpstr>05S-Mayor-Schol</vt:lpstr>
      <vt:lpstr>50-Mural Arts</vt:lpstr>
      <vt:lpstr>58-Arts&amp;Culture</vt:lpstr>
      <vt:lpstr>15-OBH</vt:lpstr>
      <vt:lpstr>65-CAO</vt:lpstr>
      <vt:lpstr>08-CEO( MOCS_08)</vt:lpstr>
      <vt:lpstr>66-OCF</vt:lpstr>
      <vt:lpstr>24-OHS</vt:lpstr>
      <vt:lpstr>56-OHR</vt:lpstr>
      <vt:lpstr>04-OIT</vt:lpstr>
      <vt:lpstr>04-OIT-911</vt:lpstr>
      <vt:lpstr>48-OIG</vt:lpstr>
      <vt:lpstr>59-OPA</vt:lpstr>
      <vt:lpstr>49-Off of Sustainability</vt:lpstr>
      <vt:lpstr>16-Parks&amp;Rec</vt:lpstr>
      <vt:lpstr>72-Planning &amp; Dev (Incl OHCD)</vt:lpstr>
      <vt:lpstr>11-Police</vt:lpstr>
      <vt:lpstr>23-Prisons</vt:lpstr>
      <vt:lpstr>38-Procurement</vt:lpstr>
      <vt:lpstr>14-Public Health</vt:lpstr>
      <vt:lpstr>20-Public Property</vt:lpstr>
      <vt:lpstr>20S-Public Prop-SEPTA</vt:lpstr>
      <vt:lpstr>20SR-Public Prop-Space Rentals</vt:lpstr>
      <vt:lpstr>20U-Public Prop-Utilities</vt:lpstr>
      <vt:lpstr>31-Records</vt:lpstr>
      <vt:lpstr>68-Register of Wills</vt:lpstr>
      <vt:lpstr>36-Revenue</vt:lpstr>
      <vt:lpstr>70-Sheriff</vt:lpstr>
      <vt:lpstr>37-Sinking Fund</vt:lpstr>
      <vt:lpstr>12D-Streets-Disposal</vt:lpstr>
      <vt:lpstr>12-Streets</vt:lpstr>
      <vt:lpstr>CSC- ALL</vt:lpstr>
      <vt:lpstr>COMMERCE -ALL</vt:lpstr>
      <vt:lpstr>FINANCE TOTAL</vt:lpstr>
      <vt:lpstr>FLEET TOTAL</vt:lpstr>
      <vt:lpstr>MDO TOTAL</vt:lpstr>
      <vt:lpstr>MAYOR TOTAL</vt:lpstr>
      <vt:lpstr>OIT ALL</vt:lpstr>
      <vt:lpstr>PUB PROP TOTAL</vt:lpstr>
      <vt:lpstr>STREETS TOTAL</vt:lpstr>
      <vt:lpstr>Template</vt:lpstr>
      <vt:lpstr>'01-City Council'!Print_Area</vt:lpstr>
      <vt:lpstr>'03-Labor'!Print_Area</vt:lpstr>
      <vt:lpstr>'04-OIT'!Print_Area</vt:lpstr>
      <vt:lpstr>'04-OIT-911'!Print_Area</vt:lpstr>
      <vt:lpstr>'05-Mayor'!Print_Area</vt:lpstr>
      <vt:lpstr>'05S-Mayor-Schol'!Print_Area</vt:lpstr>
      <vt:lpstr>'08-CEO( MOCS_08)'!Print_Area</vt:lpstr>
      <vt:lpstr>'10LS-MDO-Legal Svcs'!Print_Area</vt:lpstr>
      <vt:lpstr>'10-MDO'!Print_Area</vt:lpstr>
      <vt:lpstr>'11-Police'!Print_Area</vt:lpstr>
      <vt:lpstr>'12D-Streets-Disposal'!Print_Area</vt:lpstr>
      <vt:lpstr>'12-Streets'!Print_Area</vt:lpstr>
      <vt:lpstr>'13-Fire'!Print_Area</vt:lpstr>
      <vt:lpstr>'14-Public Health'!Print_Area</vt:lpstr>
      <vt:lpstr>'15-OBH'!Print_Area</vt:lpstr>
      <vt:lpstr>'16-Parks&amp;Rec'!Print_Area</vt:lpstr>
      <vt:lpstr>'18-Atwater Kent Museum'!Print_Area</vt:lpstr>
      <vt:lpstr>'20-Public Property'!Print_Area</vt:lpstr>
      <vt:lpstr>'20S-Public Prop-SEPTA'!Print_Area</vt:lpstr>
      <vt:lpstr>'20SR-Public Prop-Space Rentals'!Print_Area</vt:lpstr>
      <vt:lpstr>'20U-Public Prop-Utilities'!Print_Area</vt:lpstr>
      <vt:lpstr>'22-Human Services'!Print_Area</vt:lpstr>
      <vt:lpstr>'23-Prisons'!Print_Area</vt:lpstr>
      <vt:lpstr>'24-OHS'!Print_Area</vt:lpstr>
      <vt:lpstr>'25-Fleet'!Print_Area</vt:lpstr>
      <vt:lpstr>'25V-Fleet - Vehicle'!Print_Area</vt:lpstr>
      <vt:lpstr>'26-L+I'!Print_Area</vt:lpstr>
      <vt:lpstr>'27-L+I -Bd LI Rev'!Print_Area</vt:lpstr>
      <vt:lpstr>'29-L+I -Bd Bldg Standards'!Print_Area</vt:lpstr>
      <vt:lpstr>'31-Records'!Print_Area</vt:lpstr>
      <vt:lpstr>'34-Art Museum Subsidy'!Print_Area</vt:lpstr>
      <vt:lpstr>'35BS-Finance-BudgetStabilizat''n'!Print_Area</vt:lpstr>
      <vt:lpstr>'35CC-Finance - CCP'!Print_Area</vt:lpstr>
      <vt:lpstr>'35D-Finance Reg32'!Print_Area</vt:lpstr>
      <vt:lpstr>'35EB-Finance - Benefits'!Print_Area</vt:lpstr>
      <vt:lpstr>'35-Finance'!Print_Area</vt:lpstr>
      <vt:lpstr>'35H-Finance - Hero'!Print_Area</vt:lpstr>
      <vt:lpstr>'35I-Finance - Indemnities'!Print_Area</vt:lpstr>
      <vt:lpstr>'35R-Finance - Pandemic Reserve'!Print_Area</vt:lpstr>
      <vt:lpstr>'35R-Finance - Refunds'!Print_Area</vt:lpstr>
      <vt:lpstr>'35SD-Finance-School District'!Print_Area</vt:lpstr>
      <vt:lpstr>'35W-Finance - Witness Fees'!Print_Area</vt:lpstr>
      <vt:lpstr>'36-Revenue'!Print_Area</vt:lpstr>
      <vt:lpstr>'37-Sinking Fund'!Print_Area</vt:lpstr>
      <vt:lpstr>'38-Procurement'!Print_Area</vt:lpstr>
      <vt:lpstr>'40-City Treasurer'!Print_Area</vt:lpstr>
      <vt:lpstr>'41-City Representative'!Print_Area</vt:lpstr>
      <vt:lpstr>'42CC-Commerce Convention Ctr'!Print_Area</vt:lpstr>
      <vt:lpstr>'42-Commerce'!Print_Area</vt:lpstr>
      <vt:lpstr>'42ES-Commerce Econ Stimulus'!Print_Area</vt:lpstr>
      <vt:lpstr>'44-Law'!Print_Area</vt:lpstr>
      <vt:lpstr>'45-Board of Ethics'!Print_Area</vt:lpstr>
      <vt:lpstr>'48-OIG'!Print_Area</vt:lpstr>
      <vt:lpstr>'49-Off of Sustainability'!Print_Area</vt:lpstr>
      <vt:lpstr>'50-Mural Arts'!Print_Area</vt:lpstr>
      <vt:lpstr>'52-Free Library'!Print_Area</vt:lpstr>
      <vt:lpstr>'54-Human Relations Comm'!Print_Area</vt:lpstr>
      <vt:lpstr>'55-Civil Service Comm'!Print_Area</vt:lpstr>
      <vt:lpstr>'55L-CivServComm-Labor Reserve'!Print_Area</vt:lpstr>
      <vt:lpstr>'56-OHR'!Print_Area</vt:lpstr>
      <vt:lpstr>'58-Arts&amp;Culture'!Print_Area</vt:lpstr>
      <vt:lpstr>'59-OPA'!Print_Area</vt:lpstr>
      <vt:lpstr>'61-Auditing'!Print_Area</vt:lpstr>
      <vt:lpstr>'63-Board of Revision of Taxes'!Print_Area</vt:lpstr>
      <vt:lpstr>'65-CAO'!Print_Area</vt:lpstr>
      <vt:lpstr>'66-OCF'!Print_Area</vt:lpstr>
      <vt:lpstr>'68-Register of Wills'!Print_Area</vt:lpstr>
      <vt:lpstr>'69-District Attorney'!Print_Area</vt:lpstr>
      <vt:lpstr>'70-Sheriff'!Print_Area</vt:lpstr>
      <vt:lpstr>'72-Planning &amp; Dev (Incl OHCD)'!Print_Area</vt:lpstr>
      <vt:lpstr>'73-City Commissioners'!Print_Area</vt:lpstr>
      <vt:lpstr>'84-FJD'!Print_Area</vt:lpstr>
      <vt:lpstr>'COMMERCE -ALL'!Print_Area</vt:lpstr>
      <vt:lpstr>'CSC- ALL'!Print_Area</vt:lpstr>
      <vt:lpstr>DeptSummary!Print_Area</vt:lpstr>
      <vt:lpstr>'FINANCE TOTAL'!Print_Area</vt:lpstr>
      <vt:lpstr>'FLEET TOTAL'!Print_Area</vt:lpstr>
      <vt:lpstr>'MAYOR TOTAL'!Print_Area</vt:lpstr>
      <vt:lpstr>'MDO TOTAL'!Print_Area</vt:lpstr>
      <vt:lpstr>'OIT ALL'!Print_Area</vt:lpstr>
      <vt:lpstr>'PUB PROP TOTAL'!Print_Area</vt:lpstr>
      <vt:lpstr>'STREETS TOTAL'!Print_Area</vt:lpstr>
      <vt:lpstr>Summary!Print_Area</vt:lpstr>
      <vt:lpstr>Template!Print_Area</vt:lpstr>
      <vt:lpstr>'03-Labor'!Print_Titles</vt:lpstr>
      <vt:lpstr>'04-OIT'!Print_Titles</vt:lpstr>
      <vt:lpstr>'10-MDO'!Print_Titles</vt:lpstr>
      <vt:lpstr>'11-Police'!Print_Titles</vt:lpstr>
      <vt:lpstr>'12-Streets'!Print_Titles</vt:lpstr>
      <vt:lpstr>'13-Fire'!Print_Titles</vt:lpstr>
      <vt:lpstr>'14-Public Health'!Print_Titles</vt:lpstr>
      <vt:lpstr>'16-Parks&amp;Rec'!Print_Titles</vt:lpstr>
      <vt:lpstr>'35-Finance'!Print_Titles</vt:lpstr>
      <vt:lpstr>DeptSummary!Print_Titles</vt:lpstr>
    </vt:vector>
  </TitlesOfParts>
  <Company>City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Andrew Comia</cp:lastModifiedBy>
  <cp:lastPrinted>2021-04-14T16:47:09Z</cp:lastPrinted>
  <dcterms:created xsi:type="dcterms:W3CDTF">2014-11-07T14:43:31Z</dcterms:created>
  <dcterms:modified xsi:type="dcterms:W3CDTF">2021-04-14T20:27:14Z</dcterms:modified>
</cp:coreProperties>
</file>