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Software/covid19-forecaster/covid19_forecaster/data/taxes/"/>
    </mc:Choice>
  </mc:AlternateContent>
  <xr:revisionPtr revIDLastSave="0" documentId="13_ncr:1_{12298DE2-21BD-9247-A87F-5A12E1E241A2}" xr6:coauthVersionLast="46" xr6:coauthVersionMax="46" xr10:uidLastSave="{00000000-0000-0000-0000-000000000000}"/>
  <bookViews>
    <workbookView xWindow="740" yWindow="500" windowWidth="27640" windowHeight="16440" xr2:uid="{1F4D6A7D-B023-4340-B612-AAD556B985EE}"/>
  </bookViews>
  <sheets>
    <sheet name="Sal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8" i="2" l="1"/>
  <c r="AB27" i="2"/>
  <c r="AB20" i="2"/>
  <c r="AB19" i="2"/>
  <c r="AB18" i="2"/>
  <c r="AB17" i="2"/>
  <c r="AB26" i="2" s="1"/>
  <c r="AB16" i="2"/>
  <c r="AB14" i="2"/>
  <c r="Z49" i="2"/>
  <c r="Y49" i="2"/>
  <c r="X49" i="2"/>
  <c r="W49" i="2"/>
  <c r="V41" i="2"/>
  <c r="AA31" i="2"/>
  <c r="AB31" i="2" s="1"/>
  <c r="W31" i="2"/>
  <c r="V31" i="2"/>
  <c r="AG28" i="2"/>
  <c r="AF28" i="2"/>
  <c r="AE28" i="2"/>
  <c r="AD28" i="2"/>
  <c r="AC28" i="2"/>
  <c r="AD27" i="2" s="1"/>
  <c r="Z28" i="2"/>
  <c r="Y28" i="2"/>
  <c r="X28" i="2"/>
  <c r="W28" i="2"/>
  <c r="X27" i="2" s="1"/>
  <c r="V28" i="2"/>
  <c r="W27" i="2" s="1"/>
  <c r="AG27" i="2"/>
  <c r="AF27" i="2"/>
  <c r="AE27" i="2"/>
  <c r="AA27" i="2"/>
  <c r="Z27" i="2"/>
  <c r="Y27" i="2"/>
  <c r="V27" i="2"/>
  <c r="AG26" i="2"/>
  <c r="AF26" i="2"/>
  <c r="AE26" i="2"/>
  <c r="AD26" i="2"/>
  <c r="AC26" i="2"/>
  <c r="Z26" i="2"/>
  <c r="X26" i="2"/>
  <c r="X29" i="2" s="1"/>
  <c r="W26" i="2"/>
  <c r="U26" i="2"/>
  <c r="U29" i="2" s="1"/>
  <c r="U45" i="2" s="1"/>
  <c r="T26" i="2"/>
  <c r="T29" i="2" s="1"/>
  <c r="T45" i="2" s="1"/>
  <c r="S26" i="2"/>
  <c r="S29" i="2" s="1"/>
  <c r="S45" i="2" s="1"/>
  <c r="R26" i="2"/>
  <c r="R29" i="2" s="1"/>
  <c r="R45" i="2" s="1"/>
  <c r="Q26" i="2"/>
  <c r="Q29" i="2" s="1"/>
  <c r="Q45" i="2" s="1"/>
  <c r="P26" i="2"/>
  <c r="P29" i="2" s="1"/>
  <c r="P45" i="2" s="1"/>
  <c r="O26" i="2"/>
  <c r="O29" i="2" s="1"/>
  <c r="O45" i="2" s="1"/>
  <c r="N26" i="2"/>
  <c r="N29" i="2" s="1"/>
  <c r="N45" i="2" s="1"/>
  <c r="M26" i="2"/>
  <c r="M29" i="2" s="1"/>
  <c r="M45" i="2" s="1"/>
  <c r="L26" i="2"/>
  <c r="L29" i="2" s="1"/>
  <c r="L45" i="2" s="1"/>
  <c r="K26" i="2"/>
  <c r="K29" i="2" s="1"/>
  <c r="K45" i="2" s="1"/>
  <c r="J26" i="2"/>
  <c r="J29" i="2" s="1"/>
  <c r="J45" i="2" s="1"/>
  <c r="I26" i="2"/>
  <c r="I29" i="2" s="1"/>
  <c r="I45" i="2" s="1"/>
  <c r="H26" i="2"/>
  <c r="H29" i="2" s="1"/>
  <c r="H45" i="2" s="1"/>
  <c r="G26" i="2"/>
  <c r="G29" i="2" s="1"/>
  <c r="G45" i="2" s="1"/>
  <c r="F26" i="2"/>
  <c r="F29" i="2" s="1"/>
  <c r="F45" i="2" s="1"/>
  <c r="E26" i="2"/>
  <c r="E29" i="2" s="1"/>
  <c r="E45" i="2" s="1"/>
  <c r="D26" i="2"/>
  <c r="D29" i="2" s="1"/>
  <c r="D45" i="2" s="1"/>
  <c r="C26" i="2"/>
  <c r="C29" i="2" s="1"/>
  <c r="C45" i="2" s="1"/>
  <c r="AA23" i="2"/>
  <c r="V23" i="2"/>
  <c r="V26" i="2" s="1"/>
  <c r="AA22" i="2"/>
  <c r="AA21" i="2"/>
  <c r="AA26" i="2" s="1"/>
  <c r="Y17" i="2"/>
  <c r="Y26" i="2" s="1"/>
  <c r="Y29" i="2" s="1"/>
  <c r="AA28" i="2"/>
  <c r="Q10" i="2"/>
  <c r="AF6" i="2"/>
  <c r="AE6" i="2"/>
  <c r="AD6" i="2"/>
  <c r="AC6" i="2"/>
  <c r="W29" i="2" l="1"/>
  <c r="W6" i="2" s="1"/>
  <c r="Z29" i="2"/>
  <c r="V29" i="2"/>
  <c r="AG29" i="2"/>
  <c r="AA29" i="2"/>
  <c r="AA6" i="2" s="1"/>
  <c r="Y33" i="2"/>
  <c r="Y6" i="2"/>
  <c r="W33" i="2"/>
  <c r="X6" i="2"/>
  <c r="X33" i="2"/>
  <c r="Z33" i="2"/>
  <c r="Z6" i="2"/>
  <c r="AC31" i="2"/>
  <c r="AB33" i="2"/>
  <c r="V33" i="2"/>
  <c r="V6" i="2"/>
  <c r="AA33" i="2" l="1"/>
  <c r="AA35" i="2" s="1"/>
  <c r="AA39" i="2" s="1"/>
  <c r="AA43" i="2" s="1"/>
  <c r="AB6" i="2"/>
  <c r="AB35" i="2"/>
  <c r="AB39" i="2" s="1"/>
  <c r="AB43" i="2" s="1"/>
  <c r="AC33" i="2"/>
  <c r="AD31" i="2"/>
  <c r="W35" i="2"/>
  <c r="W39" i="2" s="1"/>
  <c r="W43" i="2" s="1"/>
  <c r="W45" i="2"/>
  <c r="X35" i="2"/>
  <c r="X39" i="2" s="1"/>
  <c r="X43" i="2" s="1"/>
  <c r="Y45" i="2"/>
  <c r="Y35" i="2"/>
  <c r="Y39" i="2" s="1"/>
  <c r="Y43" i="2" s="1"/>
  <c r="V35" i="2"/>
  <c r="V39" i="2" s="1"/>
  <c r="V43" i="2" s="1"/>
  <c r="Z35" i="2"/>
  <c r="Z39" i="2" s="1"/>
  <c r="Z43" i="2" s="1"/>
  <c r="Z45" i="2" l="1"/>
  <c r="AA45" i="2"/>
  <c r="AD33" i="2"/>
  <c r="AE31" i="2"/>
  <c r="AC45" i="2"/>
  <c r="AC35" i="2"/>
  <c r="AC39" i="2" s="1"/>
  <c r="AC43" i="2" s="1"/>
  <c r="V45" i="2"/>
  <c r="X45" i="2"/>
  <c r="AB45" i="2"/>
  <c r="AF31" i="2" l="1"/>
  <c r="AF33" i="2" s="1"/>
  <c r="AE33" i="2"/>
  <c r="AD35" i="2"/>
  <c r="AD39" i="2" s="1"/>
  <c r="AD43" i="2" s="1"/>
  <c r="AD45" i="2" l="1"/>
  <c r="AE35" i="2"/>
  <c r="AE39" i="2" s="1"/>
  <c r="AE43" i="2" s="1"/>
  <c r="AF35" i="2"/>
  <c r="AF39" i="2" s="1"/>
  <c r="AF43" i="2" s="1"/>
  <c r="AF45" i="2" l="1"/>
  <c r="AE45" i="2"/>
</calcChain>
</file>

<file path=xl/sharedStrings.xml><?xml version="1.0" encoding="utf-8"?>
<sst xmlns="http://schemas.openxmlformats.org/spreadsheetml/2006/main" count="77" uniqueCount="77">
  <si>
    <t>Sales Tax History</t>
  </si>
  <si>
    <t>Current Year Collections by Month</t>
  </si>
  <si>
    <t>(Amts in FAMIS 2 mos. behind act. coll.)</t>
  </si>
  <si>
    <t>Receipts 2 month lag - deposited on or around the 8th of the month,</t>
  </si>
  <si>
    <t>i.e. Nov. tax is deposited on 1/8/10.</t>
  </si>
  <si>
    <t>Rate Increased</t>
  </si>
  <si>
    <t>Growth Rates</t>
  </si>
  <si>
    <t>1% to 2%</t>
  </si>
  <si>
    <t>FY21 Factor</t>
  </si>
  <si>
    <t>??????</t>
  </si>
  <si>
    <t>Rates</t>
  </si>
  <si>
    <t>Index code: 2701</t>
  </si>
  <si>
    <t>FY1996</t>
  </si>
  <si>
    <t>FY1997</t>
  </si>
  <si>
    <t>FY1998</t>
  </si>
  <si>
    <t>FY1999</t>
  </si>
  <si>
    <t>FY2000</t>
  </si>
  <si>
    <t>FY2001</t>
  </si>
  <si>
    <t>FY2002</t>
  </si>
  <si>
    <t>FY2003</t>
  </si>
  <si>
    <t>FY2004</t>
  </si>
  <si>
    <t>FY2005</t>
  </si>
  <si>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</si>
  <si>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</si>
  <si>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</si>
  <si>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</si>
  <si>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</si>
  <si>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</si>
  <si>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</si>
  <si>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</si>
  <si>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</si>
  <si>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</si>
  <si>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</si>
  <si>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</si>
  <si>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</si>
  <si>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</si>
  <si>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</si>
  <si>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</si>
  <si>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</si>
  <si>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</si>
  <si>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</si>
  <si>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</si>
  <si>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</si>
  <si>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</si>
  <si>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</si>
  <si>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</si>
  <si>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</si>
  <si>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</si>
  <si>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</si>
  <si>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</si>
  <si>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</si>
  <si>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</si>
  <si>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</si>
  <si>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</si>
  <si>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</si>
  <si>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Subtotal</t>
  </si>
  <si>
    <t>PY Accrual</t>
  </si>
  <si>
    <t>CY Accrual</t>
  </si>
  <si>
    <t>Total</t>
  </si>
  <si>
    <t>b)</t>
  </si>
  <si>
    <t>TIFs (GR matching Sales)</t>
  </si>
  <si>
    <t>c)</t>
  </si>
  <si>
    <t>City Share</t>
  </si>
  <si>
    <t>d)</t>
  </si>
  <si>
    <t xml:space="preserve">  SD, Debt &amp; Pension - 2nd 1% (a-b)*0.5</t>
  </si>
  <si>
    <t>e)</t>
  </si>
  <si>
    <t>Less: SD Share ($120M maximum)</t>
  </si>
  <si>
    <t>f)</t>
  </si>
  <si>
    <t>Remaining Balance Available (d-e)</t>
  </si>
  <si>
    <t>g)</t>
  </si>
  <si>
    <t>Less: Debt Service ($15M maximum)</t>
  </si>
  <si>
    <t>h)</t>
  </si>
  <si>
    <t>Balance available for Pension (f-g)</t>
  </si>
  <si>
    <t>i)</t>
  </si>
  <si>
    <t>Total City Share (c+f)</t>
  </si>
  <si>
    <t>Budget summary line item for sales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</si>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</sst>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_(* #,##0.0000_);_(* \(#,##0.0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u val="double"/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10" fontId="3" fillId="0" borderId="0" xfId="2" applyNumberFormat="1" applyFont="1"/>
    <xf numFmtId="9" fontId="2" fillId="0" borderId="0" xfId="0" applyNumberFormat="1" applyFont="1" applyAlignment="1">
      <alignment horizontal="center"/>
    </xf>
    <xf numFmtId="9" fontId="3" fillId="0" borderId="0" xfId="2" applyFont="1"/>
    <xf numFmtId="14" fontId="2" fillId="0" borderId="0" xfId="0" applyNumberFormat="1" applyFont="1" applyAlignment="1">
      <alignment horizontal="center"/>
    </xf>
    <xf numFmtId="164" fontId="2" fillId="2" borderId="0" xfId="0" quotePrefix="1" applyNumberFormat="1" applyFont="1" applyFill="1"/>
    <xf numFmtId="0" fontId="2" fillId="0" borderId="0" xfId="0" applyFont="1" applyAlignment="1">
      <alignment horizontal="right"/>
    </xf>
    <xf numFmtId="9" fontId="3" fillId="0" borderId="0" xfId="2" applyFont="1" applyAlignment="1">
      <alignment horizontal="left"/>
    </xf>
    <xf numFmtId="10" fontId="3" fillId="0" borderId="0" xfId="2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37" fontId="3" fillId="0" borderId="0" xfId="0" applyNumberFormat="1" applyFont="1"/>
    <xf numFmtId="165" fontId="3" fillId="0" borderId="0" xfId="0" applyNumberFormat="1" applyFont="1" applyAlignment="1">
      <alignment horizontal="left"/>
    </xf>
    <xf numFmtId="37" fontId="2" fillId="0" borderId="2" xfId="0" applyNumberFormat="1" applyFont="1" applyBorder="1"/>
    <xf numFmtId="37" fontId="2" fillId="0" borderId="3" xfId="0" applyNumberFormat="1" applyFont="1" applyBorder="1"/>
    <xf numFmtId="37" fontId="3" fillId="0" borderId="4" xfId="0" applyNumberFormat="1" applyFont="1" applyBorder="1"/>
    <xf numFmtId="37" fontId="2" fillId="0" borderId="5" xfId="0" applyNumberFormat="1" applyFont="1" applyBorder="1"/>
    <xf numFmtId="37" fontId="2" fillId="0" borderId="6" xfId="0" applyNumberFormat="1" applyFont="1" applyBorder="1"/>
    <xf numFmtId="3" fontId="2" fillId="0" borderId="6" xfId="0" applyNumberFormat="1" applyFont="1" applyBorder="1"/>
    <xf numFmtId="37" fontId="2" fillId="0" borderId="0" xfId="0" applyNumberFormat="1" applyFont="1" applyAlignment="1">
      <alignment horizontal="left"/>
    </xf>
    <xf numFmtId="38" fontId="7" fillId="0" borderId="0" xfId="0" applyNumberFormat="1" applyFont="1" applyAlignment="1">
      <alignment horizontal="center"/>
    </xf>
    <xf numFmtId="38" fontId="3" fillId="0" borderId="0" xfId="0" applyNumberFormat="1" applyFont="1"/>
    <xf numFmtId="10" fontId="3" fillId="0" borderId="0" xfId="0" applyNumberFormat="1" applyFont="1"/>
    <xf numFmtId="165" fontId="6" fillId="0" borderId="0" xfId="3" applyNumberFormat="1" applyFont="1"/>
    <xf numFmtId="0" fontId="2" fillId="0" borderId="0" xfId="0" quotePrefix="1" applyFont="1"/>
    <xf numFmtId="37" fontId="2" fillId="0" borderId="0" xfId="0" applyNumberFormat="1" applyFont="1"/>
    <xf numFmtId="165" fontId="2" fillId="0" borderId="0" xfId="1" applyNumberFormat="1" applyFont="1" applyBorder="1" applyAlignment="1">
      <alignment horizontal="left"/>
    </xf>
    <xf numFmtId="0" fontId="5" fillId="0" borderId="0" xfId="0" applyFont="1"/>
    <xf numFmtId="165" fontId="6" fillId="0" borderId="0" xfId="1" applyNumberFormat="1" applyFont="1" applyBorder="1"/>
    <xf numFmtId="165" fontId="6" fillId="0" borderId="0" xfId="0" applyNumberFormat="1" applyFont="1"/>
    <xf numFmtId="165" fontId="2" fillId="0" borderId="0" xfId="1" applyNumberFormat="1" applyFont="1"/>
    <xf numFmtId="165" fontId="5" fillId="0" borderId="0" xfId="1" applyNumberFormat="1" applyFont="1"/>
    <xf numFmtId="165" fontId="2" fillId="0" borderId="0" xfId="1" applyNumberFormat="1" applyFont="1" applyAlignment="1">
      <alignment horizontal="left" vertical="center"/>
    </xf>
    <xf numFmtId="166" fontId="2" fillId="0" borderId="0" xfId="1" applyNumberFormat="1" applyFont="1"/>
    <xf numFmtId="166" fontId="2" fillId="0" borderId="0" xfId="1" applyNumberFormat="1" applyFont="1" applyBorder="1"/>
    <xf numFmtId="166" fontId="2" fillId="0" borderId="0" xfId="1" applyNumberFormat="1" applyFont="1" applyFill="1" applyBorder="1"/>
    <xf numFmtId="165" fontId="6" fillId="0" borderId="0" xfId="1" applyNumberFormat="1" applyFont="1" applyFill="1" applyBorder="1"/>
    <xf numFmtId="165" fontId="6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left"/>
    </xf>
    <xf numFmtId="37" fontId="7" fillId="0" borderId="0" xfId="0" applyNumberFormat="1" applyFont="1"/>
    <xf numFmtId="0" fontId="0" fillId="0" borderId="0" xfId="0" applyAlignment="1">
      <alignment horizontal="left"/>
    </xf>
    <xf numFmtId="37" fontId="2" fillId="3" borderId="0" xfId="0" applyNumberFormat="1" applyFont="1" applyFill="1" applyAlignment="1">
      <alignment horizontal="left"/>
    </xf>
    <xf numFmtId="0" fontId="2" fillId="3" borderId="0" xfId="0" applyFont="1" applyFill="1"/>
    <xf numFmtId="165" fontId="6" fillId="3" borderId="0" xfId="3" applyNumberFormat="1" applyFont="1" applyFill="1"/>
    <xf numFmtId="37" fontId="7" fillId="3" borderId="0" xfId="0" applyNumberFormat="1" applyFont="1" applyFill="1"/>
    <xf numFmtId="3" fontId="3" fillId="0" borderId="0" xfId="0" applyNumberFormat="1" applyFont="1"/>
    <xf numFmtId="0" fontId="3" fillId="0" borderId="0" xfId="0" applyFont="1" applyFill="1"/>
    <xf numFmtId="0" fontId="4" fillId="0" borderId="0" xfId="0" applyFont="1" applyFill="1"/>
    <xf numFmtId="9" fontId="5" fillId="0" borderId="0" xfId="2" applyFont="1" applyFill="1"/>
    <xf numFmtId="37" fontId="3" fillId="0" borderId="0" xfId="0" applyNumberFormat="1" applyFont="1" applyFill="1"/>
    <xf numFmtId="37" fontId="5" fillId="0" borderId="0" xfId="0" applyNumberFormat="1" applyFont="1" applyFill="1"/>
    <xf numFmtId="37" fontId="5" fillId="0" borderId="1" xfId="0" applyNumberFormat="1" applyFont="1" applyFill="1" applyBorder="1"/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</cellXfs>
  <cellStyles count="4">
    <cellStyle name="Comma" xfId="1" builtinId="3"/>
    <cellStyle name="Comma 4" xfId="3" xr:uid="{FFFAD109-32D0-0F4F-8EAF-24CA437577EF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A5EE-74E6-F44C-B2E8-3ADC15193B13}">
  <dimension ref="A1:AG50"/>
  <sheetViews>
    <sheetView tabSelected="1" topLeftCell="O8" zoomScale="105" zoomScaleNormal="100" workbookViewId="0">
      <selection activeCell="T36" sqref="T36"/>
    </sheetView>
  </sheetViews>
  <sheetFormatPr baseColWidth="10" defaultRowHeight="13" x14ac:dyDescent="0.15"/>
  <cols>
    <col min="1" max="1" width="2.6640625" style="2" customWidth="1"/>
    <col min="2" max="2" width="39" style="2" customWidth="1"/>
    <col min="3" max="4" width="10.83203125" style="2" customWidth="1"/>
    <col min="5" max="5" width="13.1640625" style="2" customWidth="1"/>
    <col min="6" max="6" width="10.83203125" style="2" customWidth="1"/>
    <col min="7" max="16" width="11.83203125" style="2" customWidth="1"/>
    <col min="17" max="17" width="14.1640625" style="2" customWidth="1"/>
    <col min="18" max="20" width="11.83203125" style="2" customWidth="1"/>
    <col min="21" max="21" width="13.5" style="2" customWidth="1"/>
    <col min="22" max="32" width="12.5" style="2" bestFit="1" customWidth="1"/>
    <col min="33" max="33" width="13.6640625" style="2" bestFit="1" customWidth="1"/>
    <col min="34" max="16384" width="10.83203125" style="2"/>
  </cols>
  <sheetData>
    <row r="1" spans="2:33" x14ac:dyDescent="0.15">
      <c r="B1" s="1" t="s">
        <v>0</v>
      </c>
      <c r="Z1" s="52"/>
      <c r="AA1" s="53"/>
      <c r="AB1" s="54"/>
      <c r="AC1" s="52"/>
    </row>
    <row r="2" spans="2:33" x14ac:dyDescent="0.15">
      <c r="B2" s="1" t="s">
        <v>1</v>
      </c>
      <c r="Z2" s="52"/>
      <c r="AA2" s="53"/>
      <c r="AB2" s="54"/>
      <c r="AC2" s="52"/>
    </row>
    <row r="3" spans="2:33" x14ac:dyDescent="0.15">
      <c r="B3" s="1" t="s">
        <v>2</v>
      </c>
      <c r="E3" s="3" t="s">
        <v>3</v>
      </c>
      <c r="Z3" s="52"/>
      <c r="AA3" s="53"/>
      <c r="AB3" s="54"/>
      <c r="AC3" s="52"/>
    </row>
    <row r="4" spans="2:33" x14ac:dyDescent="0.15">
      <c r="E4" s="3" t="s">
        <v>4</v>
      </c>
      <c r="Z4" s="52"/>
      <c r="AA4" s="53"/>
      <c r="AB4" s="54"/>
      <c r="AC4" s="52"/>
    </row>
    <row r="6" spans="2:33" x14ac:dyDescent="0.15">
      <c r="C6" s="1"/>
      <c r="D6" s="1"/>
      <c r="F6" s="1"/>
      <c r="Q6" s="4" t="s">
        <v>5</v>
      </c>
      <c r="U6" s="4" t="s">
        <v>6</v>
      </c>
      <c r="V6" s="5">
        <f>V29/U29-1</f>
        <v>4.3343139943466946E-2</v>
      </c>
      <c r="W6" s="5">
        <f t="shared" ref="W6:AA6" si="0">W29/V29-1</f>
        <v>6.0463301823341808E-2</v>
      </c>
      <c r="X6" s="5">
        <f t="shared" si="0"/>
        <v>6.1750792352375461E-2</v>
      </c>
      <c r="Y6" s="5">
        <f t="shared" si="0"/>
        <v>3.1721781467383137E-2</v>
      </c>
      <c r="Z6" s="5">
        <f t="shared" si="0"/>
        <v>8.5078804810776676E-2</v>
      </c>
      <c r="AA6" s="5">
        <f t="shared" si="0"/>
        <v>-7.3006667626550392E-2</v>
      </c>
      <c r="AB6" s="5">
        <f>AB29/AA29-1</f>
        <v>-7.908646801394803E-2</v>
      </c>
      <c r="AC6" s="5">
        <f t="shared" ref="AC6:AF6" si="1">AC29/AB29-1</f>
        <v>8.1800000000000317E-2</v>
      </c>
      <c r="AD6" s="5">
        <f t="shared" si="1"/>
        <v>4.9699999999999855E-2</v>
      </c>
      <c r="AE6" s="5">
        <f t="shared" si="1"/>
        <v>3.420000000000023E-2</v>
      </c>
      <c r="AF6" s="5">
        <f t="shared" si="1"/>
        <v>3.2599999999999962E-2</v>
      </c>
      <c r="AG6" s="5"/>
    </row>
    <row r="7" spans="2:33" x14ac:dyDescent="0.15">
      <c r="C7" s="1"/>
      <c r="D7" s="1"/>
      <c r="F7" s="1"/>
      <c r="H7" s="4"/>
      <c r="Q7" s="6" t="s">
        <v>7</v>
      </c>
      <c r="AA7" s="7"/>
      <c r="AB7" s="5"/>
      <c r="AC7" s="5"/>
      <c r="AD7" s="5"/>
      <c r="AE7" s="5"/>
      <c r="AF7" s="5"/>
    </row>
    <row r="8" spans="2:33" x14ac:dyDescent="0.15">
      <c r="C8" s="1"/>
      <c r="D8" s="1"/>
      <c r="F8" s="1"/>
      <c r="Q8" s="8">
        <v>40094</v>
      </c>
      <c r="U8" s="4" t="s">
        <v>8</v>
      </c>
      <c r="V8" s="9">
        <v>1.4710000000000001E-2</v>
      </c>
      <c r="W8" s="4" t="s">
        <v>9</v>
      </c>
    </row>
    <row r="9" spans="2:33" x14ac:dyDescent="0.15">
      <c r="C9" s="1"/>
      <c r="D9" s="1"/>
      <c r="F9" s="1"/>
      <c r="Q9" s="8"/>
      <c r="U9" s="4"/>
      <c r="V9" s="9"/>
      <c r="W9" s="4"/>
    </row>
    <row r="10" spans="2:33" x14ac:dyDescent="0.15">
      <c r="B10" s="10" t="s">
        <v>10</v>
      </c>
      <c r="C10" s="11">
        <v>0.01</v>
      </c>
      <c r="D10" s="11">
        <v>0.01</v>
      </c>
      <c r="E10" s="11">
        <v>0.01</v>
      </c>
      <c r="F10" s="11">
        <v>0.01</v>
      </c>
      <c r="G10" s="11">
        <v>0.01</v>
      </c>
      <c r="H10" s="11">
        <v>0.01</v>
      </c>
      <c r="I10" s="11">
        <v>0.01</v>
      </c>
      <c r="J10" s="11">
        <v>0.01</v>
      </c>
      <c r="K10" s="11">
        <v>0.01</v>
      </c>
      <c r="L10" s="11">
        <v>0.01</v>
      </c>
      <c r="M10" s="11">
        <v>0.01</v>
      </c>
      <c r="N10" s="11">
        <v>0.01</v>
      </c>
      <c r="O10" s="11">
        <v>0.01</v>
      </c>
      <c r="P10" s="11">
        <v>0.01</v>
      </c>
      <c r="Q10" s="12">
        <f>(3*1 + 9*2)/12/100</f>
        <v>1.7500000000000002E-2</v>
      </c>
      <c r="R10" s="7">
        <v>0.02</v>
      </c>
      <c r="S10" s="7">
        <v>0.02</v>
      </c>
      <c r="T10" s="7">
        <v>0.02</v>
      </c>
      <c r="U10" s="7">
        <v>0.02</v>
      </c>
      <c r="V10" s="7">
        <v>0.02</v>
      </c>
      <c r="W10" s="7">
        <v>0.02</v>
      </c>
      <c r="X10" s="7">
        <v>0.02</v>
      </c>
      <c r="Y10" s="7">
        <v>0.02</v>
      </c>
      <c r="Z10" s="7">
        <v>0.02</v>
      </c>
      <c r="AA10" s="7">
        <v>0.02</v>
      </c>
      <c r="AB10" s="7">
        <v>0.02</v>
      </c>
      <c r="AC10" s="7">
        <v>0.02</v>
      </c>
      <c r="AD10" s="7">
        <v>0.02</v>
      </c>
      <c r="AE10" s="7">
        <v>0.02</v>
      </c>
      <c r="AF10" s="7">
        <v>0.02</v>
      </c>
      <c r="AG10" s="7">
        <v>0.02</v>
      </c>
    </row>
    <row r="11" spans="2:33" x14ac:dyDescent="0.15">
      <c r="C11" s="1"/>
      <c r="D11" s="1"/>
      <c r="F11" s="1"/>
      <c r="Q11" s="8"/>
      <c r="U11" s="4"/>
      <c r="V11" s="9"/>
      <c r="W11" s="4"/>
    </row>
    <row r="12" spans="2:33" x14ac:dyDescent="0.15">
      <c r="B12" s="4"/>
      <c r="C12" s="4"/>
      <c r="D12" s="4"/>
      <c r="E12" s="4"/>
      <c r="F12" s="4"/>
      <c r="Q12" s="8"/>
      <c r="T12" s="13"/>
      <c r="U12" s="1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3"/>
    </row>
    <row r="13" spans="2:33" x14ac:dyDescent="0.15">
      <c r="B13" s="1" t="s">
        <v>11</v>
      </c>
      <c r="C13" s="15" t="s">
        <v>12</v>
      </c>
      <c r="D13" s="15" t="s">
        <v>13</v>
      </c>
      <c r="E13" s="15" t="s">
        <v>14</v>
      </c>
      <c r="F13" s="15" t="s">
        <v>15</v>
      </c>
      <c r="G13" s="15" t="s">
        <v>16</v>
      </c>
      <c r="H13" s="15" t="s">
        <v>17</v>
      </c>
      <c r="I13" s="15" t="s">
        <v>18</v>
      </c>
      <c r="J13" s="15" t="s">
        <v>19</v>
      </c>
      <c r="K13" s="15" t="s">
        <v>20</v>
      </c>
      <c r="L13" s="15" t="s">
        <v>21</v>
      </c>
      <c r="M13" s="15" t="s">
        <v>22</v>
      </c>
      <c r="N13" s="15" t="s">
        <v>23</v>
      </c>
      <c r="O13" s="15" t="s">
        <v>24</v>
      </c>
      <c r="P13" s="15" t="s">
        <v>25</v>
      </c>
      <c r="Q13" s="15" t="s">
        <v>26</v>
      </c>
      <c r="R13" s="15" t="s">
        <v>27</v>
      </c>
      <c r="S13" s="15" t="s">
        <v>28</v>
      </c>
      <c r="T13" s="15" t="s">
        <v>29</v>
      </c>
      <c r="U13" s="15" t="s">
        <v>30</v>
      </c>
      <c r="V13" s="16" t="s">
        <v>31</v>
      </c>
      <c r="W13" s="16" t="s">
        <v>32</v>
      </c>
      <c r="X13" s="15" t="s">
        <v>33</v>
      </c>
      <c r="Y13" s="15" t="s">
        <v>34</v>
      </c>
      <c r="Z13" s="15" t="s">
        <v>35</v>
      </c>
      <c r="AA13" s="15" t="s">
        <v>36</v>
      </c>
      <c r="AB13" s="15" t="s">
        <v>37</v>
      </c>
      <c r="AC13" s="15" t="s">
        <v>38</v>
      </c>
      <c r="AD13" s="15" t="s">
        <v>39</v>
      </c>
      <c r="AE13" s="15" t="s">
        <v>40</v>
      </c>
      <c r="AF13" s="15" t="s">
        <v>41</v>
      </c>
      <c r="AG13" s="15" t="s">
        <v>42</v>
      </c>
    </row>
    <row r="14" spans="2:33" x14ac:dyDescent="0.15">
      <c r="B14" s="2" t="s">
        <v>43</v>
      </c>
      <c r="C14" s="17">
        <v>7306085</v>
      </c>
      <c r="D14" s="17">
        <v>5133583</v>
      </c>
      <c r="E14" s="17">
        <v>10910863</v>
      </c>
      <c r="F14" s="17">
        <v>7300621</v>
      </c>
      <c r="G14" s="17">
        <v>9594475</v>
      </c>
      <c r="H14" s="17">
        <v>9192686</v>
      </c>
      <c r="I14" s="17">
        <v>9372360</v>
      </c>
      <c r="J14" s="17">
        <v>8593192</v>
      </c>
      <c r="K14" s="17">
        <v>8797319</v>
      </c>
      <c r="L14" s="17">
        <v>8923285</v>
      </c>
      <c r="M14" s="17">
        <v>9560615</v>
      </c>
      <c r="N14" s="17">
        <v>11285742</v>
      </c>
      <c r="O14" s="17">
        <v>12008052</v>
      </c>
      <c r="P14" s="17">
        <v>10955281</v>
      </c>
      <c r="Q14" s="17">
        <v>9991820</v>
      </c>
      <c r="R14" s="18">
        <v>21434380</v>
      </c>
      <c r="S14" s="18">
        <v>19358278</v>
      </c>
      <c r="T14" s="18">
        <v>20961711</v>
      </c>
      <c r="U14" s="18">
        <v>21638628</v>
      </c>
      <c r="V14" s="17">
        <v>22342454</v>
      </c>
      <c r="W14" s="17">
        <v>22409376.990000002</v>
      </c>
      <c r="X14" s="17">
        <v>25101331.059999999</v>
      </c>
      <c r="Y14" s="17">
        <v>28628960</v>
      </c>
      <c r="Z14" s="17">
        <v>25997461</v>
      </c>
      <c r="AA14" s="17">
        <v>27978594</v>
      </c>
      <c r="AB14" s="55">
        <f>24369710</f>
        <v>24369710</v>
      </c>
      <c r="AC14" s="55"/>
      <c r="AD14" s="55"/>
      <c r="AE14" s="55"/>
      <c r="AF14" s="55"/>
      <c r="AG14" s="55"/>
    </row>
    <row r="15" spans="2:33" x14ac:dyDescent="0.15">
      <c r="B15" s="2" t="s">
        <v>44</v>
      </c>
      <c r="C15" s="17">
        <v>6717231</v>
      </c>
      <c r="D15" s="17">
        <v>9182584</v>
      </c>
      <c r="E15" s="17">
        <v>8279508</v>
      </c>
      <c r="F15" s="17">
        <v>9292818</v>
      </c>
      <c r="G15" s="17">
        <v>9172271</v>
      </c>
      <c r="H15" s="17">
        <v>8943687</v>
      </c>
      <c r="I15" s="17">
        <v>8996954</v>
      </c>
      <c r="J15" s="17">
        <v>9225166</v>
      </c>
      <c r="K15" s="17">
        <v>8639123</v>
      </c>
      <c r="L15" s="17">
        <v>8815044</v>
      </c>
      <c r="M15" s="17">
        <v>11216228</v>
      </c>
      <c r="N15" s="17">
        <v>12535531</v>
      </c>
      <c r="O15" s="17">
        <v>10688964</v>
      </c>
      <c r="P15" s="17">
        <v>13126143</v>
      </c>
      <c r="Q15" s="17">
        <v>11913615</v>
      </c>
      <c r="R15" s="18">
        <v>23423617</v>
      </c>
      <c r="S15" s="18">
        <v>21970764</v>
      </c>
      <c r="T15" s="18">
        <v>23678853</v>
      </c>
      <c r="U15" s="18">
        <v>23597016</v>
      </c>
      <c r="V15" s="17">
        <v>22286976</v>
      </c>
      <c r="W15" s="17">
        <v>27040791.599999998</v>
      </c>
      <c r="X15" s="17">
        <v>27462666.48</v>
      </c>
      <c r="Y15" s="17">
        <v>29009681</v>
      </c>
      <c r="Z15" s="17">
        <v>27870747</v>
      </c>
      <c r="AA15" s="17">
        <v>34822318</v>
      </c>
      <c r="AB15" s="55">
        <v>29653296</v>
      </c>
      <c r="AC15" s="55"/>
      <c r="AD15" s="55"/>
      <c r="AE15" s="55"/>
      <c r="AF15" s="55"/>
      <c r="AG15" s="55"/>
    </row>
    <row r="16" spans="2:33" x14ac:dyDescent="0.15">
      <c r="B16" s="2" t="s">
        <v>45</v>
      </c>
      <c r="C16" s="17">
        <v>7544774</v>
      </c>
      <c r="D16" s="17">
        <v>7100575</v>
      </c>
      <c r="E16" s="17">
        <v>8666650</v>
      </c>
      <c r="F16" s="17">
        <v>7885396</v>
      </c>
      <c r="G16" s="17">
        <v>8355173</v>
      </c>
      <c r="H16" s="17">
        <v>10452232</v>
      </c>
      <c r="I16" s="17">
        <v>9760881</v>
      </c>
      <c r="J16" s="17">
        <v>9923350</v>
      </c>
      <c r="K16" s="17">
        <v>8970514</v>
      </c>
      <c r="L16" s="17">
        <v>11063287</v>
      </c>
      <c r="M16" s="17">
        <v>10376081</v>
      </c>
      <c r="N16" s="17">
        <v>10655904</v>
      </c>
      <c r="O16" s="17">
        <v>11276859</v>
      </c>
      <c r="P16" s="17">
        <v>10614231</v>
      </c>
      <c r="Q16" s="17">
        <v>9856229</v>
      </c>
      <c r="R16" s="18">
        <v>20705742</v>
      </c>
      <c r="S16" s="18">
        <v>20298314</v>
      </c>
      <c r="T16" s="18">
        <v>20604964</v>
      </c>
      <c r="U16" s="18">
        <v>21393985</v>
      </c>
      <c r="V16" s="17">
        <v>22038926.100000001</v>
      </c>
      <c r="W16" s="17">
        <v>23405191.57</v>
      </c>
      <c r="X16" s="17">
        <v>24068804</v>
      </c>
      <c r="Y16" s="17">
        <v>24865100</v>
      </c>
      <c r="Z16" s="17">
        <v>31160001</v>
      </c>
      <c r="AA16" s="17">
        <v>28180653</v>
      </c>
      <c r="AB16" s="55">
        <f>2*12484446</f>
        <v>24968892</v>
      </c>
      <c r="AC16" s="55"/>
      <c r="AD16" s="55"/>
      <c r="AE16" s="55"/>
      <c r="AF16" s="55"/>
      <c r="AG16" s="55"/>
    </row>
    <row r="17" spans="1:33" x14ac:dyDescent="0.15">
      <c r="B17" s="2" t="s">
        <v>46</v>
      </c>
      <c r="C17" s="17">
        <v>7858257</v>
      </c>
      <c r="D17" s="17">
        <v>7842917</v>
      </c>
      <c r="E17" s="17">
        <v>7948545</v>
      </c>
      <c r="F17" s="17">
        <v>7369762</v>
      </c>
      <c r="G17" s="17">
        <v>7861693</v>
      </c>
      <c r="H17" s="17">
        <v>8416339</v>
      </c>
      <c r="I17" s="17">
        <v>7851657</v>
      </c>
      <c r="J17" s="17">
        <v>8269455</v>
      </c>
      <c r="K17" s="17">
        <v>8453541</v>
      </c>
      <c r="L17" s="17">
        <v>8525551</v>
      </c>
      <c r="M17" s="17">
        <v>9547199</v>
      </c>
      <c r="N17" s="17">
        <v>10667537</v>
      </c>
      <c r="O17" s="17">
        <v>9280315</v>
      </c>
      <c r="P17" s="17">
        <v>10330629</v>
      </c>
      <c r="Q17" s="17">
        <v>9410966</v>
      </c>
      <c r="R17" s="18">
        <v>19433132</v>
      </c>
      <c r="S17" s="18">
        <v>19369013</v>
      </c>
      <c r="T17" s="18">
        <v>19782445</v>
      </c>
      <c r="U17" s="18">
        <v>21187127</v>
      </c>
      <c r="V17" s="17">
        <v>21043642.82</v>
      </c>
      <c r="W17" s="17">
        <v>22444295.52</v>
      </c>
      <c r="X17" s="17">
        <v>23902825</v>
      </c>
      <c r="Y17" s="17">
        <f>11886159+12099011</f>
        <v>23985170</v>
      </c>
      <c r="Z17" s="17">
        <v>26917580</v>
      </c>
      <c r="AA17" s="17">
        <v>28039197</v>
      </c>
      <c r="AB17" s="55">
        <f>2*13379307</f>
        <v>26758614</v>
      </c>
      <c r="AC17" s="55"/>
      <c r="AD17" s="55"/>
      <c r="AE17" s="55"/>
      <c r="AF17" s="55"/>
      <c r="AG17" s="55"/>
    </row>
    <row r="18" spans="1:33" x14ac:dyDescent="0.15">
      <c r="B18" s="2" t="s">
        <v>47</v>
      </c>
      <c r="C18" s="17">
        <v>8485092</v>
      </c>
      <c r="D18" s="17">
        <v>7294895</v>
      </c>
      <c r="E18" s="17">
        <v>7212828</v>
      </c>
      <c r="F18" s="17">
        <v>9028580</v>
      </c>
      <c r="G18" s="17">
        <v>8852091</v>
      </c>
      <c r="H18" s="17">
        <v>9667685</v>
      </c>
      <c r="I18" s="17">
        <v>9357560</v>
      </c>
      <c r="J18" s="17">
        <v>10156277</v>
      </c>
      <c r="K18" s="17">
        <v>9744975</v>
      </c>
      <c r="L18" s="17">
        <v>9852266</v>
      </c>
      <c r="M18" s="17">
        <v>10909321</v>
      </c>
      <c r="N18" s="17">
        <v>12082948</v>
      </c>
      <c r="O18" s="17">
        <v>13209942</v>
      </c>
      <c r="P18" s="17">
        <v>11695166</v>
      </c>
      <c r="Q18" s="17">
        <v>10665813</v>
      </c>
      <c r="R18" s="18">
        <v>21262966</v>
      </c>
      <c r="S18" s="18">
        <v>21478403</v>
      </c>
      <c r="T18" s="18">
        <v>20759926</v>
      </c>
      <c r="U18" s="18">
        <v>22679439</v>
      </c>
      <c r="V18" s="17">
        <v>23305221.41</v>
      </c>
      <c r="W18" s="17">
        <v>26261561.43</v>
      </c>
      <c r="X18" s="17">
        <v>27640985</v>
      </c>
      <c r="Y18" s="17">
        <v>29517651</v>
      </c>
      <c r="Z18" s="17">
        <v>29837308</v>
      </c>
      <c r="AA18" s="17">
        <v>31494176</v>
      </c>
      <c r="AB18" s="55">
        <f>2*15163499</f>
        <v>30326998</v>
      </c>
      <c r="AC18" s="55"/>
      <c r="AD18" s="55"/>
      <c r="AE18" s="55"/>
      <c r="AF18" s="55"/>
      <c r="AG18" s="55"/>
    </row>
    <row r="19" spans="1:33" x14ac:dyDescent="0.15">
      <c r="B19" s="2" t="s">
        <v>48</v>
      </c>
      <c r="C19" s="17">
        <v>5123319</v>
      </c>
      <c r="D19" s="17">
        <v>6131335</v>
      </c>
      <c r="E19" s="17">
        <v>7117501</v>
      </c>
      <c r="F19" s="17">
        <v>9655230</v>
      </c>
      <c r="G19" s="17">
        <v>7424892</v>
      </c>
      <c r="H19" s="17">
        <v>8708021</v>
      </c>
      <c r="I19" s="17">
        <v>6044145</v>
      </c>
      <c r="J19" s="17">
        <v>6664555</v>
      </c>
      <c r="K19" s="17">
        <v>8587189</v>
      </c>
      <c r="L19" s="17">
        <v>10078910</v>
      </c>
      <c r="M19" s="17">
        <v>9884602</v>
      </c>
      <c r="N19" s="17">
        <v>10098060</v>
      </c>
      <c r="O19" s="17">
        <v>10993257</v>
      </c>
      <c r="P19" s="17">
        <v>9506057</v>
      </c>
      <c r="Q19" s="17">
        <v>15496106</v>
      </c>
      <c r="R19" s="18">
        <v>18614338</v>
      </c>
      <c r="S19" s="18">
        <v>20449872</v>
      </c>
      <c r="T19" s="18">
        <v>21890902</v>
      </c>
      <c r="U19" s="18">
        <v>21015562</v>
      </c>
      <c r="V19" s="17">
        <v>21032425.18</v>
      </c>
      <c r="W19" s="17">
        <v>20060555.509999998</v>
      </c>
      <c r="X19" s="17">
        <v>24065899</v>
      </c>
      <c r="Y19" s="17">
        <v>25652306</v>
      </c>
      <c r="Z19" s="17">
        <v>26974209</v>
      </c>
      <c r="AA19" s="17">
        <v>28878463</v>
      </c>
      <c r="AB19" s="55">
        <f>2*12542426</f>
        <v>25084852</v>
      </c>
      <c r="AC19" s="55"/>
      <c r="AD19" s="55"/>
      <c r="AE19" s="55"/>
      <c r="AF19" s="55"/>
      <c r="AG19" s="55"/>
    </row>
    <row r="20" spans="1:33" x14ac:dyDescent="0.15">
      <c r="B20" s="2" t="s">
        <v>49</v>
      </c>
      <c r="C20" s="17">
        <v>8123208</v>
      </c>
      <c r="D20" s="17">
        <v>7199270</v>
      </c>
      <c r="E20" s="17">
        <v>6984295</v>
      </c>
      <c r="F20" s="17">
        <v>8304631</v>
      </c>
      <c r="G20" s="17">
        <v>9470545</v>
      </c>
      <c r="H20" s="17">
        <v>8727228</v>
      </c>
      <c r="I20" s="17">
        <v>10355110</v>
      </c>
      <c r="J20" s="17">
        <v>6293649</v>
      </c>
      <c r="K20" s="17">
        <v>6475429</v>
      </c>
      <c r="L20" s="17">
        <v>9487503</v>
      </c>
      <c r="M20" s="17">
        <v>10139488</v>
      </c>
      <c r="N20" s="17">
        <v>10224243</v>
      </c>
      <c r="O20" s="17">
        <v>11284115</v>
      </c>
      <c r="P20" s="17">
        <v>11493224</v>
      </c>
      <c r="Q20" s="17">
        <v>18179768</v>
      </c>
      <c r="R20" s="18">
        <v>19487897</v>
      </c>
      <c r="S20" s="18">
        <v>20323292</v>
      </c>
      <c r="T20" s="18">
        <v>20043074</v>
      </c>
      <c r="U20" s="18">
        <v>20520903</v>
      </c>
      <c r="V20" s="17">
        <v>22541903.98</v>
      </c>
      <c r="W20" s="17">
        <v>25510953.219999999</v>
      </c>
      <c r="X20" s="17">
        <v>22925048</v>
      </c>
      <c r="Y20" s="17">
        <v>23987391</v>
      </c>
      <c r="Z20" s="17">
        <v>26033740</v>
      </c>
      <c r="AA20" s="17">
        <v>25014685</v>
      </c>
      <c r="AB20" s="55">
        <f>2*14228731</f>
        <v>28457462</v>
      </c>
      <c r="AC20" s="55"/>
      <c r="AD20" s="55"/>
      <c r="AE20" s="55"/>
      <c r="AF20" s="55"/>
      <c r="AG20" s="55"/>
    </row>
    <row r="21" spans="1:33" x14ac:dyDescent="0.15">
      <c r="B21" s="2" t="s">
        <v>50</v>
      </c>
      <c r="C21" s="17">
        <v>8135104</v>
      </c>
      <c r="D21" s="17">
        <v>9319281</v>
      </c>
      <c r="E21" s="17">
        <v>9710659</v>
      </c>
      <c r="F21" s="17">
        <v>8017364</v>
      </c>
      <c r="G21" s="17">
        <v>9021287</v>
      </c>
      <c r="H21" s="17">
        <v>10583406</v>
      </c>
      <c r="I21" s="17">
        <v>10675742</v>
      </c>
      <c r="J21" s="17">
        <v>13424259</v>
      </c>
      <c r="K21" s="17">
        <v>9031476</v>
      </c>
      <c r="L21" s="17">
        <v>10860870</v>
      </c>
      <c r="M21" s="17">
        <v>12487317</v>
      </c>
      <c r="N21" s="17">
        <v>12337702</v>
      </c>
      <c r="O21" s="17">
        <v>13096153</v>
      </c>
      <c r="P21" s="17">
        <v>12103459</v>
      </c>
      <c r="Q21" s="17">
        <v>22316899</v>
      </c>
      <c r="R21" s="18">
        <v>22750722</v>
      </c>
      <c r="S21" s="18">
        <v>23887093</v>
      </c>
      <c r="T21" s="18">
        <v>24966257</v>
      </c>
      <c r="U21" s="18">
        <v>26727005</v>
      </c>
      <c r="V21" s="17">
        <v>22782116.640000001</v>
      </c>
      <c r="W21" s="17">
        <v>27916550.869999997</v>
      </c>
      <c r="X21" s="17">
        <v>30665224.289999999</v>
      </c>
      <c r="Y21" s="17">
        <v>31964252</v>
      </c>
      <c r="Z21" s="17">
        <v>31596909</v>
      </c>
      <c r="AA21" s="17">
        <f>13165548*2</f>
        <v>26331096</v>
      </c>
      <c r="AB21" s="55"/>
      <c r="AC21" s="55"/>
      <c r="AD21" s="55"/>
      <c r="AE21" s="55"/>
      <c r="AF21" s="55"/>
      <c r="AG21" s="55"/>
    </row>
    <row r="22" spans="1:33" x14ac:dyDescent="0.15">
      <c r="B22" s="2" t="s">
        <v>51</v>
      </c>
      <c r="C22" s="17">
        <v>5768694</v>
      </c>
      <c r="D22" s="17">
        <v>6420486</v>
      </c>
      <c r="E22" s="17">
        <v>5103631</v>
      </c>
      <c r="F22" s="17">
        <v>6836780</v>
      </c>
      <c r="G22" s="17">
        <v>8171940</v>
      </c>
      <c r="H22" s="17">
        <v>7940315</v>
      </c>
      <c r="I22" s="17">
        <v>8258525</v>
      </c>
      <c r="J22" s="17">
        <v>7952411</v>
      </c>
      <c r="K22" s="17">
        <v>11640320</v>
      </c>
      <c r="L22" s="17">
        <v>9732950</v>
      </c>
      <c r="M22" s="17">
        <v>9646478</v>
      </c>
      <c r="N22" s="17">
        <v>10096885</v>
      </c>
      <c r="O22" s="17">
        <v>10660615</v>
      </c>
      <c r="P22" s="17">
        <v>9590971</v>
      </c>
      <c r="Q22" s="17">
        <v>16634996</v>
      </c>
      <c r="R22" s="18">
        <v>18008264</v>
      </c>
      <c r="S22" s="18">
        <v>19290658</v>
      </c>
      <c r="T22" s="18">
        <v>19271157</v>
      </c>
      <c r="U22" s="18">
        <v>19587637</v>
      </c>
      <c r="V22" s="17">
        <v>21587759.689999998</v>
      </c>
      <c r="W22" s="17">
        <v>20349103.050000001</v>
      </c>
      <c r="X22" s="17">
        <v>23039093.799999997</v>
      </c>
      <c r="Y22" s="17">
        <v>26274242</v>
      </c>
      <c r="Z22" s="17">
        <v>25072056</v>
      </c>
      <c r="AA22" s="17">
        <f>17819253*2</f>
        <v>35638506</v>
      </c>
      <c r="AB22" s="55"/>
      <c r="AC22" s="55"/>
      <c r="AD22" s="55"/>
      <c r="AE22" s="55"/>
      <c r="AF22" s="55"/>
      <c r="AG22" s="55"/>
    </row>
    <row r="23" spans="1:33" x14ac:dyDescent="0.15">
      <c r="B23" s="2" t="s">
        <v>52</v>
      </c>
      <c r="C23" s="17">
        <v>6113833</v>
      </c>
      <c r="D23" s="17">
        <v>7677679</v>
      </c>
      <c r="E23" s="17">
        <v>8942721</v>
      </c>
      <c r="F23" s="17">
        <v>8884044</v>
      </c>
      <c r="G23" s="17">
        <v>8214338</v>
      </c>
      <c r="H23" s="17">
        <v>8893686</v>
      </c>
      <c r="I23" s="17">
        <v>9074554</v>
      </c>
      <c r="J23" s="17">
        <v>8046578</v>
      </c>
      <c r="K23" s="17">
        <v>9792300</v>
      </c>
      <c r="L23" s="17">
        <v>9257833</v>
      </c>
      <c r="M23" s="17">
        <v>10143942</v>
      </c>
      <c r="N23" s="17">
        <v>10589523</v>
      </c>
      <c r="O23" s="17">
        <v>10383898</v>
      </c>
      <c r="P23" s="17">
        <v>9692942</v>
      </c>
      <c r="Q23" s="17">
        <v>18349710</v>
      </c>
      <c r="R23" s="18">
        <v>19651015</v>
      </c>
      <c r="S23" s="18">
        <v>20050620</v>
      </c>
      <c r="T23" s="18">
        <v>19350837</v>
      </c>
      <c r="U23" s="18">
        <v>19190405</v>
      </c>
      <c r="V23" s="17">
        <f>17949062.07</f>
        <v>17949062.07</v>
      </c>
      <c r="W23" s="17">
        <v>22534330.210000001</v>
      </c>
      <c r="X23" s="17">
        <v>22408997</v>
      </c>
      <c r="Y23" s="17">
        <v>23024803</v>
      </c>
      <c r="Z23" s="17">
        <v>25183338</v>
      </c>
      <c r="AA23" s="17">
        <f>13423786*2</f>
        <v>26847572</v>
      </c>
      <c r="AB23" s="55"/>
      <c r="AC23" s="55"/>
      <c r="AD23" s="55"/>
      <c r="AE23" s="55"/>
      <c r="AF23" s="55"/>
      <c r="AG23" s="55"/>
    </row>
    <row r="24" spans="1:33" x14ac:dyDescent="0.15">
      <c r="B24" s="2" t="s">
        <v>53</v>
      </c>
      <c r="C24" s="17">
        <v>4565453</v>
      </c>
      <c r="D24" s="17">
        <v>8123806</v>
      </c>
      <c r="E24" s="17">
        <v>8030955</v>
      </c>
      <c r="F24" s="17">
        <v>8384836</v>
      </c>
      <c r="G24" s="17">
        <v>9451355</v>
      </c>
      <c r="H24" s="17">
        <v>10143385</v>
      </c>
      <c r="I24" s="17">
        <v>9281037</v>
      </c>
      <c r="J24" s="17">
        <v>9211068</v>
      </c>
      <c r="K24" s="17">
        <v>8079738</v>
      </c>
      <c r="L24" s="17">
        <v>10139161</v>
      </c>
      <c r="M24" s="17">
        <v>10748074</v>
      </c>
      <c r="N24" s="17">
        <v>11960249</v>
      </c>
      <c r="O24" s="17">
        <v>11652625</v>
      </c>
      <c r="P24" s="17">
        <v>11291219</v>
      </c>
      <c r="Q24" s="17">
        <v>22130630</v>
      </c>
      <c r="R24" s="18">
        <v>22703344</v>
      </c>
      <c r="S24" s="18">
        <v>22712849</v>
      </c>
      <c r="T24" s="18">
        <v>23657543</v>
      </c>
      <c r="U24" s="18">
        <v>24060431</v>
      </c>
      <c r="V24" s="17">
        <v>28603141.270000003</v>
      </c>
      <c r="W24" s="17">
        <v>26048730.48</v>
      </c>
      <c r="X24" s="17">
        <v>27288039.549999997</v>
      </c>
      <c r="Y24" s="17">
        <v>28250557</v>
      </c>
      <c r="Z24" s="17">
        <v>31820871</v>
      </c>
      <c r="AA24" s="17">
        <v>17728868</v>
      </c>
      <c r="AB24" s="55"/>
      <c r="AC24" s="55"/>
      <c r="AD24" s="55"/>
      <c r="AE24" s="55"/>
      <c r="AF24" s="55"/>
      <c r="AG24" s="55"/>
    </row>
    <row r="25" spans="1:33" x14ac:dyDescent="0.15">
      <c r="B25" s="2" t="s">
        <v>54</v>
      </c>
      <c r="C25" s="17">
        <v>6394004</v>
      </c>
      <c r="D25" s="17">
        <v>5065989</v>
      </c>
      <c r="E25" s="17">
        <v>8187162</v>
      </c>
      <c r="F25" s="17">
        <v>8246712</v>
      </c>
      <c r="G25" s="17">
        <v>8738170</v>
      </c>
      <c r="H25" s="17">
        <v>9402563</v>
      </c>
      <c r="I25" s="17">
        <v>9616369</v>
      </c>
      <c r="J25" s="17">
        <v>10593117</v>
      </c>
      <c r="K25" s="17">
        <v>9455478</v>
      </c>
      <c r="L25" s="17">
        <v>10104140</v>
      </c>
      <c r="M25" s="17">
        <v>10113298</v>
      </c>
      <c r="N25" s="17">
        <v>11132748</v>
      </c>
      <c r="O25" s="17">
        <v>11309719</v>
      </c>
      <c r="P25" s="17">
        <v>9996932</v>
      </c>
      <c r="Q25" s="17">
        <v>19258715</v>
      </c>
      <c r="R25" s="18">
        <v>20457860</v>
      </c>
      <c r="S25" s="18">
        <v>20986737</v>
      </c>
      <c r="T25" s="18">
        <v>22246658</v>
      </c>
      <c r="U25" s="18">
        <v>22098724</v>
      </c>
      <c r="V25" s="17">
        <v>24075259.07</v>
      </c>
      <c r="W25" s="17">
        <v>23949765.899999999</v>
      </c>
      <c r="X25" s="17">
        <v>25373740.200000003</v>
      </c>
      <c r="Y25" s="17">
        <v>27430196</v>
      </c>
      <c r="Z25" s="17">
        <v>28547766</v>
      </c>
      <c r="AA25" s="17">
        <v>18512199</v>
      </c>
      <c r="AB25" s="56"/>
      <c r="AC25" s="57"/>
      <c r="AD25" s="56"/>
      <c r="AE25" s="56"/>
      <c r="AF25" s="56"/>
      <c r="AG25" s="55"/>
    </row>
    <row r="26" spans="1:33" x14ac:dyDescent="0.15">
      <c r="B26" s="4" t="s">
        <v>55</v>
      </c>
      <c r="C26" s="19">
        <f t="shared" ref="C26:AA26" si="2">SUM(C14:C25)</f>
        <v>82135054</v>
      </c>
      <c r="D26" s="19">
        <f t="shared" si="2"/>
        <v>86492400</v>
      </c>
      <c r="E26" s="19">
        <f t="shared" si="2"/>
        <v>97095318</v>
      </c>
      <c r="F26" s="19">
        <f t="shared" si="2"/>
        <v>99206774</v>
      </c>
      <c r="G26" s="19">
        <f t="shared" si="2"/>
        <v>104328230</v>
      </c>
      <c r="H26" s="19">
        <f t="shared" si="2"/>
        <v>111071233</v>
      </c>
      <c r="I26" s="19">
        <f t="shared" si="2"/>
        <v>108644894</v>
      </c>
      <c r="J26" s="19">
        <f t="shared" si="2"/>
        <v>108353077</v>
      </c>
      <c r="K26" s="19">
        <f t="shared" si="2"/>
        <v>107667402</v>
      </c>
      <c r="L26" s="19">
        <f t="shared" si="2"/>
        <v>116840800</v>
      </c>
      <c r="M26" s="19">
        <f t="shared" si="2"/>
        <v>124772643</v>
      </c>
      <c r="N26" s="19">
        <f t="shared" si="2"/>
        <v>133667072</v>
      </c>
      <c r="O26" s="19">
        <f t="shared" si="2"/>
        <v>135844514</v>
      </c>
      <c r="P26" s="19">
        <f t="shared" si="2"/>
        <v>130396254</v>
      </c>
      <c r="Q26" s="19">
        <f t="shared" si="2"/>
        <v>184205267</v>
      </c>
      <c r="R26" s="19">
        <f t="shared" si="2"/>
        <v>247933277</v>
      </c>
      <c r="S26" s="19">
        <f t="shared" si="2"/>
        <v>250175893</v>
      </c>
      <c r="T26" s="19">
        <f t="shared" si="2"/>
        <v>257214327</v>
      </c>
      <c r="U26" s="19">
        <f t="shared" si="2"/>
        <v>263696862</v>
      </c>
      <c r="V26" s="20">
        <f t="shared" si="2"/>
        <v>269588888.23000002</v>
      </c>
      <c r="W26" s="20">
        <f t="shared" si="2"/>
        <v>287931206.34999996</v>
      </c>
      <c r="X26" s="20">
        <f t="shared" si="2"/>
        <v>303942653.38</v>
      </c>
      <c r="Y26" s="20">
        <f t="shared" si="2"/>
        <v>322590309</v>
      </c>
      <c r="Z26" s="20">
        <f t="shared" si="2"/>
        <v>337011986</v>
      </c>
      <c r="AA26" s="20">
        <f t="shared" si="2"/>
        <v>329466327</v>
      </c>
      <c r="AB26" s="20">
        <f t="shared" ref="AB26:AG26" si="3">SUM(AB14:AB25)</f>
        <v>189619824</v>
      </c>
      <c r="AC26" s="20">
        <f t="shared" si="3"/>
        <v>0</v>
      </c>
      <c r="AD26" s="20">
        <f t="shared" si="3"/>
        <v>0</v>
      </c>
      <c r="AE26" s="20">
        <f t="shared" si="3"/>
        <v>0</v>
      </c>
      <c r="AF26" s="20">
        <f t="shared" si="3"/>
        <v>0</v>
      </c>
      <c r="AG26" s="20">
        <f t="shared" si="3"/>
        <v>0</v>
      </c>
    </row>
    <row r="27" spans="1:33" x14ac:dyDescent="0.15">
      <c r="B27" s="1" t="s">
        <v>56</v>
      </c>
      <c r="C27" s="17">
        <v>0</v>
      </c>
      <c r="D27" s="17">
        <v>0</v>
      </c>
      <c r="E27" s="17">
        <v>0</v>
      </c>
      <c r="F27" s="17">
        <v>0</v>
      </c>
      <c r="G27" s="17">
        <v>-18766746</v>
      </c>
      <c r="H27" s="17">
        <v>-18136373</v>
      </c>
      <c r="I27" s="17">
        <v>-18369314</v>
      </c>
      <c r="J27" s="17">
        <v>-17818358</v>
      </c>
      <c r="K27" s="17">
        <v>-17436442</v>
      </c>
      <c r="L27" s="17">
        <v>-17738329</v>
      </c>
      <c r="M27" s="17">
        <v>-20776843</v>
      </c>
      <c r="N27" s="17">
        <v>-23821272</v>
      </c>
      <c r="O27" s="17">
        <v>-22726446</v>
      </c>
      <c r="P27" s="17">
        <v>-24157085</v>
      </c>
      <c r="Q27" s="17">
        <v>-21992721</v>
      </c>
      <c r="R27" s="17">
        <v>-44901421</v>
      </c>
      <c r="S27" s="17">
        <v>-41552874</v>
      </c>
      <c r="T27" s="17">
        <v>-44900142</v>
      </c>
      <c r="U27" s="17">
        <v>-45235644</v>
      </c>
      <c r="V27" s="17">
        <f t="shared" ref="V27:AB27" si="4">-U28</f>
        <v>-44588225</v>
      </c>
      <c r="W27" s="17">
        <f t="shared" si="4"/>
        <v>-49450168.590000004</v>
      </c>
      <c r="X27" s="17">
        <f t="shared" si="4"/>
        <v>-52563997.539999999</v>
      </c>
      <c r="Y27" s="17">
        <f t="shared" si="4"/>
        <v>-57638641</v>
      </c>
      <c r="Z27" s="17">
        <f t="shared" si="4"/>
        <v>-53868208</v>
      </c>
      <c r="AA27" s="17">
        <f t="shared" si="4"/>
        <v>-62800912</v>
      </c>
      <c r="AB27" s="17">
        <f t="shared" si="4"/>
        <v>-54023006</v>
      </c>
      <c r="AC27" s="17"/>
      <c r="AD27" s="17">
        <f t="shared" ref="AD27:AF27" si="5">-AC28</f>
        <v>0</v>
      </c>
      <c r="AE27" s="17">
        <f t="shared" si="5"/>
        <v>0</v>
      </c>
      <c r="AF27" s="17">
        <f t="shared" si="5"/>
        <v>0</v>
      </c>
      <c r="AG27" s="17">
        <f>-AE28</f>
        <v>0</v>
      </c>
    </row>
    <row r="28" spans="1:33" x14ac:dyDescent="0.15">
      <c r="B28" s="4" t="s">
        <v>57</v>
      </c>
      <c r="C28" s="21">
        <v>0</v>
      </c>
      <c r="D28" s="21">
        <v>0</v>
      </c>
      <c r="E28" s="21">
        <v>0</v>
      </c>
      <c r="F28" s="21">
        <v>0</v>
      </c>
      <c r="G28" s="21">
        <v>18136373</v>
      </c>
      <c r="H28" s="21">
        <v>18369314</v>
      </c>
      <c r="I28" s="21">
        <v>17818358</v>
      </c>
      <c r="J28" s="21">
        <v>17436442</v>
      </c>
      <c r="K28" s="21">
        <v>17738329</v>
      </c>
      <c r="L28" s="21">
        <v>20776843</v>
      </c>
      <c r="M28" s="21">
        <v>23821272</v>
      </c>
      <c r="N28" s="21">
        <v>22726446</v>
      </c>
      <c r="O28" s="21">
        <v>24157085</v>
      </c>
      <c r="P28" s="21">
        <v>21992721</v>
      </c>
      <c r="Q28" s="17">
        <v>44901421</v>
      </c>
      <c r="R28" s="17">
        <v>41552874</v>
      </c>
      <c r="S28" s="17">
        <v>44900142</v>
      </c>
      <c r="T28" s="17">
        <v>45235644</v>
      </c>
      <c r="U28" s="17">
        <v>44588225</v>
      </c>
      <c r="V28" s="17">
        <f t="shared" ref="V28:AB28" si="6">+W14+W15</f>
        <v>49450168.590000004</v>
      </c>
      <c r="W28" s="17">
        <f t="shared" si="6"/>
        <v>52563997.539999999</v>
      </c>
      <c r="X28" s="17">
        <f t="shared" si="6"/>
        <v>57638641</v>
      </c>
      <c r="Y28" s="17">
        <f t="shared" si="6"/>
        <v>53868208</v>
      </c>
      <c r="Z28" s="17">
        <f t="shared" si="6"/>
        <v>62800912</v>
      </c>
      <c r="AA28" s="17">
        <f t="shared" si="6"/>
        <v>54023006</v>
      </c>
      <c r="AB28" s="17">
        <f t="shared" si="6"/>
        <v>0</v>
      </c>
      <c r="AC28" s="17">
        <f t="shared" ref="AC28:AG28" si="7">+SUM(AD14:AD15)</f>
        <v>0</v>
      </c>
      <c r="AD28" s="17">
        <f t="shared" si="7"/>
        <v>0</v>
      </c>
      <c r="AE28" s="17">
        <f t="shared" si="7"/>
        <v>0</v>
      </c>
      <c r="AF28" s="17">
        <f t="shared" si="7"/>
        <v>0</v>
      </c>
      <c r="AG28" s="17">
        <f t="shared" si="7"/>
        <v>0</v>
      </c>
    </row>
    <row r="29" spans="1:33" ht="14" thickBot="1" x14ac:dyDescent="0.2">
      <c r="B29" s="4" t="s">
        <v>58</v>
      </c>
      <c r="C29" s="22">
        <f t="shared" ref="C29:AA29" si="8">SUM(C26:C28)</f>
        <v>82135054</v>
      </c>
      <c r="D29" s="22">
        <f t="shared" si="8"/>
        <v>86492400</v>
      </c>
      <c r="E29" s="22">
        <f t="shared" si="8"/>
        <v>97095318</v>
      </c>
      <c r="F29" s="22">
        <f t="shared" si="8"/>
        <v>99206774</v>
      </c>
      <c r="G29" s="22">
        <f t="shared" si="8"/>
        <v>103697857</v>
      </c>
      <c r="H29" s="22">
        <f t="shared" si="8"/>
        <v>111304174</v>
      </c>
      <c r="I29" s="22">
        <f t="shared" si="8"/>
        <v>108093938</v>
      </c>
      <c r="J29" s="22">
        <f t="shared" si="8"/>
        <v>107971161</v>
      </c>
      <c r="K29" s="22">
        <f t="shared" si="8"/>
        <v>107969289</v>
      </c>
      <c r="L29" s="22">
        <f t="shared" si="8"/>
        <v>119879314</v>
      </c>
      <c r="M29" s="22">
        <f t="shared" si="8"/>
        <v>127817072</v>
      </c>
      <c r="N29" s="22">
        <f t="shared" si="8"/>
        <v>132572246</v>
      </c>
      <c r="O29" s="22">
        <f t="shared" si="8"/>
        <v>137275153</v>
      </c>
      <c r="P29" s="22">
        <f t="shared" si="8"/>
        <v>128231890</v>
      </c>
      <c r="Q29" s="22">
        <f t="shared" si="8"/>
        <v>207113967</v>
      </c>
      <c r="R29" s="22">
        <f t="shared" si="8"/>
        <v>244584730</v>
      </c>
      <c r="S29" s="22">
        <f t="shared" si="8"/>
        <v>253523161</v>
      </c>
      <c r="T29" s="22">
        <f t="shared" si="8"/>
        <v>257549829</v>
      </c>
      <c r="U29" s="22">
        <f t="shared" si="8"/>
        <v>263049443</v>
      </c>
      <c r="V29" s="23">
        <f t="shared" si="8"/>
        <v>274450831.82000005</v>
      </c>
      <c r="W29" s="23">
        <f t="shared" si="8"/>
        <v>291045035.29999995</v>
      </c>
      <c r="X29" s="23">
        <f t="shared" si="8"/>
        <v>309017296.84000003</v>
      </c>
      <c r="Y29" s="23">
        <f t="shared" si="8"/>
        <v>318819876</v>
      </c>
      <c r="Z29" s="23">
        <f t="shared" si="8"/>
        <v>345944690</v>
      </c>
      <c r="AA29" s="23">
        <f t="shared" si="8"/>
        <v>320688421</v>
      </c>
      <c r="AB29" s="24">
        <v>295326306.45014</v>
      </c>
      <c r="AC29" s="24">
        <v>319483998.31776154</v>
      </c>
      <c r="AD29" s="24">
        <v>335362353.03415424</v>
      </c>
      <c r="AE29" s="24">
        <v>346831745.50792235</v>
      </c>
      <c r="AF29" s="24">
        <v>358138460.41148061</v>
      </c>
      <c r="AG29" s="23">
        <f>SUM(AG26:AG28)</f>
        <v>0</v>
      </c>
    </row>
    <row r="30" spans="1:33" ht="14" thickTop="1" x14ac:dyDescent="0.15">
      <c r="C30" s="17"/>
      <c r="D30" s="17"/>
      <c r="E30" s="17"/>
      <c r="G30" s="17"/>
      <c r="H30" s="17"/>
      <c r="I30" s="17"/>
      <c r="V30" s="17"/>
    </row>
    <row r="31" spans="1:33" x14ac:dyDescent="0.15">
      <c r="A31" s="25" t="s">
        <v>59</v>
      </c>
      <c r="B31" s="4" t="s">
        <v>60</v>
      </c>
      <c r="V31" s="26">
        <f>-5008912+15633</f>
        <v>-4993279</v>
      </c>
      <c r="W31" s="26">
        <f>-1632840-29345</f>
        <v>-1662185</v>
      </c>
      <c r="X31" s="26">
        <v>-662463.80000000005</v>
      </c>
      <c r="Y31" s="26">
        <v>-415238</v>
      </c>
      <c r="Z31" s="26">
        <v>-1746029</v>
      </c>
      <c r="AA31" s="26">
        <f>-436621*2</f>
        <v>-873242</v>
      </c>
      <c r="AB31" s="26">
        <f>+AA31*(1-0.0627)</f>
        <v>-818489.72660000005</v>
      </c>
      <c r="AC31" s="26">
        <f>+AB31*1.0818</f>
        <v>-885442.18623588013</v>
      </c>
      <c r="AD31" s="26">
        <f>+AC31*1.0497</f>
        <v>-929448.66289180343</v>
      </c>
      <c r="AE31" s="26">
        <f>+AD31*1.0342</f>
        <v>-961235.80716270313</v>
      </c>
      <c r="AF31" s="26">
        <f>+AE31*1.0326</f>
        <v>-992572.09447620716</v>
      </c>
    </row>
    <row r="32" spans="1:33" x14ac:dyDescent="0.15">
      <c r="A32" s="25"/>
      <c r="B32" s="4"/>
      <c r="C32" s="3"/>
      <c r="D32" s="3"/>
      <c r="E32" s="3"/>
      <c r="F32" s="3"/>
      <c r="G32" s="27"/>
      <c r="H32" s="27"/>
      <c r="I32" s="28"/>
      <c r="J32" s="27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 x14ac:dyDescent="0.15">
      <c r="A33" s="25" t="s">
        <v>61</v>
      </c>
      <c r="B33" s="4" t="s">
        <v>62</v>
      </c>
      <c r="V33" s="29">
        <f>+(V29+V31)*0.5</f>
        <v>134728776.41000003</v>
      </c>
      <c r="W33" s="29">
        <f t="shared" ref="W33:AA33" si="9">+(W29+W31)*0.5</f>
        <v>144691425.14999998</v>
      </c>
      <c r="X33" s="29">
        <f t="shared" si="9"/>
        <v>154177416.52000001</v>
      </c>
      <c r="Y33" s="29">
        <f t="shared" si="9"/>
        <v>159202319</v>
      </c>
      <c r="Z33" s="29">
        <f t="shared" si="9"/>
        <v>172099330.5</v>
      </c>
      <c r="AA33" s="29">
        <f t="shared" si="9"/>
        <v>159907589.5</v>
      </c>
      <c r="AB33" s="29">
        <f>+(AB29+AB31)*0.5</f>
        <v>147253908.36177</v>
      </c>
      <c r="AC33" s="29">
        <f>+(AC29+AC31)*0.5</f>
        <v>159299278.06576282</v>
      </c>
      <c r="AD33" s="29">
        <f>+(AD29+AD31)*0.5</f>
        <v>167216452.18563122</v>
      </c>
      <c r="AE33" s="29">
        <f>+(AE29+AE31)*0.5</f>
        <v>172935254.85037982</v>
      </c>
      <c r="AF33" s="29">
        <f>+(AF29+AF31)*0.5</f>
        <v>178572944.15850219</v>
      </c>
    </row>
    <row r="34" spans="1:32" x14ac:dyDescent="0.15">
      <c r="A34" s="25"/>
      <c r="B34" s="4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</row>
    <row r="35" spans="1:32" x14ac:dyDescent="0.15">
      <c r="A35" s="25" t="s">
        <v>63</v>
      </c>
      <c r="B35" s="30" t="s">
        <v>64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V35" s="31">
        <f>V33</f>
        <v>134728776.41000003</v>
      </c>
      <c r="W35" s="31">
        <f t="shared" ref="W35:AF35" si="10">W33</f>
        <v>144691425.14999998</v>
      </c>
      <c r="X35" s="31">
        <f t="shared" si="10"/>
        <v>154177416.52000001</v>
      </c>
      <c r="Y35" s="31">
        <f t="shared" si="10"/>
        <v>159202319</v>
      </c>
      <c r="Z35" s="31">
        <f t="shared" si="10"/>
        <v>172099330.5</v>
      </c>
      <c r="AA35" s="31">
        <f t="shared" si="10"/>
        <v>159907589.5</v>
      </c>
      <c r="AB35" s="31">
        <f t="shared" si="10"/>
        <v>147253908.36177</v>
      </c>
      <c r="AC35" s="31">
        <f t="shared" si="10"/>
        <v>159299278.06576282</v>
      </c>
      <c r="AD35" s="31">
        <f t="shared" si="10"/>
        <v>167216452.18563122</v>
      </c>
      <c r="AE35" s="31">
        <f t="shared" si="10"/>
        <v>172935254.85037982</v>
      </c>
      <c r="AF35" s="31">
        <f t="shared" si="10"/>
        <v>178572944.15850219</v>
      </c>
    </row>
    <row r="36" spans="1:32" x14ac:dyDescent="0.15">
      <c r="A36" s="32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V36" s="33"/>
      <c r="W36" s="33"/>
      <c r="X36" s="33"/>
      <c r="Y36" s="33"/>
      <c r="Z36" s="33"/>
      <c r="AA36" s="33"/>
      <c r="AB36" s="33"/>
      <c r="AC36" s="33"/>
      <c r="AD36" s="33"/>
      <c r="AF36" s="29"/>
    </row>
    <row r="37" spans="1:32" x14ac:dyDescent="0.15">
      <c r="A37" s="25" t="s">
        <v>65</v>
      </c>
      <c r="B37" s="30" t="s">
        <v>66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V37" s="34">
        <v>-120000000</v>
      </c>
      <c r="W37" s="34">
        <v>-120000000</v>
      </c>
      <c r="X37" s="34">
        <v>-120000000</v>
      </c>
      <c r="Y37" s="35">
        <v>-120000000</v>
      </c>
      <c r="Z37" s="35">
        <v>-120000000</v>
      </c>
      <c r="AA37" s="35">
        <v>-120000000</v>
      </c>
      <c r="AB37" s="35">
        <v>-120000000</v>
      </c>
      <c r="AC37" s="35">
        <v>-120000000</v>
      </c>
      <c r="AD37" s="35">
        <v>-120000000</v>
      </c>
      <c r="AE37" s="35">
        <v>-120000000</v>
      </c>
      <c r="AF37" s="35">
        <v>-120000000</v>
      </c>
    </row>
    <row r="38" spans="1:32" x14ac:dyDescent="0.15">
      <c r="A38" s="25"/>
      <c r="B38" s="36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V38" s="37"/>
      <c r="W38" s="37"/>
      <c r="X38" s="37"/>
      <c r="Y38" s="16"/>
      <c r="Z38" s="16"/>
      <c r="AA38" s="16"/>
      <c r="AB38" s="16"/>
      <c r="AC38" s="16"/>
      <c r="AD38" s="16"/>
      <c r="AF38" s="29"/>
    </row>
    <row r="39" spans="1:32" x14ac:dyDescent="0.15">
      <c r="A39" s="25" t="s">
        <v>67</v>
      </c>
      <c r="B39" s="4" t="s">
        <v>68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V39" s="31">
        <f t="shared" ref="V39:AA39" si="11">+V35+V37</f>
        <v>14728776.410000026</v>
      </c>
      <c r="W39" s="31">
        <f t="shared" si="11"/>
        <v>24691425.149999976</v>
      </c>
      <c r="X39" s="31">
        <f t="shared" si="11"/>
        <v>34177416.520000011</v>
      </c>
      <c r="Y39" s="31">
        <f t="shared" si="11"/>
        <v>39202319</v>
      </c>
      <c r="Z39" s="31">
        <f t="shared" si="11"/>
        <v>52099330.5</v>
      </c>
      <c r="AA39" s="31">
        <f t="shared" si="11"/>
        <v>39907589.5</v>
      </c>
      <c r="AB39" s="31">
        <f>+AB35+AB37</f>
        <v>27253908.361770004</v>
      </c>
      <c r="AC39" s="31">
        <f>+AC35+AC37</f>
        <v>39299278.065762818</v>
      </c>
      <c r="AD39" s="31">
        <f>+AD35+AD37</f>
        <v>47216452.185631216</v>
      </c>
      <c r="AE39" s="31">
        <f t="shared" ref="AE39:AF39" si="12">+AE35+AE37</f>
        <v>52935254.850379825</v>
      </c>
      <c r="AF39" s="31">
        <f t="shared" si="12"/>
        <v>58572944.158502191</v>
      </c>
    </row>
    <row r="40" spans="1:32" x14ac:dyDescent="0.15">
      <c r="A40" s="32"/>
      <c r="B40" s="3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V40" s="39"/>
      <c r="W40" s="39"/>
      <c r="X40" s="39"/>
      <c r="Y40" s="39"/>
      <c r="Z40" s="40"/>
      <c r="AA40" s="41"/>
      <c r="AB40" s="41"/>
      <c r="AC40" s="41"/>
      <c r="AD40" s="41"/>
      <c r="AF40" s="29"/>
    </row>
    <row r="41" spans="1:32" x14ac:dyDescent="0.15">
      <c r="A41" s="25" t="s">
        <v>69</v>
      </c>
      <c r="B41" s="30" t="s">
        <v>70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V41" s="42">
        <f>-14728776</f>
        <v>-14728776</v>
      </c>
      <c r="W41" s="34">
        <v>-15000000</v>
      </c>
      <c r="X41" s="34">
        <v>-15000000</v>
      </c>
      <c r="Y41" s="35">
        <v>-15000000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</row>
    <row r="42" spans="1:32" x14ac:dyDescent="0.15">
      <c r="A42" s="44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V42" s="33"/>
      <c r="W42" s="33"/>
      <c r="X42" s="33"/>
      <c r="Y42" s="33"/>
      <c r="Z42" s="33"/>
      <c r="AA42" s="33"/>
      <c r="AB42" s="33"/>
      <c r="AC42" s="33"/>
      <c r="AD42" s="33"/>
      <c r="AF42" s="29"/>
    </row>
    <row r="43" spans="1:32" x14ac:dyDescent="0.15">
      <c r="A43" s="25" t="s">
        <v>71</v>
      </c>
      <c r="B43" s="4" t="s">
        <v>72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V43" s="45">
        <f t="shared" ref="V43:AA43" si="13">+V39+V41</f>
        <v>0.4100000262260437</v>
      </c>
      <c r="W43" s="45">
        <f t="shared" si="13"/>
        <v>9691425.1499999762</v>
      </c>
      <c r="X43" s="45">
        <f t="shared" si="13"/>
        <v>19177416.520000011</v>
      </c>
      <c r="Y43" s="45">
        <f t="shared" si="13"/>
        <v>24202319</v>
      </c>
      <c r="Z43" s="45">
        <f t="shared" si="13"/>
        <v>52099330.5</v>
      </c>
      <c r="AA43" s="45">
        <f t="shared" si="13"/>
        <v>39907589.5</v>
      </c>
      <c r="AB43" s="45">
        <f>+AB39+AB41</f>
        <v>27253908.361770004</v>
      </c>
      <c r="AC43" s="45">
        <f>+AC39+AC41</f>
        <v>39299278.065762818</v>
      </c>
      <c r="AD43" s="45">
        <f>+AD39+AD41</f>
        <v>47216452.185631216</v>
      </c>
      <c r="AE43" s="45">
        <f t="shared" ref="AE43:AF43" si="14">+AE39+AE41</f>
        <v>52935254.850379825</v>
      </c>
      <c r="AF43" s="45">
        <f t="shared" si="14"/>
        <v>58572944.158502191</v>
      </c>
    </row>
    <row r="44" spans="1:32" ht="16" x14ac:dyDescent="0.2">
      <c r="A44" s="46"/>
      <c r="B44" s="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V44" s="45"/>
      <c r="W44" s="45"/>
      <c r="X44" s="45"/>
      <c r="Y44" s="45"/>
      <c r="Z44" s="45"/>
      <c r="AA44" s="45"/>
      <c r="AB44" s="45"/>
      <c r="AC44" s="45"/>
      <c r="AD44" s="45"/>
      <c r="AF44" s="29"/>
    </row>
    <row r="45" spans="1:32" x14ac:dyDescent="0.15">
      <c r="A45" s="47" t="s">
        <v>73</v>
      </c>
      <c r="B45" s="48" t="s">
        <v>74</v>
      </c>
      <c r="C45" s="49">
        <f t="shared" ref="C45:U45" si="15">C29-C31</f>
        <v>82135054</v>
      </c>
      <c r="D45" s="49">
        <f t="shared" si="15"/>
        <v>86492400</v>
      </c>
      <c r="E45" s="49">
        <f t="shared" si="15"/>
        <v>97095318</v>
      </c>
      <c r="F45" s="49">
        <f t="shared" si="15"/>
        <v>99206774</v>
      </c>
      <c r="G45" s="49">
        <f t="shared" si="15"/>
        <v>103697857</v>
      </c>
      <c r="H45" s="49">
        <f t="shared" si="15"/>
        <v>111304174</v>
      </c>
      <c r="I45" s="49">
        <f t="shared" si="15"/>
        <v>108093938</v>
      </c>
      <c r="J45" s="49">
        <f t="shared" si="15"/>
        <v>107971161</v>
      </c>
      <c r="K45" s="49">
        <f t="shared" si="15"/>
        <v>107969289</v>
      </c>
      <c r="L45" s="49">
        <f t="shared" si="15"/>
        <v>119879314</v>
      </c>
      <c r="M45" s="49">
        <f t="shared" si="15"/>
        <v>127817072</v>
      </c>
      <c r="N45" s="49">
        <f t="shared" si="15"/>
        <v>132572246</v>
      </c>
      <c r="O45" s="49">
        <f t="shared" si="15"/>
        <v>137275153</v>
      </c>
      <c r="P45" s="49">
        <f t="shared" si="15"/>
        <v>128231890</v>
      </c>
      <c r="Q45" s="49">
        <f t="shared" si="15"/>
        <v>207113967</v>
      </c>
      <c r="R45" s="49">
        <f t="shared" si="15"/>
        <v>244584730</v>
      </c>
      <c r="S45" s="49">
        <f t="shared" si="15"/>
        <v>253523161</v>
      </c>
      <c r="T45" s="49">
        <f t="shared" si="15"/>
        <v>257549829</v>
      </c>
      <c r="U45" s="49">
        <f t="shared" si="15"/>
        <v>263049443</v>
      </c>
      <c r="V45" s="50">
        <f>+V33+V39</f>
        <v>149457552.82000005</v>
      </c>
      <c r="W45" s="50">
        <f t="shared" ref="W45:AF45" si="16">+W33+W39</f>
        <v>169382850.29999995</v>
      </c>
      <c r="X45" s="50">
        <f t="shared" si="16"/>
        <v>188354833.04000002</v>
      </c>
      <c r="Y45" s="50">
        <f t="shared" si="16"/>
        <v>198404638</v>
      </c>
      <c r="Z45" s="50">
        <f t="shared" si="16"/>
        <v>224198661</v>
      </c>
      <c r="AA45" s="50">
        <f t="shared" si="16"/>
        <v>199815179</v>
      </c>
      <c r="AB45" s="50">
        <f t="shared" si="16"/>
        <v>174507816.72354001</v>
      </c>
      <c r="AC45" s="50">
        <f t="shared" si="16"/>
        <v>198598556.13152564</v>
      </c>
      <c r="AD45" s="50">
        <f t="shared" si="16"/>
        <v>214432904.37126243</v>
      </c>
      <c r="AE45" s="50">
        <f t="shared" si="16"/>
        <v>225870509.70075965</v>
      </c>
      <c r="AF45" s="50">
        <f t="shared" si="16"/>
        <v>237145888.31700438</v>
      </c>
    </row>
    <row r="46" spans="1:32" x14ac:dyDescent="0.15">
      <c r="A46" s="25"/>
      <c r="B46" s="4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8" spans="1:32" x14ac:dyDescent="0.15">
      <c r="Z48" s="17"/>
      <c r="AA48" s="17"/>
    </row>
    <row r="49" spans="2:32" ht="16" customHeight="1" x14ac:dyDescent="0.15">
      <c r="B49" s="33" t="s">
        <v>75</v>
      </c>
      <c r="C49" s="58" t="s">
        <v>76</v>
      </c>
      <c r="D49" s="58"/>
      <c r="E49" s="58"/>
      <c r="F49" s="58"/>
      <c r="G49" s="58"/>
      <c r="H49" s="58"/>
      <c r="I49" s="58"/>
      <c r="J49" s="58"/>
      <c r="K49" s="51">
        <v>107969</v>
      </c>
      <c r="L49" s="51">
        <v>119879</v>
      </c>
      <c r="M49" s="51">
        <v>127817</v>
      </c>
      <c r="N49" s="51">
        <v>132572</v>
      </c>
      <c r="O49" s="51">
        <v>137275</v>
      </c>
      <c r="P49" s="51">
        <v>128232</v>
      </c>
      <c r="Q49" s="51">
        <v>207114</v>
      </c>
      <c r="R49" s="51">
        <v>244585</v>
      </c>
      <c r="S49" s="51">
        <v>253523</v>
      </c>
      <c r="T49" s="51">
        <v>257550</v>
      </c>
      <c r="U49" s="51">
        <v>263050</v>
      </c>
      <c r="V49" s="51">
        <v>149458</v>
      </c>
      <c r="W49" s="51">
        <f>144692+9691+15000</f>
        <v>169383</v>
      </c>
      <c r="X49" s="51">
        <f>154178+19177+15000</f>
        <v>188355</v>
      </c>
      <c r="Y49" s="51">
        <f>159203+24202+15000</f>
        <v>198405</v>
      </c>
      <c r="Z49" s="51">
        <f>172100+52099</f>
        <v>224199</v>
      </c>
      <c r="AA49" s="51"/>
      <c r="AB49" s="51"/>
      <c r="AC49" s="51"/>
      <c r="AD49" s="51"/>
      <c r="AE49" s="51"/>
      <c r="AF49" s="51"/>
    </row>
    <row r="50" spans="2:32" x14ac:dyDescent="0.15">
      <c r="AA50" s="59"/>
      <c r="AB50" s="59"/>
      <c r="AC50" s="59"/>
      <c r="AD50" s="59"/>
      <c r="AE50" s="59"/>
      <c r="AF50" s="59"/>
    </row>
  </sheetData>
  <mergeCells count="2">
    <mergeCell ref="C49:J49"/>
    <mergeCell ref="AA50:AF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5A5B-5083-654A-A0F0-7CD150E1AF7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Hand</dc:creator>
  <cp:lastModifiedBy>Nick Hand</cp:lastModifiedBy>
  <dcterms:created xsi:type="dcterms:W3CDTF">2021-03-06T19:38:47Z</dcterms:created>
  <dcterms:modified xsi:type="dcterms:W3CDTF">2021-03-06T22:02:25Z</dcterms:modified>
</cp:coreProperties>
</file>