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py/Documents/Projects/Hackyracers/"/>
    </mc:Choice>
  </mc:AlternateContent>
  <xr:revisionPtr revIDLastSave="0" documentId="13_ncr:1_{E21F0993-EDB3-3E40-BFBA-51B109C24B02}" xr6:coauthVersionLast="47" xr6:coauthVersionMax="47" xr10:uidLastSave="{00000000-0000-0000-0000-000000000000}"/>
  <bookViews>
    <workbookView xWindow="1200" yWindow="500" windowWidth="276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G26" i="1"/>
  <c r="H26" i="1"/>
  <c r="G27" i="1"/>
  <c r="H27" i="1"/>
  <c r="G28" i="1"/>
  <c r="E96" i="1" s="1"/>
  <c r="H28" i="1"/>
  <c r="G29" i="1"/>
  <c r="H29" i="1"/>
  <c r="G30" i="1"/>
  <c r="G96" i="1" s="1"/>
  <c r="H30" i="1"/>
  <c r="G31" i="1"/>
  <c r="H31" i="1"/>
  <c r="C42" i="1"/>
  <c r="E98" i="1" s="1"/>
  <c r="B43" i="1"/>
  <c r="B84" i="1" s="1"/>
  <c r="B44" i="1"/>
  <c r="B74" i="1" s="1"/>
  <c r="C46" i="1"/>
  <c r="C47" i="1"/>
  <c r="J88" i="1" s="1"/>
  <c r="B49" i="1"/>
  <c r="C49" i="1"/>
  <c r="C55" i="1"/>
  <c r="C57" i="1" s="1"/>
  <c r="D73" i="1" s="1"/>
  <c r="B61" i="1"/>
  <c r="B78" i="1" s="1"/>
  <c r="C61" i="1"/>
  <c r="B62" i="1"/>
  <c r="C62" i="1"/>
  <c r="C66" i="1"/>
  <c r="D70" i="1"/>
  <c r="E74" i="1"/>
  <c r="F78" i="1"/>
  <c r="B79" i="1"/>
  <c r="F79" i="1"/>
  <c r="B80" i="1"/>
  <c r="B83" i="1"/>
  <c r="H84" i="1"/>
  <c r="I86" i="1"/>
  <c r="C96" i="1"/>
  <c r="D96" i="1"/>
  <c r="F96" i="1"/>
  <c r="H96" i="1"/>
  <c r="B97" i="1"/>
  <c r="C97" i="1"/>
  <c r="D97" i="1"/>
  <c r="E97" i="1"/>
  <c r="F97" i="1"/>
  <c r="G97" i="1"/>
  <c r="H97" i="1"/>
  <c r="C98" i="1"/>
  <c r="B102" i="1"/>
  <c r="C102" i="1"/>
  <c r="D102" i="1"/>
  <c r="E102" i="1"/>
  <c r="F102" i="1"/>
  <c r="G102" i="1"/>
  <c r="H102" i="1"/>
  <c r="E120" i="1"/>
  <c r="F120" i="1"/>
  <c r="B121" i="1"/>
  <c r="C121" i="1"/>
  <c r="D121" i="1"/>
  <c r="E121" i="1"/>
  <c r="F121" i="1"/>
  <c r="G121" i="1"/>
  <c r="H121" i="1"/>
  <c r="B125" i="1"/>
  <c r="C125" i="1"/>
  <c r="D125" i="1"/>
  <c r="E125" i="1"/>
  <c r="F125" i="1"/>
  <c r="G125" i="1"/>
  <c r="H125" i="1"/>
  <c r="E100" i="1" l="1"/>
  <c r="H98" i="1"/>
  <c r="H100" i="1" s="1"/>
  <c r="F98" i="1"/>
  <c r="F100" i="1" s="1"/>
  <c r="G83" i="1"/>
  <c r="H85" i="1"/>
  <c r="B120" i="1"/>
  <c r="C120" i="1"/>
  <c r="H120" i="1"/>
  <c r="G120" i="1"/>
  <c r="C100" i="1"/>
  <c r="C56" i="1"/>
  <c r="D72" i="1" s="1"/>
  <c r="D71" i="1"/>
  <c r="B98" i="1"/>
  <c r="G98" i="1"/>
  <c r="G100" i="1" s="1"/>
  <c r="B70" i="1"/>
  <c r="F95" i="1"/>
  <c r="F99" i="1" s="1"/>
  <c r="B47" i="1"/>
  <c r="B55" i="1"/>
  <c r="G95" i="1"/>
  <c r="G99" i="1" s="1"/>
  <c r="D95" i="1"/>
  <c r="D99" i="1" s="1"/>
  <c r="B46" i="1"/>
  <c r="C38" i="1" s="1"/>
  <c r="B96" i="1"/>
  <c r="H95" i="1"/>
  <c r="H99" i="1" s="1"/>
  <c r="E95" i="1"/>
  <c r="E99" i="1" s="1"/>
  <c r="E104" i="1" s="1"/>
  <c r="D98" i="1"/>
  <c r="D100" i="1" s="1"/>
  <c r="C95" i="1"/>
  <c r="C99" i="1" s="1"/>
  <c r="G80" i="1"/>
  <c r="D120" i="1"/>
  <c r="B86" i="1"/>
  <c r="C104" i="1" l="1"/>
  <c r="G104" i="1"/>
  <c r="F104" i="1"/>
  <c r="H104" i="1"/>
  <c r="D104" i="1"/>
  <c r="B56" i="1"/>
  <c r="B72" i="1" s="1"/>
  <c r="B71" i="1"/>
  <c r="B57" i="1"/>
  <c r="B73" i="1" s="1"/>
  <c r="D101" i="1"/>
  <c r="H124" i="1"/>
  <c r="E101" i="1"/>
  <c r="B101" i="1"/>
  <c r="F124" i="1"/>
  <c r="H101" i="1"/>
  <c r="G124" i="1"/>
  <c r="B124" i="1"/>
  <c r="E124" i="1"/>
  <c r="C124" i="1"/>
  <c r="G101" i="1"/>
  <c r="C101" i="1"/>
  <c r="D124" i="1"/>
  <c r="F101" i="1"/>
  <c r="B85" i="1"/>
  <c r="B88" i="1"/>
  <c r="B95" i="1"/>
  <c r="B99" i="1" s="1"/>
  <c r="B100" i="1"/>
  <c r="C103" i="1" l="1"/>
  <c r="B103" i="1"/>
  <c r="G103" i="1"/>
  <c r="E103" i="1"/>
  <c r="B104" i="1"/>
  <c r="D103" i="1"/>
  <c r="F103" i="1"/>
  <c r="H103" i="1"/>
  <c r="F105" i="1" l="1"/>
  <c r="F106" i="1"/>
  <c r="C105" i="1"/>
  <c r="C106" i="1"/>
  <c r="G106" i="1"/>
  <c r="G105" i="1"/>
  <c r="D105" i="1"/>
  <c r="D106" i="1"/>
  <c r="E105" i="1"/>
  <c r="E106" i="1"/>
  <c r="H105" i="1"/>
  <c r="H106" i="1"/>
  <c r="B106" i="1"/>
  <c r="B105" i="1"/>
  <c r="G108" i="1" l="1"/>
  <c r="G110" i="1"/>
  <c r="C108" i="1"/>
  <c r="C110" i="1"/>
  <c r="D108" i="1"/>
  <c r="D110" i="1"/>
  <c r="B110" i="1"/>
  <c r="B108" i="1"/>
  <c r="H108" i="1"/>
  <c r="H110" i="1"/>
  <c r="E110" i="1"/>
  <c r="E108" i="1"/>
  <c r="F110" i="1"/>
  <c r="F108" i="1"/>
  <c r="D112" i="1" l="1"/>
  <c r="D107" i="1"/>
  <c r="D111" i="1" s="1"/>
  <c r="C114" i="1"/>
  <c r="C109" i="1"/>
  <c r="C113" i="1" s="1"/>
  <c r="D114" i="1"/>
  <c r="D109" i="1"/>
  <c r="D113" i="1" s="1"/>
  <c r="E114" i="1"/>
  <c r="E109" i="1"/>
  <c r="E113" i="1" s="1"/>
  <c r="C112" i="1"/>
  <c r="C107" i="1"/>
  <c r="C111" i="1" s="1"/>
  <c r="B112" i="1"/>
  <c r="C50" i="1" s="1"/>
  <c r="B107" i="1"/>
  <c r="B111" i="1" s="1"/>
  <c r="B50" i="1" s="1"/>
  <c r="F112" i="1"/>
  <c r="F107" i="1"/>
  <c r="F111" i="1" s="1"/>
  <c r="I36" i="1" s="1"/>
  <c r="F114" i="1"/>
  <c r="F109" i="1"/>
  <c r="F113" i="1" s="1"/>
  <c r="H114" i="1"/>
  <c r="H109" i="1"/>
  <c r="H113" i="1" s="1"/>
  <c r="G114" i="1"/>
  <c r="G109" i="1"/>
  <c r="G113" i="1" s="1"/>
  <c r="B114" i="1"/>
  <c r="B109" i="1"/>
  <c r="B113" i="1" s="1"/>
  <c r="E112" i="1"/>
  <c r="E107" i="1"/>
  <c r="E111" i="1" s="1"/>
  <c r="H112" i="1"/>
  <c r="H107" i="1"/>
  <c r="H111" i="1" s="1"/>
  <c r="G112" i="1"/>
  <c r="G107" i="1"/>
  <c r="G111" i="1" s="1"/>
  <c r="J36" i="1" s="1"/>
  <c r="H36" i="1" l="1"/>
  <c r="E119" i="1" s="1"/>
  <c r="E123" i="1" s="1"/>
  <c r="H118" i="1"/>
  <c r="H122" i="1" s="1"/>
  <c r="F36" i="1"/>
  <c r="K26" i="1" s="1"/>
  <c r="G36" i="1"/>
  <c r="D119" i="1" s="1"/>
  <c r="D123" i="1" s="1"/>
  <c r="G81" i="1"/>
  <c r="J89" i="1"/>
  <c r="K30" i="1"/>
  <c r="G118" i="1"/>
  <c r="G122" i="1" s="1"/>
  <c r="G119" i="1"/>
  <c r="G123" i="1" s="1"/>
  <c r="B81" i="1"/>
  <c r="B89" i="1"/>
  <c r="C36" i="1"/>
  <c r="K29" i="1"/>
  <c r="F119" i="1"/>
  <c r="F123" i="1" s="1"/>
  <c r="F118" i="1"/>
  <c r="F122" i="1" s="1"/>
  <c r="K31" i="1"/>
  <c r="H119" i="1"/>
  <c r="H123" i="1" s="1"/>
  <c r="K28" i="1" l="1"/>
  <c r="E118" i="1"/>
  <c r="E122" i="1" s="1"/>
  <c r="K27" i="1"/>
  <c r="C119" i="1"/>
  <c r="C123" i="1" s="1"/>
  <c r="C118" i="1"/>
  <c r="C122" i="1" s="1"/>
  <c r="D118" i="1"/>
  <c r="D122" i="1" s="1"/>
  <c r="D127" i="1" s="1"/>
  <c r="E127" i="1"/>
  <c r="E126" i="1"/>
  <c r="B51" i="1"/>
  <c r="B52" i="1"/>
  <c r="C52" i="1"/>
  <c r="C51" i="1"/>
  <c r="H127" i="1"/>
  <c r="H126" i="1"/>
  <c r="G127" i="1"/>
  <c r="G126" i="1"/>
  <c r="F127" i="1"/>
  <c r="F126" i="1"/>
  <c r="C127" i="1" l="1"/>
  <c r="C126" i="1"/>
  <c r="C129" i="1" s="1"/>
  <c r="D126" i="1"/>
  <c r="D128" i="1" s="1"/>
  <c r="G128" i="1"/>
  <c r="G129" i="1"/>
  <c r="G82" i="1"/>
  <c r="K90" i="1"/>
  <c r="B119" i="1"/>
  <c r="B123" i="1" s="1"/>
  <c r="E129" i="1"/>
  <c r="E128" i="1"/>
  <c r="F129" i="1"/>
  <c r="F128" i="1"/>
  <c r="C54" i="1"/>
  <c r="C69" i="1" s="1"/>
  <c r="C53" i="1"/>
  <c r="C68" i="1" s="1"/>
  <c r="C67" i="1"/>
  <c r="B54" i="1"/>
  <c r="B69" i="1" s="1"/>
  <c r="B67" i="1"/>
  <c r="B53" i="1"/>
  <c r="B68" i="1" s="1"/>
  <c r="B82" i="1"/>
  <c r="B90" i="1"/>
  <c r="B118" i="1"/>
  <c r="B122" i="1" s="1"/>
  <c r="H128" i="1"/>
  <c r="H129" i="1"/>
  <c r="D129" i="1"/>
  <c r="C128" i="1" l="1"/>
  <c r="C131" i="1" s="1"/>
  <c r="D131" i="1"/>
  <c r="D133" i="1"/>
  <c r="E131" i="1"/>
  <c r="E133" i="1"/>
  <c r="H131" i="1"/>
  <c r="H133" i="1"/>
  <c r="B127" i="1"/>
  <c r="B126" i="1"/>
  <c r="F133" i="1"/>
  <c r="F131" i="1"/>
  <c r="G131" i="1"/>
  <c r="G133" i="1"/>
  <c r="C133" i="1" l="1"/>
  <c r="C132" i="1" s="1"/>
  <c r="C136" i="1" s="1"/>
  <c r="E135" i="1"/>
  <c r="E130" i="1"/>
  <c r="E134" i="1" s="1"/>
  <c r="H137" i="1"/>
  <c r="H132" i="1"/>
  <c r="H136" i="1" s="1"/>
  <c r="G137" i="1"/>
  <c r="G132" i="1"/>
  <c r="G136" i="1" s="1"/>
  <c r="E137" i="1"/>
  <c r="E132" i="1"/>
  <c r="E136" i="1" s="1"/>
  <c r="G135" i="1"/>
  <c r="G130" i="1"/>
  <c r="G134" i="1" s="1"/>
  <c r="F135" i="1"/>
  <c r="F130" i="1"/>
  <c r="F134" i="1" s="1"/>
  <c r="I37" i="1" s="1"/>
  <c r="I29" i="1" s="1"/>
  <c r="J29" i="1" s="1"/>
  <c r="F137" i="1"/>
  <c r="F132" i="1"/>
  <c r="F136" i="1" s="1"/>
  <c r="C135" i="1"/>
  <c r="C130" i="1"/>
  <c r="C134" i="1" s="1"/>
  <c r="B128" i="1"/>
  <c r="B129" i="1"/>
  <c r="D137" i="1"/>
  <c r="D132" i="1"/>
  <c r="D136" i="1" s="1"/>
  <c r="H135" i="1"/>
  <c r="H130" i="1"/>
  <c r="H134" i="1" s="1"/>
  <c r="D135" i="1"/>
  <c r="D130" i="1"/>
  <c r="D134" i="1" s="1"/>
  <c r="C137" i="1" l="1"/>
  <c r="K37" i="1"/>
  <c r="I31" i="1" s="1"/>
  <c r="J31" i="1" s="1"/>
  <c r="F37" i="1"/>
  <c r="I26" i="1" s="1"/>
  <c r="J26" i="1" s="1"/>
  <c r="J37" i="1"/>
  <c r="I30" i="1" s="1"/>
  <c r="J30" i="1" s="1"/>
  <c r="H37" i="1"/>
  <c r="I28" i="1" s="1"/>
  <c r="J28" i="1" s="1"/>
  <c r="G37" i="1"/>
  <c r="I27" i="1" s="1"/>
  <c r="J27" i="1" s="1"/>
  <c r="B133" i="1"/>
  <c r="B131" i="1"/>
  <c r="B135" i="1" l="1"/>
  <c r="C48" i="1" s="1"/>
  <c r="B130" i="1"/>
  <c r="B134" i="1" s="1"/>
  <c r="B48" i="1" s="1"/>
  <c r="B137" i="1"/>
  <c r="B132" i="1"/>
  <c r="B136" i="1" s="1"/>
  <c r="B87" i="1" l="1"/>
  <c r="C37" i="1"/>
  <c r="B91" i="1"/>
  <c r="I87" i="1"/>
  <c r="K91" i="1"/>
  <c r="C58" i="1" l="1"/>
  <c r="B58" i="1"/>
  <c r="B59" i="1" l="1"/>
  <c r="B76" i="1" s="1"/>
  <c r="B60" i="1"/>
  <c r="B77" i="1" s="1"/>
  <c r="B75" i="1"/>
  <c r="E75" i="1"/>
  <c r="C59" i="1"/>
  <c r="E76" i="1" s="1"/>
  <c r="C60" i="1"/>
  <c r="E77" i="1" s="1"/>
</calcChain>
</file>

<file path=xl/sharedStrings.xml><?xml version="1.0" encoding="utf-8"?>
<sst xmlns="http://schemas.openxmlformats.org/spreadsheetml/2006/main" count="139" uniqueCount="108">
  <si>
    <t>Ackermann steering design spreadsheet</t>
  </si>
  <si>
    <t xml:space="preserve">by Peter Eland, last modified 5 May 98 </t>
  </si>
  <si>
    <t>CONSTANTS (change these to change initial geometry)</t>
  </si>
  <si>
    <t>Centreline to kingpin /mm</t>
  </si>
  <si>
    <t>a</t>
  </si>
  <si>
    <t>Steering arm length /mm</t>
  </si>
  <si>
    <t>b</t>
  </si>
  <si>
    <t>Steering arm initial angle /degrees</t>
  </si>
  <si>
    <t>c1</t>
  </si>
  <si>
    <t>Handlebar pivot offset /mm</t>
  </si>
  <si>
    <t>d</t>
  </si>
  <si>
    <t>Handlebar arm initial angle / degrees</t>
  </si>
  <si>
    <t>e1</t>
  </si>
  <si>
    <t>Ideal Ackermann</t>
  </si>
  <si>
    <t>This geometry</t>
  </si>
  <si>
    <t>Handlebar arm length / mm</t>
  </si>
  <si>
    <t>f</t>
  </si>
  <si>
    <t>radius</t>
  </si>
  <si>
    <t>left</t>
  </si>
  <si>
    <t>right</t>
  </si>
  <si>
    <t>R</t>
  </si>
  <si>
    <t>Error</t>
  </si>
  <si>
    <t>HB Angle</t>
  </si>
  <si>
    <t>Wheelbase</t>
  </si>
  <si>
    <t>j</t>
  </si>
  <si>
    <t>Front wheel offset (from kingpin)</t>
  </si>
  <si>
    <t>Wheel diameter</t>
  </si>
  <si>
    <t>Handlebar offset (from D)</t>
  </si>
  <si>
    <t>Handlebar length</t>
  </si>
  <si>
    <t>Rear wheel offset (a la Windcheetah)</t>
  </si>
  <si>
    <t>INPUT VARIABLE</t>
  </si>
  <si>
    <t>Wheel (left on screen) angle /degrees</t>
  </si>
  <si>
    <t>h</t>
  </si>
  <si>
    <t>(change this to change steering angle shown on graph)</t>
  </si>
  <si>
    <t>OUTPUT VARIABLES</t>
  </si>
  <si>
    <t>100m</t>
  </si>
  <si>
    <t>20m</t>
  </si>
  <si>
    <t>10m</t>
  </si>
  <si>
    <t>5m</t>
  </si>
  <si>
    <t>3m</t>
  </si>
  <si>
    <t>2m</t>
  </si>
  <si>
    <t>Handlebar angle /degrees</t>
  </si>
  <si>
    <t>g</t>
  </si>
  <si>
    <t>Wheel (right on screen) angle /degrees</t>
  </si>
  <si>
    <t>i</t>
  </si>
  <si>
    <t>Track rod length BC and EF /mm</t>
  </si>
  <si>
    <t>(ignore these three rows above)</t>
  </si>
  <si>
    <t>COORDINATES (INITIAL/UNCHANGING)</t>
  </si>
  <si>
    <t>x</t>
  </si>
  <si>
    <t>y</t>
  </si>
  <si>
    <t>D</t>
  </si>
  <si>
    <t>A</t>
  </si>
  <si>
    <t>G</t>
  </si>
  <si>
    <t>COORDINATES DERIVED</t>
  </si>
  <si>
    <t>Initial B</t>
  </si>
  <si>
    <t>B</t>
  </si>
  <si>
    <t>F</t>
  </si>
  <si>
    <t>Initial C</t>
  </si>
  <si>
    <t>C</t>
  </si>
  <si>
    <t>E</t>
  </si>
  <si>
    <t>Handlebar midpoint</t>
  </si>
  <si>
    <t>Handlebar end 1</t>
  </si>
  <si>
    <t>Handlebar end 2</t>
  </si>
  <si>
    <t>Wheel LH midpoint</t>
  </si>
  <si>
    <t>Wheel LH rear end</t>
  </si>
  <si>
    <t>Wheel LH front end</t>
  </si>
  <si>
    <t>Wheel RH midpoint</t>
  </si>
  <si>
    <t>Wheel RH rear end</t>
  </si>
  <si>
    <t>Wheel RH front end</t>
  </si>
  <si>
    <t>Rear wheel rear end</t>
  </si>
  <si>
    <t>Rear wheel front end</t>
  </si>
  <si>
    <t>GRAPH SERIES (ALL DUPLICATE ABOVE COORDS))</t>
  </si>
  <si>
    <t>handlebar</t>
  </si>
  <si>
    <t>wheel RH</t>
  </si>
  <si>
    <t>wheel LH</t>
  </si>
  <si>
    <t>rear wheel</t>
  </si>
  <si>
    <t>steering triangle</t>
  </si>
  <si>
    <t>kingpin arm l</t>
  </si>
  <si>
    <t>kingpin arm r</t>
  </si>
  <si>
    <t>track rod L</t>
  </si>
  <si>
    <t>track rod R</t>
  </si>
  <si>
    <t>LHS:</t>
  </si>
  <si>
    <t>general</t>
  </si>
  <si>
    <t>Bx</t>
  </si>
  <si>
    <t>By</t>
  </si>
  <si>
    <t>Dx</t>
  </si>
  <si>
    <t>Dy</t>
  </si>
  <si>
    <t>Coords of D relative to B x</t>
  </si>
  <si>
    <t>Coords of D relative to B y</t>
  </si>
  <si>
    <t>r1</t>
  </si>
  <si>
    <t>r2</t>
  </si>
  <si>
    <t>X</t>
  </si>
  <si>
    <t>c</t>
  </si>
  <si>
    <t>soln1, rel to B x</t>
  </si>
  <si>
    <t>soln1, rel to B y</t>
  </si>
  <si>
    <t>soln2, rel to B x</t>
  </si>
  <si>
    <t>soln2, rel to B y</t>
  </si>
  <si>
    <t>Absolute coords of soln 1 x</t>
  </si>
  <si>
    <t>Absolute coords of soln 1 y</t>
  </si>
  <si>
    <t>Absolute coords of soln 2 x</t>
  </si>
  <si>
    <t>Absolute coords of soln 2 y</t>
  </si>
  <si>
    <t>RHS:</t>
  </si>
  <si>
    <t>Ex</t>
  </si>
  <si>
    <t>Ey</t>
  </si>
  <si>
    <t>Gx</t>
  </si>
  <si>
    <t>Gy</t>
  </si>
  <si>
    <t>Coords of G relative to E x</t>
  </si>
  <si>
    <t>Coords of G relative to 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</si>
</sst>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%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0" borderId="0" xfId="0" applyFon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3936051202691E-2"/>
          <c:y val="2.0000664288013715E-2"/>
          <c:w val="0.70776009302139298"/>
          <c:h val="0.91003022510462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Sheet1!$C$65</c:f>
              <c:strCache>
                <c:ptCount val="1"/>
                <c:pt idx="0">
                  <c:v>handlebar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Sheet1!$C$66:$C$79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172.33651145078377</c:v>
                </c:pt>
                <c:pt idx="2">
                  <c:v>235.76747423271638</c:v>
                </c:pt>
                <c:pt idx="3">
                  <c:v>108.90554866885117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1-C243-AA93-69A733D90BC7}"/>
            </c:ext>
          </c:extLst>
        </c:ser>
        <c:ser>
          <c:idx val="1"/>
          <c:order val="1"/>
          <c:tx>
            <c:strRef>
              <c:f>Sheet1!$D$65</c:f>
              <c:strCache>
                <c:ptCount val="1"/>
                <c:pt idx="0">
                  <c:v>wheel RH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Sheet1!$D$66:$D$79</c:f>
              <c:numCache>
                <c:formatCode>General</c:formatCode>
                <c:ptCount val="14"/>
                <c:pt idx="4">
                  <c:v>0</c:v>
                </c:pt>
                <c:pt idx="5" formatCode="0">
                  <c:v>-21.918557339453869</c:v>
                </c:pt>
                <c:pt idx="6" formatCode="0">
                  <c:v>134.9210037397508</c:v>
                </c:pt>
                <c:pt idx="7" formatCode="0">
                  <c:v>-178.75811841865851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1-C243-AA93-69A733D90BC7}"/>
            </c:ext>
          </c:extLst>
        </c:ser>
        <c:ser>
          <c:idx val="2"/>
          <c:order val="2"/>
          <c:tx>
            <c:strRef>
              <c:f>Sheet1!$E$65</c:f>
              <c:strCache>
                <c:ptCount val="1"/>
                <c:pt idx="0">
                  <c:v>wheel LH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Sheet1!$E$66:$E$79</c:f>
              <c:numCache>
                <c:formatCode>General</c:formatCode>
                <c:ptCount val="14"/>
                <c:pt idx="8">
                  <c:v>0</c:v>
                </c:pt>
                <c:pt idx="9">
                  <c:v>36.354979874482297</c:v>
                </c:pt>
                <c:pt idx="10">
                  <c:v>156.15481238836503</c:v>
                </c:pt>
                <c:pt idx="11">
                  <c:v>-83.444852639400438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1-C243-AA93-69A733D90BC7}"/>
            </c:ext>
          </c:extLst>
        </c:ser>
        <c:ser>
          <c:idx val="3"/>
          <c:order val="3"/>
          <c:tx>
            <c:strRef>
              <c:f>Sheet1!$F$65</c:f>
              <c:strCache>
                <c:ptCount val="1"/>
                <c:pt idx="0">
                  <c:v>rear wheel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Sheet1!$F$66:$F$79</c:f>
              <c:numCache>
                <c:formatCode>General</c:formatCode>
                <c:ptCount val="14"/>
                <c:pt idx="12" formatCode="0.0">
                  <c:v>1174.5</c:v>
                </c:pt>
                <c:pt idx="13" formatCode="0.0">
                  <c:v>825.5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1-C243-AA93-69A733D90BC7}"/>
            </c:ext>
          </c:extLst>
        </c:ser>
        <c:ser>
          <c:idx val="4"/>
          <c:order val="4"/>
          <c:tx>
            <c:strRef>
              <c:f>Sheet1!$C$65</c:f>
              <c:strCache>
                <c:ptCount val="1"/>
                <c:pt idx="0">
                  <c:v>handlebar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Sheet1!$C$66:$C$87</c:f>
              <c:numCache>
                <c:formatCode>0.0</c:formatCode>
                <c:ptCount val="22"/>
                <c:pt idx="0" formatCode="General">
                  <c:v>0</c:v>
                </c:pt>
                <c:pt idx="1">
                  <c:v>172.33651145078377</c:v>
                </c:pt>
                <c:pt idx="2">
                  <c:v>235.76747423271638</c:v>
                </c:pt>
                <c:pt idx="3">
                  <c:v>108.90554866885117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1-C243-AA93-69A733D90BC7}"/>
            </c:ext>
          </c:extLst>
        </c:ser>
        <c:ser>
          <c:idx val="5"/>
          <c:order val="5"/>
          <c:tx>
            <c:strRef>
              <c:f>Sheet1!$D$65</c:f>
              <c:strCache>
                <c:ptCount val="1"/>
                <c:pt idx="0">
                  <c:v>wheel RH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Sheet1!$D$66:$D$87</c:f>
              <c:numCache>
                <c:formatCode>General</c:formatCode>
                <c:ptCount val="22"/>
                <c:pt idx="4">
                  <c:v>0</c:v>
                </c:pt>
                <c:pt idx="5" formatCode="0">
                  <c:v>-21.918557339453869</c:v>
                </c:pt>
                <c:pt idx="6" formatCode="0">
                  <c:v>134.9210037397508</c:v>
                </c:pt>
                <c:pt idx="7" formatCode="0">
                  <c:v>-178.75811841865851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1-C243-AA93-69A733D90BC7}"/>
            </c:ext>
          </c:extLst>
        </c:ser>
        <c:ser>
          <c:idx val="6"/>
          <c:order val="6"/>
          <c:tx>
            <c:strRef>
              <c:f>Sheet1!$E$65</c:f>
              <c:strCache>
                <c:ptCount val="1"/>
                <c:pt idx="0">
                  <c:v>wheel LH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Sheet1!$E$66:$E$87</c:f>
              <c:numCache>
                <c:formatCode>General</c:formatCode>
                <c:ptCount val="22"/>
                <c:pt idx="8">
                  <c:v>0</c:v>
                </c:pt>
                <c:pt idx="9">
                  <c:v>36.354979874482297</c:v>
                </c:pt>
                <c:pt idx="10">
                  <c:v>156.15481238836503</c:v>
                </c:pt>
                <c:pt idx="11">
                  <c:v>-83.444852639400438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31-C243-AA93-69A733D90BC7}"/>
            </c:ext>
          </c:extLst>
        </c:ser>
        <c:ser>
          <c:idx val="7"/>
          <c:order val="7"/>
          <c:tx>
            <c:strRef>
              <c:f>Sheet1!$F$65</c:f>
              <c:strCache>
                <c:ptCount val="1"/>
                <c:pt idx="0">
                  <c:v>rear wheel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Sheet1!$F$66:$F$87</c:f>
              <c:numCache>
                <c:formatCode>General</c:formatCode>
                <c:ptCount val="22"/>
                <c:pt idx="12" formatCode="0.0">
                  <c:v>1174.5</c:v>
                </c:pt>
                <c:pt idx="13" formatCode="0.0">
                  <c:v>825.5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1-C243-AA93-69A733D90BC7}"/>
            </c:ext>
          </c:extLst>
        </c:ser>
        <c:ser>
          <c:idx val="8"/>
          <c:order val="8"/>
          <c:tx>
            <c:strRef>
              <c:f>Sheet1!$G$65</c:f>
              <c:strCache>
                <c:ptCount val="1"/>
                <c:pt idx="0">
                  <c:v>steering triangle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Sheet1!$G$66:$G$87</c:f>
              <c:numCache>
                <c:formatCode>General</c:formatCode>
                <c:ptCount val="22"/>
                <c:pt idx="14">
                  <c:v>0</c:v>
                </c:pt>
                <c:pt idx="15" formatCode="0.0">
                  <c:v>57.065935413016945</c:v>
                </c:pt>
                <c:pt idx="16" formatCode="0.0">
                  <c:v>76.70796902059088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31-C243-AA93-69A733D90BC7}"/>
            </c:ext>
          </c:extLst>
        </c:ser>
        <c:ser>
          <c:idx val="9"/>
          <c:order val="9"/>
          <c:tx>
            <c:strRef>
              <c:f>Sheet1!$H$65</c:f>
              <c:strCache>
                <c:ptCount val="1"/>
                <c:pt idx="0">
                  <c:v>kingpin arm 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Sheet1!$H$66:$H$87</c:f>
              <c:numCache>
                <c:formatCode>General</c:formatCode>
                <c:ptCount val="22"/>
                <c:pt idx="18">
                  <c:v>0</c:v>
                </c:pt>
                <c:pt idx="19" formatCode="0.0">
                  <c:v>79.561751629461867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31-C243-AA93-69A733D90BC7}"/>
            </c:ext>
          </c:extLst>
        </c:ser>
        <c:ser>
          <c:idx val="10"/>
          <c:order val="10"/>
          <c:tx>
            <c:strRef>
              <c:f>Sheet1!$I$65</c:f>
              <c:strCache>
                <c:ptCount val="1"/>
                <c:pt idx="0">
                  <c:v>kingpin arm 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Sheet1!$B$66:$B$87</c:f>
              <c:numCache>
                <c:formatCode>0.0</c:formatCode>
                <c:ptCount val="22"/>
                <c:pt idx="0">
                  <c:v>0</c:v>
                </c:pt>
                <c:pt idx="1">
                  <c:v>-101.48954045109218</c:v>
                </c:pt>
                <c:pt idx="2">
                  <c:v>6.2207792056476734</c:v>
                </c:pt>
                <c:pt idx="3">
                  <c:v>-209.19986010783202</c:v>
                </c:pt>
                <c:pt idx="4" formatCode="General">
                  <c:v>-300</c:v>
                </c:pt>
                <c:pt idx="5" formatCode="0">
                  <c:v>-344.93970231495837</c:v>
                </c:pt>
                <c:pt idx="6" formatCode="0">
                  <c:v>-421.43546742965236</c:v>
                </c:pt>
                <c:pt idx="7" formatCode="0">
                  <c:v>-268.44393720026437</c:v>
                </c:pt>
                <c:pt idx="8" formatCode="General">
                  <c:v>300</c:v>
                </c:pt>
                <c:pt idx="9" formatCode="General">
                  <c:v>334.32659957417843</c:v>
                </c:pt>
                <c:pt idx="10" formatCode="General">
                  <c:v>207.44771981223522</c:v>
                </c:pt>
                <c:pt idx="11" formatCode="General">
                  <c:v>461.20547933612164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-56.066737157046788</c:v>
                </c:pt>
                <c:pt idx="16">
                  <c:v>-22.713156732080861</c:v>
                </c:pt>
                <c:pt idx="17" formatCode="General">
                  <c:v>0</c:v>
                </c:pt>
                <c:pt idx="18" formatCode="General">
                  <c:v>-300</c:v>
                </c:pt>
                <c:pt idx="19">
                  <c:v>-308.36227706141227</c:v>
                </c:pt>
                <c:pt idx="20" formatCode="General">
                  <c:v>300</c:v>
                </c:pt>
                <c:pt idx="21">
                  <c:v>226.55536828301672</c:v>
                </c:pt>
              </c:numCache>
            </c:numRef>
          </c:xVal>
          <c:yVal>
            <c:numRef>
              <c:f>Sheet1!$I$66:$I$87</c:f>
              <c:numCache>
                <c:formatCode>General</c:formatCode>
                <c:ptCount val="22"/>
                <c:pt idx="20">
                  <c:v>0</c:v>
                </c:pt>
                <c:pt idx="21" formatCode="0.0">
                  <c:v>31.71570702280949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31-C243-AA93-69A733D90BC7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Sheet1!$C$88:$C$89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31-C243-AA93-69A733D90BC7}"/>
            </c:ext>
          </c:extLst>
        </c:ser>
        <c:ser>
          <c:idx val="12"/>
          <c:order val="12"/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Sheet1!$D$88:$D$89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31-C243-AA93-69A733D90BC7}"/>
            </c:ext>
          </c:extLst>
        </c:ser>
        <c:ser>
          <c:idx val="13"/>
          <c:order val="13"/>
          <c:spPr>
            <a:ln w="12700">
              <a:solidFill>
                <a:srgbClr val="CC9C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CC9CCC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Sheet1!$E$88:$E$89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31-C243-AA93-69A733D90BC7}"/>
            </c:ext>
          </c:extLst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Sheet1!$F$88:$F$89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31-C243-AA93-69A733D90BC7}"/>
            </c:ext>
          </c:extLst>
        </c:ser>
        <c:ser>
          <c:idx val="15"/>
          <c:order val="15"/>
          <c:spPr>
            <a:ln w="12700">
              <a:solidFill>
                <a:srgbClr val="E3E3E3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E3E3E3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Sheet1!$G$88:$G$89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31-C243-AA93-69A733D90BC7}"/>
            </c:ext>
          </c:extLst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Sheet1!$H$88:$H$89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31-C243-AA93-69A733D90BC7}"/>
            </c:ext>
          </c:extLst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Sheet1!$I$88:$I$89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31-C243-AA93-69A733D90BC7}"/>
            </c:ext>
          </c:extLst>
        </c:ser>
        <c:ser>
          <c:idx val="18"/>
          <c:order val="18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Sheet1!$B$88:$B$89</c:f>
              <c:numCache>
                <c:formatCode>0.0</c:formatCode>
                <c:ptCount val="2"/>
                <c:pt idx="0">
                  <c:v>-308.36227706141227</c:v>
                </c:pt>
                <c:pt idx="1">
                  <c:v>-56.066737157046788</c:v>
                </c:pt>
              </c:numCache>
            </c:numRef>
          </c:xVal>
          <c:yVal>
            <c:numRef>
              <c:f>Sheet1!$J$88:$J$89</c:f>
              <c:numCache>
                <c:formatCode>0.0</c:formatCode>
                <c:ptCount val="2"/>
                <c:pt idx="0">
                  <c:v>79.561751629461867</c:v>
                </c:pt>
                <c:pt idx="1">
                  <c:v>57.065935413016945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31-C243-AA93-69A733D90BC7}"/>
            </c:ext>
          </c:extLst>
        </c:ser>
        <c:ser>
          <c:idx val="19"/>
          <c:order val="19"/>
          <c:spPr>
            <a:ln w="12700">
              <a:solidFill>
                <a:srgbClr val="99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Sheet1!$C$90:$C$91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31-C243-AA93-69A733D90BC7}"/>
            </c:ext>
          </c:extLst>
        </c:ser>
        <c:ser>
          <c:idx val="20"/>
          <c:order val="20"/>
          <c:spPr>
            <a:ln w="12700">
              <a:solidFill>
                <a:srgbClr val="9966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Sheet1!$D$90:$D$91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31-C243-AA93-69A733D90BC7}"/>
            </c:ext>
          </c:extLst>
        </c:ser>
        <c:ser>
          <c:idx val="21"/>
          <c:order val="21"/>
          <c:spPr>
            <a:ln w="12700">
              <a:solidFill>
                <a:srgbClr val="9966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Sheet1!$E$90:$E$91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31-C243-AA93-69A733D90BC7}"/>
            </c:ext>
          </c:extLst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Sheet1!$F$90:$F$91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31-C243-AA93-69A733D90BC7}"/>
            </c:ext>
          </c:extLst>
        </c:ser>
        <c:ser>
          <c:idx val="23"/>
          <c:order val="23"/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Sheet1!$G$90:$G$91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31-C243-AA93-69A733D90BC7}"/>
            </c:ext>
          </c:extLst>
        </c:ser>
        <c:ser>
          <c:idx val="24"/>
          <c:order val="24"/>
          <c:spPr>
            <a:ln w="12700">
              <a:solidFill>
                <a:srgbClr val="3333CC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3333CC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Sheet1!$H$90:$H$91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31-C243-AA93-69A733D90BC7}"/>
            </c:ext>
          </c:extLst>
        </c:ser>
        <c:ser>
          <c:idx val="25"/>
          <c:order val="25"/>
          <c:spPr>
            <a:ln w="12700">
              <a:solidFill>
                <a:srgbClr val="3366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66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Sheet1!$I$90:$I$91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31-C243-AA93-69A733D90BC7}"/>
            </c:ext>
          </c:extLst>
        </c:ser>
        <c:ser>
          <c:idx val="26"/>
          <c:order val="26"/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Sheet1!$J$90:$J$91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31-C243-AA93-69A733D90BC7}"/>
            </c:ext>
          </c:extLst>
        </c:ser>
        <c:ser>
          <c:idx val="27"/>
          <c:order val="2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Sheet1!$B$90:$B$91</c:f>
              <c:numCache>
                <c:formatCode>0.0</c:formatCode>
                <c:ptCount val="2"/>
                <c:pt idx="0">
                  <c:v>-22.713156732080861</c:v>
                </c:pt>
                <c:pt idx="1">
                  <c:v>226.55536828301672</c:v>
                </c:pt>
              </c:numCache>
            </c:numRef>
          </c:xVal>
          <c:yVal>
            <c:numRef>
              <c:f>Sheet1!$K$90:$K$91</c:f>
              <c:numCache>
                <c:formatCode>0.0</c:formatCode>
                <c:ptCount val="2"/>
                <c:pt idx="0">
                  <c:v>76.70796902059088</c:v>
                </c:pt>
                <c:pt idx="1">
                  <c:v>31.71570702280949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31-C243-AA93-69A733D9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30352"/>
        <c:axId val="1"/>
      </c:scatterChart>
      <c:valAx>
        <c:axId val="1069930352"/>
        <c:scaling>
          <c:orientation val="minMax"/>
          <c:max val="700"/>
          <c:min val="-7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</a:t>
                </a:r>
              </a:p>
            </c:rich>
          </c:tx>
          <c:layout>
            <c:manualLayout>
              <c:xMode val="edge"/>
              <c:yMode val="edge"/>
              <c:x val="0.40689041785035551"/>
              <c:y val="0.9300308893926377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crossBetween val="midCat"/>
        <c:majorUnit val="10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</a:t>
                </a:r>
              </a:p>
            </c:rich>
          </c:tx>
          <c:layout>
            <c:manualLayout>
              <c:xMode val="edge"/>
              <c:yMode val="edge"/>
              <c:x val="2.0057978344735834E-2"/>
              <c:y val="0.46334872267231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9930352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1</xdr:row>
          <xdr:rowOff>88900</xdr:rowOff>
        </xdr:from>
        <xdr:to>
          <xdr:col>6</xdr:col>
          <xdr:colOff>0</xdr:colOff>
          <xdr:row>15</xdr:row>
          <xdr:rowOff>127000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38100</xdr:colOff>
      <xdr:row>0</xdr:row>
      <xdr:rowOff>0</xdr:rowOff>
    </xdr:from>
    <xdr:to>
      <xdr:col>12</xdr:col>
      <xdr:colOff>355600</xdr:colOff>
      <xdr:row>23</xdr:row>
      <xdr:rowOff>12700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K137"/>
  <sheetViews>
    <sheetView tabSelected="1" zoomScale="131" zoomScaleNormal="131" workbookViewId="0">
      <selection activeCell="C34" sqref="C34"/>
    </sheetView>
  </sheetViews>
  <sheetFormatPr baseColWidth="10" defaultRowHeight="13" x14ac:dyDescent="0.15"/>
  <cols>
    <col min="1" max="1" width="34.6640625" customWidth="1"/>
    <col min="2" max="5" width="8.83203125" customWidth="1"/>
    <col min="6" max="6" width="8" customWidth="1"/>
    <col min="7" max="7" width="8.5" customWidth="1"/>
    <col min="8" max="8" width="9" customWidth="1"/>
    <col min="9" max="9" width="8.1640625" customWidth="1"/>
    <col min="10" max="10" width="10.6640625" customWidth="1"/>
    <col min="11" max="256" width="8.83203125" customWidth="1"/>
  </cols>
  <sheetData>
    <row r="17" spans="1:11" x14ac:dyDescent="0.15">
      <c r="A17" t="s">
        <v>0</v>
      </c>
    </row>
    <row r="18" spans="1:11" x14ac:dyDescent="0.15">
      <c r="A18" t="s">
        <v>1</v>
      </c>
    </row>
    <row r="19" spans="1:11" x14ac:dyDescent="0.15">
      <c r="A19" s="5" t="s">
        <v>2</v>
      </c>
    </row>
    <row r="20" spans="1:11" x14ac:dyDescent="0.15">
      <c r="A20" t="s">
        <v>3</v>
      </c>
      <c r="B20" t="s">
        <v>4</v>
      </c>
      <c r="C20">
        <v>300</v>
      </c>
    </row>
    <row r="21" spans="1:11" x14ac:dyDescent="0.15">
      <c r="A21" t="s">
        <v>5</v>
      </c>
      <c r="B21" t="s">
        <v>6</v>
      </c>
      <c r="C21">
        <v>80</v>
      </c>
    </row>
    <row r="22" spans="1:11" x14ac:dyDescent="0.15">
      <c r="A22" t="s">
        <v>7</v>
      </c>
      <c r="B22" t="s">
        <v>8</v>
      </c>
      <c r="C22">
        <v>70</v>
      </c>
    </row>
    <row r="23" spans="1:11" x14ac:dyDescent="0.15">
      <c r="A23" t="s">
        <v>9</v>
      </c>
      <c r="B23" t="s">
        <v>10</v>
      </c>
      <c r="C23">
        <v>0</v>
      </c>
    </row>
    <row r="24" spans="1:11" x14ac:dyDescent="0.15">
      <c r="A24" t="s">
        <v>11</v>
      </c>
      <c r="B24" t="s">
        <v>12</v>
      </c>
      <c r="C24">
        <v>14</v>
      </c>
      <c r="F24" t="s">
        <v>13</v>
      </c>
      <c r="I24" t="s">
        <v>14</v>
      </c>
    </row>
    <row r="25" spans="1:11" x14ac:dyDescent="0.15">
      <c r="A25" t="s">
        <v>15</v>
      </c>
      <c r="B25" t="s">
        <v>16</v>
      </c>
      <c r="C25">
        <v>80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 t="s">
        <v>22</v>
      </c>
    </row>
    <row r="26" spans="1:11" x14ac:dyDescent="0.15">
      <c r="A26" t="s">
        <v>23</v>
      </c>
      <c r="B26" t="s">
        <v>24</v>
      </c>
      <c r="C26">
        <v>1000</v>
      </c>
      <c r="F26" s="7">
        <v>100000</v>
      </c>
      <c r="G26" s="4">
        <f t="shared" ref="G26:G31" si="0">90-DEGREES(ATAN(($F26+$C$20)/$C$26))</f>
        <v>0.57122513633878214</v>
      </c>
      <c r="H26" s="3">
        <f t="shared" ref="H26:H31" si="1">90-DEGREES(ATAN(($F26-$C$20)/$C$26))</f>
        <v>0.57466257029894052</v>
      </c>
      <c r="I26" s="8">
        <f>-F37</f>
        <v>0.57533598987005519</v>
      </c>
      <c r="J26" s="10">
        <f t="shared" ref="J26:J31" si="2">I26/H26-1</f>
        <v>1.1718521544987759E-3</v>
      </c>
      <c r="K26" s="4">
        <f>-F36</f>
        <v>0.55190628800704644</v>
      </c>
    </row>
    <row r="27" spans="1:11" x14ac:dyDescent="0.15">
      <c r="A27" t="s">
        <v>25</v>
      </c>
      <c r="C27">
        <v>50</v>
      </c>
      <c r="F27">
        <v>20000</v>
      </c>
      <c r="G27" s="4">
        <f t="shared" si="0"/>
        <v>2.8201724724484762</v>
      </c>
      <c r="H27" s="3">
        <f t="shared" si="1"/>
        <v>2.9059209996533326</v>
      </c>
      <c r="I27" s="4">
        <f>-G37</f>
        <v>2.9234588203741154</v>
      </c>
      <c r="J27" s="10">
        <f t="shared" si="2"/>
        <v>6.0352021692520186E-3</v>
      </c>
      <c r="K27" s="4">
        <f>-G36</f>
        <v>2.7635756448679949</v>
      </c>
    </row>
    <row r="28" spans="1:11" x14ac:dyDescent="0.15">
      <c r="A28" t="s">
        <v>26</v>
      </c>
      <c r="C28">
        <v>349</v>
      </c>
      <c r="F28">
        <v>10000</v>
      </c>
      <c r="G28" s="4">
        <f t="shared" si="0"/>
        <v>5.5453173088620389</v>
      </c>
      <c r="H28" s="3">
        <f t="shared" si="1"/>
        <v>5.8859878330282669</v>
      </c>
      <c r="I28" s="4">
        <f>-H37</f>
        <v>5.9614689654861124</v>
      </c>
      <c r="J28" s="10">
        <f t="shared" si="2"/>
        <v>1.2823868244221437E-2</v>
      </c>
      <c r="K28" s="4">
        <f>-H36</f>
        <v>5.529105973070557</v>
      </c>
    </row>
    <row r="29" spans="1:11" x14ac:dyDescent="0.15">
      <c r="A29" t="s">
        <v>27</v>
      </c>
      <c r="C29">
        <v>200</v>
      </c>
      <c r="F29">
        <v>5000</v>
      </c>
      <c r="G29" s="4">
        <f t="shared" si="0"/>
        <v>10.684912400002716</v>
      </c>
      <c r="H29" s="3">
        <f t="shared" si="1"/>
        <v>12.01147838636544</v>
      </c>
      <c r="I29" s="4">
        <f>-I37</f>
        <v>12.383823433070191</v>
      </c>
      <c r="J29" s="10">
        <f t="shared" si="2"/>
        <v>3.0999102252676103E-2</v>
      </c>
      <c r="K29" s="4">
        <f>-I36</f>
        <v>11.021488586899828</v>
      </c>
    </row>
    <row r="30" spans="1:11" x14ac:dyDescent="0.15">
      <c r="A30" t="s">
        <v>28</v>
      </c>
      <c r="C30">
        <v>250</v>
      </c>
      <c r="F30">
        <v>3000</v>
      </c>
      <c r="G30" s="4">
        <f t="shared" si="0"/>
        <v>16.858398767738279</v>
      </c>
      <c r="H30" s="3">
        <f t="shared" si="1"/>
        <v>20.323136829662928</v>
      </c>
      <c r="I30" s="4">
        <f>-J37</f>
        <v>21.821909673499604</v>
      </c>
      <c r="J30" s="10">
        <f t="shared" si="2"/>
        <v>7.3747121637695257E-2</v>
      </c>
      <c r="K30" s="4">
        <f>-J36</f>
        <v>18.184591175105709</v>
      </c>
    </row>
    <row r="31" spans="1:11" x14ac:dyDescent="0.15">
      <c r="A31" t="s">
        <v>29</v>
      </c>
      <c r="C31">
        <v>0</v>
      </c>
      <c r="F31">
        <v>2000</v>
      </c>
      <c r="G31" s="4">
        <f t="shared" si="0"/>
        <v>23.498565675952094</v>
      </c>
      <c r="H31" s="3">
        <f t="shared" si="1"/>
        <v>30.465544919459873</v>
      </c>
      <c r="I31" s="4">
        <f>-K37</f>
        <v>36.586474026930723</v>
      </c>
      <c r="J31" s="10">
        <f t="shared" si="2"/>
        <v>0.20091316678078219</v>
      </c>
      <c r="K31" s="4">
        <f>-K36</f>
        <v>26.848093074190196</v>
      </c>
    </row>
    <row r="32" spans="1:11" x14ac:dyDescent="0.15">
      <c r="A32" s="5" t="s">
        <v>30</v>
      </c>
    </row>
    <row r="33" spans="1:11" x14ac:dyDescent="0.15">
      <c r="A33" s="2" t="s">
        <v>31</v>
      </c>
      <c r="B33" s="11" t="s">
        <v>32</v>
      </c>
      <c r="C33" s="11">
        <v>26</v>
      </c>
      <c r="D33" s="4" t="s">
        <v>33</v>
      </c>
    </row>
    <row r="35" spans="1:11" x14ac:dyDescent="0.15">
      <c r="A35" s="5" t="s">
        <v>34</v>
      </c>
      <c r="C35" s="3"/>
      <c r="F35" t="s">
        <v>35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11" x14ac:dyDescent="0.15">
      <c r="A36" t="s">
        <v>41</v>
      </c>
      <c r="B36" t="s">
        <v>42</v>
      </c>
      <c r="C36" s="4">
        <f>DEGREES(ATAN((B$50-B$42)/(C$50-C$42)))+$C$24</f>
        <v>-30.493971519232431</v>
      </c>
      <c r="F36" s="4">
        <f t="shared" ref="F36:K36" si="3">DEGREES(ATAN((C$111-$B$42)/(C$112-$C$42)))+$C$24</f>
        <v>-0.55190628800704644</v>
      </c>
      <c r="G36" s="4">
        <f t="shared" si="3"/>
        <v>-2.7635756448679949</v>
      </c>
      <c r="H36" s="4">
        <f t="shared" si="3"/>
        <v>-5.529105973070557</v>
      </c>
      <c r="I36" s="4">
        <f t="shared" si="3"/>
        <v>-11.021488586899828</v>
      </c>
      <c r="J36" s="4">
        <f t="shared" si="3"/>
        <v>-18.184591175105709</v>
      </c>
      <c r="K36" s="4">
        <f>DEGREES(ATAN((H$111-$B$42)/(H$112-$C$42)))+$C$24</f>
        <v>-26.848093074190196</v>
      </c>
    </row>
    <row r="37" spans="1:11" x14ac:dyDescent="0.15">
      <c r="A37" t="s">
        <v>43</v>
      </c>
      <c r="B37" t="s">
        <v>44</v>
      </c>
      <c r="C37" s="4">
        <f>DEGREES(ATAN((B48-B44)/(C48-C44)))+(90-$C$22)</f>
        <v>-46.643790980777595</v>
      </c>
      <c r="F37" s="3">
        <f t="shared" ref="F37:K37" si="4">DEGREES(ATAN((C$134-$B$44)/(C$135-$C$44)))+(90-$C$22)</f>
        <v>-0.57533598987005519</v>
      </c>
      <c r="G37" s="4">
        <f t="shared" si="4"/>
        <v>-2.9234588203741154</v>
      </c>
      <c r="H37" s="4">
        <f t="shared" si="4"/>
        <v>-5.9614689654861124</v>
      </c>
      <c r="I37" s="4">
        <f t="shared" si="4"/>
        <v>-12.383823433070191</v>
      </c>
      <c r="J37" s="4">
        <f t="shared" si="4"/>
        <v>-21.821909673499604</v>
      </c>
      <c r="K37" s="4">
        <f t="shared" si="4"/>
        <v>-36.586474026930723</v>
      </c>
    </row>
    <row r="38" spans="1:11" x14ac:dyDescent="0.15">
      <c r="A38" t="s">
        <v>45</v>
      </c>
      <c r="C38">
        <f>SQRT((($B$46-$B$49)^2)+($C$46-$C$49)^2)</f>
        <v>253.29646899015259</v>
      </c>
      <c r="F38" t="s">
        <v>46</v>
      </c>
    </row>
    <row r="39" spans="1:11" ht="12" customHeight="1" x14ac:dyDescent="0.15"/>
    <row r="41" spans="1:11" x14ac:dyDescent="0.15">
      <c r="A41" s="5" t="s">
        <v>47</v>
      </c>
      <c r="B41" s="6" t="s">
        <v>48</v>
      </c>
      <c r="C41" s="6" t="s">
        <v>49</v>
      </c>
    </row>
    <row r="42" spans="1:11" x14ac:dyDescent="0.15">
      <c r="A42" t="s">
        <v>50</v>
      </c>
      <c r="B42">
        <v>0</v>
      </c>
      <c r="C42">
        <f>$C$23</f>
        <v>0</v>
      </c>
    </row>
    <row r="43" spans="1:11" x14ac:dyDescent="0.15">
      <c r="A43" t="s">
        <v>51</v>
      </c>
      <c r="B43">
        <f>-$C$20</f>
        <v>-300</v>
      </c>
      <c r="C43">
        <v>0</v>
      </c>
    </row>
    <row r="44" spans="1:11" x14ac:dyDescent="0.15">
      <c r="A44" t="s">
        <v>52</v>
      </c>
      <c r="B44">
        <f>$C$20</f>
        <v>300</v>
      </c>
      <c r="C44">
        <v>0</v>
      </c>
    </row>
    <row r="45" spans="1:11" x14ac:dyDescent="0.15">
      <c r="A45" s="5" t="s">
        <v>53</v>
      </c>
      <c r="B45" s="6" t="s">
        <v>48</v>
      </c>
      <c r="C45" s="6" t="s">
        <v>49</v>
      </c>
    </row>
    <row r="46" spans="1:11" x14ac:dyDescent="0.15">
      <c r="A46" t="s">
        <v>54</v>
      </c>
      <c r="B46" s="1">
        <f>$B$43+$C$21*COS(RADIANS($C$22))</f>
        <v>-272.63838853394651</v>
      </c>
      <c r="C46" s="1">
        <f>$C$43+$C$21*SIN(RADIANS($C$22))</f>
        <v>75.175409662872667</v>
      </c>
    </row>
    <row r="47" spans="1:11" x14ac:dyDescent="0.15">
      <c r="A47" t="s">
        <v>55</v>
      </c>
      <c r="B47" s="1">
        <f>$B$43+$C$21*COS(RADIANS($C$22+$C$33))</f>
        <v>-308.36227706141227</v>
      </c>
      <c r="C47" s="1">
        <f>$C$43+$C$21*SIN(RADIANS($C$22+$C$33))</f>
        <v>79.561751629461867</v>
      </c>
    </row>
    <row r="48" spans="1:11" x14ac:dyDescent="0.15">
      <c r="A48" t="s">
        <v>56</v>
      </c>
      <c r="B48" s="1">
        <f>$B$134</f>
        <v>226.55536828301672</v>
      </c>
      <c r="C48" s="1">
        <f>$B$135</f>
        <v>31.71570702280949</v>
      </c>
    </row>
    <row r="49" spans="1:3" x14ac:dyDescent="0.15">
      <c r="A49" t="s">
        <v>57</v>
      </c>
      <c r="B49" s="1">
        <f>-$C$25*SIN(RADIANS($C$24))</f>
        <v>-19.353751647973418</v>
      </c>
      <c r="C49" s="1">
        <f>$C$23+$C$25*COS((-(RADIANS($C$24))))</f>
        <v>77.623658102079716</v>
      </c>
    </row>
    <row r="50" spans="1:3" x14ac:dyDescent="0.15">
      <c r="A50" t="s">
        <v>58</v>
      </c>
      <c r="B50" s="1">
        <f>$B$111</f>
        <v>-56.066737157046788</v>
      </c>
      <c r="C50" s="1">
        <f>$B$112</f>
        <v>57.065935413016945</v>
      </c>
    </row>
    <row r="51" spans="1:3" x14ac:dyDescent="0.15">
      <c r="A51" t="s">
        <v>59</v>
      </c>
      <c r="B51" s="1">
        <f>$C$25*SIN((RADIANS($C$36)+(RADIANS($C$24))))</f>
        <v>-22.713156732080861</v>
      </c>
      <c r="C51" s="1">
        <f>$C$23+$C$25*COS((RADIANS($C$36)+(RADIANS($C$24))))</f>
        <v>76.70796902059088</v>
      </c>
    </row>
    <row r="52" spans="1:3" x14ac:dyDescent="0.15">
      <c r="A52" t="s">
        <v>60</v>
      </c>
      <c r="B52" s="1">
        <f>$C$29*SIN(RADIANS($C$36))</f>
        <v>-101.48954045109218</v>
      </c>
      <c r="C52" s="1">
        <f>$C$23+$C$29*COS(RADIANS($C$36))</f>
        <v>172.33651145078377</v>
      </c>
    </row>
    <row r="53" spans="1:3" x14ac:dyDescent="0.15">
      <c r="A53" t="s">
        <v>61</v>
      </c>
      <c r="B53" s="1">
        <f>$B$52+($C$30/2)*COS(RADIANS($C$36))</f>
        <v>6.2207792056476734</v>
      </c>
      <c r="C53" s="1">
        <f>$C$52-($C$30/2)*SIN(RADIANS($C$36))</f>
        <v>235.76747423271638</v>
      </c>
    </row>
    <row r="54" spans="1:3" x14ac:dyDescent="0.15">
      <c r="A54" s="2" t="s">
        <v>62</v>
      </c>
      <c r="B54" s="1">
        <f>$B$52-($C$30/2)*COS(RADIANS($C$36))</f>
        <v>-209.19986010783202</v>
      </c>
      <c r="C54" s="1">
        <f>$C$52+($C$30/2)*SIN(RADIANS($C$36))</f>
        <v>108.90554866885117</v>
      </c>
    </row>
    <row r="55" spans="1:3" x14ac:dyDescent="0.15">
      <c r="A55" t="s">
        <v>63</v>
      </c>
      <c r="B55">
        <f>$B$43-$C$27*COS(RADIANS(-$C$33))</f>
        <v>-344.93970231495837</v>
      </c>
      <c r="C55">
        <f>$C$43+$C$27*SIN(RADIANS(-$C$33))</f>
        <v>-21.918557339453869</v>
      </c>
    </row>
    <row r="56" spans="1:3" x14ac:dyDescent="0.15">
      <c r="A56" t="s">
        <v>64</v>
      </c>
      <c r="B56">
        <f>$B$55+($C$28/2)*SIN(RADIANS(-$C$33))</f>
        <v>-421.43546742965236</v>
      </c>
      <c r="C56">
        <f>$C$55+($C$28/2)*COS(RADIANS(-$C$33))</f>
        <v>134.9210037397508</v>
      </c>
    </row>
    <row r="57" spans="1:3" x14ac:dyDescent="0.15">
      <c r="A57" t="s">
        <v>65</v>
      </c>
      <c r="B57">
        <f>$B$55-($C$28/2)*SIN(RADIANS(-$C$33))</f>
        <v>-268.44393720026437</v>
      </c>
      <c r="C57">
        <f>$C$55-($C$28/2)*COS(RADIANS(-$C$33))</f>
        <v>-178.75811841865851</v>
      </c>
    </row>
    <row r="58" spans="1:3" x14ac:dyDescent="0.15">
      <c r="A58" t="s">
        <v>66</v>
      </c>
      <c r="B58">
        <f>$B$44+$C$27*COS(RADIANS($C$37))</f>
        <v>334.32659957417843</v>
      </c>
      <c r="C58">
        <f>$C$44-$C$27*SIN(RADIANS($C$37))</f>
        <v>36.354979874482297</v>
      </c>
    </row>
    <row r="59" spans="1:3" x14ac:dyDescent="0.15">
      <c r="A59" t="s">
        <v>67</v>
      </c>
      <c r="B59">
        <f>$B$58+($C$28/2)*SIN(RADIANS($C$37))</f>
        <v>207.44771981223522</v>
      </c>
      <c r="C59">
        <f>$C$58+($C$28/2)*COS(RADIANS($C$37))</f>
        <v>156.15481238836503</v>
      </c>
    </row>
    <row r="60" spans="1:3" x14ac:dyDescent="0.15">
      <c r="A60" t="s">
        <v>68</v>
      </c>
      <c r="B60">
        <f>$B$58-($C$28/2)*SIN(RADIANS($C$37))</f>
        <v>461.20547933612164</v>
      </c>
      <c r="C60">
        <f>$C$58-($C$28/2)*COS(RADIANS($C$37))</f>
        <v>-83.444852639400438</v>
      </c>
    </row>
    <row r="61" spans="1:3" x14ac:dyDescent="0.15">
      <c r="A61" t="s">
        <v>69</v>
      </c>
      <c r="B61">
        <f>$C$31</f>
        <v>0</v>
      </c>
      <c r="C61">
        <f>$C$26+($C$28/2)</f>
        <v>1174.5</v>
      </c>
    </row>
    <row r="62" spans="1:3" x14ac:dyDescent="0.15">
      <c r="A62" t="s">
        <v>70</v>
      </c>
      <c r="B62" s="7">
        <f>$C$31</f>
        <v>0</v>
      </c>
      <c r="C62">
        <f>$C$26-($C$28/2)</f>
        <v>825.5</v>
      </c>
    </row>
    <row r="63" spans="1:3" x14ac:dyDescent="0.15">
      <c r="C63" s="3"/>
    </row>
    <row r="64" spans="1:3" x14ac:dyDescent="0.15">
      <c r="A64" t="s">
        <v>71</v>
      </c>
    </row>
    <row r="65" spans="1:9" x14ac:dyDescent="0.15">
      <c r="C65" t="s">
        <v>72</v>
      </c>
      <c r="D65" t="s">
        <v>73</v>
      </c>
      <c r="E65" t="s">
        <v>74</v>
      </c>
      <c r="F65" t="s">
        <v>75</v>
      </c>
      <c r="G65" t="s">
        <v>76</v>
      </c>
      <c r="H65" t="s">
        <v>77</v>
      </c>
      <c r="I65" t="s">
        <v>78</v>
      </c>
    </row>
    <row r="66" spans="1:9" x14ac:dyDescent="0.15">
      <c r="A66" t="s">
        <v>72</v>
      </c>
      <c r="B66" s="1">
        <v>0</v>
      </c>
      <c r="C66">
        <f>$C$23</f>
        <v>0</v>
      </c>
    </row>
    <row r="67" spans="1:9" x14ac:dyDescent="0.15">
      <c r="B67" s="1">
        <f>$B$52</f>
        <v>-101.48954045109218</v>
      </c>
      <c r="C67" s="1">
        <f>$C$52</f>
        <v>172.33651145078377</v>
      </c>
    </row>
    <row r="68" spans="1:9" x14ac:dyDescent="0.15">
      <c r="B68" s="1">
        <f>$B$53</f>
        <v>6.2207792056476734</v>
      </c>
      <c r="C68" s="1">
        <f>$C$53</f>
        <v>235.76747423271638</v>
      </c>
    </row>
    <row r="69" spans="1:9" x14ac:dyDescent="0.15">
      <c r="B69" s="1">
        <f>$B$54</f>
        <v>-209.19986010783202</v>
      </c>
      <c r="C69" s="1">
        <f>$C$54</f>
        <v>108.90554866885117</v>
      </c>
    </row>
    <row r="70" spans="1:9" x14ac:dyDescent="0.15">
      <c r="A70" t="s">
        <v>74</v>
      </c>
      <c r="B70">
        <f>$B$43</f>
        <v>-300</v>
      </c>
      <c r="D70">
        <f>$C$43</f>
        <v>0</v>
      </c>
    </row>
    <row r="71" spans="1:9" x14ac:dyDescent="0.15">
      <c r="B71" s="7">
        <f>$B$55</f>
        <v>-344.93970231495837</v>
      </c>
      <c r="D71" s="7">
        <f>$C$55</f>
        <v>-21.918557339453869</v>
      </c>
    </row>
    <row r="72" spans="1:9" x14ac:dyDescent="0.15">
      <c r="B72" s="7">
        <f>$B$56</f>
        <v>-421.43546742965236</v>
      </c>
      <c r="D72" s="7">
        <f>$C$56</f>
        <v>134.9210037397508</v>
      </c>
    </row>
    <row r="73" spans="1:9" x14ac:dyDescent="0.15">
      <c r="B73" s="7">
        <f>$B$57</f>
        <v>-268.44393720026437</v>
      </c>
      <c r="D73" s="7">
        <f>$C$57</f>
        <v>-178.75811841865851</v>
      </c>
    </row>
    <row r="74" spans="1:9" x14ac:dyDescent="0.15">
      <c r="A74" t="s">
        <v>73</v>
      </c>
      <c r="B74">
        <f>$B$44</f>
        <v>300</v>
      </c>
      <c r="E74">
        <f>$C$44</f>
        <v>0</v>
      </c>
    </row>
    <row r="75" spans="1:9" x14ac:dyDescent="0.15">
      <c r="B75">
        <f>$B$58</f>
        <v>334.32659957417843</v>
      </c>
      <c r="E75">
        <f>$C$58</f>
        <v>36.354979874482297</v>
      </c>
    </row>
    <row r="76" spans="1:9" x14ac:dyDescent="0.15">
      <c r="B76">
        <f>$B$59</f>
        <v>207.44771981223522</v>
      </c>
      <c r="E76">
        <f>$C$59</f>
        <v>156.15481238836503</v>
      </c>
    </row>
    <row r="77" spans="1:9" x14ac:dyDescent="0.15">
      <c r="B77">
        <f>$B$60</f>
        <v>461.20547933612164</v>
      </c>
      <c r="E77">
        <f>$C$60</f>
        <v>-83.444852639400438</v>
      </c>
    </row>
    <row r="78" spans="1:9" x14ac:dyDescent="0.15">
      <c r="A78" t="s">
        <v>75</v>
      </c>
      <c r="B78" s="1">
        <f>B61</f>
        <v>0</v>
      </c>
      <c r="F78" s="1">
        <f>C61</f>
        <v>1174.5</v>
      </c>
    </row>
    <row r="79" spans="1:9" x14ac:dyDescent="0.15">
      <c r="B79" s="1">
        <f>B62</f>
        <v>0</v>
      </c>
      <c r="F79" s="1">
        <f>C62</f>
        <v>825.5</v>
      </c>
    </row>
    <row r="80" spans="1:9" x14ac:dyDescent="0.15">
      <c r="A80" t="s">
        <v>76</v>
      </c>
      <c r="B80">
        <f>$B$42</f>
        <v>0</v>
      </c>
      <c r="G80">
        <f>$C$42</f>
        <v>0</v>
      </c>
    </row>
    <row r="81" spans="1:11" x14ac:dyDescent="0.15">
      <c r="B81" s="1">
        <f>$B$50</f>
        <v>-56.066737157046788</v>
      </c>
      <c r="G81" s="1">
        <f>$C$50</f>
        <v>57.065935413016945</v>
      </c>
    </row>
    <row r="82" spans="1:11" x14ac:dyDescent="0.15">
      <c r="B82" s="1">
        <f>$B$51</f>
        <v>-22.713156732080861</v>
      </c>
      <c r="G82" s="1">
        <f>$C$51</f>
        <v>76.70796902059088</v>
      </c>
    </row>
    <row r="83" spans="1:11" x14ac:dyDescent="0.15">
      <c r="B83">
        <f>$B$42</f>
        <v>0</v>
      </c>
      <c r="G83">
        <f>$C$42</f>
        <v>0</v>
      </c>
    </row>
    <row r="84" spans="1:11" x14ac:dyDescent="0.15">
      <c r="A84" t="s">
        <v>77</v>
      </c>
      <c r="B84">
        <f>$B$43</f>
        <v>-300</v>
      </c>
      <c r="H84">
        <f>$C$43</f>
        <v>0</v>
      </c>
    </row>
    <row r="85" spans="1:11" x14ac:dyDescent="0.15">
      <c r="B85" s="1">
        <f>$B$47</f>
        <v>-308.36227706141227</v>
      </c>
      <c r="H85" s="1">
        <f>$C$47</f>
        <v>79.561751629461867</v>
      </c>
    </row>
    <row r="86" spans="1:11" x14ac:dyDescent="0.15">
      <c r="A86" t="s">
        <v>78</v>
      </c>
      <c r="B86">
        <f>$B$44</f>
        <v>300</v>
      </c>
      <c r="I86">
        <f>$C$44</f>
        <v>0</v>
      </c>
    </row>
    <row r="87" spans="1:11" x14ac:dyDescent="0.15">
      <c r="B87" s="1">
        <f>$B$48</f>
        <v>226.55536828301672</v>
      </c>
      <c r="I87" s="1">
        <f>$C$48</f>
        <v>31.71570702280949</v>
      </c>
    </row>
    <row r="88" spans="1:11" x14ac:dyDescent="0.15">
      <c r="A88" t="s">
        <v>79</v>
      </c>
      <c r="B88" s="1">
        <f>$B$47</f>
        <v>-308.36227706141227</v>
      </c>
      <c r="J88" s="1">
        <f>$C$47</f>
        <v>79.561751629461867</v>
      </c>
    </row>
    <row r="89" spans="1:11" x14ac:dyDescent="0.15">
      <c r="B89" s="1">
        <f>$B$50</f>
        <v>-56.066737157046788</v>
      </c>
      <c r="J89" s="1">
        <f>$C$50</f>
        <v>57.065935413016945</v>
      </c>
    </row>
    <row r="90" spans="1:11" x14ac:dyDescent="0.15">
      <c r="A90" t="s">
        <v>80</v>
      </c>
      <c r="B90" s="1">
        <f>$B$51</f>
        <v>-22.713156732080861</v>
      </c>
      <c r="K90" s="1">
        <f>$C$51</f>
        <v>76.70796902059088</v>
      </c>
    </row>
    <row r="91" spans="1:11" x14ac:dyDescent="0.15">
      <c r="B91" s="1">
        <f>$B$48</f>
        <v>226.55536828301672</v>
      </c>
      <c r="K91" s="1">
        <f>$C$48</f>
        <v>31.71570702280949</v>
      </c>
    </row>
    <row r="94" spans="1:11" x14ac:dyDescent="0.15">
      <c r="A94" s="5" t="s">
        <v>81</v>
      </c>
      <c r="B94" t="s">
        <v>82</v>
      </c>
      <c r="C94" t="s">
        <v>35</v>
      </c>
      <c r="D94" t="s">
        <v>36</v>
      </c>
      <c r="E94" t="s">
        <v>37</v>
      </c>
      <c r="F94" t="s">
        <v>38</v>
      </c>
      <c r="G94" t="s">
        <v>39</v>
      </c>
      <c r="H94" t="s">
        <v>40</v>
      </c>
    </row>
    <row r="95" spans="1:11" x14ac:dyDescent="0.15">
      <c r="A95" t="s">
        <v>83</v>
      </c>
      <c r="B95" s="8">
        <f>$B$47</f>
        <v>-308.36227706141227</v>
      </c>
      <c r="C95">
        <f>$B$43+$C$21*COS(RADIANS($G$26+$C$22))</f>
        <v>-273.38921667268266</v>
      </c>
      <c r="D95">
        <f>$B$43+$C$21*COS(RADIANS($G$27+$C$22))</f>
        <v>-276.37026391367596</v>
      </c>
      <c r="E95">
        <f>$B$43+$C$21*COS(RADIANS($G$28+$C$22))</f>
        <v>-280.03086537952629</v>
      </c>
      <c r="F95">
        <f>$B$43+$C$21*COS(RADIANS($G$29+$C$22))</f>
        <v>-287.05090539745743</v>
      </c>
      <c r="G95">
        <f>$B$43+$C$21*COS(RADIANS($G$30+$C$22))</f>
        <v>-295.61569482801252</v>
      </c>
      <c r="H95">
        <f>$B$43+$C$21*COS(RADIANS($G$31+$C$22))</f>
        <v>-304.88188420251265</v>
      </c>
    </row>
    <row r="96" spans="1:11" x14ac:dyDescent="0.15">
      <c r="A96" t="s">
        <v>84</v>
      </c>
      <c r="B96" s="8">
        <f>$C$47</f>
        <v>79.561751629461867</v>
      </c>
      <c r="C96">
        <f>$C$43+$C$21*SIN(RADIANS($G$26+$C$22))</f>
        <v>75.444457786550302</v>
      </c>
      <c r="D96">
        <f>$C$43+$C$21*SIN(RADIANS($G$27+$C$22))</f>
        <v>76.430593171129289</v>
      </c>
      <c r="E96">
        <f>$C$43+$C$21*SIN(RADIANS($G$28+$C$22))</f>
        <v>77.467629772114492</v>
      </c>
      <c r="F96">
        <f>$C$43+$C$21*SIN(RADIANS($G$29+$C$22))</f>
        <v>78.945050186660865</v>
      </c>
      <c r="G96">
        <f>$C$43+$C$21*SIN(RADIANS($G$30+$C$22))</f>
        <v>79.879771332665214</v>
      </c>
      <c r="H96">
        <f>$C$43+$C$21*SIN(RADIANS($G$31+$C$22))</f>
        <v>79.850906110283162</v>
      </c>
    </row>
    <row r="97" spans="1:8" x14ac:dyDescent="0.15">
      <c r="A97" t="s">
        <v>85</v>
      </c>
      <c r="B97" s="8">
        <f t="shared" ref="B97:H97" si="5">$B$42</f>
        <v>0</v>
      </c>
      <c r="C97" s="8">
        <f t="shared" si="5"/>
        <v>0</v>
      </c>
      <c r="D97" s="8">
        <f t="shared" si="5"/>
        <v>0</v>
      </c>
      <c r="E97" s="8">
        <f t="shared" si="5"/>
        <v>0</v>
      </c>
      <c r="F97" s="4">
        <f t="shared" si="5"/>
        <v>0</v>
      </c>
      <c r="G97" s="4">
        <f t="shared" si="5"/>
        <v>0</v>
      </c>
      <c r="H97" s="4">
        <f t="shared" si="5"/>
        <v>0</v>
      </c>
    </row>
    <row r="98" spans="1:8" x14ac:dyDescent="0.15">
      <c r="A98" t="s">
        <v>86</v>
      </c>
      <c r="B98" s="8">
        <f t="shared" ref="B98:H98" si="6">$C$42</f>
        <v>0</v>
      </c>
      <c r="C98" s="8">
        <f t="shared" si="6"/>
        <v>0</v>
      </c>
      <c r="D98" s="8">
        <f t="shared" si="6"/>
        <v>0</v>
      </c>
      <c r="E98" s="8">
        <f t="shared" si="6"/>
        <v>0</v>
      </c>
      <c r="F98" s="4">
        <f t="shared" si="6"/>
        <v>0</v>
      </c>
      <c r="G98" s="4">
        <f t="shared" si="6"/>
        <v>0</v>
      </c>
      <c r="H98" s="4">
        <f t="shared" si="6"/>
        <v>0</v>
      </c>
    </row>
    <row r="99" spans="1:8" x14ac:dyDescent="0.15">
      <c r="A99" t="s">
        <v>87</v>
      </c>
      <c r="B99" s="8">
        <f>B$97-B$95</f>
        <v>308.36227706141227</v>
      </c>
      <c r="C99" s="8">
        <f t="shared" ref="C99:H99" si="7">C$97-C$95</f>
        <v>273.38921667268266</v>
      </c>
      <c r="D99" s="8">
        <f t="shared" si="7"/>
        <v>276.37026391367596</v>
      </c>
      <c r="E99" s="8">
        <f t="shared" si="7"/>
        <v>280.03086537952629</v>
      </c>
      <c r="F99" s="8">
        <f t="shared" si="7"/>
        <v>287.05090539745743</v>
      </c>
      <c r="G99" s="8">
        <f t="shared" si="7"/>
        <v>295.61569482801252</v>
      </c>
      <c r="H99" s="8">
        <f t="shared" si="7"/>
        <v>304.88188420251265</v>
      </c>
    </row>
    <row r="100" spans="1:8" x14ac:dyDescent="0.15">
      <c r="A100" t="s">
        <v>88</v>
      </c>
      <c r="B100" s="8">
        <f>B$98-B$96</f>
        <v>-79.561751629461867</v>
      </c>
      <c r="C100" s="8">
        <f t="shared" ref="C100:H100" si="8">C$98-C$96</f>
        <v>-75.444457786550302</v>
      </c>
      <c r="D100" s="8">
        <f t="shared" si="8"/>
        <v>-76.430593171129289</v>
      </c>
      <c r="E100" s="8">
        <f t="shared" si="8"/>
        <v>-77.467629772114492</v>
      </c>
      <c r="F100" s="8">
        <f t="shared" si="8"/>
        <v>-78.945050186660865</v>
      </c>
      <c r="G100" s="8">
        <f t="shared" si="8"/>
        <v>-79.879771332665214</v>
      </c>
      <c r="H100" s="8">
        <f t="shared" si="8"/>
        <v>-79.850906110283162</v>
      </c>
    </row>
    <row r="101" spans="1:8" x14ac:dyDescent="0.15">
      <c r="A101" t="s">
        <v>89</v>
      </c>
      <c r="B101" s="8">
        <f t="shared" ref="B101:H101" si="9">$C$38</f>
        <v>253.29646899015259</v>
      </c>
      <c r="C101" s="8">
        <f t="shared" si="9"/>
        <v>253.29646899015259</v>
      </c>
      <c r="D101" s="8">
        <f t="shared" si="9"/>
        <v>253.29646899015259</v>
      </c>
      <c r="E101" s="8">
        <f t="shared" si="9"/>
        <v>253.29646899015259</v>
      </c>
      <c r="F101" s="8">
        <f t="shared" si="9"/>
        <v>253.29646899015259</v>
      </c>
      <c r="G101" s="8">
        <f t="shared" si="9"/>
        <v>253.29646899015259</v>
      </c>
      <c r="H101" s="8">
        <f t="shared" si="9"/>
        <v>253.29646899015259</v>
      </c>
    </row>
    <row r="102" spans="1:8" x14ac:dyDescent="0.15">
      <c r="A102" t="s">
        <v>90</v>
      </c>
      <c r="B102" s="8">
        <f t="shared" ref="B102:H102" si="10">$C$25</f>
        <v>80</v>
      </c>
      <c r="C102" s="8">
        <f t="shared" si="10"/>
        <v>80</v>
      </c>
      <c r="D102" s="8">
        <f t="shared" si="10"/>
        <v>80</v>
      </c>
      <c r="E102" s="8">
        <f t="shared" si="10"/>
        <v>80</v>
      </c>
      <c r="F102" s="8">
        <f t="shared" si="10"/>
        <v>80</v>
      </c>
      <c r="G102" s="8">
        <f t="shared" si="10"/>
        <v>80</v>
      </c>
      <c r="H102" s="8">
        <f t="shared" si="10"/>
        <v>80</v>
      </c>
    </row>
    <row r="103" spans="1:8" x14ac:dyDescent="0.15">
      <c r="A103" t="s">
        <v>91</v>
      </c>
      <c r="B103">
        <f>(-((B$102^2)-(B$101^2))+((B$99^2)+B$100^2))/2</f>
        <v>79588.233719863347</v>
      </c>
      <c r="C103">
        <f t="shared" ref="C103:H103" si="11">(-((C$102^2)-(C$101^2))+((C$99^2)+C$100^2))/2</f>
        <v>69096.315603244468</v>
      </c>
      <c r="D103">
        <f t="shared" si="11"/>
        <v>69990.629775542446</v>
      </c>
      <c r="E103">
        <f t="shared" si="11"/>
        <v>71088.810215297563</v>
      </c>
      <c r="F103">
        <f t="shared" si="11"/>
        <v>73194.822220676899</v>
      </c>
      <c r="G103">
        <f t="shared" si="11"/>
        <v>75764.259049843415</v>
      </c>
      <c r="H103">
        <f t="shared" si="11"/>
        <v>78544.115862193459</v>
      </c>
    </row>
    <row r="104" spans="1:8" x14ac:dyDescent="0.15">
      <c r="A104" t="s">
        <v>4</v>
      </c>
      <c r="B104">
        <f>(B$99^2)+(B$100^2)</f>
        <v>101417.36623684736</v>
      </c>
      <c r="C104">
        <f t="shared" ref="C104:H104" si="12">(C$99^2)+(C$100^2)</f>
        <v>80433.530003609601</v>
      </c>
      <c r="D104">
        <f t="shared" si="12"/>
        <v>82222.158348205572</v>
      </c>
      <c r="E104">
        <f t="shared" si="12"/>
        <v>84418.519227715777</v>
      </c>
      <c r="F104">
        <f t="shared" si="12"/>
        <v>88630.543238474464</v>
      </c>
      <c r="G104">
        <f t="shared" si="12"/>
        <v>93769.41689680751</v>
      </c>
      <c r="H104">
        <f t="shared" si="12"/>
        <v>99329.130521507584</v>
      </c>
    </row>
    <row r="105" spans="1:8" x14ac:dyDescent="0.15">
      <c r="A105" t="s">
        <v>6</v>
      </c>
      <c r="B105">
        <f>-2*B$103*B$100</f>
        <v>12664358.567694658</v>
      </c>
      <c r="C105">
        <f t="shared" ref="C105:H105" si="13">-2*C$103*C$100</f>
        <v>10425868.131470269</v>
      </c>
      <c r="D105">
        <f t="shared" si="13"/>
        <v>10698850.700331226</v>
      </c>
      <c r="E105">
        <f t="shared" si="13"/>
        <v>11014163.261397565</v>
      </c>
      <c r="F105">
        <f t="shared" si="13"/>
        <v>11556737.827230114</v>
      </c>
      <c r="G105">
        <f t="shared" si="13"/>
        <v>12104063.376180606</v>
      </c>
      <c r="H105">
        <f t="shared" si="13"/>
        <v>12543637.642454425</v>
      </c>
    </row>
    <row r="106" spans="1:8" x14ac:dyDescent="0.15">
      <c r="A106" t="s">
        <v>92</v>
      </c>
      <c r="B106">
        <f>B$103^2-(B$99^2)*(B$101^2)</f>
        <v>233571633.27930832</v>
      </c>
      <c r="C106">
        <f t="shared" ref="C106:H106" si="14">C$103^2-(C$99^2)*(C$101^2)</f>
        <v>-21057141.417282104</v>
      </c>
      <c r="D106">
        <f t="shared" si="14"/>
        <v>-1817434.3188734055</v>
      </c>
      <c r="E106">
        <f t="shared" si="14"/>
        <v>22436377.193430901</v>
      </c>
      <c r="F106">
        <f t="shared" si="14"/>
        <v>70886117.107113838</v>
      </c>
      <c r="G106">
        <f t="shared" si="14"/>
        <v>133446413.95082092</v>
      </c>
      <c r="H106">
        <f t="shared" si="14"/>
        <v>205399556.14711857</v>
      </c>
    </row>
    <row r="107" spans="1:8" x14ac:dyDescent="0.15">
      <c r="A107" t="s">
        <v>93</v>
      </c>
      <c r="B107">
        <f>SQRT((B$101^2)-(B$108^2))</f>
        <v>252.29553990436548</v>
      </c>
      <c r="C107">
        <f t="shared" ref="C107:H107" si="15">SQRT((C$101^2)-(C$108^2))</f>
        <v>253.28865822233033</v>
      </c>
      <c r="D107">
        <f t="shared" si="15"/>
        <v>253.29641217654165</v>
      </c>
      <c r="E107">
        <f t="shared" si="15"/>
        <v>253.2880115103238</v>
      </c>
      <c r="F107">
        <f t="shared" si="15"/>
        <v>253.21425422483819</v>
      </c>
      <c r="G107">
        <f t="shared" si="15"/>
        <v>253.00379994210019</v>
      </c>
      <c r="H107">
        <f t="shared" si="15"/>
        <v>252.55742163260962</v>
      </c>
    </row>
    <row r="108" spans="1:8" x14ac:dyDescent="0.15">
      <c r="A108" t="s">
        <v>94</v>
      </c>
      <c r="B108">
        <f>(-B$105+SQRT((B$105^2)-4*B$104*B$106))/(2*B$104)</f>
        <v>-22.495816216444922</v>
      </c>
      <c r="C108">
        <f t="shared" ref="C108:H108" si="16">(-C$105+SQRT((C$105^2)-4*C$104*C$106))/(2*C$104)</f>
        <v>1.9891754097808563</v>
      </c>
      <c r="D108">
        <f t="shared" si="16"/>
        <v>0.16965073195995961</v>
      </c>
      <c r="E108">
        <f t="shared" si="16"/>
        <v>-2.0698859933351397</v>
      </c>
      <c r="F108">
        <f t="shared" si="16"/>
        <v>-6.4531124458162337</v>
      </c>
      <c r="G108">
        <f t="shared" si="16"/>
        <v>-12.172855775744551</v>
      </c>
      <c r="H108">
        <f t="shared" si="16"/>
        <v>-19.335200572209729</v>
      </c>
    </row>
    <row r="109" spans="1:8" x14ac:dyDescent="0.15">
      <c r="A109" t="s">
        <v>95</v>
      </c>
      <c r="B109">
        <f>SQRT((B$101^2)-(B$110^2))</f>
        <v>231.68486478960372</v>
      </c>
      <c r="C109">
        <f t="shared" ref="C109:H109" si="17">SQRT((C$101^2)-(C$110^2))</f>
        <v>216.42061841619929</v>
      </c>
      <c r="D109">
        <f t="shared" si="17"/>
        <v>217.21735713205015</v>
      </c>
      <c r="E109">
        <f t="shared" si="17"/>
        <v>218.33980725518043</v>
      </c>
      <c r="F109">
        <f t="shared" si="17"/>
        <v>220.90311482521483</v>
      </c>
      <c r="G109">
        <f t="shared" si="17"/>
        <v>224.70214776144215</v>
      </c>
      <c r="H109">
        <f t="shared" si="17"/>
        <v>229.61085893843327</v>
      </c>
    </row>
    <row r="110" spans="1:8" x14ac:dyDescent="0.15">
      <c r="A110" t="s">
        <v>96</v>
      </c>
      <c r="B110">
        <f>(-B$105-SQRT((B$105^2)-4*B$104*B$106))/(2*B$104)</f>
        <v>-102.3778522450162</v>
      </c>
      <c r="C110">
        <f t="shared" ref="C110:H110" si="18">(-C$105-SQRT((C$105^2)-4*C$104*C$106))/(2*C$104)</f>
        <v>-131.61009508099744</v>
      </c>
      <c r="D110">
        <f t="shared" si="18"/>
        <v>-130.29090898234884</v>
      </c>
      <c r="E110">
        <f t="shared" si="18"/>
        <v>-128.40105050446431</v>
      </c>
      <c r="F110">
        <f t="shared" si="18"/>
        <v>-123.93915871667555</v>
      </c>
      <c r="G110">
        <f t="shared" si="18"/>
        <v>-116.91041867290677</v>
      </c>
      <c r="H110">
        <f t="shared" si="18"/>
        <v>-106.94837380920872</v>
      </c>
    </row>
    <row r="111" spans="1:8" x14ac:dyDescent="0.15">
      <c r="A111" t="s">
        <v>97</v>
      </c>
      <c r="B111" s="9">
        <f>B$107+B$95</f>
        <v>-56.066737157046788</v>
      </c>
      <c r="C111" s="9">
        <f t="shared" ref="C111:H111" si="19">C$107+C$95</f>
        <v>-20.100558450352338</v>
      </c>
      <c r="D111" s="9">
        <f t="shared" si="19"/>
        <v>-23.073851737134305</v>
      </c>
      <c r="E111" s="9">
        <f t="shared" si="19"/>
        <v>-26.742853869202492</v>
      </c>
      <c r="F111" s="9">
        <f t="shared" si="19"/>
        <v>-33.836651172619241</v>
      </c>
      <c r="G111" s="9">
        <f t="shared" si="19"/>
        <v>-42.611894885912335</v>
      </c>
      <c r="H111" s="9">
        <f t="shared" si="19"/>
        <v>-52.324462569903034</v>
      </c>
    </row>
    <row r="112" spans="1:8" x14ac:dyDescent="0.15">
      <c r="A112" t="s">
        <v>98</v>
      </c>
      <c r="B112" s="9">
        <f>B$108+B$96</f>
        <v>57.065935413016945</v>
      </c>
      <c r="C112" s="9">
        <f t="shared" ref="C112:H112" si="20">C$108+C$96</f>
        <v>77.433633196331158</v>
      </c>
      <c r="D112" s="9">
        <f t="shared" si="20"/>
        <v>76.60024390308925</v>
      </c>
      <c r="E112" s="9">
        <f t="shared" si="20"/>
        <v>75.397743778779358</v>
      </c>
      <c r="F112" s="9">
        <f t="shared" si="20"/>
        <v>72.491937740844634</v>
      </c>
      <c r="G112" s="9">
        <f t="shared" si="20"/>
        <v>67.706915556920663</v>
      </c>
      <c r="H112" s="9">
        <f t="shared" si="20"/>
        <v>60.515705538073433</v>
      </c>
    </row>
    <row r="113" spans="1:8" x14ac:dyDescent="0.15">
      <c r="A113" t="s">
        <v>99</v>
      </c>
      <c r="B113" s="9">
        <f>B$109+B$95</f>
        <v>-76.677412271808549</v>
      </c>
      <c r="C113" s="9">
        <f t="shared" ref="C113:H113" si="21">C$109+C$95</f>
        <v>-56.968598256483375</v>
      </c>
      <c r="D113" s="9">
        <f t="shared" si="21"/>
        <v>-59.152906781625802</v>
      </c>
      <c r="E113" s="9">
        <f t="shared" si="21"/>
        <v>-61.691058124345858</v>
      </c>
      <c r="F113" s="8">
        <f t="shared" si="21"/>
        <v>-66.147790572242599</v>
      </c>
      <c r="G113" s="9">
        <f t="shared" si="21"/>
        <v>-70.913547066570374</v>
      </c>
      <c r="H113" s="9">
        <f t="shared" si="21"/>
        <v>-75.271025264079384</v>
      </c>
    </row>
    <row r="114" spans="1:8" x14ac:dyDescent="0.15">
      <c r="A114" t="s">
        <v>100</v>
      </c>
      <c r="B114" s="9">
        <f>B$110+B$96</f>
        <v>-22.816100615554333</v>
      </c>
      <c r="C114" s="9">
        <f t="shared" ref="C114:H114" si="22">C$110+C$96</f>
        <v>-56.165637294447137</v>
      </c>
      <c r="D114" s="9">
        <f t="shared" si="22"/>
        <v>-53.86031581121955</v>
      </c>
      <c r="E114" s="9">
        <f t="shared" si="22"/>
        <v>-50.933420732349816</v>
      </c>
      <c r="F114" s="8">
        <f t="shared" si="22"/>
        <v>-44.994108530014685</v>
      </c>
      <c r="G114" s="9">
        <f t="shared" si="22"/>
        <v>-37.030647340241558</v>
      </c>
      <c r="H114" s="9">
        <f t="shared" si="22"/>
        <v>-27.097467698925556</v>
      </c>
    </row>
    <row r="115" spans="1:8" x14ac:dyDescent="0.15">
      <c r="B115" s="9"/>
      <c r="C115" s="9"/>
      <c r="D115" s="9"/>
      <c r="E115" s="9"/>
      <c r="F115" s="8"/>
      <c r="G115" s="9"/>
      <c r="H115" s="9"/>
    </row>
    <row r="116" spans="1:8" x14ac:dyDescent="0.15">
      <c r="B116" s="9"/>
      <c r="C116" s="9"/>
      <c r="D116" s="9"/>
      <c r="E116" s="9"/>
      <c r="F116" s="8"/>
      <c r="G116" s="9"/>
      <c r="H116" s="9"/>
    </row>
    <row r="117" spans="1:8" x14ac:dyDescent="0.15">
      <c r="A117" s="5" t="s">
        <v>101</v>
      </c>
    </row>
    <row r="118" spans="1:8" x14ac:dyDescent="0.15">
      <c r="A118" t="s">
        <v>102</v>
      </c>
      <c r="B118" s="8">
        <f>$B$51</f>
        <v>-22.713156732080861</v>
      </c>
      <c r="C118">
        <f t="shared" ref="C118:H118" si="23">$C$25*SIN((RADIANS(F$36)+(RADIANS($C$24))))</f>
        <v>18.605149090012276</v>
      </c>
      <c r="D118">
        <f t="shared" si="23"/>
        <v>15.588634365677184</v>
      </c>
      <c r="E118">
        <f t="shared" si="23"/>
        <v>11.784558152363358</v>
      </c>
      <c r="F118">
        <f t="shared" si="23"/>
        <v>4.156913597300476</v>
      </c>
      <c r="G118">
        <f t="shared" si="23"/>
        <v>-5.837598558754018</v>
      </c>
      <c r="H118">
        <f t="shared" si="23"/>
        <v>-17.789355421682789</v>
      </c>
    </row>
    <row r="119" spans="1:8" x14ac:dyDescent="0.15">
      <c r="A119" t="s">
        <v>103</v>
      </c>
      <c r="B119" s="8">
        <f>$C$51</f>
        <v>76.70796902059088</v>
      </c>
      <c r="C119">
        <f t="shared" ref="C119:H119" si="24">$C$23+$C$25*COS((RADIANS(F$36)+(RADIANS($C$24))))</f>
        <v>77.806480625577819</v>
      </c>
      <c r="D119">
        <f t="shared" si="24"/>
        <v>78.46651820116162</v>
      </c>
      <c r="E119">
        <f t="shared" si="24"/>
        <v>79.127265775796687</v>
      </c>
      <c r="F119">
        <f t="shared" si="24"/>
        <v>79.891927435408505</v>
      </c>
      <c r="G119">
        <f t="shared" si="24"/>
        <v>79.786730996242937</v>
      </c>
      <c r="H119">
        <f t="shared" si="24"/>
        <v>77.997043749625831</v>
      </c>
    </row>
    <row r="120" spans="1:8" x14ac:dyDescent="0.15">
      <c r="A120" t="s">
        <v>104</v>
      </c>
      <c r="B120" s="8">
        <f t="shared" ref="B120:H120" si="25">$B$44</f>
        <v>300</v>
      </c>
      <c r="C120" s="8">
        <f t="shared" si="25"/>
        <v>300</v>
      </c>
      <c r="D120" s="8">
        <f t="shared" si="25"/>
        <v>300</v>
      </c>
      <c r="E120" s="8">
        <f t="shared" si="25"/>
        <v>300</v>
      </c>
      <c r="F120" s="8">
        <f t="shared" si="25"/>
        <v>300</v>
      </c>
      <c r="G120" s="8">
        <f t="shared" si="25"/>
        <v>300</v>
      </c>
      <c r="H120" s="8">
        <f t="shared" si="25"/>
        <v>300</v>
      </c>
    </row>
    <row r="121" spans="1:8" x14ac:dyDescent="0.15">
      <c r="A121" t="s">
        <v>105</v>
      </c>
      <c r="B121" s="8">
        <f t="shared" ref="B121:H121" si="26">$C$44</f>
        <v>0</v>
      </c>
      <c r="C121" s="8">
        <f t="shared" si="26"/>
        <v>0</v>
      </c>
      <c r="D121" s="8">
        <f t="shared" si="26"/>
        <v>0</v>
      </c>
      <c r="E121" s="8">
        <f t="shared" si="26"/>
        <v>0</v>
      </c>
      <c r="F121" s="8">
        <f t="shared" si="26"/>
        <v>0</v>
      </c>
      <c r="G121" s="8">
        <f t="shared" si="26"/>
        <v>0</v>
      </c>
      <c r="H121" s="8">
        <f t="shared" si="26"/>
        <v>0</v>
      </c>
    </row>
    <row r="122" spans="1:8" x14ac:dyDescent="0.15">
      <c r="A122" t="s">
        <v>106</v>
      </c>
      <c r="B122" s="8">
        <f>B$120-B$118</f>
        <v>322.71315673208085</v>
      </c>
      <c r="C122" s="8">
        <f t="shared" ref="C122:H122" si="27">C$120-C$118</f>
        <v>281.39485090998772</v>
      </c>
      <c r="D122" s="8">
        <f t="shared" si="27"/>
        <v>284.41136563432281</v>
      </c>
      <c r="E122" s="8">
        <f t="shared" si="27"/>
        <v>288.21544184763667</v>
      </c>
      <c r="F122" s="8">
        <f t="shared" si="27"/>
        <v>295.8430864026995</v>
      </c>
      <c r="G122" s="8">
        <f t="shared" si="27"/>
        <v>305.837598558754</v>
      </c>
      <c r="H122" s="8">
        <f t="shared" si="27"/>
        <v>317.78935542168279</v>
      </c>
    </row>
    <row r="123" spans="1:8" x14ac:dyDescent="0.15">
      <c r="A123" t="s">
        <v>107</v>
      </c>
      <c r="B123" s="8">
        <f>B$121-B$119</f>
        <v>-76.70796902059088</v>
      </c>
      <c r="C123" s="8">
        <f t="shared" ref="C123:H123" si="28">C$121-C$119</f>
        <v>-77.806480625577819</v>
      </c>
      <c r="D123" s="8">
        <f t="shared" si="28"/>
        <v>-78.46651820116162</v>
      </c>
      <c r="E123" s="8">
        <f t="shared" si="28"/>
        <v>-79.127265775796687</v>
      </c>
      <c r="F123" s="8">
        <f t="shared" si="28"/>
        <v>-79.891927435408505</v>
      </c>
      <c r="G123" s="8">
        <f t="shared" si="28"/>
        <v>-79.786730996242937</v>
      </c>
      <c r="H123" s="8">
        <f t="shared" si="28"/>
        <v>-77.997043749625831</v>
      </c>
    </row>
    <row r="124" spans="1:8" x14ac:dyDescent="0.15">
      <c r="A124" t="s">
        <v>89</v>
      </c>
      <c r="B124" s="8">
        <f t="shared" ref="B124:H124" si="29">$C$38</f>
        <v>253.29646899015259</v>
      </c>
      <c r="C124" s="8">
        <f t="shared" si="29"/>
        <v>253.29646899015259</v>
      </c>
      <c r="D124" s="8">
        <f t="shared" si="29"/>
        <v>253.29646899015259</v>
      </c>
      <c r="E124" s="8">
        <f t="shared" si="29"/>
        <v>253.29646899015259</v>
      </c>
      <c r="F124" s="8">
        <f t="shared" si="29"/>
        <v>253.29646899015259</v>
      </c>
      <c r="G124" s="8">
        <f t="shared" si="29"/>
        <v>253.29646899015259</v>
      </c>
      <c r="H124" s="8">
        <f t="shared" si="29"/>
        <v>253.29646899015259</v>
      </c>
    </row>
    <row r="125" spans="1:8" x14ac:dyDescent="0.15">
      <c r="A125" t="s">
        <v>90</v>
      </c>
      <c r="B125" s="8">
        <f t="shared" ref="B125:H125" si="30">$C$21</f>
        <v>80</v>
      </c>
      <c r="C125" s="8">
        <f t="shared" si="30"/>
        <v>80</v>
      </c>
      <c r="D125" s="8">
        <f t="shared" si="30"/>
        <v>80</v>
      </c>
      <c r="E125" s="8">
        <f t="shared" si="30"/>
        <v>80</v>
      </c>
      <c r="F125" s="8">
        <f t="shared" si="30"/>
        <v>80</v>
      </c>
      <c r="G125" s="8">
        <f t="shared" si="30"/>
        <v>80</v>
      </c>
      <c r="H125" s="8">
        <f t="shared" si="30"/>
        <v>80</v>
      </c>
    </row>
    <row r="126" spans="1:8" x14ac:dyDescent="0.15">
      <c r="A126" t="s">
        <v>91</v>
      </c>
      <c r="B126">
        <f>(-((B$125^2)-(B$124^2))+((B$122^2)+B$123^2))/2</f>
        <v>83893.497621063929</v>
      </c>
      <c r="C126">
        <f t="shared" ref="C126:H126" si="31">(-((C$125^2)-(C$124^2))+((C$122^2)+C$123^2))/2</f>
        <v>71498.005874435985</v>
      </c>
      <c r="D126">
        <f t="shared" si="31"/>
        <v>72402.960291736497</v>
      </c>
      <c r="E126">
        <f t="shared" si="31"/>
        <v>73544.183155730658</v>
      </c>
      <c r="F126">
        <f t="shared" si="31"/>
        <v>75832.476522249519</v>
      </c>
      <c r="G126">
        <f t="shared" si="31"/>
        <v>78830.83016906587</v>
      </c>
      <c r="H126">
        <f t="shared" si="31"/>
        <v>82416.357227944507</v>
      </c>
    </row>
    <row r="127" spans="1:8" x14ac:dyDescent="0.15">
      <c r="A127" t="s">
        <v>4</v>
      </c>
      <c r="B127">
        <f>(B$122^2)+(B$123^2)</f>
        <v>110027.89403924851</v>
      </c>
      <c r="C127">
        <f t="shared" ref="C127:H127" si="32">(C$122^2)+(C$123^2)</f>
        <v>85236.910545992636</v>
      </c>
      <c r="D127">
        <f t="shared" si="32"/>
        <v>87046.819380593675</v>
      </c>
      <c r="E127">
        <f t="shared" si="32"/>
        <v>89329.265108581996</v>
      </c>
      <c r="F127">
        <f t="shared" si="32"/>
        <v>93905.851841619704</v>
      </c>
      <c r="G127">
        <f t="shared" si="32"/>
        <v>99902.559135252406</v>
      </c>
      <c r="H127">
        <f t="shared" si="32"/>
        <v>107073.61325300967</v>
      </c>
    </row>
    <row r="128" spans="1:8" x14ac:dyDescent="0.15">
      <c r="A128" t="s">
        <v>6</v>
      </c>
      <c r="B128">
        <f>-2*B$126*B$123</f>
        <v>12870599.633091174</v>
      </c>
      <c r="C128">
        <f t="shared" ref="C128:H128" si="33">-2*C$126*C$123</f>
        <v>11126016.417673506</v>
      </c>
      <c r="D128">
        <f t="shared" si="33"/>
        <v>11362416.403099047</v>
      </c>
      <c r="E128">
        <f t="shared" si="33"/>
        <v>11638700.253654739</v>
      </c>
      <c r="F128">
        <f t="shared" si="33"/>
        <v>12116805.423125755</v>
      </c>
      <c r="G128">
        <f t="shared" si="33"/>
        <v>12579308.481819542</v>
      </c>
      <c r="H128">
        <f t="shared" si="33"/>
        <v>12856464.440785557</v>
      </c>
    </row>
    <row r="129" spans="1:8" x14ac:dyDescent="0.15">
      <c r="A129" t="s">
        <v>92</v>
      </c>
      <c r="B129">
        <f>B$126^2-(B$122^2)*(B$124^2)</f>
        <v>356347524.39094067</v>
      </c>
      <c r="C129">
        <f t="shared" ref="C129:H129" si="34">C$126^2-(C$122^2)*(C$124^2)</f>
        <v>31650747.996266365</v>
      </c>
      <c r="D129">
        <f t="shared" si="34"/>
        <v>52370196.83741951</v>
      </c>
      <c r="E129">
        <f t="shared" si="34"/>
        <v>79169616.059006691</v>
      </c>
      <c r="F129">
        <f t="shared" si="34"/>
        <v>135159026.52718067</v>
      </c>
      <c r="G129">
        <f t="shared" si="34"/>
        <v>213073245.43321609</v>
      </c>
      <c r="H129">
        <f t="shared" si="34"/>
        <v>313023533.56814098</v>
      </c>
    </row>
    <row r="130" spans="1:8" x14ac:dyDescent="0.15">
      <c r="A130" t="s">
        <v>93</v>
      </c>
      <c r="B130">
        <f>SQRT((B$124^2)-(B$131^2))</f>
        <v>249.26852501509759</v>
      </c>
      <c r="C130">
        <f t="shared" ref="C130:H130" si="35">SQRT((C$124^2)-(C$131^2))</f>
        <v>253.27975715234726</v>
      </c>
      <c r="D130">
        <f t="shared" si="35"/>
        <v>253.25127908865434</v>
      </c>
      <c r="E130">
        <f t="shared" si="35"/>
        <v>253.19411267726545</v>
      </c>
      <c r="F130">
        <f t="shared" si="35"/>
        <v>252.99601513500716</v>
      </c>
      <c r="G130">
        <f t="shared" si="35"/>
        <v>252.49219947825839</v>
      </c>
      <c r="H130">
        <f t="shared" si="35"/>
        <v>251.01192450238179</v>
      </c>
    </row>
    <row r="131" spans="1:8" x14ac:dyDescent="0.15">
      <c r="A131" t="s">
        <v>94</v>
      </c>
      <c r="B131">
        <f>(-B$128+SQRT((B$128^2)-4*B$127*B$129))/(2*B$127)</f>
        <v>-44.992261997781391</v>
      </c>
      <c r="C131">
        <f t="shared" ref="C131:H131" si="36">(-C$128+SQRT((C$128^2)-4*C$127*C$129))/(2*C$127)</f>
        <v>-2.9096081741925284</v>
      </c>
      <c r="D131">
        <f t="shared" si="36"/>
        <v>-4.7844375677642779</v>
      </c>
      <c r="E131">
        <f t="shared" si="36"/>
        <v>-7.2001741959161754</v>
      </c>
      <c r="F131">
        <f t="shared" si="36"/>
        <v>-12.333593502567201</v>
      </c>
      <c r="G131">
        <f t="shared" si="36"/>
        <v>-20.169045726327898</v>
      </c>
      <c r="H131">
        <f t="shared" si="36"/>
        <v>-33.942818982664328</v>
      </c>
    </row>
    <row r="132" spans="1:8" x14ac:dyDescent="0.15">
      <c r="A132" t="s">
        <v>95</v>
      </c>
      <c r="B132">
        <f>SQRT((B$124^2)-(B$133^2))</f>
        <v>242.85278082269917</v>
      </c>
      <c r="C132">
        <f t="shared" ref="C132:H132" si="37">SQRT((C$124^2)-(C$133^2))</f>
        <v>218.79673117936721</v>
      </c>
      <c r="D132">
        <f t="shared" si="37"/>
        <v>219.87858272755531</v>
      </c>
      <c r="E132">
        <f t="shared" si="37"/>
        <v>221.37755692703411</v>
      </c>
      <c r="F132">
        <f t="shared" si="37"/>
        <v>224.81262967107548</v>
      </c>
      <c r="G132">
        <f t="shared" si="37"/>
        <v>230.16674339546103</v>
      </c>
      <c r="H132">
        <f t="shared" si="37"/>
        <v>238.20367668936083</v>
      </c>
    </row>
    <row r="133" spans="1:8" x14ac:dyDescent="0.15">
      <c r="A133" t="s">
        <v>96</v>
      </c>
      <c r="B133">
        <f>(-B$128-SQRT((B$128^2)-4*B$127*B$129))/(2*B$127)</f>
        <v>-71.98352623733696</v>
      </c>
      <c r="C133">
        <f t="shared" ref="C133:H133" si="38">(-C$128-SQRT((C$128^2)-4*C$127*C$129))/(2*C$127)</f>
        <v>-127.62089024961018</v>
      </c>
      <c r="D133">
        <f t="shared" si="38"/>
        <v>-125.74780340268751</v>
      </c>
      <c r="E133">
        <f t="shared" si="38"/>
        <v>-123.08971724679974</v>
      </c>
      <c r="F133">
        <f t="shared" si="38"/>
        <v>-116.69782664323787</v>
      </c>
      <c r="G133">
        <f t="shared" si="38"/>
        <v>-105.74673251503957</v>
      </c>
      <c r="H133">
        <f t="shared" si="38"/>
        <v>-86.128448346349458</v>
      </c>
    </row>
    <row r="134" spans="1:8" x14ac:dyDescent="0.15">
      <c r="A134" t="s">
        <v>97</v>
      </c>
      <c r="B134" s="9">
        <f>B$130+B$118</f>
        <v>226.55536828301672</v>
      </c>
      <c r="C134" s="9">
        <f t="shared" ref="C134:H134" si="39">C$130+C$118</f>
        <v>271.88490624235953</v>
      </c>
      <c r="D134" s="9">
        <f t="shared" si="39"/>
        <v>268.83991345433151</v>
      </c>
      <c r="E134" s="9">
        <f t="shared" si="39"/>
        <v>264.97867082962881</v>
      </c>
      <c r="F134" s="8">
        <f t="shared" si="39"/>
        <v>257.15292873230766</v>
      </c>
      <c r="G134" s="8">
        <f t="shared" si="39"/>
        <v>246.65460091950436</v>
      </c>
      <c r="H134" s="9">
        <f t="shared" si="39"/>
        <v>233.222569080699</v>
      </c>
    </row>
    <row r="135" spans="1:8" x14ac:dyDescent="0.15">
      <c r="A135" t="s">
        <v>98</v>
      </c>
      <c r="B135" s="9">
        <f>B$131+B$119</f>
        <v>31.71570702280949</v>
      </c>
      <c r="C135" s="9">
        <f t="shared" ref="C135:H135" si="40">C$131+C$119</f>
        <v>74.896872451385292</v>
      </c>
      <c r="D135" s="9">
        <f t="shared" si="40"/>
        <v>73.682080633397348</v>
      </c>
      <c r="E135" s="9">
        <f t="shared" si="40"/>
        <v>71.927091579880511</v>
      </c>
      <c r="F135" s="9">
        <f t="shared" si="40"/>
        <v>67.558333932841308</v>
      </c>
      <c r="G135" s="9">
        <f t="shared" si="40"/>
        <v>59.617685269915043</v>
      </c>
      <c r="H135" s="9">
        <f t="shared" si="40"/>
        <v>44.054224766961504</v>
      </c>
    </row>
    <row r="136" spans="1:8" x14ac:dyDescent="0.15">
      <c r="A136" t="s">
        <v>99</v>
      </c>
      <c r="B136" s="9">
        <f>B$132+B$118</f>
        <v>220.13962409061833</v>
      </c>
      <c r="C136" s="9">
        <f t="shared" ref="C136:H136" si="41">C$132+C$118</f>
        <v>237.40188026937949</v>
      </c>
      <c r="D136" s="9">
        <f t="shared" si="41"/>
        <v>235.46721709323251</v>
      </c>
      <c r="E136" s="9">
        <f t="shared" si="41"/>
        <v>233.16211507939747</v>
      </c>
      <c r="F136" s="8">
        <f t="shared" si="41"/>
        <v>228.96954326837596</v>
      </c>
      <c r="G136" s="8">
        <f t="shared" si="41"/>
        <v>224.329144836707</v>
      </c>
      <c r="H136" s="9">
        <f t="shared" si="41"/>
        <v>220.41432126767805</v>
      </c>
    </row>
    <row r="137" spans="1:8" x14ac:dyDescent="0.15">
      <c r="A137" t="s">
        <v>100</v>
      </c>
      <c r="B137" s="9">
        <f>B$133+B$119</f>
        <v>4.7244427832539202</v>
      </c>
      <c r="C137" s="9">
        <f t="shared" ref="C137:H137" si="42">C$133+C$119</f>
        <v>-49.814409624032365</v>
      </c>
      <c r="D137" s="9">
        <f t="shared" si="42"/>
        <v>-47.28128520152589</v>
      </c>
      <c r="E137" s="9">
        <f t="shared" si="42"/>
        <v>-43.96245147100305</v>
      </c>
      <c r="F137" s="8">
        <f t="shared" si="42"/>
        <v>-36.80589920782937</v>
      </c>
      <c r="G137" s="8">
        <f t="shared" si="42"/>
        <v>-25.960001518796631</v>
      </c>
      <c r="H137" s="9">
        <f t="shared" si="42"/>
        <v>-8.1314045967236268</v>
      </c>
    </row>
  </sheetData>
  <printOptions gridLines="1" gridLinesSet="0"/>
  <pageMargins left="0.75" right="0.75" top="1" bottom="1" header="0.5" footer="0.5"/>
  <pageSetup paperSize="9" orientation="portrait" horizontalDpi="0" verticalDpi="0" copies="0"/>
  <headerFooter alignWithMargins="0">
    <oddHeader>&amp;A</oddHeader>
    <oddFooter>Page &amp;P</oddFooter>
  </headerFooter>
  <drawing r:id="rId1"/>
  <legacyDrawing r:id="rId2"/>
  <oleObjects>
    <mc:AlternateContent xmlns:mc="http://schemas.openxmlformats.org/markup-compatibility/2006">
      <mc:Choice Requires="x14">
        <oleObject progId="MSDraw" shapeId="1025" r:id="rId3">
          <objectPr defaultSize="0" autoPict="0" r:id="rId4">
            <anchor moveWithCells="1">
              <from>
                <xdr:col>0</xdr:col>
                <xdr:colOff>101600</xdr:colOff>
                <xdr:row>1</xdr:row>
                <xdr:rowOff>88900</xdr:rowOff>
              </from>
              <to>
                <xdr:col>6</xdr:col>
                <xdr:colOff>0</xdr:colOff>
                <xdr:row>15</xdr:row>
                <xdr:rowOff>127000</xdr:rowOff>
              </to>
            </anchor>
          </objectPr>
        </oleObject>
      </mc:Choice>
      <mc:Fallback>
        <oleObject progId="MSDraw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McGaw</cp:lastModifiedBy>
  <dcterms:created xsi:type="dcterms:W3CDTF">2021-05-28T16:50:14Z</dcterms:created>
  <dcterms:modified xsi:type="dcterms:W3CDTF">2021-05-28T16:55:30Z</dcterms:modified>
</cp:coreProperties>
</file>