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Laufzeitbestimmungen 1 &amp; 2" sheetId="1" r:id="rId1"/>
    <sheet name="Laufzeitbestimmungen 3" sheetId="2" r:id="rId2"/>
    <sheet name="Skalierungsstudie" sheetId="3" r:id="rId3"/>
    <sheet name="Skalierungsstudie_Querte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" i="4" l="1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L76" i="4" l="1"/>
  <c r="K76" i="4"/>
  <c r="J76" i="4"/>
  <c r="F76" i="4"/>
  <c r="E76" i="4"/>
  <c r="D76" i="4"/>
  <c r="L75" i="4"/>
  <c r="K75" i="4"/>
  <c r="J75" i="4"/>
  <c r="F75" i="4"/>
  <c r="E75" i="4"/>
  <c r="D75" i="4"/>
  <c r="L74" i="4"/>
  <c r="K74" i="4"/>
  <c r="J74" i="4"/>
  <c r="F74" i="4"/>
  <c r="E74" i="4"/>
  <c r="D74" i="4"/>
  <c r="L73" i="4"/>
  <c r="K73" i="4"/>
  <c r="J73" i="4"/>
  <c r="F73" i="4"/>
  <c r="E73" i="4"/>
  <c r="D73" i="4"/>
  <c r="L72" i="4"/>
  <c r="K72" i="4"/>
  <c r="J72" i="4"/>
  <c r="F72" i="4"/>
  <c r="E72" i="4"/>
  <c r="D72" i="4"/>
  <c r="L71" i="4"/>
  <c r="K71" i="4"/>
  <c r="J71" i="4"/>
  <c r="F71" i="4"/>
  <c r="E71" i="4"/>
  <c r="D71" i="4"/>
  <c r="L70" i="4"/>
  <c r="K70" i="4"/>
  <c r="J70" i="4"/>
  <c r="F70" i="4"/>
  <c r="E70" i="4"/>
  <c r="D70" i="4"/>
  <c r="L69" i="4"/>
  <c r="K69" i="4"/>
  <c r="J69" i="4"/>
  <c r="F69" i="4"/>
  <c r="E69" i="4"/>
  <c r="D69" i="4"/>
  <c r="L68" i="4"/>
  <c r="K68" i="4"/>
  <c r="J68" i="4"/>
  <c r="F68" i="4"/>
  <c r="E68" i="4"/>
  <c r="D68" i="4"/>
  <c r="L67" i="4"/>
  <c r="K67" i="4"/>
  <c r="J67" i="4"/>
  <c r="F67" i="4"/>
  <c r="E67" i="4"/>
  <c r="D67" i="4"/>
  <c r="L66" i="4"/>
  <c r="K66" i="4"/>
  <c r="J66" i="4"/>
  <c r="F66" i="4"/>
  <c r="E66" i="4"/>
  <c r="D66" i="4"/>
  <c r="L65" i="4"/>
  <c r="K65" i="4"/>
  <c r="J65" i="4"/>
  <c r="F65" i="4"/>
  <c r="E65" i="4"/>
  <c r="D65" i="4"/>
  <c r="L76" i="3"/>
  <c r="L75" i="3"/>
  <c r="L74" i="3"/>
  <c r="L73" i="3"/>
  <c r="L72" i="3"/>
  <c r="L71" i="3"/>
  <c r="L70" i="3"/>
  <c r="L69" i="3"/>
  <c r="L68" i="3"/>
  <c r="L67" i="3"/>
  <c r="L66" i="3"/>
  <c r="L65" i="3"/>
  <c r="K76" i="3"/>
  <c r="K75" i="3"/>
  <c r="K74" i="3"/>
  <c r="K73" i="3"/>
  <c r="K72" i="3"/>
  <c r="K71" i="3"/>
  <c r="K70" i="3"/>
  <c r="K69" i="3"/>
  <c r="K68" i="3"/>
  <c r="K67" i="3"/>
  <c r="K66" i="3"/>
  <c r="K65" i="3"/>
  <c r="J76" i="3"/>
  <c r="J75" i="3"/>
  <c r="J74" i="3"/>
  <c r="J73" i="3"/>
  <c r="J72" i="3"/>
  <c r="J71" i="3"/>
  <c r="J70" i="3"/>
  <c r="J69" i="3"/>
  <c r="J68" i="3"/>
  <c r="J67" i="3"/>
  <c r="J66" i="3"/>
  <c r="J65" i="3"/>
  <c r="F76" i="3"/>
  <c r="F75" i="3"/>
  <c r="F74" i="3"/>
  <c r="F73" i="3"/>
  <c r="F72" i="3"/>
  <c r="F71" i="3"/>
  <c r="F70" i="3"/>
  <c r="F69" i="3"/>
  <c r="F68" i="3"/>
  <c r="F67" i="3"/>
  <c r="F66" i="3"/>
  <c r="F65" i="3"/>
  <c r="E76" i="3"/>
  <c r="E75" i="3"/>
  <c r="E74" i="3"/>
  <c r="E73" i="3"/>
  <c r="E72" i="3"/>
  <c r="E71" i="3"/>
  <c r="E70" i="3"/>
  <c r="E69" i="3"/>
  <c r="E68" i="3"/>
  <c r="E67" i="3"/>
  <c r="E66" i="3"/>
  <c r="E65" i="3"/>
  <c r="D76" i="3"/>
  <c r="D75" i="3"/>
  <c r="D74" i="3"/>
  <c r="D73" i="3"/>
  <c r="D72" i="3"/>
  <c r="D71" i="3"/>
  <c r="D70" i="3"/>
  <c r="D69" i="3"/>
  <c r="D68" i="3"/>
  <c r="D67" i="3"/>
  <c r="D66" i="3"/>
  <c r="D65" i="3"/>
  <c r="N199" i="1" l="1"/>
  <c r="M199" i="1"/>
  <c r="L199" i="1"/>
  <c r="K199" i="1"/>
  <c r="J199" i="1"/>
  <c r="I199" i="1"/>
  <c r="N198" i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S183" i="2" l="1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S169" i="2"/>
  <c r="S168" i="2"/>
  <c r="S167" i="2"/>
  <c r="S166" i="2"/>
  <c r="S165" i="2"/>
  <c r="S164" i="2"/>
  <c r="S163" i="2"/>
  <c r="S162" i="2"/>
  <c r="S161" i="2"/>
  <c r="S160" i="2"/>
  <c r="S159" i="2"/>
  <c r="R169" i="2"/>
  <c r="R168" i="2"/>
  <c r="R167" i="2"/>
  <c r="R166" i="2"/>
  <c r="R165" i="2"/>
  <c r="R164" i="2"/>
  <c r="R163" i="2"/>
  <c r="R162" i="2"/>
  <c r="R161" i="2"/>
  <c r="R160" i="2"/>
  <c r="R159" i="2"/>
  <c r="Q169" i="2"/>
  <c r="Q168" i="2"/>
  <c r="Q167" i="2"/>
  <c r="Q166" i="2"/>
  <c r="Q165" i="2"/>
  <c r="Q164" i="2"/>
  <c r="Q163" i="2"/>
  <c r="Q162" i="2"/>
  <c r="Q161" i="2"/>
  <c r="Q160" i="2"/>
  <c r="Q159" i="2"/>
  <c r="P168" i="2"/>
  <c r="P167" i="2"/>
  <c r="P166" i="2"/>
  <c r="P165" i="2"/>
  <c r="P164" i="2"/>
  <c r="P163" i="2"/>
  <c r="P162" i="2"/>
  <c r="P161" i="2"/>
  <c r="P160" i="2"/>
  <c r="P159" i="2"/>
  <c r="P169" i="2"/>
  <c r="O169" i="2"/>
  <c r="O168" i="2"/>
  <c r="O167" i="2"/>
  <c r="O166" i="2"/>
  <c r="O165" i="2"/>
  <c r="O164" i="2"/>
  <c r="O163" i="2"/>
  <c r="O162" i="2"/>
  <c r="O161" i="2"/>
  <c r="O160" i="2"/>
  <c r="O159" i="2"/>
  <c r="N169" i="2"/>
  <c r="N168" i="2"/>
  <c r="N167" i="2"/>
  <c r="N166" i="2"/>
  <c r="N165" i="2"/>
  <c r="N164" i="2"/>
  <c r="N163" i="2"/>
  <c r="N162" i="2"/>
  <c r="N161" i="2"/>
  <c r="N160" i="2"/>
  <c r="N159" i="2"/>
  <c r="M169" i="2"/>
  <c r="M168" i="2"/>
  <c r="M167" i="2"/>
  <c r="M166" i="2"/>
  <c r="M165" i="2"/>
  <c r="M164" i="2"/>
  <c r="M163" i="2"/>
  <c r="M162" i="2"/>
  <c r="M161" i="2"/>
  <c r="M160" i="2"/>
  <c r="M159" i="2"/>
  <c r="L169" i="2"/>
  <c r="L168" i="2"/>
  <c r="L167" i="2"/>
  <c r="L166" i="2"/>
  <c r="L165" i="2"/>
  <c r="L164" i="2"/>
  <c r="L163" i="2"/>
  <c r="L162" i="2"/>
  <c r="L161" i="2"/>
  <c r="L160" i="2"/>
  <c r="L159" i="2"/>
  <c r="K169" i="2"/>
  <c r="K168" i="2"/>
  <c r="K167" i="2"/>
  <c r="K166" i="2"/>
  <c r="K165" i="2"/>
  <c r="K164" i="2"/>
  <c r="K163" i="2"/>
  <c r="K162" i="2"/>
  <c r="K161" i="2"/>
  <c r="K160" i="2"/>
  <c r="K159" i="2"/>
  <c r="J169" i="2"/>
  <c r="J168" i="2"/>
  <c r="J167" i="2"/>
  <c r="J166" i="2"/>
  <c r="J165" i="2"/>
  <c r="J164" i="2"/>
  <c r="J163" i="2"/>
  <c r="J162" i="2"/>
  <c r="J161" i="2"/>
  <c r="J160" i="2"/>
  <c r="J159" i="2"/>
  <c r="I169" i="2"/>
  <c r="I168" i="2"/>
  <c r="I167" i="2"/>
  <c r="I166" i="2"/>
  <c r="I165" i="2"/>
  <c r="I164" i="2"/>
  <c r="I163" i="2"/>
  <c r="I162" i="2"/>
  <c r="I161" i="2"/>
  <c r="I160" i="2"/>
  <c r="I159" i="2"/>
  <c r="H169" i="2"/>
  <c r="H168" i="2"/>
  <c r="H167" i="2"/>
  <c r="H166" i="2"/>
  <c r="H165" i="2"/>
  <c r="H164" i="2"/>
  <c r="H163" i="2"/>
  <c r="H162" i="2"/>
  <c r="H161" i="2"/>
  <c r="H160" i="2"/>
  <c r="H159" i="2"/>
  <c r="G169" i="2"/>
  <c r="G168" i="2"/>
  <c r="G167" i="2"/>
  <c r="G166" i="2"/>
  <c r="G165" i="2"/>
  <c r="G164" i="2"/>
  <c r="G163" i="2"/>
  <c r="G162" i="2"/>
  <c r="G161" i="2"/>
  <c r="G160" i="2"/>
  <c r="G159" i="2"/>
  <c r="F169" i="2"/>
  <c r="F168" i="2"/>
  <c r="F167" i="2"/>
  <c r="F166" i="2"/>
  <c r="F165" i="2"/>
  <c r="F164" i="2"/>
  <c r="F163" i="2"/>
  <c r="F162" i="2"/>
  <c r="F161" i="2"/>
  <c r="F160" i="2"/>
  <c r="F159" i="2"/>
  <c r="E169" i="2"/>
  <c r="E168" i="2"/>
  <c r="E167" i="2"/>
  <c r="E166" i="2"/>
  <c r="E165" i="2"/>
  <c r="E164" i="2"/>
  <c r="E163" i="2"/>
  <c r="E162" i="2"/>
  <c r="E161" i="2"/>
  <c r="E160" i="2"/>
  <c r="E159" i="2"/>
  <c r="D169" i="2"/>
  <c r="D168" i="2"/>
  <c r="D167" i="2"/>
  <c r="D166" i="2"/>
  <c r="D165" i="2"/>
  <c r="D164" i="2"/>
  <c r="D163" i="2"/>
  <c r="D162" i="2"/>
  <c r="D161" i="2"/>
  <c r="D160" i="2"/>
  <c r="D159" i="2"/>
  <c r="C169" i="2"/>
  <c r="C168" i="2"/>
  <c r="C167" i="2"/>
  <c r="C166" i="2"/>
  <c r="C165" i="2"/>
  <c r="C164" i="2"/>
  <c r="C163" i="2"/>
  <c r="C162" i="2"/>
  <c r="C161" i="2"/>
  <c r="C160" i="2"/>
  <c r="C159" i="2"/>
  <c r="B169" i="2"/>
  <c r="B168" i="2"/>
  <c r="B167" i="2"/>
  <c r="B166" i="2"/>
  <c r="B165" i="2"/>
  <c r="B164" i="2"/>
  <c r="B163" i="2"/>
  <c r="B162" i="2"/>
  <c r="B161" i="2"/>
  <c r="B160" i="2"/>
  <c r="AB191" i="1"/>
  <c r="AB190" i="1"/>
  <c r="AB189" i="1"/>
  <c r="AB188" i="1"/>
  <c r="AB187" i="1"/>
  <c r="AA191" i="1"/>
  <c r="AA190" i="1"/>
  <c r="AA189" i="1"/>
  <c r="AA188" i="1"/>
  <c r="AA187" i="1"/>
  <c r="AA186" i="1"/>
  <c r="Z191" i="1"/>
  <c r="Z190" i="1"/>
  <c r="Z189" i="1"/>
  <c r="Z188" i="1"/>
  <c r="Z187" i="1"/>
  <c r="Z186" i="1"/>
  <c r="Y191" i="1"/>
  <c r="Y190" i="1"/>
  <c r="Y189" i="1"/>
  <c r="Y188" i="1"/>
  <c r="Y187" i="1"/>
  <c r="Y186" i="1"/>
  <c r="X191" i="1"/>
  <c r="X190" i="1"/>
  <c r="X189" i="1"/>
  <c r="X188" i="1"/>
  <c r="X187" i="1"/>
  <c r="W191" i="1"/>
  <c r="W190" i="1"/>
  <c r="W189" i="1"/>
  <c r="W188" i="1"/>
  <c r="X186" i="1"/>
  <c r="W186" i="1"/>
  <c r="N191" i="1"/>
  <c r="N190" i="1"/>
  <c r="N189" i="1"/>
  <c r="N188" i="1"/>
  <c r="N187" i="1"/>
  <c r="M191" i="1"/>
  <c r="M190" i="1"/>
  <c r="M189" i="1"/>
  <c r="M188" i="1"/>
  <c r="M187" i="1"/>
  <c r="L191" i="1"/>
  <c r="L190" i="1"/>
  <c r="L189" i="1"/>
  <c r="L188" i="1"/>
  <c r="L187" i="1"/>
  <c r="K191" i="1"/>
  <c r="K190" i="1"/>
  <c r="K189" i="1"/>
  <c r="K188" i="1"/>
  <c r="K187" i="1"/>
  <c r="J191" i="1"/>
  <c r="J190" i="1"/>
  <c r="J189" i="1"/>
  <c r="J188" i="1"/>
  <c r="I191" i="1"/>
  <c r="I190" i="1"/>
  <c r="I189" i="1"/>
  <c r="I188" i="1"/>
  <c r="J187" i="1"/>
  <c r="M186" i="1"/>
  <c r="L186" i="1"/>
  <c r="K186" i="1"/>
  <c r="J186" i="1"/>
  <c r="I186" i="1"/>
</calcChain>
</file>

<file path=xl/sharedStrings.xml><?xml version="1.0" encoding="utf-8"?>
<sst xmlns="http://schemas.openxmlformats.org/spreadsheetml/2006/main" count="279" uniqueCount="43">
  <si>
    <t>Laufzeitbestimmungen der verschiedenen Parallelisierungen</t>
  </si>
  <si>
    <t>Daten:</t>
  </si>
  <si>
    <t>Static</t>
  </si>
  <si>
    <t>sup2.dat</t>
  </si>
  <si>
    <t>Threads/Chunks</t>
  </si>
  <si>
    <t>Times1</t>
  </si>
  <si>
    <t>Definitionen:</t>
  </si>
  <si>
    <t>Dynamic</t>
  </si>
  <si>
    <t>Times2</t>
  </si>
  <si>
    <t>sup5.dat</t>
  </si>
  <si>
    <t>Times1: Prozess von SetUpMatrix</t>
  </si>
  <si>
    <t>Times2: Prozess von y = A * b0</t>
  </si>
  <si>
    <t>Guided</t>
  </si>
  <si>
    <t>Datenreferenz: Zur Erstellung der Daten wurden jeweils 100 Durchgänge verwendet</t>
  </si>
  <si>
    <t>und jeweils das Minimum generiert</t>
  </si>
  <si>
    <t>sup8</t>
  </si>
  <si>
    <t>Times3: w=A(:,P(1:np))*b0(P(1:np))</t>
  </si>
  <si>
    <t>sup6</t>
  </si>
  <si>
    <t>sup2</t>
  </si>
  <si>
    <t>sup5</t>
  </si>
  <si>
    <t>Sup8</t>
  </si>
  <si>
    <t>Skalierungsdaten:</t>
  </si>
  <si>
    <t>Datenreferenz: Die Daten wurden mir 100 Durchläufen generiert, nur Minimum wurde verwendet.</t>
  </si>
  <si>
    <t>Thread 1</t>
  </si>
  <si>
    <t>Thread 2</t>
  </si>
  <si>
    <t>Thread 3</t>
  </si>
  <si>
    <t>Thread 4</t>
  </si>
  <si>
    <t>Thread 5</t>
  </si>
  <si>
    <t>Thread 6</t>
  </si>
  <si>
    <t>Thread 7</t>
  </si>
  <si>
    <t>Thread 8</t>
  </si>
  <si>
    <t>Thread 9</t>
  </si>
  <si>
    <t>Thread 10</t>
  </si>
  <si>
    <t>Thread 11</t>
  </si>
  <si>
    <t>Thread 12</t>
  </si>
  <si>
    <t>Datatimes1</t>
  </si>
  <si>
    <t>Datatimes2</t>
  </si>
  <si>
    <t>Ausführungszeit:</t>
  </si>
  <si>
    <t>Die Daten wurden bei variabler Threadanzahl und einer chunk_size von 12 generiert.</t>
  </si>
  <si>
    <t>12 = L</t>
  </si>
  <si>
    <t>In dieser Berechnung zum Speedup wurde die Zeit des Codeanteils, welcher nicht parallelisierbar ist vernachlässigt, da die Ausführungszeit hiervon nicht gestoppt wurde.</t>
  </si>
  <si>
    <t>sup7</t>
  </si>
  <si>
    <t>times3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</si>
</sst>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</a:t>
            </a:r>
            <a:r>
              <a:rPr lang="de-DE" baseline="0"/>
              <a:t> - Dynamic - sup2.dat</a:t>
            </a:r>
          </a:p>
        </c:rich>
      </c:tx>
      <c:layout>
        <c:manualLayout>
          <c:xMode val="edge"/>
          <c:yMode val="edge"/>
          <c:x val="0.27219934598339141"/>
          <c:y val="2.819739061537553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5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18080117034551E-2"/>
          <c:y val="0.12696045197740113"/>
          <c:w val="0.85417559485392203"/>
          <c:h val="0.73618790871480055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2'!$B$102:$S$102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969-AE9F-C410A73ECB11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2'!$B$103:$S$103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8-4969-AE9F-C410A73ECB11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2'!$B$104:$S$104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8-4969-AE9F-C410A73ECB11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2'!$B$105:$S$105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8-4969-AE9F-C410A73ECB11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2'!$B$106:$S$106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8-4969-AE9F-C410A73ECB11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2'!$B$107:$S$107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8-4969-AE9F-C410A73ECB11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2'!$B$108:$S$108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8-4969-AE9F-C410A73ECB11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2'!$B$109:$S$109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8-4969-AE9F-C410A73ECB11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2'!$B$110:$S$110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8-4969-AE9F-C410A73ECB11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2'!$B$111:$S$111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E8-4969-AE9F-C410A73ECB11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2'!$B$112:$S$112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E8-4969-AE9F-C410A73ECB11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2'!$B$113:$S$113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E8-4969-AE9F-C410A73ECB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5736735"/>
        <c:axId val="675723839"/>
        <c:axId val="647630415"/>
      </c:surface3DChart>
      <c:catAx>
        <c:axId val="67573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665541499935459"/>
              <c:y val="0.8239569375861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3839"/>
        <c:crosses val="autoZero"/>
        <c:auto val="1"/>
        <c:lblAlgn val="ctr"/>
        <c:lblOffset val="100"/>
        <c:noMultiLvlLbl val="0"/>
      </c:catAx>
      <c:valAx>
        <c:axId val="6757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Mikrosekuden</a:t>
                </a:r>
              </a:p>
            </c:rich>
          </c:tx>
          <c:layout>
            <c:manualLayout>
              <c:xMode val="edge"/>
              <c:yMode val="edge"/>
              <c:x val="8.3641194440858824E-2"/>
              <c:y val="0.174832688286845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36735"/>
        <c:crosses val="autoZero"/>
        <c:crossBetween val="midCat"/>
      </c:valAx>
      <c:serAx>
        <c:axId val="64763041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542900477604235"/>
              <c:y val="0.4724590951554784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3839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</a:t>
            </a:r>
            <a:r>
              <a:rPr lang="de-DE" baseline="0"/>
              <a:t> - Guided - sup2.dat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039370078740155E-2"/>
          <c:y val="6.5231481481481501E-2"/>
          <c:w val="0.85452296587926524"/>
          <c:h val="0.75755358705161857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2'!$V$158:$AM$158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B-48D5-8CF5-61F0F031589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2'!$V$159:$AM$159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B-48D5-8CF5-61F0F031589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2'!$V$160:$AM$160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B-48D5-8CF5-61F0F031589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2'!$V$161:$AM$161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B-48D5-8CF5-61F0F031589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2'!$V$162:$AM$162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3B-48D5-8CF5-61F0F031589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2'!$V$163:$AM$163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3B-48D5-8CF5-61F0F031589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2'!$V$164:$AM$164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3B-48D5-8CF5-61F0F0315896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2'!$V$165:$AM$165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3B-48D5-8CF5-61F0F0315896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2'!$V$166:$AM$166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3B-48D5-8CF5-61F0F0315896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2'!$V$167:$AM$167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B-48D5-8CF5-61F0F0315896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2'!$V$168:$AM$168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3B-48D5-8CF5-61F0F0315896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2'!$V$169:$AM$169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B-48D5-8CF5-61F0F031589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4522527"/>
        <c:axId val="684517951"/>
        <c:axId val="1116095695"/>
      </c:surface3DChart>
      <c:catAx>
        <c:axId val="684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941113298337708"/>
              <c:y val="0.7922699766695829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7951"/>
        <c:crosses val="autoZero"/>
        <c:auto val="1"/>
        <c:lblAlgn val="ctr"/>
        <c:lblOffset val="100"/>
        <c:noMultiLvlLbl val="0"/>
      </c:catAx>
      <c:valAx>
        <c:axId val="6845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6.9308180227471566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22527"/>
        <c:crosses val="autoZero"/>
        <c:crossBetween val="midCat"/>
      </c:valAx>
      <c:serAx>
        <c:axId val="11160956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6814501312335968"/>
              <c:y val="0.229683216681248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1795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</a:t>
            </a:r>
            <a:r>
              <a:rPr lang="de-DE" baseline="0"/>
              <a:t> - Guided - sup5.dat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090332458442693E-2"/>
          <c:y val="7.4490740740740746E-2"/>
          <c:w val="0.93857633420822395"/>
          <c:h val="0.6927387722368038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2'!$B$172:$S$172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204-AC10-E40CB1C11B5A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2'!$B$173:$S$173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1-4204-AC10-E40CB1C11B5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2'!$B$174:$S$174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1-4204-AC10-E40CB1C11B5A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2'!$B$175:$S$175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1-4204-AC10-E40CB1C11B5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2'!$B$176:$S$176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1-4204-AC10-E40CB1C11B5A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2'!$B$177:$S$177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1-4204-AC10-E40CB1C11B5A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2'!$B$178:$S$178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F1-4204-AC10-E40CB1C11B5A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2'!$B$179:$S$179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F1-4204-AC10-E40CB1C11B5A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2'!$B$180:$S$180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F1-4204-AC10-E40CB1C11B5A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2'!$B$181:$S$181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F1-4204-AC10-E40CB1C11B5A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2'!$B$182:$S$182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F1-4204-AC10-E40CB1C11B5A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2'!$B$183:$S$183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F1-4204-AC10-E40CB1C11B5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9606623"/>
        <c:axId val="1109604127"/>
        <c:axId val="1131692719"/>
      </c:surface3DChart>
      <c:catAx>
        <c:axId val="110960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074454118182373"/>
              <c:y val="0.7690616797900262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04127"/>
        <c:crosses val="autoZero"/>
        <c:auto val="1"/>
        <c:lblAlgn val="ctr"/>
        <c:lblOffset val="100"/>
        <c:noMultiLvlLbl val="0"/>
      </c:catAx>
      <c:valAx>
        <c:axId val="110960412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88873556430446199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06623"/>
        <c:crosses val="autoZero"/>
        <c:crossBetween val="midCat"/>
      </c:valAx>
      <c:serAx>
        <c:axId val="11316927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1.1136701662292215E-2"/>
              <c:y val="0.2759795129775444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0412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Times2 - Guided - sup5.dat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E-2"/>
          <c:y val="0.13467592592592595"/>
          <c:w val="0.94766666666666666"/>
          <c:h val="0.61748797025371815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2'!$V$172:$AM$172</c:f>
              <c:numCache>
                <c:formatCode>General</c:formatCode>
                <c:ptCount val="18"/>
                <c:pt idx="0">
                  <c:v>2913</c:v>
                </c:pt>
                <c:pt idx="1">
                  <c:v>2915</c:v>
                </c:pt>
                <c:pt idx="2">
                  <c:v>2918</c:v>
                </c:pt>
                <c:pt idx="3">
                  <c:v>2914</c:v>
                </c:pt>
                <c:pt idx="4">
                  <c:v>2916</c:v>
                </c:pt>
                <c:pt idx="5">
                  <c:v>2915</c:v>
                </c:pt>
                <c:pt idx="6">
                  <c:v>2913</c:v>
                </c:pt>
                <c:pt idx="7">
                  <c:v>2913</c:v>
                </c:pt>
                <c:pt idx="8">
                  <c:v>2915</c:v>
                </c:pt>
                <c:pt idx="9">
                  <c:v>2913</c:v>
                </c:pt>
                <c:pt idx="10">
                  <c:v>2917</c:v>
                </c:pt>
                <c:pt idx="11">
                  <c:v>2916</c:v>
                </c:pt>
                <c:pt idx="12">
                  <c:v>2915</c:v>
                </c:pt>
                <c:pt idx="13">
                  <c:v>2915</c:v>
                </c:pt>
                <c:pt idx="14">
                  <c:v>2913</c:v>
                </c:pt>
                <c:pt idx="15">
                  <c:v>2912</c:v>
                </c:pt>
                <c:pt idx="16">
                  <c:v>2915</c:v>
                </c:pt>
                <c:pt idx="17">
                  <c:v>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3-44FD-ADD0-A228C624823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2'!$V$173:$AM$173</c:f>
              <c:numCache>
                <c:formatCode>General</c:formatCode>
                <c:ptCount val="18"/>
                <c:pt idx="0">
                  <c:v>3015</c:v>
                </c:pt>
                <c:pt idx="1">
                  <c:v>2866</c:v>
                </c:pt>
                <c:pt idx="2">
                  <c:v>2685</c:v>
                </c:pt>
                <c:pt idx="3">
                  <c:v>2856</c:v>
                </c:pt>
                <c:pt idx="4">
                  <c:v>2447</c:v>
                </c:pt>
                <c:pt idx="5">
                  <c:v>2142</c:v>
                </c:pt>
                <c:pt idx="6">
                  <c:v>1821</c:v>
                </c:pt>
                <c:pt idx="7">
                  <c:v>2456</c:v>
                </c:pt>
                <c:pt idx="8">
                  <c:v>2050</c:v>
                </c:pt>
                <c:pt idx="9">
                  <c:v>1966</c:v>
                </c:pt>
                <c:pt idx="10">
                  <c:v>1867</c:v>
                </c:pt>
                <c:pt idx="11">
                  <c:v>2149</c:v>
                </c:pt>
                <c:pt idx="12">
                  <c:v>1799</c:v>
                </c:pt>
                <c:pt idx="13">
                  <c:v>1787</c:v>
                </c:pt>
                <c:pt idx="14">
                  <c:v>1988</c:v>
                </c:pt>
                <c:pt idx="15">
                  <c:v>1891</c:v>
                </c:pt>
                <c:pt idx="16">
                  <c:v>1762</c:v>
                </c:pt>
                <c:pt idx="17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3-44FD-ADD0-A228C624823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2'!$V$174:$AM$174</c:f>
              <c:numCache>
                <c:formatCode>General</c:formatCode>
                <c:ptCount val="18"/>
                <c:pt idx="0">
                  <c:v>2178</c:v>
                </c:pt>
                <c:pt idx="1">
                  <c:v>1655</c:v>
                </c:pt>
                <c:pt idx="2">
                  <c:v>1720</c:v>
                </c:pt>
                <c:pt idx="3">
                  <c:v>1666</c:v>
                </c:pt>
                <c:pt idx="4">
                  <c:v>1307</c:v>
                </c:pt>
                <c:pt idx="5">
                  <c:v>1319</c:v>
                </c:pt>
                <c:pt idx="6">
                  <c:v>1498</c:v>
                </c:pt>
                <c:pt idx="7">
                  <c:v>1645</c:v>
                </c:pt>
                <c:pt idx="8">
                  <c:v>1514</c:v>
                </c:pt>
                <c:pt idx="9">
                  <c:v>1376</c:v>
                </c:pt>
                <c:pt idx="10">
                  <c:v>1490</c:v>
                </c:pt>
                <c:pt idx="11">
                  <c:v>1481</c:v>
                </c:pt>
                <c:pt idx="12">
                  <c:v>1244</c:v>
                </c:pt>
                <c:pt idx="13">
                  <c:v>1457</c:v>
                </c:pt>
                <c:pt idx="14">
                  <c:v>1431</c:v>
                </c:pt>
                <c:pt idx="15">
                  <c:v>1416</c:v>
                </c:pt>
                <c:pt idx="16">
                  <c:v>1456</c:v>
                </c:pt>
                <c:pt idx="17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3-44FD-ADD0-A228C624823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2'!$V$175:$AM$175</c:f>
              <c:numCache>
                <c:formatCode>General</c:formatCode>
                <c:ptCount val="18"/>
                <c:pt idx="0">
                  <c:v>1637</c:v>
                </c:pt>
                <c:pt idx="1">
                  <c:v>1623</c:v>
                </c:pt>
                <c:pt idx="2">
                  <c:v>1528</c:v>
                </c:pt>
                <c:pt idx="3">
                  <c:v>1530</c:v>
                </c:pt>
                <c:pt idx="4">
                  <c:v>1523</c:v>
                </c:pt>
                <c:pt idx="5">
                  <c:v>1101</c:v>
                </c:pt>
                <c:pt idx="6">
                  <c:v>1197</c:v>
                </c:pt>
                <c:pt idx="7">
                  <c:v>1157</c:v>
                </c:pt>
                <c:pt idx="8">
                  <c:v>1282</c:v>
                </c:pt>
                <c:pt idx="9">
                  <c:v>1121</c:v>
                </c:pt>
                <c:pt idx="10">
                  <c:v>1138</c:v>
                </c:pt>
                <c:pt idx="11">
                  <c:v>1107</c:v>
                </c:pt>
                <c:pt idx="12">
                  <c:v>984</c:v>
                </c:pt>
                <c:pt idx="13">
                  <c:v>1115</c:v>
                </c:pt>
                <c:pt idx="14">
                  <c:v>1096</c:v>
                </c:pt>
                <c:pt idx="15">
                  <c:v>1146</c:v>
                </c:pt>
                <c:pt idx="16">
                  <c:v>1118</c:v>
                </c:pt>
                <c:pt idx="17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3-44FD-ADD0-A228C6248233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2'!$V$176:$AM$176</c:f>
              <c:numCache>
                <c:formatCode>General</c:formatCode>
                <c:ptCount val="18"/>
                <c:pt idx="0">
                  <c:v>1441</c:v>
                </c:pt>
                <c:pt idx="1">
                  <c:v>1401</c:v>
                </c:pt>
                <c:pt idx="2">
                  <c:v>1272</c:v>
                </c:pt>
                <c:pt idx="3">
                  <c:v>1146</c:v>
                </c:pt>
                <c:pt idx="4">
                  <c:v>1254</c:v>
                </c:pt>
                <c:pt idx="5">
                  <c:v>1055</c:v>
                </c:pt>
                <c:pt idx="6">
                  <c:v>1095</c:v>
                </c:pt>
                <c:pt idx="7">
                  <c:v>1024</c:v>
                </c:pt>
                <c:pt idx="8">
                  <c:v>962</c:v>
                </c:pt>
                <c:pt idx="9">
                  <c:v>913</c:v>
                </c:pt>
                <c:pt idx="10">
                  <c:v>1042</c:v>
                </c:pt>
                <c:pt idx="11">
                  <c:v>887</c:v>
                </c:pt>
                <c:pt idx="12">
                  <c:v>893</c:v>
                </c:pt>
                <c:pt idx="13">
                  <c:v>905</c:v>
                </c:pt>
                <c:pt idx="14">
                  <c:v>836</c:v>
                </c:pt>
                <c:pt idx="15">
                  <c:v>894</c:v>
                </c:pt>
                <c:pt idx="16">
                  <c:v>896</c:v>
                </c:pt>
                <c:pt idx="17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3-44FD-ADD0-A228C624823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2'!$V$177:$AM$177</c:f>
              <c:numCache>
                <c:formatCode>General</c:formatCode>
                <c:ptCount val="18"/>
                <c:pt idx="0">
                  <c:v>1239</c:v>
                </c:pt>
                <c:pt idx="1">
                  <c:v>1270</c:v>
                </c:pt>
                <c:pt idx="2">
                  <c:v>1185</c:v>
                </c:pt>
                <c:pt idx="3">
                  <c:v>1231</c:v>
                </c:pt>
                <c:pt idx="4">
                  <c:v>1127</c:v>
                </c:pt>
                <c:pt idx="5">
                  <c:v>980</c:v>
                </c:pt>
                <c:pt idx="6">
                  <c:v>1082</c:v>
                </c:pt>
                <c:pt idx="7">
                  <c:v>882</c:v>
                </c:pt>
                <c:pt idx="8">
                  <c:v>862</c:v>
                </c:pt>
                <c:pt idx="9">
                  <c:v>752</c:v>
                </c:pt>
                <c:pt idx="10">
                  <c:v>812</c:v>
                </c:pt>
                <c:pt idx="11">
                  <c:v>726</c:v>
                </c:pt>
                <c:pt idx="12">
                  <c:v>713</c:v>
                </c:pt>
                <c:pt idx="13">
                  <c:v>740</c:v>
                </c:pt>
                <c:pt idx="14">
                  <c:v>798</c:v>
                </c:pt>
                <c:pt idx="15">
                  <c:v>747</c:v>
                </c:pt>
                <c:pt idx="16">
                  <c:v>799</c:v>
                </c:pt>
                <c:pt idx="17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E3-44FD-ADD0-A228C624823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2'!$V$178:$AM$178</c:f>
              <c:numCache>
                <c:formatCode>General</c:formatCode>
                <c:ptCount val="18"/>
                <c:pt idx="0">
                  <c:v>1092</c:v>
                </c:pt>
                <c:pt idx="1">
                  <c:v>1307</c:v>
                </c:pt>
                <c:pt idx="2">
                  <c:v>1194</c:v>
                </c:pt>
                <c:pt idx="3">
                  <c:v>1220</c:v>
                </c:pt>
                <c:pt idx="4">
                  <c:v>1110</c:v>
                </c:pt>
                <c:pt idx="5">
                  <c:v>933</c:v>
                </c:pt>
                <c:pt idx="6">
                  <c:v>1027</c:v>
                </c:pt>
                <c:pt idx="7">
                  <c:v>1152</c:v>
                </c:pt>
                <c:pt idx="8">
                  <c:v>1161</c:v>
                </c:pt>
                <c:pt idx="9">
                  <c:v>1019</c:v>
                </c:pt>
                <c:pt idx="10">
                  <c:v>1139</c:v>
                </c:pt>
                <c:pt idx="11">
                  <c:v>1013</c:v>
                </c:pt>
                <c:pt idx="12">
                  <c:v>766</c:v>
                </c:pt>
                <c:pt idx="13">
                  <c:v>1062</c:v>
                </c:pt>
                <c:pt idx="14">
                  <c:v>839</c:v>
                </c:pt>
                <c:pt idx="15">
                  <c:v>1036</c:v>
                </c:pt>
                <c:pt idx="16">
                  <c:v>1015</c:v>
                </c:pt>
                <c:pt idx="17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E3-44FD-ADD0-A228C624823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2'!$V$179:$AM$179</c:f>
              <c:numCache>
                <c:formatCode>General</c:formatCode>
                <c:ptCount val="18"/>
                <c:pt idx="0">
                  <c:v>1409</c:v>
                </c:pt>
                <c:pt idx="1">
                  <c:v>1201</c:v>
                </c:pt>
                <c:pt idx="2">
                  <c:v>1247</c:v>
                </c:pt>
                <c:pt idx="3">
                  <c:v>1093</c:v>
                </c:pt>
                <c:pt idx="4">
                  <c:v>1040</c:v>
                </c:pt>
                <c:pt idx="5">
                  <c:v>1230</c:v>
                </c:pt>
                <c:pt idx="6">
                  <c:v>1197</c:v>
                </c:pt>
                <c:pt idx="7">
                  <c:v>1063</c:v>
                </c:pt>
                <c:pt idx="8">
                  <c:v>972</c:v>
                </c:pt>
                <c:pt idx="9">
                  <c:v>910</c:v>
                </c:pt>
                <c:pt idx="10">
                  <c:v>941</c:v>
                </c:pt>
                <c:pt idx="11">
                  <c:v>924</c:v>
                </c:pt>
                <c:pt idx="12">
                  <c:v>914</c:v>
                </c:pt>
                <c:pt idx="13">
                  <c:v>830</c:v>
                </c:pt>
                <c:pt idx="14">
                  <c:v>947</c:v>
                </c:pt>
                <c:pt idx="15">
                  <c:v>938</c:v>
                </c:pt>
                <c:pt idx="16">
                  <c:v>1043</c:v>
                </c:pt>
                <c:pt idx="17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E3-44FD-ADD0-A228C6248233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2'!$V$180:$AM$180</c:f>
              <c:numCache>
                <c:formatCode>General</c:formatCode>
                <c:ptCount val="18"/>
                <c:pt idx="0">
                  <c:v>1124</c:v>
                </c:pt>
                <c:pt idx="1">
                  <c:v>1347</c:v>
                </c:pt>
                <c:pt idx="2">
                  <c:v>1108</c:v>
                </c:pt>
                <c:pt idx="3">
                  <c:v>968</c:v>
                </c:pt>
                <c:pt idx="4">
                  <c:v>1017</c:v>
                </c:pt>
                <c:pt idx="5">
                  <c:v>983</c:v>
                </c:pt>
                <c:pt idx="6">
                  <c:v>1176</c:v>
                </c:pt>
                <c:pt idx="7">
                  <c:v>1061</c:v>
                </c:pt>
                <c:pt idx="8">
                  <c:v>797</c:v>
                </c:pt>
                <c:pt idx="9">
                  <c:v>904</c:v>
                </c:pt>
                <c:pt idx="10">
                  <c:v>910</c:v>
                </c:pt>
                <c:pt idx="11">
                  <c:v>950</c:v>
                </c:pt>
                <c:pt idx="12">
                  <c:v>894</c:v>
                </c:pt>
                <c:pt idx="13">
                  <c:v>841</c:v>
                </c:pt>
                <c:pt idx="14">
                  <c:v>927</c:v>
                </c:pt>
                <c:pt idx="15">
                  <c:v>911</c:v>
                </c:pt>
                <c:pt idx="16">
                  <c:v>1090</c:v>
                </c:pt>
                <c:pt idx="17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E3-44FD-ADD0-A228C6248233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2'!$V$181:$AM$181</c:f>
              <c:numCache>
                <c:formatCode>General</c:formatCode>
                <c:ptCount val="18"/>
                <c:pt idx="0">
                  <c:v>1248</c:v>
                </c:pt>
                <c:pt idx="1">
                  <c:v>1371</c:v>
                </c:pt>
                <c:pt idx="2">
                  <c:v>1257</c:v>
                </c:pt>
                <c:pt idx="3">
                  <c:v>1191</c:v>
                </c:pt>
                <c:pt idx="4">
                  <c:v>892</c:v>
                </c:pt>
                <c:pt idx="5">
                  <c:v>897</c:v>
                </c:pt>
                <c:pt idx="6">
                  <c:v>1114</c:v>
                </c:pt>
                <c:pt idx="7">
                  <c:v>985</c:v>
                </c:pt>
                <c:pt idx="8">
                  <c:v>828</c:v>
                </c:pt>
                <c:pt idx="9">
                  <c:v>754</c:v>
                </c:pt>
                <c:pt idx="10">
                  <c:v>813</c:v>
                </c:pt>
                <c:pt idx="11">
                  <c:v>864</c:v>
                </c:pt>
                <c:pt idx="12">
                  <c:v>771</c:v>
                </c:pt>
                <c:pt idx="13">
                  <c:v>742</c:v>
                </c:pt>
                <c:pt idx="14">
                  <c:v>912</c:v>
                </c:pt>
                <c:pt idx="15">
                  <c:v>840</c:v>
                </c:pt>
                <c:pt idx="16">
                  <c:v>919</c:v>
                </c:pt>
                <c:pt idx="17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E3-44FD-ADD0-A228C6248233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2'!$V$182:$AM$182</c:f>
              <c:numCache>
                <c:formatCode>General</c:formatCode>
                <c:ptCount val="18"/>
                <c:pt idx="0">
                  <c:v>1285</c:v>
                </c:pt>
                <c:pt idx="1">
                  <c:v>1211</c:v>
                </c:pt>
                <c:pt idx="2">
                  <c:v>1236</c:v>
                </c:pt>
                <c:pt idx="3">
                  <c:v>1012</c:v>
                </c:pt>
                <c:pt idx="4">
                  <c:v>1324</c:v>
                </c:pt>
                <c:pt idx="5">
                  <c:v>816</c:v>
                </c:pt>
                <c:pt idx="6">
                  <c:v>972</c:v>
                </c:pt>
                <c:pt idx="7">
                  <c:v>761</c:v>
                </c:pt>
                <c:pt idx="8">
                  <c:v>677</c:v>
                </c:pt>
                <c:pt idx="9">
                  <c:v>734</c:v>
                </c:pt>
                <c:pt idx="10">
                  <c:v>805</c:v>
                </c:pt>
                <c:pt idx="11">
                  <c:v>758</c:v>
                </c:pt>
                <c:pt idx="12">
                  <c:v>648</c:v>
                </c:pt>
                <c:pt idx="13">
                  <c:v>670</c:v>
                </c:pt>
                <c:pt idx="14">
                  <c:v>872</c:v>
                </c:pt>
                <c:pt idx="15">
                  <c:v>735</c:v>
                </c:pt>
                <c:pt idx="16">
                  <c:v>792</c:v>
                </c:pt>
                <c:pt idx="17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E3-44FD-ADD0-A228C6248233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2'!$V$183:$AM$183</c:f>
              <c:numCache>
                <c:formatCode>General</c:formatCode>
                <c:ptCount val="18"/>
                <c:pt idx="0">
                  <c:v>1275</c:v>
                </c:pt>
                <c:pt idx="1">
                  <c:v>1562</c:v>
                </c:pt>
                <c:pt idx="2">
                  <c:v>1225</c:v>
                </c:pt>
                <c:pt idx="3">
                  <c:v>1371</c:v>
                </c:pt>
                <c:pt idx="4">
                  <c:v>1079</c:v>
                </c:pt>
                <c:pt idx="5">
                  <c:v>951</c:v>
                </c:pt>
                <c:pt idx="6">
                  <c:v>969</c:v>
                </c:pt>
                <c:pt idx="7">
                  <c:v>785</c:v>
                </c:pt>
                <c:pt idx="8">
                  <c:v>689</c:v>
                </c:pt>
                <c:pt idx="9">
                  <c:v>678</c:v>
                </c:pt>
                <c:pt idx="10">
                  <c:v>743</c:v>
                </c:pt>
                <c:pt idx="11">
                  <c:v>760</c:v>
                </c:pt>
                <c:pt idx="12">
                  <c:v>603</c:v>
                </c:pt>
                <c:pt idx="13">
                  <c:v>726</c:v>
                </c:pt>
                <c:pt idx="14">
                  <c:v>739</c:v>
                </c:pt>
                <c:pt idx="15">
                  <c:v>755</c:v>
                </c:pt>
                <c:pt idx="16">
                  <c:v>852</c:v>
                </c:pt>
                <c:pt idx="17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E3-44FD-ADD0-A228C62482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0752879"/>
        <c:axId val="1130753295"/>
        <c:axId val="1142793327"/>
      </c:surface3DChart>
      <c:catAx>
        <c:axId val="113075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5167672790901143"/>
              <c:y val="0.737234981044036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53295"/>
        <c:crosses val="autoZero"/>
        <c:auto val="1"/>
        <c:lblAlgn val="ctr"/>
        <c:lblOffset val="100"/>
        <c:noMultiLvlLbl val="0"/>
      </c:catAx>
      <c:valAx>
        <c:axId val="11307532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4121653543307082"/>
              <c:y val="0.16245370370370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52879"/>
        <c:crosses val="autoZero"/>
        <c:crossBetween val="midCat"/>
      </c:valAx>
      <c:serAx>
        <c:axId val="11427933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6.7721128608923875E-2"/>
              <c:y val="0.6939946048410615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53295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</a:t>
            </a:r>
            <a:r>
              <a:rPr lang="de-DE" baseline="0"/>
              <a:t> - Static - sup6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14393518518518519"/>
          <c:w val="0.74430074365704291"/>
          <c:h val="0.68810914260717415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2'!$B$202:$S$202</c:f>
              <c:numCache>
                <c:formatCode>General</c:formatCode>
                <c:ptCount val="18"/>
                <c:pt idx="0">
                  <c:v>42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A-44B5-90E6-01AAC5345631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2'!$B$203:$S$203</c:f>
              <c:numCache>
                <c:formatCode>General</c:formatCode>
                <c:ptCount val="18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36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A-44B5-90E6-01AAC5345631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2'!$B$204:$S$204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A-44B5-90E6-01AAC5345631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2'!$B$205:$S$205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A-44B5-90E6-01AAC5345631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2'!$B$206:$S$206</c:f>
              <c:numCache>
                <c:formatCode>General</c:formatCode>
                <c:ptCount val="18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A-44B5-90E6-01AAC5345631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2'!$B$207:$S$207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A-44B5-90E6-01AAC5345631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2'!$B$208:$S$208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A-44B5-90E6-01AAC5345631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2'!$B$209:$S$209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CA-44B5-90E6-01AAC5345631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2'!$B$210:$S$210</c:f>
              <c:numCache>
                <c:formatCode>General</c:formatCode>
                <c:ptCount val="18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CA-44B5-90E6-01AAC5345631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2'!$B$211:$S$211</c:f>
              <c:numCache>
                <c:formatCode>General</c:formatCode>
                <c:ptCount val="18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26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CA-44B5-90E6-01AAC5345631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2'!$B$212:$S$212</c:f>
              <c:numCache>
                <c:formatCode>General</c:formatCode>
                <c:ptCount val="18"/>
                <c:pt idx="0">
                  <c:v>28</c:v>
                </c:pt>
                <c:pt idx="1">
                  <c:v>28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31</c:v>
                </c:pt>
                <c:pt idx="13">
                  <c:v>27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CA-44B5-90E6-01AAC5345631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2'!$B$213:$S$213</c:f>
              <c:numCache>
                <c:formatCode>General</c:formatCode>
                <c:ptCount val="18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32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31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CA-44B5-90E6-01AAC53456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45563168"/>
        <c:axId val="745568576"/>
        <c:axId val="737647136"/>
      </c:surface3DChart>
      <c:catAx>
        <c:axId val="7455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72495034995625551"/>
              <c:y val="0.778131379410906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568576"/>
        <c:crosses val="autoZero"/>
        <c:auto val="1"/>
        <c:lblAlgn val="ctr"/>
        <c:lblOffset val="100"/>
        <c:noMultiLvlLbl val="0"/>
      </c:catAx>
      <c:valAx>
        <c:axId val="745568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1362532808398955"/>
              <c:y val="0.130046296296296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563168"/>
        <c:crosses val="autoZero"/>
        <c:crossBetween val="midCat"/>
      </c:valAx>
      <c:serAx>
        <c:axId val="7376471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7.3291557305336763E-2"/>
              <c:y val="0.706535068533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5685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Times2 - Static - sup6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4856481481481484"/>
          <c:w val="0.89665266841644797"/>
          <c:h val="0.64989537766112571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2'!$U$202:$AL$202</c:f>
              <c:numCache>
                <c:formatCode>General</c:formatCode>
                <c:ptCount val="18"/>
                <c:pt idx="0">
                  <c:v>44000</c:v>
                </c:pt>
                <c:pt idx="1">
                  <c:v>44077</c:v>
                </c:pt>
                <c:pt idx="2">
                  <c:v>44021</c:v>
                </c:pt>
                <c:pt idx="3">
                  <c:v>44015</c:v>
                </c:pt>
                <c:pt idx="4">
                  <c:v>44002</c:v>
                </c:pt>
                <c:pt idx="5">
                  <c:v>44024</c:v>
                </c:pt>
                <c:pt idx="6">
                  <c:v>44081</c:v>
                </c:pt>
                <c:pt idx="7">
                  <c:v>44007</c:v>
                </c:pt>
                <c:pt idx="8">
                  <c:v>44008</c:v>
                </c:pt>
                <c:pt idx="9">
                  <c:v>44021</c:v>
                </c:pt>
                <c:pt idx="10">
                  <c:v>44072</c:v>
                </c:pt>
                <c:pt idx="11">
                  <c:v>44116</c:v>
                </c:pt>
                <c:pt idx="12">
                  <c:v>44002</c:v>
                </c:pt>
                <c:pt idx="13">
                  <c:v>44017</c:v>
                </c:pt>
                <c:pt idx="14">
                  <c:v>44123</c:v>
                </c:pt>
                <c:pt idx="15">
                  <c:v>44077</c:v>
                </c:pt>
                <c:pt idx="16">
                  <c:v>44004</c:v>
                </c:pt>
                <c:pt idx="17">
                  <c:v>44005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B0E-9861-A5065BB79AC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2'!$U$203:$AL$203</c:f>
              <c:numCache>
                <c:formatCode>General</c:formatCode>
                <c:ptCount val="18"/>
                <c:pt idx="0">
                  <c:v>27489</c:v>
                </c:pt>
                <c:pt idx="1">
                  <c:v>27493</c:v>
                </c:pt>
                <c:pt idx="2">
                  <c:v>26746</c:v>
                </c:pt>
                <c:pt idx="3">
                  <c:v>28252</c:v>
                </c:pt>
                <c:pt idx="4">
                  <c:v>27244</c:v>
                </c:pt>
                <c:pt idx="5">
                  <c:v>27488</c:v>
                </c:pt>
                <c:pt idx="6">
                  <c:v>28083</c:v>
                </c:pt>
                <c:pt idx="7">
                  <c:v>27299</c:v>
                </c:pt>
                <c:pt idx="8">
                  <c:v>26710</c:v>
                </c:pt>
                <c:pt idx="9">
                  <c:v>27052</c:v>
                </c:pt>
                <c:pt idx="10">
                  <c:v>28028</c:v>
                </c:pt>
                <c:pt idx="11">
                  <c:v>26924</c:v>
                </c:pt>
                <c:pt idx="12">
                  <c:v>24906</c:v>
                </c:pt>
                <c:pt idx="13">
                  <c:v>24205</c:v>
                </c:pt>
                <c:pt idx="14">
                  <c:v>27082</c:v>
                </c:pt>
                <c:pt idx="15">
                  <c:v>26670</c:v>
                </c:pt>
                <c:pt idx="16">
                  <c:v>26695</c:v>
                </c:pt>
                <c:pt idx="17">
                  <c:v>24316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4-4B0E-9861-A5065BB79AC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2'!$U$204:$AL$204</c:f>
              <c:numCache>
                <c:formatCode>General</c:formatCode>
                <c:ptCount val="18"/>
                <c:pt idx="0">
                  <c:v>21782</c:v>
                </c:pt>
                <c:pt idx="1">
                  <c:v>21483</c:v>
                </c:pt>
                <c:pt idx="2">
                  <c:v>20954</c:v>
                </c:pt>
                <c:pt idx="3">
                  <c:v>21472</c:v>
                </c:pt>
                <c:pt idx="4">
                  <c:v>20577</c:v>
                </c:pt>
                <c:pt idx="5">
                  <c:v>20691</c:v>
                </c:pt>
                <c:pt idx="6">
                  <c:v>20792</c:v>
                </c:pt>
                <c:pt idx="7">
                  <c:v>20327</c:v>
                </c:pt>
                <c:pt idx="8">
                  <c:v>21064</c:v>
                </c:pt>
                <c:pt idx="9">
                  <c:v>20688</c:v>
                </c:pt>
                <c:pt idx="10">
                  <c:v>20748</c:v>
                </c:pt>
                <c:pt idx="11">
                  <c:v>20158</c:v>
                </c:pt>
                <c:pt idx="12">
                  <c:v>20978</c:v>
                </c:pt>
                <c:pt idx="13">
                  <c:v>20880</c:v>
                </c:pt>
                <c:pt idx="14">
                  <c:v>20112</c:v>
                </c:pt>
                <c:pt idx="15">
                  <c:v>20128</c:v>
                </c:pt>
                <c:pt idx="16">
                  <c:v>20779</c:v>
                </c:pt>
                <c:pt idx="17">
                  <c:v>20230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4-4B0E-9861-A5065BB79AC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2'!$U$205:$AL$205</c:f>
              <c:numCache>
                <c:formatCode>General</c:formatCode>
                <c:ptCount val="18"/>
                <c:pt idx="0">
                  <c:v>18617</c:v>
                </c:pt>
                <c:pt idx="1">
                  <c:v>18810</c:v>
                </c:pt>
                <c:pt idx="2">
                  <c:v>18360</c:v>
                </c:pt>
                <c:pt idx="3">
                  <c:v>17948</c:v>
                </c:pt>
                <c:pt idx="4">
                  <c:v>18169</c:v>
                </c:pt>
                <c:pt idx="5">
                  <c:v>18154</c:v>
                </c:pt>
                <c:pt idx="6">
                  <c:v>16960</c:v>
                </c:pt>
                <c:pt idx="7">
                  <c:v>15583</c:v>
                </c:pt>
                <c:pt idx="8">
                  <c:v>17701</c:v>
                </c:pt>
                <c:pt idx="9">
                  <c:v>17306</c:v>
                </c:pt>
                <c:pt idx="10">
                  <c:v>17631</c:v>
                </c:pt>
                <c:pt idx="11">
                  <c:v>17457</c:v>
                </c:pt>
                <c:pt idx="12">
                  <c:v>17662</c:v>
                </c:pt>
                <c:pt idx="13">
                  <c:v>17410</c:v>
                </c:pt>
                <c:pt idx="14">
                  <c:v>16528</c:v>
                </c:pt>
                <c:pt idx="15">
                  <c:v>17803</c:v>
                </c:pt>
                <c:pt idx="16">
                  <c:v>17554</c:v>
                </c:pt>
                <c:pt idx="17">
                  <c:v>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4-4B0E-9861-A5065BB79AC5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2'!$U$206:$AL$206</c:f>
              <c:numCache>
                <c:formatCode>General</c:formatCode>
                <c:ptCount val="18"/>
                <c:pt idx="0">
                  <c:v>16596</c:v>
                </c:pt>
                <c:pt idx="1">
                  <c:v>15504</c:v>
                </c:pt>
                <c:pt idx="2">
                  <c:v>16373</c:v>
                </c:pt>
                <c:pt idx="3">
                  <c:v>16122</c:v>
                </c:pt>
                <c:pt idx="4">
                  <c:v>15799</c:v>
                </c:pt>
                <c:pt idx="5">
                  <c:v>16362</c:v>
                </c:pt>
                <c:pt idx="6">
                  <c:v>16322</c:v>
                </c:pt>
                <c:pt idx="7">
                  <c:v>15888</c:v>
                </c:pt>
                <c:pt idx="8">
                  <c:v>15754</c:v>
                </c:pt>
                <c:pt idx="9">
                  <c:v>15623</c:v>
                </c:pt>
                <c:pt idx="10">
                  <c:v>15613</c:v>
                </c:pt>
                <c:pt idx="11">
                  <c:v>14873</c:v>
                </c:pt>
                <c:pt idx="12">
                  <c:v>15078</c:v>
                </c:pt>
                <c:pt idx="13">
                  <c:v>15473</c:v>
                </c:pt>
                <c:pt idx="14">
                  <c:v>14985</c:v>
                </c:pt>
                <c:pt idx="15">
                  <c:v>14620</c:v>
                </c:pt>
                <c:pt idx="16">
                  <c:v>15646</c:v>
                </c:pt>
                <c:pt idx="17">
                  <c:v>15489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4-4B0E-9861-A5065BB79AC5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2'!$U$207:$AL$207</c:f>
              <c:numCache>
                <c:formatCode>General</c:formatCode>
                <c:ptCount val="18"/>
                <c:pt idx="0">
                  <c:v>15285</c:v>
                </c:pt>
                <c:pt idx="1">
                  <c:v>15619</c:v>
                </c:pt>
                <c:pt idx="2">
                  <c:v>15149</c:v>
                </c:pt>
                <c:pt idx="3">
                  <c:v>14975</c:v>
                </c:pt>
                <c:pt idx="4">
                  <c:v>13638</c:v>
                </c:pt>
                <c:pt idx="5">
                  <c:v>14935</c:v>
                </c:pt>
                <c:pt idx="6">
                  <c:v>13985</c:v>
                </c:pt>
                <c:pt idx="7">
                  <c:v>14865</c:v>
                </c:pt>
                <c:pt idx="8">
                  <c:v>14652</c:v>
                </c:pt>
                <c:pt idx="9">
                  <c:v>14042</c:v>
                </c:pt>
                <c:pt idx="10">
                  <c:v>14300</c:v>
                </c:pt>
                <c:pt idx="11">
                  <c:v>14035</c:v>
                </c:pt>
                <c:pt idx="12">
                  <c:v>13543</c:v>
                </c:pt>
                <c:pt idx="13">
                  <c:v>14076</c:v>
                </c:pt>
                <c:pt idx="14">
                  <c:v>14148</c:v>
                </c:pt>
                <c:pt idx="15">
                  <c:v>14261</c:v>
                </c:pt>
                <c:pt idx="16">
                  <c:v>14350</c:v>
                </c:pt>
                <c:pt idx="17">
                  <c:v>13442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4-4B0E-9861-A5065BB79AC5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2'!$U$208:$AL$208</c:f>
              <c:numCache>
                <c:formatCode>General</c:formatCode>
                <c:ptCount val="18"/>
                <c:pt idx="0">
                  <c:v>15280</c:v>
                </c:pt>
                <c:pt idx="1">
                  <c:v>13309</c:v>
                </c:pt>
                <c:pt idx="2">
                  <c:v>15301</c:v>
                </c:pt>
                <c:pt idx="3">
                  <c:v>14243</c:v>
                </c:pt>
                <c:pt idx="4">
                  <c:v>14800</c:v>
                </c:pt>
                <c:pt idx="5">
                  <c:v>13310</c:v>
                </c:pt>
                <c:pt idx="6">
                  <c:v>13857</c:v>
                </c:pt>
                <c:pt idx="7">
                  <c:v>12951</c:v>
                </c:pt>
                <c:pt idx="8">
                  <c:v>13026</c:v>
                </c:pt>
                <c:pt idx="9">
                  <c:v>13469</c:v>
                </c:pt>
                <c:pt idx="10">
                  <c:v>12880</c:v>
                </c:pt>
                <c:pt idx="11">
                  <c:v>13051</c:v>
                </c:pt>
                <c:pt idx="12">
                  <c:v>12609</c:v>
                </c:pt>
                <c:pt idx="13">
                  <c:v>12317</c:v>
                </c:pt>
                <c:pt idx="14">
                  <c:v>12666</c:v>
                </c:pt>
                <c:pt idx="15">
                  <c:v>12863</c:v>
                </c:pt>
                <c:pt idx="16">
                  <c:v>12963</c:v>
                </c:pt>
                <c:pt idx="17">
                  <c:v>12894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44-4B0E-9861-A5065BB79AC5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2'!$U$209:$AL$209</c:f>
              <c:numCache>
                <c:formatCode>General</c:formatCode>
                <c:ptCount val="18"/>
                <c:pt idx="0">
                  <c:v>15919</c:v>
                </c:pt>
                <c:pt idx="1">
                  <c:v>15932</c:v>
                </c:pt>
                <c:pt idx="2">
                  <c:v>14766</c:v>
                </c:pt>
                <c:pt idx="3">
                  <c:v>15410</c:v>
                </c:pt>
                <c:pt idx="4">
                  <c:v>15763</c:v>
                </c:pt>
                <c:pt idx="5">
                  <c:v>14857</c:v>
                </c:pt>
                <c:pt idx="6">
                  <c:v>14368</c:v>
                </c:pt>
                <c:pt idx="7">
                  <c:v>13655</c:v>
                </c:pt>
                <c:pt idx="8">
                  <c:v>14835</c:v>
                </c:pt>
                <c:pt idx="9">
                  <c:v>14859</c:v>
                </c:pt>
                <c:pt idx="10">
                  <c:v>14138</c:v>
                </c:pt>
                <c:pt idx="11">
                  <c:v>14931</c:v>
                </c:pt>
                <c:pt idx="12">
                  <c:v>14625</c:v>
                </c:pt>
                <c:pt idx="13">
                  <c:v>14957</c:v>
                </c:pt>
                <c:pt idx="14">
                  <c:v>14628</c:v>
                </c:pt>
                <c:pt idx="15">
                  <c:v>14481</c:v>
                </c:pt>
                <c:pt idx="16">
                  <c:v>14982</c:v>
                </c:pt>
                <c:pt idx="17">
                  <c:v>10177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44-4B0E-9861-A5065BB79AC5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2'!$U$210:$AL$210</c:f>
              <c:numCache>
                <c:formatCode>General</c:formatCode>
                <c:ptCount val="18"/>
                <c:pt idx="0">
                  <c:v>14956</c:v>
                </c:pt>
                <c:pt idx="1">
                  <c:v>14909</c:v>
                </c:pt>
                <c:pt idx="2">
                  <c:v>14821</c:v>
                </c:pt>
                <c:pt idx="3">
                  <c:v>15284</c:v>
                </c:pt>
                <c:pt idx="4">
                  <c:v>14778</c:v>
                </c:pt>
                <c:pt idx="5">
                  <c:v>14757</c:v>
                </c:pt>
                <c:pt idx="6">
                  <c:v>14517</c:v>
                </c:pt>
                <c:pt idx="7">
                  <c:v>14613</c:v>
                </c:pt>
                <c:pt idx="8">
                  <c:v>14656</c:v>
                </c:pt>
                <c:pt idx="9">
                  <c:v>14916</c:v>
                </c:pt>
                <c:pt idx="10">
                  <c:v>14195</c:v>
                </c:pt>
                <c:pt idx="11">
                  <c:v>14496</c:v>
                </c:pt>
                <c:pt idx="12">
                  <c:v>13748</c:v>
                </c:pt>
                <c:pt idx="13">
                  <c:v>14289</c:v>
                </c:pt>
                <c:pt idx="14">
                  <c:v>14238</c:v>
                </c:pt>
                <c:pt idx="15">
                  <c:v>14694</c:v>
                </c:pt>
                <c:pt idx="16">
                  <c:v>14812</c:v>
                </c:pt>
                <c:pt idx="17">
                  <c:v>12539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44-4B0E-9861-A5065BB79AC5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2'!$U$211:$AL$211</c:f>
              <c:numCache>
                <c:formatCode>General</c:formatCode>
                <c:ptCount val="18"/>
                <c:pt idx="0">
                  <c:v>15252</c:v>
                </c:pt>
                <c:pt idx="1">
                  <c:v>15296</c:v>
                </c:pt>
                <c:pt idx="2">
                  <c:v>15189</c:v>
                </c:pt>
                <c:pt idx="3">
                  <c:v>14654</c:v>
                </c:pt>
                <c:pt idx="4">
                  <c:v>14201</c:v>
                </c:pt>
                <c:pt idx="5">
                  <c:v>15150</c:v>
                </c:pt>
                <c:pt idx="6">
                  <c:v>13844</c:v>
                </c:pt>
                <c:pt idx="7">
                  <c:v>14616</c:v>
                </c:pt>
                <c:pt idx="8">
                  <c:v>13948</c:v>
                </c:pt>
                <c:pt idx="9">
                  <c:v>12886</c:v>
                </c:pt>
                <c:pt idx="10">
                  <c:v>13601</c:v>
                </c:pt>
                <c:pt idx="11">
                  <c:v>15038</c:v>
                </c:pt>
                <c:pt idx="12">
                  <c:v>13806</c:v>
                </c:pt>
                <c:pt idx="13">
                  <c:v>13782</c:v>
                </c:pt>
                <c:pt idx="14">
                  <c:v>13754</c:v>
                </c:pt>
                <c:pt idx="15">
                  <c:v>13241</c:v>
                </c:pt>
                <c:pt idx="16">
                  <c:v>14336</c:v>
                </c:pt>
                <c:pt idx="17">
                  <c:v>12116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44-4B0E-9861-A5065BB79AC5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2'!$U$212:$AL$212</c:f>
              <c:numCache>
                <c:formatCode>General</c:formatCode>
                <c:ptCount val="18"/>
                <c:pt idx="0">
                  <c:v>15077</c:v>
                </c:pt>
                <c:pt idx="1">
                  <c:v>14315</c:v>
                </c:pt>
                <c:pt idx="2">
                  <c:v>15558</c:v>
                </c:pt>
                <c:pt idx="3">
                  <c:v>15007</c:v>
                </c:pt>
                <c:pt idx="4">
                  <c:v>14429</c:v>
                </c:pt>
                <c:pt idx="5">
                  <c:v>13907</c:v>
                </c:pt>
                <c:pt idx="6">
                  <c:v>13751</c:v>
                </c:pt>
                <c:pt idx="7">
                  <c:v>13963</c:v>
                </c:pt>
                <c:pt idx="8">
                  <c:v>13028</c:v>
                </c:pt>
                <c:pt idx="9">
                  <c:v>13566</c:v>
                </c:pt>
                <c:pt idx="10">
                  <c:v>12310</c:v>
                </c:pt>
                <c:pt idx="11">
                  <c:v>13614</c:v>
                </c:pt>
                <c:pt idx="12">
                  <c:v>13067</c:v>
                </c:pt>
                <c:pt idx="13">
                  <c:v>12642</c:v>
                </c:pt>
                <c:pt idx="14">
                  <c:v>12652</c:v>
                </c:pt>
                <c:pt idx="15">
                  <c:v>13035</c:v>
                </c:pt>
                <c:pt idx="16">
                  <c:v>13984</c:v>
                </c:pt>
                <c:pt idx="17">
                  <c:v>13037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44-4B0E-9861-A5065BB79AC5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2'!$U$213:$AL$213</c:f>
              <c:numCache>
                <c:formatCode>General</c:formatCode>
                <c:ptCount val="18"/>
                <c:pt idx="0">
                  <c:v>14561</c:v>
                </c:pt>
                <c:pt idx="1">
                  <c:v>14434</c:v>
                </c:pt>
                <c:pt idx="2">
                  <c:v>13471</c:v>
                </c:pt>
                <c:pt idx="3">
                  <c:v>14359</c:v>
                </c:pt>
                <c:pt idx="4">
                  <c:v>13133</c:v>
                </c:pt>
                <c:pt idx="5">
                  <c:v>11666</c:v>
                </c:pt>
                <c:pt idx="6">
                  <c:v>12153</c:v>
                </c:pt>
                <c:pt idx="7">
                  <c:v>13146</c:v>
                </c:pt>
                <c:pt idx="8">
                  <c:v>12908</c:v>
                </c:pt>
                <c:pt idx="9">
                  <c:v>11975</c:v>
                </c:pt>
                <c:pt idx="10">
                  <c:v>11675</c:v>
                </c:pt>
                <c:pt idx="11">
                  <c:v>12641</c:v>
                </c:pt>
                <c:pt idx="12">
                  <c:v>12361</c:v>
                </c:pt>
                <c:pt idx="13">
                  <c:v>11980</c:v>
                </c:pt>
                <c:pt idx="14">
                  <c:v>13066</c:v>
                </c:pt>
                <c:pt idx="15">
                  <c:v>12545</c:v>
                </c:pt>
                <c:pt idx="16">
                  <c:v>13446</c:v>
                </c:pt>
                <c:pt idx="17">
                  <c:v>13366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44-4B0E-9861-A5065BB79AC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26366096"/>
        <c:axId val="926351952"/>
        <c:axId val="927187152"/>
      </c:surface3DChart>
      <c:catAx>
        <c:axId val="9263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70884842519685043"/>
              <c:y val="0.7840303295421405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351952"/>
        <c:crosses val="autoZero"/>
        <c:auto val="1"/>
        <c:lblAlgn val="ctr"/>
        <c:lblOffset val="100"/>
        <c:noMultiLvlLbl val="0"/>
      </c:catAx>
      <c:valAx>
        <c:axId val="926351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0928368328958886"/>
              <c:y val="0.18739792942548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366096"/>
        <c:crosses val="autoZero"/>
        <c:crossBetween val="midCat"/>
      </c:valAx>
      <c:serAx>
        <c:axId val="9271871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5.4486876640419936E-2"/>
              <c:y val="0.68768153980752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35195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</a:t>
            </a:r>
            <a:r>
              <a:rPr lang="de-DE" baseline="0"/>
              <a:t> 1 - Dynamic - sup6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171296296296296"/>
          <c:w val="0.89665266841644797"/>
          <c:h val="0.69619167395742199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2'!$B$216:$S$216</c:f>
              <c:numCache>
                <c:formatCode>General</c:formatCode>
                <c:ptCount val="18"/>
                <c:pt idx="0">
                  <c:v>89</c:v>
                </c:pt>
                <c:pt idx="1">
                  <c:v>71</c:v>
                </c:pt>
                <c:pt idx="2">
                  <c:v>62</c:v>
                </c:pt>
                <c:pt idx="3">
                  <c:v>57</c:v>
                </c:pt>
                <c:pt idx="4">
                  <c:v>53</c:v>
                </c:pt>
                <c:pt idx="5">
                  <c:v>52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CB3-A4F0-FED54E55374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2'!$B$217:$S$217</c:f>
              <c:numCache>
                <c:formatCode>General</c:formatCode>
                <c:ptCount val="18"/>
                <c:pt idx="0">
                  <c:v>84</c:v>
                </c:pt>
                <c:pt idx="1">
                  <c:v>61</c:v>
                </c:pt>
                <c:pt idx="2">
                  <c:v>52</c:v>
                </c:pt>
                <c:pt idx="3">
                  <c:v>47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CB3-A4F0-FED54E55374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2'!$B$218:$S$218</c:f>
              <c:numCache>
                <c:formatCode>General</c:formatCode>
                <c:ptCount val="18"/>
                <c:pt idx="0">
                  <c:v>92</c:v>
                </c:pt>
                <c:pt idx="1">
                  <c:v>73</c:v>
                </c:pt>
                <c:pt idx="2">
                  <c:v>43</c:v>
                </c:pt>
                <c:pt idx="3">
                  <c:v>40</c:v>
                </c:pt>
                <c:pt idx="4">
                  <c:v>37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1-4CB3-A4F0-FED54E55374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2'!$B$219:$S$219</c:f>
              <c:numCache>
                <c:formatCode>General</c:formatCode>
                <c:ptCount val="18"/>
                <c:pt idx="0">
                  <c:v>125</c:v>
                </c:pt>
                <c:pt idx="1">
                  <c:v>74</c:v>
                </c:pt>
                <c:pt idx="2">
                  <c:v>42</c:v>
                </c:pt>
                <c:pt idx="3">
                  <c:v>36</c:v>
                </c:pt>
                <c:pt idx="4">
                  <c:v>35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1-4CB3-A4F0-FED54E553747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2'!$B$220:$S$220</c:f>
              <c:numCache>
                <c:formatCode>General</c:formatCode>
                <c:ptCount val="18"/>
                <c:pt idx="0">
                  <c:v>131</c:v>
                </c:pt>
                <c:pt idx="1">
                  <c:v>75</c:v>
                </c:pt>
                <c:pt idx="2">
                  <c:v>42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1-4CB3-A4F0-FED54E553747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2'!$B$221:$S$221</c:f>
              <c:numCache>
                <c:formatCode>General</c:formatCode>
                <c:ptCount val="18"/>
                <c:pt idx="0">
                  <c:v>64</c:v>
                </c:pt>
                <c:pt idx="1">
                  <c:v>66</c:v>
                </c:pt>
                <c:pt idx="2">
                  <c:v>38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28</c:v>
                </c:pt>
                <c:pt idx="8">
                  <c:v>27</c:v>
                </c:pt>
                <c:pt idx="9">
                  <c:v>25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1-4CB3-A4F0-FED54E553747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2'!$B$222:$S$222</c:f>
              <c:numCache>
                <c:formatCode>General</c:formatCode>
                <c:ptCount val="18"/>
                <c:pt idx="0">
                  <c:v>90</c:v>
                </c:pt>
                <c:pt idx="1">
                  <c:v>68</c:v>
                </c:pt>
                <c:pt idx="2">
                  <c:v>40</c:v>
                </c:pt>
                <c:pt idx="3">
                  <c:v>43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1-4CB3-A4F0-FED54E553747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2'!$B$223:$S$223</c:f>
              <c:numCache>
                <c:formatCode>General</c:formatCode>
                <c:ptCount val="18"/>
                <c:pt idx="0">
                  <c:v>77</c:v>
                </c:pt>
                <c:pt idx="1">
                  <c:v>63</c:v>
                </c:pt>
                <c:pt idx="2">
                  <c:v>46</c:v>
                </c:pt>
                <c:pt idx="3">
                  <c:v>34</c:v>
                </c:pt>
                <c:pt idx="4">
                  <c:v>31</c:v>
                </c:pt>
                <c:pt idx="5">
                  <c:v>29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1-4CB3-A4F0-FED54E553747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2'!$B$224:$S$224</c:f>
              <c:numCache>
                <c:formatCode>General</c:formatCode>
                <c:ptCount val="18"/>
                <c:pt idx="0">
                  <c:v>63</c:v>
                </c:pt>
                <c:pt idx="1">
                  <c:v>44</c:v>
                </c:pt>
                <c:pt idx="2">
                  <c:v>35</c:v>
                </c:pt>
                <c:pt idx="3">
                  <c:v>31</c:v>
                </c:pt>
                <c:pt idx="4">
                  <c:v>31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1-4CB3-A4F0-FED54E553747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2'!$B$225:$S$225</c:f>
              <c:numCache>
                <c:formatCode>General</c:formatCode>
                <c:ptCount val="18"/>
                <c:pt idx="0">
                  <c:v>68</c:v>
                </c:pt>
                <c:pt idx="1">
                  <c:v>45</c:v>
                </c:pt>
                <c:pt idx="2">
                  <c:v>35</c:v>
                </c:pt>
                <c:pt idx="3">
                  <c:v>37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41-4CB3-A4F0-FED54E553747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2'!$B$226:$S$226</c:f>
              <c:numCache>
                <c:formatCode>General</c:formatCode>
                <c:ptCount val="18"/>
                <c:pt idx="0">
                  <c:v>57</c:v>
                </c:pt>
                <c:pt idx="1">
                  <c:v>53</c:v>
                </c:pt>
                <c:pt idx="2">
                  <c:v>36</c:v>
                </c:pt>
                <c:pt idx="3">
                  <c:v>36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26</c:v>
                </c:pt>
                <c:pt idx="15">
                  <c:v>25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41-4CB3-A4F0-FED54E553747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2'!$B$227:$S$227</c:f>
              <c:numCache>
                <c:formatCode>General</c:formatCode>
                <c:ptCount val="18"/>
                <c:pt idx="0">
                  <c:v>56</c:v>
                </c:pt>
                <c:pt idx="1">
                  <c:v>42</c:v>
                </c:pt>
                <c:pt idx="2">
                  <c:v>35</c:v>
                </c:pt>
                <c:pt idx="3">
                  <c:v>36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28</c:v>
                </c:pt>
                <c:pt idx="15">
                  <c:v>30</c:v>
                </c:pt>
                <c:pt idx="16">
                  <c:v>27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41-4CB3-A4F0-FED54E5537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6142032"/>
        <c:axId val="986154096"/>
        <c:axId val="653144496"/>
      </c:surface3DChart>
      <c:catAx>
        <c:axId val="9861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5757764654418194"/>
              <c:y val="0.788591790609507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54096"/>
        <c:crosses val="autoZero"/>
        <c:auto val="1"/>
        <c:lblAlgn val="ctr"/>
        <c:lblOffset val="100"/>
        <c:noMultiLvlLbl val="0"/>
      </c:catAx>
      <c:valAx>
        <c:axId val="986154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Sekunden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8989978127734034"/>
              <c:y val="0.219655511811023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42032"/>
        <c:crosses val="autoZero"/>
        <c:crossBetween val="midCat"/>
      </c:valAx>
      <c:serAx>
        <c:axId val="6531444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10511920384951882"/>
              <c:y val="0.7962773403324584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540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Times2 - Dynamic - sup6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467592592592595"/>
          <c:w val="0.89665266841644797"/>
          <c:h val="0.66378426655001455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2'!$U$216:$AL$216</c:f>
              <c:numCache>
                <c:formatCode>General</c:formatCode>
                <c:ptCount val="18"/>
                <c:pt idx="0">
                  <c:v>44036</c:v>
                </c:pt>
                <c:pt idx="1">
                  <c:v>44036</c:v>
                </c:pt>
                <c:pt idx="2">
                  <c:v>44139</c:v>
                </c:pt>
                <c:pt idx="3">
                  <c:v>44081</c:v>
                </c:pt>
                <c:pt idx="4">
                  <c:v>44012</c:v>
                </c:pt>
                <c:pt idx="5">
                  <c:v>44012</c:v>
                </c:pt>
                <c:pt idx="6">
                  <c:v>44015</c:v>
                </c:pt>
                <c:pt idx="7">
                  <c:v>44006</c:v>
                </c:pt>
                <c:pt idx="8">
                  <c:v>44064</c:v>
                </c:pt>
                <c:pt idx="9">
                  <c:v>44083</c:v>
                </c:pt>
                <c:pt idx="10">
                  <c:v>44023</c:v>
                </c:pt>
                <c:pt idx="11">
                  <c:v>44008</c:v>
                </c:pt>
                <c:pt idx="12">
                  <c:v>44062</c:v>
                </c:pt>
                <c:pt idx="13">
                  <c:v>44131</c:v>
                </c:pt>
                <c:pt idx="14">
                  <c:v>44036</c:v>
                </c:pt>
                <c:pt idx="15">
                  <c:v>44008</c:v>
                </c:pt>
                <c:pt idx="16">
                  <c:v>44004</c:v>
                </c:pt>
                <c:pt idx="17">
                  <c:v>44005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8-46D6-8989-91A002E27861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2'!$U$217:$AL$217</c:f>
              <c:numCache>
                <c:formatCode>General</c:formatCode>
                <c:ptCount val="18"/>
                <c:pt idx="0">
                  <c:v>54329</c:v>
                </c:pt>
                <c:pt idx="1">
                  <c:v>65284</c:v>
                </c:pt>
                <c:pt idx="2">
                  <c:v>60864</c:v>
                </c:pt>
                <c:pt idx="3">
                  <c:v>60412</c:v>
                </c:pt>
                <c:pt idx="4">
                  <c:v>53445</c:v>
                </c:pt>
                <c:pt idx="5">
                  <c:v>47069</c:v>
                </c:pt>
                <c:pt idx="6">
                  <c:v>45365</c:v>
                </c:pt>
                <c:pt idx="7">
                  <c:v>27543</c:v>
                </c:pt>
                <c:pt idx="8">
                  <c:v>37536</c:v>
                </c:pt>
                <c:pt idx="9">
                  <c:v>32243</c:v>
                </c:pt>
                <c:pt idx="10">
                  <c:v>31998</c:v>
                </c:pt>
                <c:pt idx="11">
                  <c:v>29208</c:v>
                </c:pt>
                <c:pt idx="12">
                  <c:v>29264</c:v>
                </c:pt>
                <c:pt idx="13">
                  <c:v>28261</c:v>
                </c:pt>
                <c:pt idx="14">
                  <c:v>28191</c:v>
                </c:pt>
                <c:pt idx="15">
                  <c:v>22685</c:v>
                </c:pt>
                <c:pt idx="16">
                  <c:v>26624</c:v>
                </c:pt>
                <c:pt idx="17">
                  <c:v>26968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8-46D6-8989-91A002E27861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2'!$U$218:$AL$218</c:f>
              <c:numCache>
                <c:formatCode>General</c:formatCode>
                <c:ptCount val="18"/>
                <c:pt idx="0">
                  <c:v>69940</c:v>
                </c:pt>
                <c:pt idx="1">
                  <c:v>62957</c:v>
                </c:pt>
                <c:pt idx="2">
                  <c:v>53951</c:v>
                </c:pt>
                <c:pt idx="3">
                  <c:v>45853</c:v>
                </c:pt>
                <c:pt idx="4">
                  <c:v>44916</c:v>
                </c:pt>
                <c:pt idx="5">
                  <c:v>39670</c:v>
                </c:pt>
                <c:pt idx="6">
                  <c:v>35832</c:v>
                </c:pt>
                <c:pt idx="7">
                  <c:v>32419</c:v>
                </c:pt>
                <c:pt idx="8">
                  <c:v>26756</c:v>
                </c:pt>
                <c:pt idx="9">
                  <c:v>22902</c:v>
                </c:pt>
                <c:pt idx="10">
                  <c:v>21634</c:v>
                </c:pt>
                <c:pt idx="11">
                  <c:v>21479</c:v>
                </c:pt>
                <c:pt idx="12">
                  <c:v>20561</c:v>
                </c:pt>
                <c:pt idx="13">
                  <c:v>19411</c:v>
                </c:pt>
                <c:pt idx="14">
                  <c:v>19286</c:v>
                </c:pt>
                <c:pt idx="15">
                  <c:v>19495</c:v>
                </c:pt>
                <c:pt idx="16">
                  <c:v>19429</c:v>
                </c:pt>
                <c:pt idx="17">
                  <c:v>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8-46D6-8989-91A002E27861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2'!$U$219:$AL$219</c:f>
              <c:numCache>
                <c:formatCode>General</c:formatCode>
                <c:ptCount val="18"/>
                <c:pt idx="0">
                  <c:v>65702</c:v>
                </c:pt>
                <c:pt idx="1">
                  <c:v>52141</c:v>
                </c:pt>
                <c:pt idx="2">
                  <c:v>47348</c:v>
                </c:pt>
                <c:pt idx="3">
                  <c:v>38490</c:v>
                </c:pt>
                <c:pt idx="4">
                  <c:v>35495</c:v>
                </c:pt>
                <c:pt idx="5">
                  <c:v>30404</c:v>
                </c:pt>
                <c:pt idx="6">
                  <c:v>25820</c:v>
                </c:pt>
                <c:pt idx="7">
                  <c:v>24224</c:v>
                </c:pt>
                <c:pt idx="8">
                  <c:v>20103</c:v>
                </c:pt>
                <c:pt idx="9">
                  <c:v>17474</c:v>
                </c:pt>
                <c:pt idx="10">
                  <c:v>17700</c:v>
                </c:pt>
                <c:pt idx="11">
                  <c:v>15946</c:v>
                </c:pt>
                <c:pt idx="12">
                  <c:v>15573</c:v>
                </c:pt>
                <c:pt idx="13">
                  <c:v>15674</c:v>
                </c:pt>
                <c:pt idx="14">
                  <c:v>15933</c:v>
                </c:pt>
                <c:pt idx="15">
                  <c:v>15755</c:v>
                </c:pt>
                <c:pt idx="16">
                  <c:v>16093</c:v>
                </c:pt>
                <c:pt idx="17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8-46D6-8989-91A002E27861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2'!$U$220:$AL$220</c:f>
              <c:numCache>
                <c:formatCode>General</c:formatCode>
                <c:ptCount val="18"/>
                <c:pt idx="0">
                  <c:v>64423</c:v>
                </c:pt>
                <c:pt idx="1">
                  <c:v>48411</c:v>
                </c:pt>
                <c:pt idx="2">
                  <c:v>40422</c:v>
                </c:pt>
                <c:pt idx="3">
                  <c:v>31098</c:v>
                </c:pt>
                <c:pt idx="4">
                  <c:v>29593</c:v>
                </c:pt>
                <c:pt idx="5">
                  <c:v>26599</c:v>
                </c:pt>
                <c:pt idx="6">
                  <c:v>23944</c:v>
                </c:pt>
                <c:pt idx="7">
                  <c:v>22475</c:v>
                </c:pt>
                <c:pt idx="8">
                  <c:v>17111</c:v>
                </c:pt>
                <c:pt idx="9">
                  <c:v>15522</c:v>
                </c:pt>
                <c:pt idx="10">
                  <c:v>15093</c:v>
                </c:pt>
                <c:pt idx="11">
                  <c:v>13870</c:v>
                </c:pt>
                <c:pt idx="12">
                  <c:v>14152</c:v>
                </c:pt>
                <c:pt idx="13">
                  <c:v>13640</c:v>
                </c:pt>
                <c:pt idx="14">
                  <c:v>13594</c:v>
                </c:pt>
                <c:pt idx="15">
                  <c:v>12429</c:v>
                </c:pt>
                <c:pt idx="16">
                  <c:v>13301</c:v>
                </c:pt>
                <c:pt idx="17">
                  <c:v>12863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8-46D6-8989-91A002E27861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2'!$U$221:$AL$221</c:f>
              <c:numCache>
                <c:formatCode>General</c:formatCode>
                <c:ptCount val="18"/>
                <c:pt idx="0">
                  <c:v>57330</c:v>
                </c:pt>
                <c:pt idx="1">
                  <c:v>43238</c:v>
                </c:pt>
                <c:pt idx="2">
                  <c:v>36689</c:v>
                </c:pt>
                <c:pt idx="3">
                  <c:v>31909</c:v>
                </c:pt>
                <c:pt idx="4">
                  <c:v>28032</c:v>
                </c:pt>
                <c:pt idx="5">
                  <c:v>24594</c:v>
                </c:pt>
                <c:pt idx="6">
                  <c:v>19664</c:v>
                </c:pt>
                <c:pt idx="7">
                  <c:v>10964</c:v>
                </c:pt>
                <c:pt idx="8">
                  <c:v>14954</c:v>
                </c:pt>
                <c:pt idx="9">
                  <c:v>13854</c:v>
                </c:pt>
                <c:pt idx="10">
                  <c:v>13132</c:v>
                </c:pt>
                <c:pt idx="11">
                  <c:v>11642</c:v>
                </c:pt>
                <c:pt idx="12">
                  <c:v>12388</c:v>
                </c:pt>
                <c:pt idx="13">
                  <c:v>12003</c:v>
                </c:pt>
                <c:pt idx="14">
                  <c:v>11515</c:v>
                </c:pt>
                <c:pt idx="15">
                  <c:v>10956</c:v>
                </c:pt>
                <c:pt idx="16">
                  <c:v>11928</c:v>
                </c:pt>
                <c:pt idx="17">
                  <c:v>11174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8-46D6-8989-91A002E27861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2'!$U$222:$AL$222</c:f>
              <c:numCache>
                <c:formatCode>General</c:formatCode>
                <c:ptCount val="18"/>
                <c:pt idx="0">
                  <c:v>52836</c:v>
                </c:pt>
                <c:pt idx="1">
                  <c:v>39729</c:v>
                </c:pt>
                <c:pt idx="2">
                  <c:v>35278</c:v>
                </c:pt>
                <c:pt idx="3">
                  <c:v>31884</c:v>
                </c:pt>
                <c:pt idx="4">
                  <c:v>26708</c:v>
                </c:pt>
                <c:pt idx="5">
                  <c:v>20805</c:v>
                </c:pt>
                <c:pt idx="6">
                  <c:v>19151</c:v>
                </c:pt>
                <c:pt idx="7">
                  <c:v>13475</c:v>
                </c:pt>
                <c:pt idx="8">
                  <c:v>14266</c:v>
                </c:pt>
                <c:pt idx="9">
                  <c:v>12676</c:v>
                </c:pt>
                <c:pt idx="10">
                  <c:v>12297</c:v>
                </c:pt>
                <c:pt idx="11">
                  <c:v>12285</c:v>
                </c:pt>
                <c:pt idx="12">
                  <c:v>11831</c:v>
                </c:pt>
                <c:pt idx="13">
                  <c:v>12594</c:v>
                </c:pt>
                <c:pt idx="14">
                  <c:v>12135</c:v>
                </c:pt>
                <c:pt idx="15">
                  <c:v>12095</c:v>
                </c:pt>
                <c:pt idx="16">
                  <c:v>11882</c:v>
                </c:pt>
                <c:pt idx="17">
                  <c:v>11585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8-46D6-8989-91A002E27861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2'!$U$223:$AL$223</c:f>
              <c:numCache>
                <c:formatCode>General</c:formatCode>
                <c:ptCount val="18"/>
                <c:pt idx="0">
                  <c:v>51344</c:v>
                </c:pt>
                <c:pt idx="1">
                  <c:v>38370</c:v>
                </c:pt>
                <c:pt idx="2">
                  <c:v>34018</c:v>
                </c:pt>
                <c:pt idx="3">
                  <c:v>26712</c:v>
                </c:pt>
                <c:pt idx="4">
                  <c:v>24463</c:v>
                </c:pt>
                <c:pt idx="5">
                  <c:v>20277</c:v>
                </c:pt>
                <c:pt idx="6">
                  <c:v>17259</c:v>
                </c:pt>
                <c:pt idx="7">
                  <c:v>15840</c:v>
                </c:pt>
                <c:pt idx="8">
                  <c:v>13856</c:v>
                </c:pt>
                <c:pt idx="9">
                  <c:v>12509</c:v>
                </c:pt>
                <c:pt idx="10">
                  <c:v>12554</c:v>
                </c:pt>
                <c:pt idx="11">
                  <c:v>12390</c:v>
                </c:pt>
                <c:pt idx="12">
                  <c:v>11046</c:v>
                </c:pt>
                <c:pt idx="13">
                  <c:v>11561</c:v>
                </c:pt>
                <c:pt idx="14">
                  <c:v>11319</c:v>
                </c:pt>
                <c:pt idx="15">
                  <c:v>11457</c:v>
                </c:pt>
                <c:pt idx="16">
                  <c:v>11277</c:v>
                </c:pt>
                <c:pt idx="17">
                  <c:v>11069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8-46D6-8989-91A002E27861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2'!$U$224:$AL$224</c:f>
              <c:numCache>
                <c:formatCode>General</c:formatCode>
                <c:ptCount val="18"/>
                <c:pt idx="0">
                  <c:v>50033</c:v>
                </c:pt>
                <c:pt idx="1">
                  <c:v>37581</c:v>
                </c:pt>
                <c:pt idx="2">
                  <c:v>32725</c:v>
                </c:pt>
                <c:pt idx="3">
                  <c:v>27594</c:v>
                </c:pt>
                <c:pt idx="4">
                  <c:v>23364</c:v>
                </c:pt>
                <c:pt idx="5">
                  <c:v>19942</c:v>
                </c:pt>
                <c:pt idx="6">
                  <c:v>16907</c:v>
                </c:pt>
                <c:pt idx="7">
                  <c:v>10681</c:v>
                </c:pt>
                <c:pt idx="8">
                  <c:v>13327</c:v>
                </c:pt>
                <c:pt idx="9">
                  <c:v>12459</c:v>
                </c:pt>
                <c:pt idx="10">
                  <c:v>11801</c:v>
                </c:pt>
                <c:pt idx="11">
                  <c:v>12094</c:v>
                </c:pt>
                <c:pt idx="12">
                  <c:v>11552</c:v>
                </c:pt>
                <c:pt idx="13">
                  <c:v>11099</c:v>
                </c:pt>
                <c:pt idx="14">
                  <c:v>11511</c:v>
                </c:pt>
                <c:pt idx="15">
                  <c:v>10755</c:v>
                </c:pt>
                <c:pt idx="16">
                  <c:v>10759</c:v>
                </c:pt>
                <c:pt idx="17">
                  <c:v>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8-46D6-8989-91A002E27861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2'!$U$225:$AL$225</c:f>
              <c:numCache>
                <c:formatCode>General</c:formatCode>
                <c:ptCount val="18"/>
                <c:pt idx="0">
                  <c:v>48459</c:v>
                </c:pt>
                <c:pt idx="1">
                  <c:v>37308</c:v>
                </c:pt>
                <c:pt idx="2">
                  <c:v>30214</c:v>
                </c:pt>
                <c:pt idx="3">
                  <c:v>25494</c:v>
                </c:pt>
                <c:pt idx="4">
                  <c:v>22821</c:v>
                </c:pt>
                <c:pt idx="5">
                  <c:v>19379</c:v>
                </c:pt>
                <c:pt idx="6">
                  <c:v>16432</c:v>
                </c:pt>
                <c:pt idx="7">
                  <c:v>12361</c:v>
                </c:pt>
                <c:pt idx="8">
                  <c:v>12356</c:v>
                </c:pt>
                <c:pt idx="9">
                  <c:v>12160</c:v>
                </c:pt>
                <c:pt idx="10">
                  <c:v>11898</c:v>
                </c:pt>
                <c:pt idx="11">
                  <c:v>11645</c:v>
                </c:pt>
                <c:pt idx="12">
                  <c:v>11148</c:v>
                </c:pt>
                <c:pt idx="13">
                  <c:v>10983</c:v>
                </c:pt>
                <c:pt idx="14">
                  <c:v>11344</c:v>
                </c:pt>
                <c:pt idx="15">
                  <c:v>11350</c:v>
                </c:pt>
                <c:pt idx="16">
                  <c:v>11349</c:v>
                </c:pt>
                <c:pt idx="17">
                  <c:v>10510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58-46D6-8989-91A002E27861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2'!$U$226:$AL$226</c:f>
              <c:numCache>
                <c:formatCode>General</c:formatCode>
                <c:ptCount val="18"/>
                <c:pt idx="0">
                  <c:v>45819</c:v>
                </c:pt>
                <c:pt idx="1">
                  <c:v>36409</c:v>
                </c:pt>
                <c:pt idx="2">
                  <c:v>29881</c:v>
                </c:pt>
                <c:pt idx="3">
                  <c:v>25397</c:v>
                </c:pt>
                <c:pt idx="4">
                  <c:v>22375</c:v>
                </c:pt>
                <c:pt idx="5">
                  <c:v>18495</c:v>
                </c:pt>
                <c:pt idx="6">
                  <c:v>15525</c:v>
                </c:pt>
                <c:pt idx="7">
                  <c:v>11544</c:v>
                </c:pt>
                <c:pt idx="8">
                  <c:v>12044</c:v>
                </c:pt>
                <c:pt idx="9">
                  <c:v>11005</c:v>
                </c:pt>
                <c:pt idx="10">
                  <c:v>11660</c:v>
                </c:pt>
                <c:pt idx="11">
                  <c:v>11327</c:v>
                </c:pt>
                <c:pt idx="12">
                  <c:v>10857</c:v>
                </c:pt>
                <c:pt idx="13">
                  <c:v>10880</c:v>
                </c:pt>
                <c:pt idx="14">
                  <c:v>10548</c:v>
                </c:pt>
                <c:pt idx="15">
                  <c:v>10954</c:v>
                </c:pt>
                <c:pt idx="16">
                  <c:v>10672</c:v>
                </c:pt>
                <c:pt idx="17">
                  <c:v>10734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8-46D6-8989-91A002E27861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2'!$U$227:$AL$227</c:f>
              <c:numCache>
                <c:formatCode>General</c:formatCode>
                <c:ptCount val="18"/>
                <c:pt idx="0">
                  <c:v>44136</c:v>
                </c:pt>
                <c:pt idx="1">
                  <c:v>34411</c:v>
                </c:pt>
                <c:pt idx="2">
                  <c:v>28482</c:v>
                </c:pt>
                <c:pt idx="3">
                  <c:v>24380</c:v>
                </c:pt>
                <c:pt idx="4">
                  <c:v>21659</c:v>
                </c:pt>
                <c:pt idx="5">
                  <c:v>18124</c:v>
                </c:pt>
                <c:pt idx="6">
                  <c:v>15013</c:v>
                </c:pt>
                <c:pt idx="7">
                  <c:v>13111</c:v>
                </c:pt>
                <c:pt idx="8">
                  <c:v>11804</c:v>
                </c:pt>
                <c:pt idx="9">
                  <c:v>11178</c:v>
                </c:pt>
                <c:pt idx="10">
                  <c:v>10824</c:v>
                </c:pt>
                <c:pt idx="11">
                  <c:v>11131</c:v>
                </c:pt>
                <c:pt idx="12">
                  <c:v>10585</c:v>
                </c:pt>
                <c:pt idx="13">
                  <c:v>11026</c:v>
                </c:pt>
                <c:pt idx="14">
                  <c:v>10880</c:v>
                </c:pt>
                <c:pt idx="15">
                  <c:v>10530</c:v>
                </c:pt>
                <c:pt idx="16">
                  <c:v>10366</c:v>
                </c:pt>
                <c:pt idx="17">
                  <c:v>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58-46D6-8989-91A002E278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6144528"/>
        <c:axId val="986149520"/>
        <c:axId val="751457040"/>
      </c:surface3DChart>
      <c:catAx>
        <c:axId val="9861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6604308836395454"/>
              <c:y val="0.7560538786818313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49520"/>
        <c:crosses val="autoZero"/>
        <c:auto val="1"/>
        <c:lblAlgn val="ctr"/>
        <c:lblOffset val="100"/>
        <c:noMultiLvlLbl val="0"/>
      </c:catAx>
      <c:valAx>
        <c:axId val="986149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Mikrosekuden</a:t>
                </a:r>
              </a:p>
            </c:rich>
          </c:tx>
          <c:layout>
            <c:manualLayout>
              <c:xMode val="edge"/>
              <c:yMode val="edge"/>
              <c:x val="0.90650590551181098"/>
              <c:y val="0.20128681831437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44528"/>
        <c:crosses val="autoZero"/>
        <c:crossBetween val="midCat"/>
      </c:valAx>
      <c:serAx>
        <c:axId val="7514570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4.0597987751531055E-2"/>
              <c:y val="0.525644502770487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49520"/>
        <c:crosses val="autoZero"/>
      </c:serAx>
    </c:plotArea>
    <c:legend>
      <c:legendPos val="b"/>
      <c:layout>
        <c:manualLayout>
          <c:xMode val="edge"/>
          <c:yMode val="edge"/>
          <c:x val="0.13587292213473315"/>
          <c:y val="0.89872630504520268"/>
          <c:w val="0.715754155730533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</a:t>
            </a:r>
            <a:r>
              <a:rPr lang="de-DE" baseline="0"/>
              <a:t> - Guided - sup6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59492563429572"/>
          <c:y val="0.12541666666666668"/>
          <c:w val="0.79152296587926507"/>
          <c:h val="0.71588692038495183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2'!$B$230:$S$230</c:f>
              <c:numCache>
                <c:formatCode>General</c:formatCode>
                <c:ptCount val="1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6A8-BEA4-8BFCF2262A4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2'!$B$231:$S$231</c:f>
              <c:numCache>
                <c:formatCode>General</c:formatCode>
                <c:ptCount val="18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8-46A8-BEA4-8BFCF2262A4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2'!$B$232:$S$232</c:f>
              <c:numCache>
                <c:formatCode>General</c:formatCode>
                <c:ptCount val="18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8-46A8-BEA4-8BFCF2262A4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2'!$B$233:$S$233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8-46A8-BEA4-8BFCF2262A47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2'!$B$234:$S$234</c:f>
              <c:numCache>
                <c:formatCode>General</c:formatCode>
                <c:ptCount val="18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8-46A8-BEA4-8BFCF2262A47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2'!$B$235:$S$235</c:f>
              <c:numCache>
                <c:formatCode>General</c:formatCode>
                <c:ptCount val="18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A8-46A8-BEA4-8BFCF2262A47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2'!$B$236:$S$236</c:f>
              <c:numCache>
                <c:formatCode>General</c:formatCode>
                <c:ptCount val="1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A8-46A8-BEA4-8BFCF2262A47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2'!$B$237:$S$237</c:f>
              <c:numCache>
                <c:formatCode>General</c:formatCode>
                <c:ptCount val="1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28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A8-46A8-BEA4-8BFCF2262A47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2'!$B$238:$S$238</c:f>
              <c:numCache>
                <c:formatCode>General</c:formatCode>
                <c:ptCount val="18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28</c:v>
                </c:pt>
                <c:pt idx="15">
                  <c:v>26</c:v>
                </c:pt>
                <c:pt idx="16">
                  <c:v>28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A8-46A8-BEA4-8BFCF2262A47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2'!$B$239:$S$239</c:f>
              <c:numCache>
                <c:formatCode>General</c:formatCode>
                <c:ptCount val="18"/>
                <c:pt idx="0">
                  <c:v>26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A8-46A8-BEA4-8BFCF2262A47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2'!$B$240:$S$240</c:f>
              <c:numCache>
                <c:formatCode>General</c:formatCode>
                <c:ptCount val="18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32</c:v>
                </c:pt>
                <c:pt idx="11">
                  <c:v>31</c:v>
                </c:pt>
                <c:pt idx="12">
                  <c:v>28</c:v>
                </c:pt>
                <c:pt idx="13">
                  <c:v>29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A8-46A8-BEA4-8BFCF2262A47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2'!$B$241:$S$241</c:f>
              <c:numCache>
                <c:formatCode>General</c:formatCode>
                <c:ptCount val="18"/>
                <c:pt idx="0">
                  <c:v>31</c:v>
                </c:pt>
                <c:pt idx="1">
                  <c:v>30</c:v>
                </c:pt>
                <c:pt idx="2">
                  <c:v>33</c:v>
                </c:pt>
                <c:pt idx="3">
                  <c:v>28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31</c:v>
                </c:pt>
                <c:pt idx="8">
                  <c:v>33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A8-46A8-BEA4-8BFCF2262A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21784720"/>
        <c:axId val="921788880"/>
        <c:axId val="747373408"/>
      </c:surface3DChart>
      <c:catAx>
        <c:axId val="9217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9439479440069996"/>
              <c:y val="0.805909157188684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788880"/>
        <c:crosses val="autoZero"/>
        <c:auto val="1"/>
        <c:lblAlgn val="ctr"/>
        <c:lblOffset val="100"/>
        <c:noMultiLvlLbl val="0"/>
      </c:catAx>
      <c:valAx>
        <c:axId val="9217888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2473643919510062"/>
              <c:y val="0.20875000000000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784720"/>
        <c:crosses val="autoZero"/>
        <c:crossBetween val="midCat"/>
      </c:valAx>
      <c:serAx>
        <c:axId val="7473734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Threads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9.8291557305336771E-2"/>
              <c:y val="0.725053587051618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78888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Times2 - Guided - sup6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930555555555557"/>
          <c:w val="0.89665266841644797"/>
          <c:h val="0.6591546369203849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2'!$U$230:$AL$230</c:f>
              <c:numCache>
                <c:formatCode>General</c:formatCode>
                <c:ptCount val="18"/>
                <c:pt idx="0">
                  <c:v>44010</c:v>
                </c:pt>
                <c:pt idx="1">
                  <c:v>44019</c:v>
                </c:pt>
                <c:pt idx="2">
                  <c:v>44155</c:v>
                </c:pt>
                <c:pt idx="3">
                  <c:v>44014</c:v>
                </c:pt>
                <c:pt idx="4">
                  <c:v>44086</c:v>
                </c:pt>
                <c:pt idx="5">
                  <c:v>44015</c:v>
                </c:pt>
                <c:pt idx="6">
                  <c:v>44026</c:v>
                </c:pt>
                <c:pt idx="7">
                  <c:v>44018</c:v>
                </c:pt>
                <c:pt idx="8">
                  <c:v>44025</c:v>
                </c:pt>
                <c:pt idx="9">
                  <c:v>44022</c:v>
                </c:pt>
                <c:pt idx="10">
                  <c:v>44022</c:v>
                </c:pt>
                <c:pt idx="11">
                  <c:v>44018</c:v>
                </c:pt>
                <c:pt idx="12">
                  <c:v>44009</c:v>
                </c:pt>
                <c:pt idx="13">
                  <c:v>44019</c:v>
                </c:pt>
                <c:pt idx="14">
                  <c:v>44023</c:v>
                </c:pt>
                <c:pt idx="15">
                  <c:v>44015</c:v>
                </c:pt>
                <c:pt idx="16">
                  <c:v>44022</c:v>
                </c:pt>
                <c:pt idx="17">
                  <c:v>44032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7-4992-8A2E-FBF98D3A158D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2'!$U$231:$AL$231</c:f>
              <c:numCache>
                <c:formatCode>General</c:formatCode>
                <c:ptCount val="18"/>
                <c:pt idx="0">
                  <c:v>26438</c:v>
                </c:pt>
                <c:pt idx="1">
                  <c:v>28157</c:v>
                </c:pt>
                <c:pt idx="2">
                  <c:v>27182</c:v>
                </c:pt>
                <c:pt idx="3">
                  <c:v>27516</c:v>
                </c:pt>
                <c:pt idx="4">
                  <c:v>28513</c:v>
                </c:pt>
                <c:pt idx="5">
                  <c:v>27558</c:v>
                </c:pt>
                <c:pt idx="6">
                  <c:v>23844</c:v>
                </c:pt>
                <c:pt idx="7">
                  <c:v>27233</c:v>
                </c:pt>
                <c:pt idx="8">
                  <c:v>28109</c:v>
                </c:pt>
                <c:pt idx="9">
                  <c:v>27722</c:v>
                </c:pt>
                <c:pt idx="10">
                  <c:v>25550</c:v>
                </c:pt>
                <c:pt idx="11">
                  <c:v>27269</c:v>
                </c:pt>
                <c:pt idx="12">
                  <c:v>27721</c:v>
                </c:pt>
                <c:pt idx="13">
                  <c:v>27747</c:v>
                </c:pt>
                <c:pt idx="14">
                  <c:v>27328</c:v>
                </c:pt>
                <c:pt idx="15">
                  <c:v>27515</c:v>
                </c:pt>
                <c:pt idx="16">
                  <c:v>27631</c:v>
                </c:pt>
                <c:pt idx="17">
                  <c:v>26740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7-4992-8A2E-FBF98D3A158D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2'!$U$232:$AL$232</c:f>
              <c:numCache>
                <c:formatCode>General</c:formatCode>
                <c:ptCount val="18"/>
                <c:pt idx="0">
                  <c:v>21720</c:v>
                </c:pt>
                <c:pt idx="1">
                  <c:v>21371</c:v>
                </c:pt>
                <c:pt idx="2">
                  <c:v>21524</c:v>
                </c:pt>
                <c:pt idx="3">
                  <c:v>21407</c:v>
                </c:pt>
                <c:pt idx="4">
                  <c:v>20892</c:v>
                </c:pt>
                <c:pt idx="5">
                  <c:v>21232</c:v>
                </c:pt>
                <c:pt idx="6">
                  <c:v>20864</c:v>
                </c:pt>
                <c:pt idx="7">
                  <c:v>20668</c:v>
                </c:pt>
                <c:pt idx="8">
                  <c:v>20607</c:v>
                </c:pt>
                <c:pt idx="9">
                  <c:v>20548</c:v>
                </c:pt>
                <c:pt idx="10">
                  <c:v>20646</c:v>
                </c:pt>
                <c:pt idx="11">
                  <c:v>20741</c:v>
                </c:pt>
                <c:pt idx="12">
                  <c:v>20302</c:v>
                </c:pt>
                <c:pt idx="13">
                  <c:v>20050</c:v>
                </c:pt>
                <c:pt idx="14">
                  <c:v>20352</c:v>
                </c:pt>
                <c:pt idx="15">
                  <c:v>20534</c:v>
                </c:pt>
                <c:pt idx="16">
                  <c:v>20623</c:v>
                </c:pt>
                <c:pt idx="17">
                  <c:v>20282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7-4992-8A2E-FBF98D3A158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2'!$U$233:$AL$233</c:f>
              <c:numCache>
                <c:formatCode>General</c:formatCode>
                <c:ptCount val="18"/>
                <c:pt idx="0">
                  <c:v>18304</c:v>
                </c:pt>
                <c:pt idx="1">
                  <c:v>18295</c:v>
                </c:pt>
                <c:pt idx="2">
                  <c:v>17547</c:v>
                </c:pt>
                <c:pt idx="3">
                  <c:v>17640</c:v>
                </c:pt>
                <c:pt idx="4">
                  <c:v>17437</c:v>
                </c:pt>
                <c:pt idx="5">
                  <c:v>17698</c:v>
                </c:pt>
                <c:pt idx="6">
                  <c:v>17708</c:v>
                </c:pt>
                <c:pt idx="7">
                  <c:v>17143</c:v>
                </c:pt>
                <c:pt idx="8">
                  <c:v>16852</c:v>
                </c:pt>
                <c:pt idx="9">
                  <c:v>17063</c:v>
                </c:pt>
                <c:pt idx="10">
                  <c:v>17654</c:v>
                </c:pt>
                <c:pt idx="11">
                  <c:v>17541</c:v>
                </c:pt>
                <c:pt idx="12">
                  <c:v>17355</c:v>
                </c:pt>
                <c:pt idx="13">
                  <c:v>17131</c:v>
                </c:pt>
                <c:pt idx="14">
                  <c:v>17400</c:v>
                </c:pt>
                <c:pt idx="15">
                  <c:v>16865</c:v>
                </c:pt>
                <c:pt idx="16">
                  <c:v>17461</c:v>
                </c:pt>
                <c:pt idx="17">
                  <c:v>17499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7-4992-8A2E-FBF98D3A158D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2'!$U$234:$AL$234</c:f>
              <c:numCache>
                <c:formatCode>General</c:formatCode>
                <c:ptCount val="18"/>
                <c:pt idx="0">
                  <c:v>16309</c:v>
                </c:pt>
                <c:pt idx="1">
                  <c:v>16223</c:v>
                </c:pt>
                <c:pt idx="2">
                  <c:v>15941</c:v>
                </c:pt>
                <c:pt idx="3">
                  <c:v>16066</c:v>
                </c:pt>
                <c:pt idx="4">
                  <c:v>16162</c:v>
                </c:pt>
                <c:pt idx="5">
                  <c:v>15884</c:v>
                </c:pt>
                <c:pt idx="6">
                  <c:v>15765</c:v>
                </c:pt>
                <c:pt idx="7">
                  <c:v>15324</c:v>
                </c:pt>
                <c:pt idx="8">
                  <c:v>15458</c:v>
                </c:pt>
                <c:pt idx="9">
                  <c:v>14315</c:v>
                </c:pt>
                <c:pt idx="10">
                  <c:v>15642</c:v>
                </c:pt>
                <c:pt idx="11">
                  <c:v>15615</c:v>
                </c:pt>
                <c:pt idx="12">
                  <c:v>15515</c:v>
                </c:pt>
                <c:pt idx="13">
                  <c:v>15354</c:v>
                </c:pt>
                <c:pt idx="14">
                  <c:v>15367</c:v>
                </c:pt>
                <c:pt idx="15">
                  <c:v>15412</c:v>
                </c:pt>
                <c:pt idx="16">
                  <c:v>15251</c:v>
                </c:pt>
                <c:pt idx="17">
                  <c:v>15469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7-4992-8A2E-FBF98D3A158D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2'!$U$235:$AL$235</c:f>
              <c:numCache>
                <c:formatCode>General</c:formatCode>
                <c:ptCount val="18"/>
                <c:pt idx="0">
                  <c:v>15376</c:v>
                </c:pt>
                <c:pt idx="1">
                  <c:v>15131</c:v>
                </c:pt>
                <c:pt idx="2">
                  <c:v>15141</c:v>
                </c:pt>
                <c:pt idx="3">
                  <c:v>15173</c:v>
                </c:pt>
                <c:pt idx="4">
                  <c:v>15017</c:v>
                </c:pt>
                <c:pt idx="5">
                  <c:v>14450</c:v>
                </c:pt>
                <c:pt idx="6">
                  <c:v>14577</c:v>
                </c:pt>
                <c:pt idx="7">
                  <c:v>13372</c:v>
                </c:pt>
                <c:pt idx="8">
                  <c:v>14611</c:v>
                </c:pt>
                <c:pt idx="9">
                  <c:v>14431</c:v>
                </c:pt>
                <c:pt idx="10">
                  <c:v>12071</c:v>
                </c:pt>
                <c:pt idx="11">
                  <c:v>14362</c:v>
                </c:pt>
                <c:pt idx="12">
                  <c:v>13878</c:v>
                </c:pt>
                <c:pt idx="13">
                  <c:v>13924</c:v>
                </c:pt>
                <c:pt idx="14">
                  <c:v>14478</c:v>
                </c:pt>
                <c:pt idx="15">
                  <c:v>14186</c:v>
                </c:pt>
                <c:pt idx="16">
                  <c:v>14454</c:v>
                </c:pt>
                <c:pt idx="17">
                  <c:v>14188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7-4992-8A2E-FBF98D3A158D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2'!$U$236:$AL$236</c:f>
              <c:numCache>
                <c:formatCode>General</c:formatCode>
                <c:ptCount val="18"/>
                <c:pt idx="0">
                  <c:v>14577</c:v>
                </c:pt>
                <c:pt idx="1">
                  <c:v>14550</c:v>
                </c:pt>
                <c:pt idx="2">
                  <c:v>13765</c:v>
                </c:pt>
                <c:pt idx="3">
                  <c:v>14282</c:v>
                </c:pt>
                <c:pt idx="4">
                  <c:v>13886</c:v>
                </c:pt>
                <c:pt idx="5">
                  <c:v>14025</c:v>
                </c:pt>
                <c:pt idx="6">
                  <c:v>13869</c:v>
                </c:pt>
                <c:pt idx="7">
                  <c:v>11982</c:v>
                </c:pt>
                <c:pt idx="8">
                  <c:v>13071</c:v>
                </c:pt>
                <c:pt idx="9">
                  <c:v>12967</c:v>
                </c:pt>
                <c:pt idx="10">
                  <c:v>14020</c:v>
                </c:pt>
                <c:pt idx="11">
                  <c:v>12449</c:v>
                </c:pt>
                <c:pt idx="12">
                  <c:v>12544</c:v>
                </c:pt>
                <c:pt idx="13">
                  <c:v>12628</c:v>
                </c:pt>
                <c:pt idx="14">
                  <c:v>12709</c:v>
                </c:pt>
                <c:pt idx="15">
                  <c:v>12515</c:v>
                </c:pt>
                <c:pt idx="16">
                  <c:v>11725</c:v>
                </c:pt>
                <c:pt idx="17">
                  <c:v>12933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7-4992-8A2E-FBF98D3A158D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2'!$U$237:$AL$237</c:f>
              <c:numCache>
                <c:formatCode>General</c:formatCode>
                <c:ptCount val="18"/>
                <c:pt idx="0">
                  <c:v>16574</c:v>
                </c:pt>
                <c:pt idx="1">
                  <c:v>15098</c:v>
                </c:pt>
                <c:pt idx="2">
                  <c:v>15447</c:v>
                </c:pt>
                <c:pt idx="3">
                  <c:v>15291</c:v>
                </c:pt>
                <c:pt idx="4">
                  <c:v>14259</c:v>
                </c:pt>
                <c:pt idx="5">
                  <c:v>15053</c:v>
                </c:pt>
                <c:pt idx="6">
                  <c:v>15882</c:v>
                </c:pt>
                <c:pt idx="7">
                  <c:v>14254</c:v>
                </c:pt>
                <c:pt idx="8">
                  <c:v>14095</c:v>
                </c:pt>
                <c:pt idx="9">
                  <c:v>13745</c:v>
                </c:pt>
                <c:pt idx="10">
                  <c:v>13838</c:v>
                </c:pt>
                <c:pt idx="11">
                  <c:v>14272</c:v>
                </c:pt>
                <c:pt idx="12">
                  <c:v>14848</c:v>
                </c:pt>
                <c:pt idx="13">
                  <c:v>15199</c:v>
                </c:pt>
                <c:pt idx="14">
                  <c:v>14681</c:v>
                </c:pt>
                <c:pt idx="15">
                  <c:v>14422</c:v>
                </c:pt>
                <c:pt idx="16">
                  <c:v>14970</c:v>
                </c:pt>
                <c:pt idx="17">
                  <c:v>14554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47-4992-8A2E-FBF98D3A158D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2'!$U$238:$AL$238</c:f>
              <c:numCache>
                <c:formatCode>General</c:formatCode>
                <c:ptCount val="18"/>
                <c:pt idx="0">
                  <c:v>16008</c:v>
                </c:pt>
                <c:pt idx="1">
                  <c:v>15313</c:v>
                </c:pt>
                <c:pt idx="2">
                  <c:v>15904</c:v>
                </c:pt>
                <c:pt idx="3">
                  <c:v>14558</c:v>
                </c:pt>
                <c:pt idx="4">
                  <c:v>14962</c:v>
                </c:pt>
                <c:pt idx="5">
                  <c:v>14221</c:v>
                </c:pt>
                <c:pt idx="6">
                  <c:v>15482</c:v>
                </c:pt>
                <c:pt idx="7">
                  <c:v>15164</c:v>
                </c:pt>
                <c:pt idx="8">
                  <c:v>14288</c:v>
                </c:pt>
                <c:pt idx="9">
                  <c:v>15486</c:v>
                </c:pt>
                <c:pt idx="10">
                  <c:v>12852</c:v>
                </c:pt>
                <c:pt idx="11">
                  <c:v>14244</c:v>
                </c:pt>
                <c:pt idx="12">
                  <c:v>14711</c:v>
                </c:pt>
                <c:pt idx="13">
                  <c:v>14962</c:v>
                </c:pt>
                <c:pt idx="14">
                  <c:v>14619</c:v>
                </c:pt>
                <c:pt idx="15">
                  <c:v>14389</c:v>
                </c:pt>
                <c:pt idx="16">
                  <c:v>13791</c:v>
                </c:pt>
                <c:pt idx="17">
                  <c:v>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7-4992-8A2E-FBF98D3A158D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2'!$U$239:$AL$239</c:f>
              <c:numCache>
                <c:formatCode>General</c:formatCode>
                <c:ptCount val="18"/>
                <c:pt idx="0">
                  <c:v>14718</c:v>
                </c:pt>
                <c:pt idx="1">
                  <c:v>15069</c:v>
                </c:pt>
                <c:pt idx="2">
                  <c:v>14050</c:v>
                </c:pt>
                <c:pt idx="3">
                  <c:v>15224</c:v>
                </c:pt>
                <c:pt idx="4">
                  <c:v>14373</c:v>
                </c:pt>
                <c:pt idx="5">
                  <c:v>15233</c:v>
                </c:pt>
                <c:pt idx="6">
                  <c:v>14508</c:v>
                </c:pt>
                <c:pt idx="7">
                  <c:v>14426</c:v>
                </c:pt>
                <c:pt idx="8">
                  <c:v>14023</c:v>
                </c:pt>
                <c:pt idx="9">
                  <c:v>13811</c:v>
                </c:pt>
                <c:pt idx="10">
                  <c:v>14652</c:v>
                </c:pt>
                <c:pt idx="11">
                  <c:v>13854</c:v>
                </c:pt>
                <c:pt idx="12">
                  <c:v>13891</c:v>
                </c:pt>
                <c:pt idx="13">
                  <c:v>13581</c:v>
                </c:pt>
                <c:pt idx="14">
                  <c:v>13275</c:v>
                </c:pt>
                <c:pt idx="15">
                  <c:v>13782</c:v>
                </c:pt>
                <c:pt idx="16">
                  <c:v>14175</c:v>
                </c:pt>
                <c:pt idx="17">
                  <c:v>14332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47-4992-8A2E-FBF98D3A158D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2'!$U$240:$AL$240</c:f>
              <c:numCache>
                <c:formatCode>General</c:formatCode>
                <c:ptCount val="18"/>
                <c:pt idx="0">
                  <c:v>14647</c:v>
                </c:pt>
                <c:pt idx="1">
                  <c:v>13796</c:v>
                </c:pt>
                <c:pt idx="2">
                  <c:v>16231</c:v>
                </c:pt>
                <c:pt idx="3">
                  <c:v>13440</c:v>
                </c:pt>
                <c:pt idx="4">
                  <c:v>13707</c:v>
                </c:pt>
                <c:pt idx="5">
                  <c:v>14088</c:v>
                </c:pt>
                <c:pt idx="6">
                  <c:v>14341</c:v>
                </c:pt>
                <c:pt idx="7">
                  <c:v>13577</c:v>
                </c:pt>
                <c:pt idx="8">
                  <c:v>14132</c:v>
                </c:pt>
                <c:pt idx="9">
                  <c:v>13071</c:v>
                </c:pt>
                <c:pt idx="10">
                  <c:v>13632</c:v>
                </c:pt>
                <c:pt idx="11">
                  <c:v>12121</c:v>
                </c:pt>
                <c:pt idx="12">
                  <c:v>13404</c:v>
                </c:pt>
                <c:pt idx="13">
                  <c:v>13170</c:v>
                </c:pt>
                <c:pt idx="14">
                  <c:v>12516</c:v>
                </c:pt>
                <c:pt idx="15">
                  <c:v>12285</c:v>
                </c:pt>
                <c:pt idx="16">
                  <c:v>13270</c:v>
                </c:pt>
                <c:pt idx="17">
                  <c:v>12687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7-4992-8A2E-FBF98D3A158D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2'!$U$241:$AL$241</c:f>
              <c:numCache>
                <c:formatCode>General</c:formatCode>
                <c:ptCount val="18"/>
                <c:pt idx="0">
                  <c:v>15548</c:v>
                </c:pt>
                <c:pt idx="1">
                  <c:v>15161</c:v>
                </c:pt>
                <c:pt idx="2">
                  <c:v>14634</c:v>
                </c:pt>
                <c:pt idx="3">
                  <c:v>13952</c:v>
                </c:pt>
                <c:pt idx="4">
                  <c:v>13394</c:v>
                </c:pt>
                <c:pt idx="5">
                  <c:v>13328</c:v>
                </c:pt>
                <c:pt idx="6">
                  <c:v>13844</c:v>
                </c:pt>
                <c:pt idx="7">
                  <c:v>13741</c:v>
                </c:pt>
                <c:pt idx="8">
                  <c:v>12465</c:v>
                </c:pt>
                <c:pt idx="9">
                  <c:v>12862</c:v>
                </c:pt>
                <c:pt idx="10">
                  <c:v>11962</c:v>
                </c:pt>
                <c:pt idx="11">
                  <c:v>11819</c:v>
                </c:pt>
                <c:pt idx="12">
                  <c:v>12208</c:v>
                </c:pt>
                <c:pt idx="13">
                  <c:v>12318</c:v>
                </c:pt>
                <c:pt idx="14">
                  <c:v>12593</c:v>
                </c:pt>
                <c:pt idx="15">
                  <c:v>11904</c:v>
                </c:pt>
                <c:pt idx="16">
                  <c:v>12155</c:v>
                </c:pt>
                <c:pt idx="17">
                  <c:v>11666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47-4992-8A2E-FBF98D3A158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4155328"/>
        <c:axId val="974156992"/>
        <c:axId val="751454560"/>
      </c:surface3DChart>
      <c:catAx>
        <c:axId val="9741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71162620297462809"/>
              <c:y val="0.793289588801399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56992"/>
        <c:crosses val="autoZero"/>
        <c:auto val="1"/>
        <c:lblAlgn val="ctr"/>
        <c:lblOffset val="100"/>
        <c:noMultiLvlLbl val="0"/>
      </c:catAx>
      <c:valAx>
        <c:axId val="974156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1483923884514451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55328"/>
        <c:crosses val="autoZero"/>
        <c:crossBetween val="midCat"/>
      </c:valAx>
      <c:serAx>
        <c:axId val="7514545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6.5057305336832905E-2"/>
              <c:y val="0.64819736074657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569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Times3</a:t>
            </a:r>
            <a:r>
              <a:rPr lang="de-DE" baseline="0"/>
              <a:t> - Static - sup6.dat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E-2"/>
          <c:y val="8.5613517060367447E-2"/>
          <c:w val="0.90776377952755904"/>
          <c:h val="0.70082130358705153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3'!$B$102:$S$102</c:f>
              <c:numCache>
                <c:formatCode>General</c:formatCode>
                <c:ptCount val="18"/>
                <c:pt idx="0">
                  <c:v>59741</c:v>
                </c:pt>
                <c:pt idx="1">
                  <c:v>59762</c:v>
                </c:pt>
                <c:pt idx="2">
                  <c:v>59761</c:v>
                </c:pt>
                <c:pt idx="3">
                  <c:v>59795</c:v>
                </c:pt>
                <c:pt idx="4">
                  <c:v>59751</c:v>
                </c:pt>
                <c:pt idx="5">
                  <c:v>59752</c:v>
                </c:pt>
                <c:pt idx="6">
                  <c:v>59749</c:v>
                </c:pt>
                <c:pt idx="7">
                  <c:v>59750</c:v>
                </c:pt>
                <c:pt idx="8">
                  <c:v>59751</c:v>
                </c:pt>
                <c:pt idx="9">
                  <c:v>59745</c:v>
                </c:pt>
                <c:pt idx="10">
                  <c:v>59747</c:v>
                </c:pt>
                <c:pt idx="11">
                  <c:v>59746</c:v>
                </c:pt>
                <c:pt idx="12">
                  <c:v>59749</c:v>
                </c:pt>
                <c:pt idx="13">
                  <c:v>59748</c:v>
                </c:pt>
                <c:pt idx="14">
                  <c:v>59750</c:v>
                </c:pt>
                <c:pt idx="15">
                  <c:v>59751</c:v>
                </c:pt>
                <c:pt idx="16">
                  <c:v>59746</c:v>
                </c:pt>
                <c:pt idx="17">
                  <c:v>59749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0-4F30-87DC-AD96A5C31E5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3'!$B$103:$S$103</c:f>
              <c:numCache>
                <c:formatCode>General</c:formatCode>
                <c:ptCount val="18"/>
                <c:pt idx="0">
                  <c:v>32307</c:v>
                </c:pt>
                <c:pt idx="1">
                  <c:v>33297</c:v>
                </c:pt>
                <c:pt idx="2">
                  <c:v>34348</c:v>
                </c:pt>
                <c:pt idx="3">
                  <c:v>33302</c:v>
                </c:pt>
                <c:pt idx="4">
                  <c:v>33633</c:v>
                </c:pt>
                <c:pt idx="5">
                  <c:v>34121</c:v>
                </c:pt>
                <c:pt idx="6">
                  <c:v>30644</c:v>
                </c:pt>
                <c:pt idx="7">
                  <c:v>29945</c:v>
                </c:pt>
                <c:pt idx="8">
                  <c:v>29988</c:v>
                </c:pt>
                <c:pt idx="9">
                  <c:v>29894</c:v>
                </c:pt>
                <c:pt idx="10">
                  <c:v>30006</c:v>
                </c:pt>
                <c:pt idx="11">
                  <c:v>30042</c:v>
                </c:pt>
                <c:pt idx="12">
                  <c:v>29972</c:v>
                </c:pt>
                <c:pt idx="13">
                  <c:v>29898</c:v>
                </c:pt>
                <c:pt idx="14">
                  <c:v>29895</c:v>
                </c:pt>
                <c:pt idx="15">
                  <c:v>30058</c:v>
                </c:pt>
                <c:pt idx="16">
                  <c:v>30013</c:v>
                </c:pt>
                <c:pt idx="17">
                  <c:v>30030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0-4F30-87DC-AD96A5C31E5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3'!$B$104:$S$104</c:f>
              <c:numCache>
                <c:formatCode>General</c:formatCode>
                <c:ptCount val="18"/>
                <c:pt idx="0">
                  <c:v>24819</c:v>
                </c:pt>
                <c:pt idx="1">
                  <c:v>22966</c:v>
                </c:pt>
                <c:pt idx="2">
                  <c:v>22979</c:v>
                </c:pt>
                <c:pt idx="3">
                  <c:v>27023</c:v>
                </c:pt>
                <c:pt idx="4">
                  <c:v>25495</c:v>
                </c:pt>
                <c:pt idx="5">
                  <c:v>23305</c:v>
                </c:pt>
                <c:pt idx="6">
                  <c:v>21125</c:v>
                </c:pt>
                <c:pt idx="7">
                  <c:v>20138</c:v>
                </c:pt>
                <c:pt idx="8">
                  <c:v>20044</c:v>
                </c:pt>
                <c:pt idx="9">
                  <c:v>19942</c:v>
                </c:pt>
                <c:pt idx="10">
                  <c:v>20038</c:v>
                </c:pt>
                <c:pt idx="11">
                  <c:v>20130</c:v>
                </c:pt>
                <c:pt idx="12">
                  <c:v>19990</c:v>
                </c:pt>
                <c:pt idx="13">
                  <c:v>19925</c:v>
                </c:pt>
                <c:pt idx="14">
                  <c:v>20065</c:v>
                </c:pt>
                <c:pt idx="15">
                  <c:v>20041</c:v>
                </c:pt>
                <c:pt idx="16">
                  <c:v>20074</c:v>
                </c:pt>
                <c:pt idx="17">
                  <c:v>19978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0-4F30-87DC-AD96A5C31E5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3'!$B$105:$S$105</c:f>
              <c:numCache>
                <c:formatCode>General</c:formatCode>
                <c:ptCount val="18"/>
                <c:pt idx="0">
                  <c:v>19057</c:v>
                </c:pt>
                <c:pt idx="1">
                  <c:v>17911</c:v>
                </c:pt>
                <c:pt idx="2">
                  <c:v>17805</c:v>
                </c:pt>
                <c:pt idx="3">
                  <c:v>17453</c:v>
                </c:pt>
                <c:pt idx="4">
                  <c:v>19781</c:v>
                </c:pt>
                <c:pt idx="5">
                  <c:v>17994</c:v>
                </c:pt>
                <c:pt idx="6">
                  <c:v>16753</c:v>
                </c:pt>
                <c:pt idx="7">
                  <c:v>15077</c:v>
                </c:pt>
                <c:pt idx="8">
                  <c:v>15135</c:v>
                </c:pt>
                <c:pt idx="9">
                  <c:v>15093</c:v>
                </c:pt>
                <c:pt idx="10">
                  <c:v>15034</c:v>
                </c:pt>
                <c:pt idx="11">
                  <c:v>15164</c:v>
                </c:pt>
                <c:pt idx="12">
                  <c:v>15178</c:v>
                </c:pt>
                <c:pt idx="13">
                  <c:v>15141</c:v>
                </c:pt>
                <c:pt idx="14">
                  <c:v>14956</c:v>
                </c:pt>
                <c:pt idx="15">
                  <c:v>15202</c:v>
                </c:pt>
                <c:pt idx="16">
                  <c:v>15021</c:v>
                </c:pt>
                <c:pt idx="17">
                  <c:v>15166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0-4F30-87DC-AD96A5C31E57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3'!$B$106:$S$106</c:f>
              <c:numCache>
                <c:formatCode>General</c:formatCode>
                <c:ptCount val="18"/>
                <c:pt idx="0">
                  <c:v>15337</c:v>
                </c:pt>
                <c:pt idx="1">
                  <c:v>14192</c:v>
                </c:pt>
                <c:pt idx="2">
                  <c:v>15321</c:v>
                </c:pt>
                <c:pt idx="3">
                  <c:v>15345</c:v>
                </c:pt>
                <c:pt idx="4">
                  <c:v>14166</c:v>
                </c:pt>
                <c:pt idx="5">
                  <c:v>15228</c:v>
                </c:pt>
                <c:pt idx="6">
                  <c:v>13118</c:v>
                </c:pt>
                <c:pt idx="7">
                  <c:v>12151</c:v>
                </c:pt>
                <c:pt idx="8">
                  <c:v>12055</c:v>
                </c:pt>
                <c:pt idx="9">
                  <c:v>11973</c:v>
                </c:pt>
                <c:pt idx="10">
                  <c:v>12159</c:v>
                </c:pt>
                <c:pt idx="11">
                  <c:v>12013</c:v>
                </c:pt>
                <c:pt idx="12">
                  <c:v>12225</c:v>
                </c:pt>
                <c:pt idx="13">
                  <c:v>12019</c:v>
                </c:pt>
                <c:pt idx="14">
                  <c:v>11979</c:v>
                </c:pt>
                <c:pt idx="15">
                  <c:v>12298</c:v>
                </c:pt>
                <c:pt idx="16">
                  <c:v>12100</c:v>
                </c:pt>
                <c:pt idx="17">
                  <c:v>12293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0-4F30-87DC-AD96A5C31E57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3'!$B$107:$S$107</c:f>
              <c:numCache>
                <c:formatCode>General</c:formatCode>
                <c:ptCount val="18"/>
                <c:pt idx="0">
                  <c:v>12650</c:v>
                </c:pt>
                <c:pt idx="1">
                  <c:v>13659</c:v>
                </c:pt>
                <c:pt idx="2">
                  <c:v>12581</c:v>
                </c:pt>
                <c:pt idx="3">
                  <c:v>12838</c:v>
                </c:pt>
                <c:pt idx="4">
                  <c:v>13149</c:v>
                </c:pt>
                <c:pt idx="5">
                  <c:v>12478</c:v>
                </c:pt>
                <c:pt idx="6">
                  <c:v>11634</c:v>
                </c:pt>
                <c:pt idx="7">
                  <c:v>10926</c:v>
                </c:pt>
                <c:pt idx="8">
                  <c:v>10021</c:v>
                </c:pt>
                <c:pt idx="9">
                  <c:v>10065</c:v>
                </c:pt>
                <c:pt idx="10">
                  <c:v>10034</c:v>
                </c:pt>
                <c:pt idx="11">
                  <c:v>10222</c:v>
                </c:pt>
                <c:pt idx="12">
                  <c:v>10014</c:v>
                </c:pt>
                <c:pt idx="13">
                  <c:v>9976</c:v>
                </c:pt>
                <c:pt idx="14">
                  <c:v>10251</c:v>
                </c:pt>
                <c:pt idx="15">
                  <c:v>10072</c:v>
                </c:pt>
                <c:pt idx="16">
                  <c:v>10180</c:v>
                </c:pt>
                <c:pt idx="17">
                  <c:v>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0-4F30-87DC-AD96A5C31E57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3'!$B$108:$S$108</c:f>
              <c:numCache>
                <c:formatCode>General</c:formatCode>
                <c:ptCount val="18"/>
                <c:pt idx="0">
                  <c:v>13867</c:v>
                </c:pt>
                <c:pt idx="1">
                  <c:v>15226</c:v>
                </c:pt>
                <c:pt idx="2">
                  <c:v>14846</c:v>
                </c:pt>
                <c:pt idx="3">
                  <c:v>14905</c:v>
                </c:pt>
                <c:pt idx="4">
                  <c:v>14463</c:v>
                </c:pt>
                <c:pt idx="5">
                  <c:v>14372</c:v>
                </c:pt>
                <c:pt idx="6">
                  <c:v>13302</c:v>
                </c:pt>
                <c:pt idx="7">
                  <c:v>13751</c:v>
                </c:pt>
                <c:pt idx="8">
                  <c:v>14151</c:v>
                </c:pt>
                <c:pt idx="9">
                  <c:v>13527</c:v>
                </c:pt>
                <c:pt idx="10">
                  <c:v>13823</c:v>
                </c:pt>
                <c:pt idx="11">
                  <c:v>14566</c:v>
                </c:pt>
                <c:pt idx="12">
                  <c:v>13478</c:v>
                </c:pt>
                <c:pt idx="13">
                  <c:v>13163</c:v>
                </c:pt>
                <c:pt idx="14">
                  <c:v>14231</c:v>
                </c:pt>
                <c:pt idx="15">
                  <c:v>13414</c:v>
                </c:pt>
                <c:pt idx="16">
                  <c:v>13396</c:v>
                </c:pt>
                <c:pt idx="17">
                  <c:v>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0-4F30-87DC-AD96A5C31E57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3'!$B$109:$S$109</c:f>
              <c:numCache>
                <c:formatCode>General</c:formatCode>
                <c:ptCount val="18"/>
                <c:pt idx="0">
                  <c:v>13980</c:v>
                </c:pt>
                <c:pt idx="1">
                  <c:v>14420</c:v>
                </c:pt>
                <c:pt idx="2">
                  <c:v>13841</c:v>
                </c:pt>
                <c:pt idx="3">
                  <c:v>13650</c:v>
                </c:pt>
                <c:pt idx="4">
                  <c:v>14111</c:v>
                </c:pt>
                <c:pt idx="5">
                  <c:v>13741</c:v>
                </c:pt>
                <c:pt idx="6">
                  <c:v>13543</c:v>
                </c:pt>
                <c:pt idx="7">
                  <c:v>13319</c:v>
                </c:pt>
                <c:pt idx="8">
                  <c:v>13443</c:v>
                </c:pt>
                <c:pt idx="9">
                  <c:v>13608</c:v>
                </c:pt>
                <c:pt idx="10">
                  <c:v>12715</c:v>
                </c:pt>
                <c:pt idx="11">
                  <c:v>13332</c:v>
                </c:pt>
                <c:pt idx="12">
                  <c:v>12859</c:v>
                </c:pt>
                <c:pt idx="13">
                  <c:v>12949</c:v>
                </c:pt>
                <c:pt idx="14">
                  <c:v>12776</c:v>
                </c:pt>
                <c:pt idx="15">
                  <c:v>12893</c:v>
                </c:pt>
                <c:pt idx="16">
                  <c:v>12961</c:v>
                </c:pt>
                <c:pt idx="17">
                  <c:v>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D0-4F30-87DC-AD96A5C31E57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3'!$B$110:$S$110</c:f>
              <c:numCache>
                <c:formatCode>General</c:formatCode>
                <c:ptCount val="18"/>
                <c:pt idx="0">
                  <c:v>14782</c:v>
                </c:pt>
                <c:pt idx="1">
                  <c:v>14421</c:v>
                </c:pt>
                <c:pt idx="2">
                  <c:v>14369</c:v>
                </c:pt>
                <c:pt idx="3">
                  <c:v>14324</c:v>
                </c:pt>
                <c:pt idx="4">
                  <c:v>13831</c:v>
                </c:pt>
                <c:pt idx="5">
                  <c:v>13250</c:v>
                </c:pt>
                <c:pt idx="6">
                  <c:v>14027</c:v>
                </c:pt>
                <c:pt idx="7">
                  <c:v>13344</c:v>
                </c:pt>
                <c:pt idx="8">
                  <c:v>12823</c:v>
                </c:pt>
                <c:pt idx="9">
                  <c:v>12872</c:v>
                </c:pt>
                <c:pt idx="10">
                  <c:v>12893</c:v>
                </c:pt>
                <c:pt idx="11">
                  <c:v>12787</c:v>
                </c:pt>
                <c:pt idx="12">
                  <c:v>12401</c:v>
                </c:pt>
                <c:pt idx="13">
                  <c:v>12215</c:v>
                </c:pt>
                <c:pt idx="14">
                  <c:v>12600</c:v>
                </c:pt>
                <c:pt idx="15">
                  <c:v>12616</c:v>
                </c:pt>
                <c:pt idx="16">
                  <c:v>13017</c:v>
                </c:pt>
                <c:pt idx="17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D0-4F30-87DC-AD96A5C31E57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3'!$B$111:$S$111</c:f>
              <c:numCache>
                <c:formatCode>General</c:formatCode>
                <c:ptCount val="18"/>
                <c:pt idx="0">
                  <c:v>13735</c:v>
                </c:pt>
                <c:pt idx="1">
                  <c:v>14090</c:v>
                </c:pt>
                <c:pt idx="2">
                  <c:v>13590</c:v>
                </c:pt>
                <c:pt idx="3">
                  <c:v>13097</c:v>
                </c:pt>
                <c:pt idx="4">
                  <c:v>13205</c:v>
                </c:pt>
                <c:pt idx="5">
                  <c:v>13002</c:v>
                </c:pt>
                <c:pt idx="6">
                  <c:v>12286</c:v>
                </c:pt>
                <c:pt idx="7">
                  <c:v>12448</c:v>
                </c:pt>
                <c:pt idx="8">
                  <c:v>12416</c:v>
                </c:pt>
                <c:pt idx="9">
                  <c:v>12148</c:v>
                </c:pt>
                <c:pt idx="10">
                  <c:v>12031</c:v>
                </c:pt>
                <c:pt idx="11">
                  <c:v>11997</c:v>
                </c:pt>
                <c:pt idx="12">
                  <c:v>12121</c:v>
                </c:pt>
                <c:pt idx="13">
                  <c:v>12069</c:v>
                </c:pt>
                <c:pt idx="14">
                  <c:v>12089</c:v>
                </c:pt>
                <c:pt idx="15">
                  <c:v>11975</c:v>
                </c:pt>
                <c:pt idx="16">
                  <c:v>12268</c:v>
                </c:pt>
                <c:pt idx="17">
                  <c:v>12181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D0-4F30-87DC-AD96A5C31E57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3'!$B$112:$S$112</c:f>
              <c:numCache>
                <c:formatCode>General</c:formatCode>
                <c:ptCount val="18"/>
                <c:pt idx="0">
                  <c:v>12870</c:v>
                </c:pt>
                <c:pt idx="1">
                  <c:v>13066</c:v>
                </c:pt>
                <c:pt idx="2">
                  <c:v>12742</c:v>
                </c:pt>
                <c:pt idx="3">
                  <c:v>13086</c:v>
                </c:pt>
                <c:pt idx="4">
                  <c:v>12391</c:v>
                </c:pt>
                <c:pt idx="5">
                  <c:v>12288</c:v>
                </c:pt>
                <c:pt idx="6">
                  <c:v>12111</c:v>
                </c:pt>
                <c:pt idx="7">
                  <c:v>11794</c:v>
                </c:pt>
                <c:pt idx="8">
                  <c:v>11512</c:v>
                </c:pt>
                <c:pt idx="9">
                  <c:v>11061</c:v>
                </c:pt>
                <c:pt idx="10">
                  <c:v>11361</c:v>
                </c:pt>
                <c:pt idx="11">
                  <c:v>11356</c:v>
                </c:pt>
                <c:pt idx="12">
                  <c:v>11292</c:v>
                </c:pt>
                <c:pt idx="13">
                  <c:v>11260</c:v>
                </c:pt>
                <c:pt idx="14">
                  <c:v>11207</c:v>
                </c:pt>
                <c:pt idx="15">
                  <c:v>11077</c:v>
                </c:pt>
                <c:pt idx="16">
                  <c:v>11016</c:v>
                </c:pt>
                <c:pt idx="17">
                  <c:v>11076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D0-4F30-87DC-AD96A5C31E57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3'!$B$113:$S$113</c:f>
              <c:numCache>
                <c:formatCode>General</c:formatCode>
                <c:ptCount val="18"/>
                <c:pt idx="0">
                  <c:v>12212</c:v>
                </c:pt>
                <c:pt idx="1">
                  <c:v>12649</c:v>
                </c:pt>
                <c:pt idx="2">
                  <c:v>12183</c:v>
                </c:pt>
                <c:pt idx="3">
                  <c:v>12496</c:v>
                </c:pt>
                <c:pt idx="4">
                  <c:v>11723</c:v>
                </c:pt>
                <c:pt idx="5">
                  <c:v>11880</c:v>
                </c:pt>
                <c:pt idx="6">
                  <c:v>11267</c:v>
                </c:pt>
                <c:pt idx="7">
                  <c:v>11390</c:v>
                </c:pt>
                <c:pt idx="8">
                  <c:v>10714</c:v>
                </c:pt>
                <c:pt idx="9">
                  <c:v>10968</c:v>
                </c:pt>
                <c:pt idx="10">
                  <c:v>10414</c:v>
                </c:pt>
                <c:pt idx="11">
                  <c:v>10834</c:v>
                </c:pt>
                <c:pt idx="12">
                  <c:v>10707</c:v>
                </c:pt>
                <c:pt idx="13">
                  <c:v>10731</c:v>
                </c:pt>
                <c:pt idx="14">
                  <c:v>10636</c:v>
                </c:pt>
                <c:pt idx="15">
                  <c:v>10439</c:v>
                </c:pt>
                <c:pt idx="16">
                  <c:v>10397</c:v>
                </c:pt>
                <c:pt idx="17">
                  <c:v>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D0-4F30-87DC-AD96A5C31E5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8678800"/>
        <c:axId val="508682960"/>
        <c:axId val="274103456"/>
      </c:surface3DChart>
      <c:catAx>
        <c:axId val="50867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7.2609580052493419E-2"/>
              <c:y val="0.7516229221347330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82960"/>
        <c:crosses val="autoZero"/>
        <c:auto val="1"/>
        <c:lblAlgn val="ctr"/>
        <c:lblOffset val="100"/>
        <c:noMultiLvlLbl val="0"/>
      </c:catAx>
      <c:valAx>
        <c:axId val="508682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2344378827646545"/>
              <c:y val="0.118364683581219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78800"/>
        <c:crosses val="autoZero"/>
        <c:crossBetween val="midCat"/>
      </c:valAx>
      <c:serAx>
        <c:axId val="274103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1602690288713897"/>
              <c:y val="0.68768153980752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8296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</a:t>
            </a:r>
            <a:r>
              <a:rPr lang="de-DE" baseline="0"/>
              <a:t> - Dynamic - sup2.dat</a:t>
            </a:r>
            <a:endParaRPr lang="de-DE"/>
          </a:p>
        </c:rich>
      </c:tx>
      <c:layout>
        <c:manualLayout>
          <c:xMode val="edge"/>
          <c:yMode val="edge"/>
          <c:x val="0.26840266841644794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5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817147856517938E-2"/>
          <c:y val="0.11152777777777778"/>
          <c:w val="0.86007852143482066"/>
          <c:h val="0.67422025371828509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2'!$V$102:$AM$102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63E-B672-F85113E8561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2'!$V$103:$AM$103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63E-B672-F85113E8561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2'!$V$104:$AM$104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63E-B672-F85113E8561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2'!$V$105:$AM$105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2-463E-B672-F85113E85615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2'!$V$106:$AM$106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2-463E-B672-F85113E85615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2'!$V$107:$AM$107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63E-B672-F85113E85615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2'!$V$108:$AM$108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2-463E-B672-F85113E85615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2'!$V$109:$AM$109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63E-B672-F85113E85615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2'!$V$110:$AM$110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2-463E-B672-F85113E85615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2'!$V$111:$AM$111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63E-B672-F85113E85615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2'!$V$112:$AM$112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2-463E-B672-F85113E85615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2'!$V$113:$AM$113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2-463E-B672-F85113E856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6846527"/>
        <c:axId val="696841951"/>
        <c:axId val="688902719"/>
      </c:surface3DChart>
      <c:catAx>
        <c:axId val="69684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5669400699912514"/>
              <c:y val="0.85936169437153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841951"/>
        <c:crosses val="autoZero"/>
        <c:auto val="1"/>
        <c:lblAlgn val="ctr"/>
        <c:lblOffset val="100"/>
        <c:noMultiLvlLbl val="0"/>
      </c:catAx>
      <c:valAx>
        <c:axId val="6968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Microsekunden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846527"/>
        <c:crosses val="autoZero"/>
        <c:crossBetween val="midCat"/>
      </c:valAx>
      <c:serAx>
        <c:axId val="6889027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</a:t>
                </a:r>
                <a:r>
                  <a:rPr lang="de-DE"/>
                  <a:t> Threads</a:t>
                </a:r>
              </a:p>
            </c:rich>
          </c:tx>
          <c:layout>
            <c:manualLayout>
              <c:xMode val="edge"/>
              <c:yMode val="edge"/>
              <c:x val="0.86382786526684163"/>
              <c:y val="0.3901924759405074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84195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Times3 - Dynamic - sup6.dat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E-2"/>
          <c:y val="0.12078703703703704"/>
          <c:w val="0.94766666666666666"/>
          <c:h val="0.72396945173519978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3'!$U$102:$AL$102</c:f>
              <c:numCache>
                <c:formatCode>General</c:formatCode>
                <c:ptCount val="18"/>
                <c:pt idx="0">
                  <c:v>59971</c:v>
                </c:pt>
                <c:pt idx="1">
                  <c:v>59966</c:v>
                </c:pt>
                <c:pt idx="2">
                  <c:v>59960</c:v>
                </c:pt>
                <c:pt idx="3">
                  <c:v>59956</c:v>
                </c:pt>
                <c:pt idx="4">
                  <c:v>59954</c:v>
                </c:pt>
                <c:pt idx="5">
                  <c:v>59954</c:v>
                </c:pt>
                <c:pt idx="6">
                  <c:v>59951</c:v>
                </c:pt>
                <c:pt idx="7">
                  <c:v>59954</c:v>
                </c:pt>
                <c:pt idx="8">
                  <c:v>59954</c:v>
                </c:pt>
                <c:pt idx="9">
                  <c:v>59953</c:v>
                </c:pt>
                <c:pt idx="10">
                  <c:v>59956</c:v>
                </c:pt>
                <c:pt idx="11">
                  <c:v>59954</c:v>
                </c:pt>
                <c:pt idx="12">
                  <c:v>59953</c:v>
                </c:pt>
                <c:pt idx="13">
                  <c:v>59952</c:v>
                </c:pt>
                <c:pt idx="14">
                  <c:v>59953</c:v>
                </c:pt>
                <c:pt idx="15">
                  <c:v>59957</c:v>
                </c:pt>
                <c:pt idx="16">
                  <c:v>59956</c:v>
                </c:pt>
                <c:pt idx="17">
                  <c:v>59957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4-4456-BC89-42B6EA8E6C6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3'!$U$103:$AL$103</c:f>
              <c:numCache>
                <c:formatCode>General</c:formatCode>
                <c:ptCount val="18"/>
                <c:pt idx="0">
                  <c:v>92302</c:v>
                </c:pt>
                <c:pt idx="1">
                  <c:v>75920</c:v>
                </c:pt>
                <c:pt idx="2">
                  <c:v>82268</c:v>
                </c:pt>
                <c:pt idx="3">
                  <c:v>76898</c:v>
                </c:pt>
                <c:pt idx="4">
                  <c:v>64609</c:v>
                </c:pt>
                <c:pt idx="5">
                  <c:v>46703</c:v>
                </c:pt>
                <c:pt idx="6">
                  <c:v>43273</c:v>
                </c:pt>
                <c:pt idx="7">
                  <c:v>30463</c:v>
                </c:pt>
                <c:pt idx="8">
                  <c:v>30393</c:v>
                </c:pt>
                <c:pt idx="9">
                  <c:v>30268</c:v>
                </c:pt>
                <c:pt idx="10">
                  <c:v>30325</c:v>
                </c:pt>
                <c:pt idx="11">
                  <c:v>30376</c:v>
                </c:pt>
                <c:pt idx="12">
                  <c:v>30260</c:v>
                </c:pt>
                <c:pt idx="13">
                  <c:v>30434</c:v>
                </c:pt>
                <c:pt idx="14">
                  <c:v>30163</c:v>
                </c:pt>
                <c:pt idx="15">
                  <c:v>30386</c:v>
                </c:pt>
                <c:pt idx="16">
                  <c:v>30250</c:v>
                </c:pt>
                <c:pt idx="17">
                  <c:v>30279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4-4456-BC89-42B6EA8E6C6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3'!$U$104:$AL$104</c:f>
              <c:numCache>
                <c:formatCode>General</c:formatCode>
                <c:ptCount val="18"/>
                <c:pt idx="0">
                  <c:v>92838</c:v>
                </c:pt>
                <c:pt idx="1">
                  <c:v>82811</c:v>
                </c:pt>
                <c:pt idx="2">
                  <c:v>72882</c:v>
                </c:pt>
                <c:pt idx="3">
                  <c:v>74612</c:v>
                </c:pt>
                <c:pt idx="4">
                  <c:v>56473</c:v>
                </c:pt>
                <c:pt idx="5">
                  <c:v>49955</c:v>
                </c:pt>
                <c:pt idx="6">
                  <c:v>45979</c:v>
                </c:pt>
                <c:pt idx="7">
                  <c:v>37781</c:v>
                </c:pt>
                <c:pt idx="8">
                  <c:v>33010</c:v>
                </c:pt>
                <c:pt idx="9">
                  <c:v>27561</c:v>
                </c:pt>
                <c:pt idx="10">
                  <c:v>26316</c:v>
                </c:pt>
                <c:pt idx="11">
                  <c:v>22939</c:v>
                </c:pt>
                <c:pt idx="12">
                  <c:v>20620</c:v>
                </c:pt>
                <c:pt idx="13">
                  <c:v>20345</c:v>
                </c:pt>
                <c:pt idx="14">
                  <c:v>20389</c:v>
                </c:pt>
                <c:pt idx="15">
                  <c:v>20378</c:v>
                </c:pt>
                <c:pt idx="16">
                  <c:v>20204</c:v>
                </c:pt>
                <c:pt idx="17">
                  <c:v>20212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4-4456-BC89-42B6EA8E6C6F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3'!$U$105:$AL$105</c:f>
              <c:numCache>
                <c:formatCode>General</c:formatCode>
                <c:ptCount val="18"/>
                <c:pt idx="0">
                  <c:v>86101</c:v>
                </c:pt>
                <c:pt idx="1">
                  <c:v>65765</c:v>
                </c:pt>
                <c:pt idx="2">
                  <c:v>58602</c:v>
                </c:pt>
                <c:pt idx="3">
                  <c:v>53705</c:v>
                </c:pt>
                <c:pt idx="4">
                  <c:v>41683</c:v>
                </c:pt>
                <c:pt idx="5">
                  <c:v>35989</c:v>
                </c:pt>
                <c:pt idx="6">
                  <c:v>29585</c:v>
                </c:pt>
                <c:pt idx="7">
                  <c:v>23898</c:v>
                </c:pt>
                <c:pt idx="8">
                  <c:v>22566</c:v>
                </c:pt>
                <c:pt idx="9">
                  <c:v>15359</c:v>
                </c:pt>
                <c:pt idx="10">
                  <c:v>18309</c:v>
                </c:pt>
                <c:pt idx="11">
                  <c:v>15850</c:v>
                </c:pt>
                <c:pt idx="12">
                  <c:v>15335</c:v>
                </c:pt>
                <c:pt idx="13">
                  <c:v>15258</c:v>
                </c:pt>
                <c:pt idx="14">
                  <c:v>15253</c:v>
                </c:pt>
                <c:pt idx="15">
                  <c:v>15252</c:v>
                </c:pt>
                <c:pt idx="16">
                  <c:v>15214</c:v>
                </c:pt>
                <c:pt idx="17">
                  <c:v>15246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4-4456-BC89-42B6EA8E6C6F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3'!$U$106:$AL$106</c:f>
              <c:numCache>
                <c:formatCode>General</c:formatCode>
                <c:ptCount val="18"/>
                <c:pt idx="0">
                  <c:v>83642</c:v>
                </c:pt>
                <c:pt idx="1">
                  <c:v>58026</c:v>
                </c:pt>
                <c:pt idx="2">
                  <c:v>50575</c:v>
                </c:pt>
                <c:pt idx="3">
                  <c:v>44784</c:v>
                </c:pt>
                <c:pt idx="4">
                  <c:v>34893</c:v>
                </c:pt>
                <c:pt idx="5">
                  <c:v>31315</c:v>
                </c:pt>
                <c:pt idx="6">
                  <c:v>27141</c:v>
                </c:pt>
                <c:pt idx="7">
                  <c:v>21015</c:v>
                </c:pt>
                <c:pt idx="8">
                  <c:v>16104</c:v>
                </c:pt>
                <c:pt idx="9">
                  <c:v>14054</c:v>
                </c:pt>
                <c:pt idx="10">
                  <c:v>12552</c:v>
                </c:pt>
                <c:pt idx="11">
                  <c:v>12361</c:v>
                </c:pt>
                <c:pt idx="12">
                  <c:v>12285</c:v>
                </c:pt>
                <c:pt idx="13">
                  <c:v>12236</c:v>
                </c:pt>
                <c:pt idx="14">
                  <c:v>12231</c:v>
                </c:pt>
                <c:pt idx="15">
                  <c:v>12374</c:v>
                </c:pt>
                <c:pt idx="16">
                  <c:v>12210</c:v>
                </c:pt>
                <c:pt idx="17">
                  <c:v>12353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4-4456-BC89-42B6EA8E6C6F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3'!$U$107:$AL$107</c:f>
              <c:numCache>
                <c:formatCode>General</c:formatCode>
                <c:ptCount val="18"/>
                <c:pt idx="0">
                  <c:v>83354</c:v>
                </c:pt>
                <c:pt idx="1">
                  <c:v>54695</c:v>
                </c:pt>
                <c:pt idx="2">
                  <c:v>44721</c:v>
                </c:pt>
                <c:pt idx="3">
                  <c:v>37344</c:v>
                </c:pt>
                <c:pt idx="4">
                  <c:v>33837</c:v>
                </c:pt>
                <c:pt idx="5">
                  <c:v>27087</c:v>
                </c:pt>
                <c:pt idx="6">
                  <c:v>20924</c:v>
                </c:pt>
                <c:pt idx="7">
                  <c:v>16528</c:v>
                </c:pt>
                <c:pt idx="8">
                  <c:v>13023</c:v>
                </c:pt>
                <c:pt idx="9">
                  <c:v>10889</c:v>
                </c:pt>
                <c:pt idx="10">
                  <c:v>10321</c:v>
                </c:pt>
                <c:pt idx="11">
                  <c:v>10322</c:v>
                </c:pt>
                <c:pt idx="12">
                  <c:v>10197</c:v>
                </c:pt>
                <c:pt idx="13">
                  <c:v>10237</c:v>
                </c:pt>
                <c:pt idx="14">
                  <c:v>10300</c:v>
                </c:pt>
                <c:pt idx="15">
                  <c:v>10201</c:v>
                </c:pt>
                <c:pt idx="16">
                  <c:v>10236</c:v>
                </c:pt>
                <c:pt idx="17">
                  <c:v>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4-4456-BC89-42B6EA8E6C6F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3'!$U$108:$AL$108</c:f>
              <c:numCache>
                <c:formatCode>General</c:formatCode>
                <c:ptCount val="18"/>
                <c:pt idx="0">
                  <c:v>65360</c:v>
                </c:pt>
                <c:pt idx="1">
                  <c:v>49529</c:v>
                </c:pt>
                <c:pt idx="2">
                  <c:v>41568</c:v>
                </c:pt>
                <c:pt idx="3">
                  <c:v>38713</c:v>
                </c:pt>
                <c:pt idx="4">
                  <c:v>31019</c:v>
                </c:pt>
                <c:pt idx="5">
                  <c:v>23548</c:v>
                </c:pt>
                <c:pt idx="6">
                  <c:v>19851</c:v>
                </c:pt>
                <c:pt idx="7">
                  <c:v>17681</c:v>
                </c:pt>
                <c:pt idx="8">
                  <c:v>13687</c:v>
                </c:pt>
                <c:pt idx="9">
                  <c:v>12610</c:v>
                </c:pt>
                <c:pt idx="10">
                  <c:v>10878</c:v>
                </c:pt>
                <c:pt idx="11">
                  <c:v>10636</c:v>
                </c:pt>
                <c:pt idx="12">
                  <c:v>10044</c:v>
                </c:pt>
                <c:pt idx="13">
                  <c:v>10032</c:v>
                </c:pt>
                <c:pt idx="14">
                  <c:v>10032</c:v>
                </c:pt>
                <c:pt idx="15">
                  <c:v>10142</c:v>
                </c:pt>
                <c:pt idx="16">
                  <c:v>10228</c:v>
                </c:pt>
                <c:pt idx="17">
                  <c:v>10041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4-4456-BC89-42B6EA8E6C6F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3'!$U$109:$AL$109</c:f>
              <c:numCache>
                <c:formatCode>General</c:formatCode>
                <c:ptCount val="18"/>
                <c:pt idx="0">
                  <c:v>63117</c:v>
                </c:pt>
                <c:pt idx="1">
                  <c:v>48260</c:v>
                </c:pt>
                <c:pt idx="2">
                  <c:v>42617</c:v>
                </c:pt>
                <c:pt idx="3">
                  <c:v>36409</c:v>
                </c:pt>
                <c:pt idx="4">
                  <c:v>28835</c:v>
                </c:pt>
                <c:pt idx="5">
                  <c:v>22660</c:v>
                </c:pt>
                <c:pt idx="6">
                  <c:v>19011</c:v>
                </c:pt>
                <c:pt idx="7">
                  <c:v>16485</c:v>
                </c:pt>
                <c:pt idx="8">
                  <c:v>13517</c:v>
                </c:pt>
                <c:pt idx="9">
                  <c:v>11985</c:v>
                </c:pt>
                <c:pt idx="10">
                  <c:v>11200</c:v>
                </c:pt>
                <c:pt idx="11">
                  <c:v>10934</c:v>
                </c:pt>
                <c:pt idx="12">
                  <c:v>10306</c:v>
                </c:pt>
                <c:pt idx="13">
                  <c:v>10122</c:v>
                </c:pt>
                <c:pt idx="14">
                  <c:v>10086</c:v>
                </c:pt>
                <c:pt idx="15">
                  <c:v>10132</c:v>
                </c:pt>
                <c:pt idx="16">
                  <c:v>10170</c:v>
                </c:pt>
                <c:pt idx="17">
                  <c:v>10056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94-4456-BC89-42B6EA8E6C6F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3'!$U$110:$AL$110</c:f>
              <c:numCache>
                <c:formatCode>General</c:formatCode>
                <c:ptCount val="18"/>
                <c:pt idx="0">
                  <c:v>62350</c:v>
                </c:pt>
                <c:pt idx="1">
                  <c:v>47134</c:v>
                </c:pt>
                <c:pt idx="2">
                  <c:v>40461</c:v>
                </c:pt>
                <c:pt idx="3">
                  <c:v>33836</c:v>
                </c:pt>
                <c:pt idx="4">
                  <c:v>27905</c:v>
                </c:pt>
                <c:pt idx="5">
                  <c:v>22155</c:v>
                </c:pt>
                <c:pt idx="6">
                  <c:v>17739</c:v>
                </c:pt>
                <c:pt idx="7">
                  <c:v>15550</c:v>
                </c:pt>
                <c:pt idx="8">
                  <c:v>12700</c:v>
                </c:pt>
                <c:pt idx="9">
                  <c:v>11719</c:v>
                </c:pt>
                <c:pt idx="10">
                  <c:v>11221</c:v>
                </c:pt>
                <c:pt idx="11">
                  <c:v>10979</c:v>
                </c:pt>
                <c:pt idx="12">
                  <c:v>10317</c:v>
                </c:pt>
                <c:pt idx="13">
                  <c:v>10135</c:v>
                </c:pt>
                <c:pt idx="14">
                  <c:v>10028</c:v>
                </c:pt>
                <c:pt idx="15">
                  <c:v>10359</c:v>
                </c:pt>
                <c:pt idx="16">
                  <c:v>10053</c:v>
                </c:pt>
                <c:pt idx="17">
                  <c:v>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94-4456-BC89-42B6EA8E6C6F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3'!$U$111:$AL$111</c:f>
              <c:numCache>
                <c:formatCode>General</c:formatCode>
                <c:ptCount val="18"/>
                <c:pt idx="0">
                  <c:v>61266</c:v>
                </c:pt>
                <c:pt idx="1">
                  <c:v>44785</c:v>
                </c:pt>
                <c:pt idx="2">
                  <c:v>37834</c:v>
                </c:pt>
                <c:pt idx="3">
                  <c:v>31617</c:v>
                </c:pt>
                <c:pt idx="4">
                  <c:v>26441</c:v>
                </c:pt>
                <c:pt idx="5">
                  <c:v>20766</c:v>
                </c:pt>
                <c:pt idx="6">
                  <c:v>17012</c:v>
                </c:pt>
                <c:pt idx="7">
                  <c:v>14942</c:v>
                </c:pt>
                <c:pt idx="8">
                  <c:v>12102</c:v>
                </c:pt>
                <c:pt idx="9">
                  <c:v>11066</c:v>
                </c:pt>
                <c:pt idx="10">
                  <c:v>10616</c:v>
                </c:pt>
                <c:pt idx="11">
                  <c:v>10632</c:v>
                </c:pt>
                <c:pt idx="12">
                  <c:v>10233</c:v>
                </c:pt>
                <c:pt idx="13">
                  <c:v>10131</c:v>
                </c:pt>
                <c:pt idx="14">
                  <c:v>10036</c:v>
                </c:pt>
                <c:pt idx="15">
                  <c:v>10327</c:v>
                </c:pt>
                <c:pt idx="16">
                  <c:v>10052</c:v>
                </c:pt>
                <c:pt idx="17">
                  <c:v>10037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94-4456-BC89-42B6EA8E6C6F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3'!$U$112:$AL$112</c:f>
              <c:numCache>
                <c:formatCode>General</c:formatCode>
                <c:ptCount val="18"/>
                <c:pt idx="0">
                  <c:v>58997</c:v>
                </c:pt>
                <c:pt idx="1">
                  <c:v>43619</c:v>
                </c:pt>
                <c:pt idx="2">
                  <c:v>36177</c:v>
                </c:pt>
                <c:pt idx="3">
                  <c:v>32502</c:v>
                </c:pt>
                <c:pt idx="4">
                  <c:v>25401</c:v>
                </c:pt>
                <c:pt idx="5">
                  <c:v>20086</c:v>
                </c:pt>
                <c:pt idx="6">
                  <c:v>16070</c:v>
                </c:pt>
                <c:pt idx="7">
                  <c:v>13906</c:v>
                </c:pt>
                <c:pt idx="8">
                  <c:v>11000</c:v>
                </c:pt>
                <c:pt idx="9">
                  <c:v>10325</c:v>
                </c:pt>
                <c:pt idx="10">
                  <c:v>10303</c:v>
                </c:pt>
                <c:pt idx="11">
                  <c:v>10147</c:v>
                </c:pt>
                <c:pt idx="12">
                  <c:v>10120</c:v>
                </c:pt>
                <c:pt idx="13">
                  <c:v>10114</c:v>
                </c:pt>
                <c:pt idx="14">
                  <c:v>10013</c:v>
                </c:pt>
                <c:pt idx="15">
                  <c:v>9894</c:v>
                </c:pt>
                <c:pt idx="16">
                  <c:v>10021</c:v>
                </c:pt>
                <c:pt idx="17">
                  <c:v>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4-4456-BC89-42B6EA8E6C6F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3'!$U$113:$AL$113</c:f>
              <c:numCache>
                <c:formatCode>General</c:formatCode>
                <c:ptCount val="18"/>
                <c:pt idx="0">
                  <c:v>55854</c:v>
                </c:pt>
                <c:pt idx="1">
                  <c:v>42059</c:v>
                </c:pt>
                <c:pt idx="2">
                  <c:v>34946</c:v>
                </c:pt>
                <c:pt idx="3">
                  <c:v>30553</c:v>
                </c:pt>
                <c:pt idx="4">
                  <c:v>24397</c:v>
                </c:pt>
                <c:pt idx="5">
                  <c:v>19062</c:v>
                </c:pt>
                <c:pt idx="6">
                  <c:v>15447</c:v>
                </c:pt>
                <c:pt idx="7">
                  <c:v>13880</c:v>
                </c:pt>
                <c:pt idx="8">
                  <c:v>10435</c:v>
                </c:pt>
                <c:pt idx="9">
                  <c:v>9800</c:v>
                </c:pt>
                <c:pt idx="10">
                  <c:v>9797</c:v>
                </c:pt>
                <c:pt idx="11">
                  <c:v>9728</c:v>
                </c:pt>
                <c:pt idx="12">
                  <c:v>9814</c:v>
                </c:pt>
                <c:pt idx="13">
                  <c:v>9797</c:v>
                </c:pt>
                <c:pt idx="14">
                  <c:v>9680</c:v>
                </c:pt>
                <c:pt idx="15">
                  <c:v>9793</c:v>
                </c:pt>
                <c:pt idx="16">
                  <c:v>10007</c:v>
                </c:pt>
                <c:pt idx="17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94-4456-BC89-42B6EA8E6C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8709600"/>
        <c:axId val="488710016"/>
        <c:axId val="489134672"/>
      </c:surface3DChart>
      <c:catAx>
        <c:axId val="4887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71845166229221358"/>
              <c:y val="0.82988261883931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10016"/>
        <c:crosses val="autoZero"/>
        <c:auto val="1"/>
        <c:lblAlgn val="ctr"/>
        <c:lblOffset val="100"/>
        <c:noMultiLvlLbl val="0"/>
      </c:catAx>
      <c:valAx>
        <c:axId val="488710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5095034995625549"/>
              <c:y val="0.182768299795858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09600"/>
        <c:crosses val="autoZero"/>
        <c:crossBetween val="midCat"/>
      </c:valAx>
      <c:serAx>
        <c:axId val="489134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7.9486876640419951E-2"/>
              <c:y val="0.752496354622338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1001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Times3 - Guided - sup6.dat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467592592592595"/>
          <c:w val="0.9299860017497813"/>
          <c:h val="0.62674722951297757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3'!$AN$102:$BE$102</c:f>
              <c:numCache>
                <c:formatCode>General</c:formatCode>
                <c:ptCount val="18"/>
                <c:pt idx="0">
                  <c:v>60333</c:v>
                </c:pt>
                <c:pt idx="1">
                  <c:v>60331</c:v>
                </c:pt>
                <c:pt idx="2">
                  <c:v>60329</c:v>
                </c:pt>
                <c:pt idx="3">
                  <c:v>60332</c:v>
                </c:pt>
                <c:pt idx="4">
                  <c:v>60330</c:v>
                </c:pt>
                <c:pt idx="5">
                  <c:v>60331</c:v>
                </c:pt>
                <c:pt idx="6">
                  <c:v>60332</c:v>
                </c:pt>
                <c:pt idx="7">
                  <c:v>60332</c:v>
                </c:pt>
                <c:pt idx="8">
                  <c:v>60327</c:v>
                </c:pt>
                <c:pt idx="9">
                  <c:v>60329</c:v>
                </c:pt>
                <c:pt idx="10">
                  <c:v>60330</c:v>
                </c:pt>
                <c:pt idx="11">
                  <c:v>60331</c:v>
                </c:pt>
                <c:pt idx="12">
                  <c:v>60331</c:v>
                </c:pt>
                <c:pt idx="13">
                  <c:v>60330</c:v>
                </c:pt>
                <c:pt idx="14">
                  <c:v>60331</c:v>
                </c:pt>
                <c:pt idx="15">
                  <c:v>60332</c:v>
                </c:pt>
                <c:pt idx="16">
                  <c:v>60333</c:v>
                </c:pt>
                <c:pt idx="17">
                  <c:v>60333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11B-A061-9F613A6E865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3'!$AN$103:$BE$103</c:f>
              <c:numCache>
                <c:formatCode>General</c:formatCode>
                <c:ptCount val="18"/>
                <c:pt idx="0">
                  <c:v>30180</c:v>
                </c:pt>
                <c:pt idx="1">
                  <c:v>30181</c:v>
                </c:pt>
                <c:pt idx="2">
                  <c:v>30181</c:v>
                </c:pt>
                <c:pt idx="3">
                  <c:v>30179</c:v>
                </c:pt>
                <c:pt idx="4">
                  <c:v>30178</c:v>
                </c:pt>
                <c:pt idx="5">
                  <c:v>30179</c:v>
                </c:pt>
                <c:pt idx="6">
                  <c:v>30179</c:v>
                </c:pt>
                <c:pt idx="7">
                  <c:v>30180</c:v>
                </c:pt>
                <c:pt idx="8">
                  <c:v>30179</c:v>
                </c:pt>
                <c:pt idx="9">
                  <c:v>30179</c:v>
                </c:pt>
                <c:pt idx="10">
                  <c:v>30180</c:v>
                </c:pt>
                <c:pt idx="11">
                  <c:v>30182</c:v>
                </c:pt>
                <c:pt idx="12">
                  <c:v>30181</c:v>
                </c:pt>
                <c:pt idx="13">
                  <c:v>30181</c:v>
                </c:pt>
                <c:pt idx="14">
                  <c:v>30181</c:v>
                </c:pt>
                <c:pt idx="15">
                  <c:v>30178</c:v>
                </c:pt>
                <c:pt idx="16">
                  <c:v>30178</c:v>
                </c:pt>
                <c:pt idx="17">
                  <c:v>30179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D-411B-A061-9F613A6E865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3'!$AN$104:$BE$104</c:f>
              <c:numCache>
                <c:formatCode>General</c:formatCode>
                <c:ptCount val="18"/>
                <c:pt idx="0">
                  <c:v>20396</c:v>
                </c:pt>
                <c:pt idx="1">
                  <c:v>20431</c:v>
                </c:pt>
                <c:pt idx="2">
                  <c:v>20432</c:v>
                </c:pt>
                <c:pt idx="3">
                  <c:v>20424</c:v>
                </c:pt>
                <c:pt idx="4">
                  <c:v>20354</c:v>
                </c:pt>
                <c:pt idx="5">
                  <c:v>20349</c:v>
                </c:pt>
                <c:pt idx="6">
                  <c:v>20333</c:v>
                </c:pt>
                <c:pt idx="7">
                  <c:v>20350</c:v>
                </c:pt>
                <c:pt idx="8">
                  <c:v>20368</c:v>
                </c:pt>
                <c:pt idx="9">
                  <c:v>20370</c:v>
                </c:pt>
                <c:pt idx="10">
                  <c:v>20389</c:v>
                </c:pt>
                <c:pt idx="11">
                  <c:v>20377</c:v>
                </c:pt>
                <c:pt idx="12">
                  <c:v>20407</c:v>
                </c:pt>
                <c:pt idx="13">
                  <c:v>20358</c:v>
                </c:pt>
                <c:pt idx="14">
                  <c:v>20351</c:v>
                </c:pt>
                <c:pt idx="15">
                  <c:v>20275</c:v>
                </c:pt>
                <c:pt idx="16">
                  <c:v>20298</c:v>
                </c:pt>
                <c:pt idx="17">
                  <c:v>20296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D-411B-A061-9F613A6E865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3'!$AN$105:$BE$105</c:f>
              <c:numCache>
                <c:formatCode>General</c:formatCode>
                <c:ptCount val="18"/>
                <c:pt idx="0">
                  <c:v>15458</c:v>
                </c:pt>
                <c:pt idx="1">
                  <c:v>15458</c:v>
                </c:pt>
                <c:pt idx="2">
                  <c:v>15427</c:v>
                </c:pt>
                <c:pt idx="3">
                  <c:v>15436</c:v>
                </c:pt>
                <c:pt idx="4">
                  <c:v>15388</c:v>
                </c:pt>
                <c:pt idx="5">
                  <c:v>15408</c:v>
                </c:pt>
                <c:pt idx="6">
                  <c:v>15290</c:v>
                </c:pt>
                <c:pt idx="7">
                  <c:v>15399</c:v>
                </c:pt>
                <c:pt idx="8">
                  <c:v>15333</c:v>
                </c:pt>
                <c:pt idx="9">
                  <c:v>15200</c:v>
                </c:pt>
                <c:pt idx="10">
                  <c:v>15124</c:v>
                </c:pt>
                <c:pt idx="11">
                  <c:v>15182</c:v>
                </c:pt>
                <c:pt idx="12">
                  <c:v>15220</c:v>
                </c:pt>
                <c:pt idx="13">
                  <c:v>15271</c:v>
                </c:pt>
                <c:pt idx="14">
                  <c:v>15345</c:v>
                </c:pt>
                <c:pt idx="15">
                  <c:v>15383</c:v>
                </c:pt>
                <c:pt idx="16">
                  <c:v>15373</c:v>
                </c:pt>
                <c:pt idx="17">
                  <c:v>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D-411B-A061-9F613A6E8654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3'!$AN$106:$BE$106</c:f>
              <c:numCache>
                <c:formatCode>General</c:formatCode>
                <c:ptCount val="18"/>
                <c:pt idx="0">
                  <c:v>12482</c:v>
                </c:pt>
                <c:pt idx="1">
                  <c:v>12484</c:v>
                </c:pt>
                <c:pt idx="2">
                  <c:v>12473</c:v>
                </c:pt>
                <c:pt idx="3">
                  <c:v>12416</c:v>
                </c:pt>
                <c:pt idx="4">
                  <c:v>12479</c:v>
                </c:pt>
                <c:pt idx="5">
                  <c:v>12322</c:v>
                </c:pt>
                <c:pt idx="6">
                  <c:v>12428</c:v>
                </c:pt>
                <c:pt idx="7">
                  <c:v>12226</c:v>
                </c:pt>
                <c:pt idx="8">
                  <c:v>12235</c:v>
                </c:pt>
                <c:pt idx="9">
                  <c:v>12259</c:v>
                </c:pt>
                <c:pt idx="10">
                  <c:v>12274</c:v>
                </c:pt>
                <c:pt idx="11">
                  <c:v>12236</c:v>
                </c:pt>
                <c:pt idx="12">
                  <c:v>12203</c:v>
                </c:pt>
                <c:pt idx="13">
                  <c:v>12200</c:v>
                </c:pt>
                <c:pt idx="14">
                  <c:v>12215</c:v>
                </c:pt>
                <c:pt idx="15">
                  <c:v>12226</c:v>
                </c:pt>
                <c:pt idx="16">
                  <c:v>12273</c:v>
                </c:pt>
                <c:pt idx="17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D-411B-A061-9F613A6E8654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3'!$AN$107:$BE$107</c:f>
              <c:numCache>
                <c:formatCode>General</c:formatCode>
                <c:ptCount val="18"/>
                <c:pt idx="0">
                  <c:v>10547</c:v>
                </c:pt>
                <c:pt idx="1">
                  <c:v>10551</c:v>
                </c:pt>
                <c:pt idx="2">
                  <c:v>10564</c:v>
                </c:pt>
                <c:pt idx="3">
                  <c:v>10444</c:v>
                </c:pt>
                <c:pt idx="4">
                  <c:v>10576</c:v>
                </c:pt>
                <c:pt idx="5">
                  <c:v>10397</c:v>
                </c:pt>
                <c:pt idx="6">
                  <c:v>10429</c:v>
                </c:pt>
                <c:pt idx="7">
                  <c:v>10315</c:v>
                </c:pt>
                <c:pt idx="8">
                  <c:v>10284</c:v>
                </c:pt>
                <c:pt idx="9">
                  <c:v>10268</c:v>
                </c:pt>
                <c:pt idx="10">
                  <c:v>10363</c:v>
                </c:pt>
                <c:pt idx="11">
                  <c:v>10192</c:v>
                </c:pt>
                <c:pt idx="12">
                  <c:v>10135</c:v>
                </c:pt>
                <c:pt idx="13">
                  <c:v>10146</c:v>
                </c:pt>
                <c:pt idx="14">
                  <c:v>10174</c:v>
                </c:pt>
                <c:pt idx="15">
                  <c:v>10172</c:v>
                </c:pt>
                <c:pt idx="16">
                  <c:v>10200</c:v>
                </c:pt>
                <c:pt idx="17">
                  <c:v>10230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D-411B-A061-9F613A6E865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3'!$AN$108:$BE$108</c:f>
              <c:numCache>
                <c:formatCode>General</c:formatCode>
                <c:ptCount val="18"/>
                <c:pt idx="0">
                  <c:v>10419</c:v>
                </c:pt>
                <c:pt idx="1">
                  <c:v>10456</c:v>
                </c:pt>
                <c:pt idx="2">
                  <c:v>10489</c:v>
                </c:pt>
                <c:pt idx="3">
                  <c:v>10512</c:v>
                </c:pt>
                <c:pt idx="4">
                  <c:v>10439</c:v>
                </c:pt>
                <c:pt idx="5">
                  <c:v>10260</c:v>
                </c:pt>
                <c:pt idx="6">
                  <c:v>10339</c:v>
                </c:pt>
                <c:pt idx="7">
                  <c:v>10274</c:v>
                </c:pt>
                <c:pt idx="8">
                  <c:v>10104</c:v>
                </c:pt>
                <c:pt idx="9">
                  <c:v>9978</c:v>
                </c:pt>
                <c:pt idx="10">
                  <c:v>10052</c:v>
                </c:pt>
                <c:pt idx="11">
                  <c:v>10050</c:v>
                </c:pt>
                <c:pt idx="12">
                  <c:v>10015</c:v>
                </c:pt>
                <c:pt idx="13">
                  <c:v>10021</c:v>
                </c:pt>
                <c:pt idx="14">
                  <c:v>10166</c:v>
                </c:pt>
                <c:pt idx="15">
                  <c:v>9960</c:v>
                </c:pt>
                <c:pt idx="16">
                  <c:v>9957</c:v>
                </c:pt>
                <c:pt idx="17">
                  <c:v>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D-411B-A061-9F613A6E865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3'!$AN$109:$BE$109</c:f>
              <c:numCache>
                <c:formatCode>General</c:formatCode>
                <c:ptCount val="18"/>
                <c:pt idx="0">
                  <c:v>10668</c:v>
                </c:pt>
                <c:pt idx="1">
                  <c:v>10563</c:v>
                </c:pt>
                <c:pt idx="2">
                  <c:v>10511</c:v>
                </c:pt>
                <c:pt idx="3">
                  <c:v>10428</c:v>
                </c:pt>
                <c:pt idx="4">
                  <c:v>10618</c:v>
                </c:pt>
                <c:pt idx="5">
                  <c:v>10401</c:v>
                </c:pt>
                <c:pt idx="6">
                  <c:v>10083</c:v>
                </c:pt>
                <c:pt idx="7">
                  <c:v>10241</c:v>
                </c:pt>
                <c:pt idx="8">
                  <c:v>10032</c:v>
                </c:pt>
                <c:pt idx="9">
                  <c:v>10032</c:v>
                </c:pt>
                <c:pt idx="10">
                  <c:v>10078</c:v>
                </c:pt>
                <c:pt idx="11">
                  <c:v>10149</c:v>
                </c:pt>
                <c:pt idx="12">
                  <c:v>10037</c:v>
                </c:pt>
                <c:pt idx="13">
                  <c:v>10168</c:v>
                </c:pt>
                <c:pt idx="14">
                  <c:v>10045</c:v>
                </c:pt>
                <c:pt idx="15">
                  <c:v>10103</c:v>
                </c:pt>
                <c:pt idx="16">
                  <c:v>10275</c:v>
                </c:pt>
                <c:pt idx="17">
                  <c:v>10151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D-411B-A061-9F613A6E865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3'!$AN$110:$BE$110</c:f>
              <c:numCache>
                <c:formatCode>General</c:formatCode>
                <c:ptCount val="18"/>
                <c:pt idx="0">
                  <c:v>10463</c:v>
                </c:pt>
                <c:pt idx="1">
                  <c:v>10637</c:v>
                </c:pt>
                <c:pt idx="2">
                  <c:v>10487</c:v>
                </c:pt>
                <c:pt idx="3">
                  <c:v>10546</c:v>
                </c:pt>
                <c:pt idx="4">
                  <c:v>10404</c:v>
                </c:pt>
                <c:pt idx="5">
                  <c:v>10325</c:v>
                </c:pt>
                <c:pt idx="6">
                  <c:v>10296</c:v>
                </c:pt>
                <c:pt idx="7">
                  <c:v>10284</c:v>
                </c:pt>
                <c:pt idx="8">
                  <c:v>9941</c:v>
                </c:pt>
                <c:pt idx="9">
                  <c:v>10234</c:v>
                </c:pt>
                <c:pt idx="10">
                  <c:v>10019</c:v>
                </c:pt>
                <c:pt idx="11">
                  <c:v>10077</c:v>
                </c:pt>
                <c:pt idx="12">
                  <c:v>10166</c:v>
                </c:pt>
                <c:pt idx="13">
                  <c:v>10129</c:v>
                </c:pt>
                <c:pt idx="14">
                  <c:v>10143</c:v>
                </c:pt>
                <c:pt idx="15">
                  <c:v>10160</c:v>
                </c:pt>
                <c:pt idx="16">
                  <c:v>10221</c:v>
                </c:pt>
                <c:pt idx="17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D-411B-A061-9F613A6E865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3'!$AN$111:$BE$111</c:f>
              <c:numCache>
                <c:formatCode>General</c:formatCode>
                <c:ptCount val="18"/>
                <c:pt idx="0">
                  <c:v>10418</c:v>
                </c:pt>
                <c:pt idx="1">
                  <c:v>10464</c:v>
                </c:pt>
                <c:pt idx="2">
                  <c:v>10375</c:v>
                </c:pt>
                <c:pt idx="3">
                  <c:v>10387</c:v>
                </c:pt>
                <c:pt idx="4">
                  <c:v>10418</c:v>
                </c:pt>
                <c:pt idx="5">
                  <c:v>10345</c:v>
                </c:pt>
                <c:pt idx="6">
                  <c:v>10068</c:v>
                </c:pt>
                <c:pt idx="7">
                  <c:v>10286</c:v>
                </c:pt>
                <c:pt idx="8">
                  <c:v>10254</c:v>
                </c:pt>
                <c:pt idx="9">
                  <c:v>10281</c:v>
                </c:pt>
                <c:pt idx="10">
                  <c:v>10282</c:v>
                </c:pt>
                <c:pt idx="11">
                  <c:v>10256</c:v>
                </c:pt>
                <c:pt idx="12">
                  <c:v>10062</c:v>
                </c:pt>
                <c:pt idx="13">
                  <c:v>10292</c:v>
                </c:pt>
                <c:pt idx="14">
                  <c:v>10088</c:v>
                </c:pt>
                <c:pt idx="15">
                  <c:v>10195</c:v>
                </c:pt>
                <c:pt idx="16">
                  <c:v>10100</c:v>
                </c:pt>
                <c:pt idx="17">
                  <c:v>10232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D-411B-A061-9F613A6E8654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3'!$AN$112:$BE$112</c:f>
              <c:numCache>
                <c:formatCode>General</c:formatCode>
                <c:ptCount val="18"/>
                <c:pt idx="0">
                  <c:v>10325</c:v>
                </c:pt>
                <c:pt idx="1">
                  <c:v>10285</c:v>
                </c:pt>
                <c:pt idx="2">
                  <c:v>10292</c:v>
                </c:pt>
                <c:pt idx="3">
                  <c:v>10160</c:v>
                </c:pt>
                <c:pt idx="4">
                  <c:v>10113</c:v>
                </c:pt>
                <c:pt idx="5">
                  <c:v>10054</c:v>
                </c:pt>
                <c:pt idx="6">
                  <c:v>9924</c:v>
                </c:pt>
                <c:pt idx="7">
                  <c:v>9893</c:v>
                </c:pt>
                <c:pt idx="8">
                  <c:v>9816</c:v>
                </c:pt>
                <c:pt idx="9">
                  <c:v>9805</c:v>
                </c:pt>
                <c:pt idx="10">
                  <c:v>9797</c:v>
                </c:pt>
                <c:pt idx="11">
                  <c:v>9804</c:v>
                </c:pt>
                <c:pt idx="12">
                  <c:v>9789</c:v>
                </c:pt>
                <c:pt idx="13">
                  <c:v>9777</c:v>
                </c:pt>
                <c:pt idx="14">
                  <c:v>9809</c:v>
                </c:pt>
                <c:pt idx="15">
                  <c:v>9811</c:v>
                </c:pt>
                <c:pt idx="16">
                  <c:v>9819</c:v>
                </c:pt>
                <c:pt idx="17">
                  <c:v>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D-411B-A061-9F613A6E8654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3'!$AN$113:$BE$113</c:f>
              <c:numCache>
                <c:formatCode>General</c:formatCode>
                <c:ptCount val="18"/>
                <c:pt idx="0">
                  <c:v>10264</c:v>
                </c:pt>
                <c:pt idx="1">
                  <c:v>10350</c:v>
                </c:pt>
                <c:pt idx="2">
                  <c:v>10215</c:v>
                </c:pt>
                <c:pt idx="3">
                  <c:v>10107</c:v>
                </c:pt>
                <c:pt idx="4">
                  <c:v>10036</c:v>
                </c:pt>
                <c:pt idx="5">
                  <c:v>9928</c:v>
                </c:pt>
                <c:pt idx="6">
                  <c:v>9854</c:v>
                </c:pt>
                <c:pt idx="7">
                  <c:v>9725</c:v>
                </c:pt>
                <c:pt idx="8">
                  <c:v>9759</c:v>
                </c:pt>
                <c:pt idx="9">
                  <c:v>9762</c:v>
                </c:pt>
                <c:pt idx="10">
                  <c:v>9780</c:v>
                </c:pt>
                <c:pt idx="11">
                  <c:v>9748</c:v>
                </c:pt>
                <c:pt idx="12">
                  <c:v>9749</c:v>
                </c:pt>
                <c:pt idx="13">
                  <c:v>9705</c:v>
                </c:pt>
                <c:pt idx="14">
                  <c:v>9722</c:v>
                </c:pt>
                <c:pt idx="15">
                  <c:v>9723</c:v>
                </c:pt>
                <c:pt idx="16">
                  <c:v>9756</c:v>
                </c:pt>
                <c:pt idx="17">
                  <c:v>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D-411B-A061-9F613A6E865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8878480"/>
        <c:axId val="428879312"/>
        <c:axId val="277124960"/>
      </c:surface3DChart>
      <c:catAx>
        <c:axId val="4288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7.6955380577427804E-2"/>
              <c:y val="0.7751563867016623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879312"/>
        <c:crosses val="autoZero"/>
        <c:auto val="1"/>
        <c:lblAlgn val="ctr"/>
        <c:lblOffset val="100"/>
        <c:noMultiLvlLbl val="0"/>
      </c:catAx>
      <c:valAx>
        <c:axId val="42887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Mikrosekunden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9095548993875765"/>
              <c:y val="0.17854986876640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878480"/>
        <c:crosses val="autoZero"/>
        <c:crossBetween val="midCat"/>
      </c:valAx>
      <c:serAx>
        <c:axId val="2771249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3547134733158346"/>
              <c:y val="0.696940799066783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8793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</a:t>
            </a:r>
            <a:r>
              <a:rPr lang="de-DE" baseline="0"/>
              <a:t> - Dynamic - sup2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928258967629049E-2"/>
          <c:y val="0.17171296296296296"/>
          <c:w val="0.92051618547681557"/>
          <c:h val="0.62674722951297757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3'!$B$116:$S$116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9-49E2-85F0-0C189FD0B0D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3'!$B$117:$S$117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9-49E2-85F0-0C189FD0B0D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3'!$B$118:$S$118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9-49E2-85F0-0C189FD0B0D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3'!$B$119:$S$119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9-49E2-85F0-0C189FD0B0D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3'!$B$120:$S$120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9-49E2-85F0-0C189FD0B0D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3'!$B$121:$S$121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9-49E2-85F0-0C189FD0B0D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3'!$B$122:$S$122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9-49E2-85F0-0C189FD0B0D6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3'!$B$123:$S$123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9-49E2-85F0-0C189FD0B0D6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3'!$B$124:$S$124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9-49E2-85F0-0C189FD0B0D6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3'!$B$125:$S$125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9-49E2-85F0-0C189FD0B0D6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3'!$B$126:$S$126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99-49E2-85F0-0C189FD0B0D6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3'!$B$127:$S$127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99-49E2-85F0-0C189FD0B0D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5147136"/>
        <c:axId val="1395147968"/>
        <c:axId val="1442938976"/>
      </c:surface3DChart>
      <c:catAx>
        <c:axId val="13951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9.7346456692913419E-2"/>
              <c:y val="0.807394284047827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7968"/>
        <c:crosses val="autoZero"/>
        <c:auto val="1"/>
        <c:lblAlgn val="ctr"/>
        <c:lblOffset val="100"/>
        <c:noMultiLvlLbl val="0"/>
      </c:catAx>
      <c:valAx>
        <c:axId val="13951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7.5958442694663161E-2"/>
              <c:y val="0.15584208223972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7136"/>
        <c:crosses val="autoZero"/>
        <c:crossBetween val="midCat"/>
      </c:valAx>
      <c:serAx>
        <c:axId val="14429389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5683442694663159"/>
              <c:y val="0.6830887284922717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796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Datatimes3 - Guided - sup2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706036745406839E-2"/>
          <c:y val="0.1115277777777778"/>
          <c:w val="0.84896741032370959"/>
          <c:h val="0.67884988334791485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3'!$B$130:$S$130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5-429E-9EF6-3D9C8A22B3ED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3'!$B$131:$S$131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5-429E-9EF6-3D9C8A22B3ED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3'!$B$132:$S$132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5-429E-9EF6-3D9C8A22B3E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3'!$B$133:$S$133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5-429E-9EF6-3D9C8A22B3ED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3'!$B$134:$S$134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5-429E-9EF6-3D9C8A22B3ED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3'!$B$135:$S$135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5-429E-9EF6-3D9C8A22B3ED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3'!$B$136:$S$136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5-429E-9EF6-3D9C8A22B3ED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3'!$B$137:$S$137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5-429E-9EF6-3D9C8A22B3ED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3'!$B$138:$S$138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5-429E-9EF6-3D9C8A22B3ED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3'!$B$139:$S$139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5-429E-9EF6-3D9C8A22B3ED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3'!$B$140:$S$140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5-429E-9EF6-3D9C8A22B3ED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3'!$B$141:$S$141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65-429E-9EF6-3D9C8A22B3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7208032"/>
        <c:axId val="1227210112"/>
        <c:axId val="1143865472"/>
      </c:surface3DChart>
      <c:catAx>
        <c:axId val="122720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4175918635170603"/>
              <c:y val="0.83363626421697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210112"/>
        <c:crosses val="autoZero"/>
        <c:auto val="1"/>
        <c:lblAlgn val="ctr"/>
        <c:lblOffset val="100"/>
        <c:noMultiLvlLbl val="0"/>
      </c:catAx>
      <c:valAx>
        <c:axId val="1227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6.012620297462816E-2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208032"/>
        <c:crosses val="autoZero"/>
        <c:crossBetween val="midCat"/>
      </c:valAx>
      <c:serAx>
        <c:axId val="11438654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91893088363954489"/>
              <c:y val="0.453919145523476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2101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Datatimes3 - Dynamic - sup5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3'!$U$130:$AL$130</c:f>
              <c:numCache>
                <c:formatCode>General</c:formatCode>
                <c:ptCount val="18"/>
                <c:pt idx="0">
                  <c:v>3973</c:v>
                </c:pt>
                <c:pt idx="1">
                  <c:v>3975</c:v>
                </c:pt>
                <c:pt idx="2">
                  <c:v>3973</c:v>
                </c:pt>
                <c:pt idx="3">
                  <c:v>3972</c:v>
                </c:pt>
                <c:pt idx="4">
                  <c:v>3972</c:v>
                </c:pt>
                <c:pt idx="5">
                  <c:v>3971</c:v>
                </c:pt>
                <c:pt idx="6">
                  <c:v>3971</c:v>
                </c:pt>
                <c:pt idx="7">
                  <c:v>3969</c:v>
                </c:pt>
                <c:pt idx="8">
                  <c:v>3969</c:v>
                </c:pt>
                <c:pt idx="9">
                  <c:v>3969</c:v>
                </c:pt>
                <c:pt idx="10">
                  <c:v>3971</c:v>
                </c:pt>
                <c:pt idx="11">
                  <c:v>3970</c:v>
                </c:pt>
                <c:pt idx="12">
                  <c:v>3969</c:v>
                </c:pt>
                <c:pt idx="13">
                  <c:v>3970</c:v>
                </c:pt>
                <c:pt idx="14">
                  <c:v>3971</c:v>
                </c:pt>
                <c:pt idx="15">
                  <c:v>3970</c:v>
                </c:pt>
                <c:pt idx="16">
                  <c:v>3971</c:v>
                </c:pt>
                <c:pt idx="17">
                  <c:v>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0-47ED-B9DF-61F4B325BF1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3'!$U$131:$AL$131</c:f>
              <c:numCache>
                <c:formatCode>General</c:formatCode>
                <c:ptCount val="18"/>
                <c:pt idx="0">
                  <c:v>6026</c:v>
                </c:pt>
                <c:pt idx="1">
                  <c:v>4764</c:v>
                </c:pt>
                <c:pt idx="2">
                  <c:v>5255</c:v>
                </c:pt>
                <c:pt idx="3">
                  <c:v>3724</c:v>
                </c:pt>
                <c:pt idx="4">
                  <c:v>4088</c:v>
                </c:pt>
                <c:pt idx="5">
                  <c:v>3646</c:v>
                </c:pt>
                <c:pt idx="6">
                  <c:v>2749</c:v>
                </c:pt>
                <c:pt idx="7">
                  <c:v>2004</c:v>
                </c:pt>
                <c:pt idx="8">
                  <c:v>2014</c:v>
                </c:pt>
                <c:pt idx="9">
                  <c:v>2015</c:v>
                </c:pt>
                <c:pt idx="10">
                  <c:v>2049</c:v>
                </c:pt>
                <c:pt idx="11">
                  <c:v>2034</c:v>
                </c:pt>
                <c:pt idx="12">
                  <c:v>2023</c:v>
                </c:pt>
                <c:pt idx="13">
                  <c:v>2038</c:v>
                </c:pt>
                <c:pt idx="14">
                  <c:v>2003</c:v>
                </c:pt>
                <c:pt idx="15">
                  <c:v>2000</c:v>
                </c:pt>
                <c:pt idx="16">
                  <c:v>2010</c:v>
                </c:pt>
                <c:pt idx="17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0-47ED-B9DF-61F4B325BF1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3'!$U$132:$AL$132</c:f>
              <c:numCache>
                <c:formatCode>General</c:formatCode>
                <c:ptCount val="18"/>
                <c:pt idx="0">
                  <c:v>6130</c:v>
                </c:pt>
                <c:pt idx="1">
                  <c:v>5306</c:v>
                </c:pt>
                <c:pt idx="2">
                  <c:v>4717</c:v>
                </c:pt>
                <c:pt idx="3">
                  <c:v>3777</c:v>
                </c:pt>
                <c:pt idx="4">
                  <c:v>3691</c:v>
                </c:pt>
                <c:pt idx="5">
                  <c:v>3218</c:v>
                </c:pt>
                <c:pt idx="6">
                  <c:v>2820</c:v>
                </c:pt>
                <c:pt idx="7">
                  <c:v>1357</c:v>
                </c:pt>
                <c:pt idx="8">
                  <c:v>1731</c:v>
                </c:pt>
                <c:pt idx="9">
                  <c:v>1360</c:v>
                </c:pt>
                <c:pt idx="10">
                  <c:v>1393</c:v>
                </c:pt>
                <c:pt idx="11">
                  <c:v>1336</c:v>
                </c:pt>
                <c:pt idx="12">
                  <c:v>1430</c:v>
                </c:pt>
                <c:pt idx="13">
                  <c:v>1354</c:v>
                </c:pt>
                <c:pt idx="14">
                  <c:v>1440</c:v>
                </c:pt>
                <c:pt idx="15">
                  <c:v>1383</c:v>
                </c:pt>
                <c:pt idx="16">
                  <c:v>1408</c:v>
                </c:pt>
                <c:pt idx="17">
                  <c:v>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0-47ED-B9DF-61F4B325BF1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3'!$U$133:$AL$133</c:f>
              <c:numCache>
                <c:formatCode>General</c:formatCode>
                <c:ptCount val="18"/>
                <c:pt idx="0">
                  <c:v>5704</c:v>
                </c:pt>
                <c:pt idx="1">
                  <c:v>4258</c:v>
                </c:pt>
                <c:pt idx="2">
                  <c:v>3735</c:v>
                </c:pt>
                <c:pt idx="3">
                  <c:v>3151</c:v>
                </c:pt>
                <c:pt idx="4">
                  <c:v>2829</c:v>
                </c:pt>
                <c:pt idx="5">
                  <c:v>2330</c:v>
                </c:pt>
                <c:pt idx="6">
                  <c:v>1839</c:v>
                </c:pt>
                <c:pt idx="7">
                  <c:v>1006</c:v>
                </c:pt>
                <c:pt idx="8">
                  <c:v>1084</c:v>
                </c:pt>
                <c:pt idx="9">
                  <c:v>1037</c:v>
                </c:pt>
                <c:pt idx="10">
                  <c:v>1103</c:v>
                </c:pt>
                <c:pt idx="11">
                  <c:v>1062</c:v>
                </c:pt>
                <c:pt idx="12">
                  <c:v>1061</c:v>
                </c:pt>
                <c:pt idx="13">
                  <c:v>1034</c:v>
                </c:pt>
                <c:pt idx="14">
                  <c:v>1004</c:v>
                </c:pt>
                <c:pt idx="15">
                  <c:v>1060</c:v>
                </c:pt>
                <c:pt idx="16">
                  <c:v>1008</c:v>
                </c:pt>
                <c:pt idx="17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0-47ED-B9DF-61F4B325BF14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3'!$U$134:$AL$134</c:f>
              <c:numCache>
                <c:formatCode>General</c:formatCode>
                <c:ptCount val="18"/>
                <c:pt idx="0">
                  <c:v>5552</c:v>
                </c:pt>
                <c:pt idx="1">
                  <c:v>3720</c:v>
                </c:pt>
                <c:pt idx="2">
                  <c:v>3376</c:v>
                </c:pt>
                <c:pt idx="3">
                  <c:v>2464</c:v>
                </c:pt>
                <c:pt idx="4">
                  <c:v>2296</c:v>
                </c:pt>
                <c:pt idx="5">
                  <c:v>1953</c:v>
                </c:pt>
                <c:pt idx="6">
                  <c:v>1755</c:v>
                </c:pt>
                <c:pt idx="7">
                  <c:v>827</c:v>
                </c:pt>
                <c:pt idx="8">
                  <c:v>1019</c:v>
                </c:pt>
                <c:pt idx="9">
                  <c:v>864</c:v>
                </c:pt>
                <c:pt idx="10">
                  <c:v>909</c:v>
                </c:pt>
                <c:pt idx="11">
                  <c:v>807</c:v>
                </c:pt>
                <c:pt idx="12">
                  <c:v>868</c:v>
                </c:pt>
                <c:pt idx="13">
                  <c:v>842</c:v>
                </c:pt>
                <c:pt idx="14">
                  <c:v>890</c:v>
                </c:pt>
                <c:pt idx="15">
                  <c:v>826</c:v>
                </c:pt>
                <c:pt idx="16">
                  <c:v>879</c:v>
                </c:pt>
                <c:pt idx="17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0-47ED-B9DF-61F4B325BF14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3'!$U$135:$AL$135</c:f>
              <c:numCache>
                <c:formatCode>General</c:formatCode>
                <c:ptCount val="18"/>
                <c:pt idx="0">
                  <c:v>5268</c:v>
                </c:pt>
                <c:pt idx="1">
                  <c:v>3567</c:v>
                </c:pt>
                <c:pt idx="2">
                  <c:v>2845</c:v>
                </c:pt>
                <c:pt idx="3">
                  <c:v>2691</c:v>
                </c:pt>
                <c:pt idx="4">
                  <c:v>2125</c:v>
                </c:pt>
                <c:pt idx="5">
                  <c:v>1670</c:v>
                </c:pt>
                <c:pt idx="6">
                  <c:v>1377</c:v>
                </c:pt>
                <c:pt idx="7">
                  <c:v>708</c:v>
                </c:pt>
                <c:pt idx="8">
                  <c:v>832</c:v>
                </c:pt>
                <c:pt idx="9">
                  <c:v>692</c:v>
                </c:pt>
                <c:pt idx="10">
                  <c:v>755</c:v>
                </c:pt>
                <c:pt idx="11">
                  <c:v>710</c:v>
                </c:pt>
                <c:pt idx="12">
                  <c:v>697</c:v>
                </c:pt>
                <c:pt idx="13">
                  <c:v>726</c:v>
                </c:pt>
                <c:pt idx="14">
                  <c:v>675</c:v>
                </c:pt>
                <c:pt idx="15">
                  <c:v>708</c:v>
                </c:pt>
                <c:pt idx="16">
                  <c:v>757</c:v>
                </c:pt>
                <c:pt idx="17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0-47ED-B9DF-61F4B325BF1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3'!$U$136:$AL$136</c:f>
              <c:numCache>
                <c:formatCode>General</c:formatCode>
                <c:ptCount val="18"/>
                <c:pt idx="0">
                  <c:v>4269</c:v>
                </c:pt>
                <c:pt idx="1">
                  <c:v>3221</c:v>
                </c:pt>
                <c:pt idx="2">
                  <c:v>2761</c:v>
                </c:pt>
                <c:pt idx="3">
                  <c:v>2297</c:v>
                </c:pt>
                <c:pt idx="4">
                  <c:v>1998</c:v>
                </c:pt>
                <c:pt idx="5">
                  <c:v>1571</c:v>
                </c:pt>
                <c:pt idx="6">
                  <c:v>1327</c:v>
                </c:pt>
                <c:pt idx="7">
                  <c:v>1281</c:v>
                </c:pt>
                <c:pt idx="8">
                  <c:v>920</c:v>
                </c:pt>
                <c:pt idx="9">
                  <c:v>827</c:v>
                </c:pt>
                <c:pt idx="10">
                  <c:v>746</c:v>
                </c:pt>
                <c:pt idx="11">
                  <c:v>739</c:v>
                </c:pt>
                <c:pt idx="12">
                  <c:v>693</c:v>
                </c:pt>
                <c:pt idx="13">
                  <c:v>750</c:v>
                </c:pt>
                <c:pt idx="14">
                  <c:v>729</c:v>
                </c:pt>
                <c:pt idx="15">
                  <c:v>710</c:v>
                </c:pt>
                <c:pt idx="16">
                  <c:v>725</c:v>
                </c:pt>
                <c:pt idx="17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10-47ED-B9DF-61F4B325BF1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3'!$U$137:$AL$137</c:f>
              <c:numCache>
                <c:formatCode>General</c:formatCode>
                <c:ptCount val="18"/>
                <c:pt idx="0">
                  <c:v>4123</c:v>
                </c:pt>
                <c:pt idx="1">
                  <c:v>3085</c:v>
                </c:pt>
                <c:pt idx="2">
                  <c:v>2792</c:v>
                </c:pt>
                <c:pt idx="3">
                  <c:v>1986</c:v>
                </c:pt>
                <c:pt idx="4">
                  <c:v>1836</c:v>
                </c:pt>
                <c:pt idx="5">
                  <c:v>1507</c:v>
                </c:pt>
                <c:pt idx="6">
                  <c:v>1222</c:v>
                </c:pt>
                <c:pt idx="7">
                  <c:v>1187</c:v>
                </c:pt>
                <c:pt idx="8">
                  <c:v>882</c:v>
                </c:pt>
                <c:pt idx="9">
                  <c:v>721</c:v>
                </c:pt>
                <c:pt idx="10">
                  <c:v>744</c:v>
                </c:pt>
                <c:pt idx="11">
                  <c:v>709</c:v>
                </c:pt>
                <c:pt idx="12">
                  <c:v>747</c:v>
                </c:pt>
                <c:pt idx="13">
                  <c:v>737</c:v>
                </c:pt>
                <c:pt idx="14">
                  <c:v>695</c:v>
                </c:pt>
                <c:pt idx="15">
                  <c:v>709</c:v>
                </c:pt>
                <c:pt idx="16">
                  <c:v>732</c:v>
                </c:pt>
                <c:pt idx="17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10-47ED-B9DF-61F4B325BF1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3'!$U$138:$AL$138</c:f>
              <c:numCache>
                <c:formatCode>General</c:formatCode>
                <c:ptCount val="18"/>
                <c:pt idx="0">
                  <c:v>4003</c:v>
                </c:pt>
                <c:pt idx="1">
                  <c:v>2931</c:v>
                </c:pt>
                <c:pt idx="2">
                  <c:v>2651</c:v>
                </c:pt>
                <c:pt idx="3">
                  <c:v>1857</c:v>
                </c:pt>
                <c:pt idx="4">
                  <c:v>1843</c:v>
                </c:pt>
                <c:pt idx="5">
                  <c:v>1420</c:v>
                </c:pt>
                <c:pt idx="6">
                  <c:v>1153</c:v>
                </c:pt>
                <c:pt idx="7">
                  <c:v>1170</c:v>
                </c:pt>
                <c:pt idx="8">
                  <c:v>815</c:v>
                </c:pt>
                <c:pt idx="9">
                  <c:v>763</c:v>
                </c:pt>
                <c:pt idx="10">
                  <c:v>739</c:v>
                </c:pt>
                <c:pt idx="11">
                  <c:v>727</c:v>
                </c:pt>
                <c:pt idx="12">
                  <c:v>746</c:v>
                </c:pt>
                <c:pt idx="13">
                  <c:v>736</c:v>
                </c:pt>
                <c:pt idx="14">
                  <c:v>729</c:v>
                </c:pt>
                <c:pt idx="15">
                  <c:v>690</c:v>
                </c:pt>
                <c:pt idx="16">
                  <c:v>732</c:v>
                </c:pt>
                <c:pt idx="17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10-47ED-B9DF-61F4B325BF1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3'!$U$139:$AL$139</c:f>
              <c:numCache>
                <c:formatCode>General</c:formatCode>
                <c:ptCount val="18"/>
                <c:pt idx="0">
                  <c:v>4003</c:v>
                </c:pt>
                <c:pt idx="1">
                  <c:v>2881</c:v>
                </c:pt>
                <c:pt idx="2">
                  <c:v>2457</c:v>
                </c:pt>
                <c:pt idx="3">
                  <c:v>1819</c:v>
                </c:pt>
                <c:pt idx="4">
                  <c:v>1745</c:v>
                </c:pt>
                <c:pt idx="5">
                  <c:v>1281</c:v>
                </c:pt>
                <c:pt idx="6">
                  <c:v>1108</c:v>
                </c:pt>
                <c:pt idx="7">
                  <c:v>690</c:v>
                </c:pt>
                <c:pt idx="8">
                  <c:v>782</c:v>
                </c:pt>
                <c:pt idx="9">
                  <c:v>737</c:v>
                </c:pt>
                <c:pt idx="10">
                  <c:v>742</c:v>
                </c:pt>
                <c:pt idx="11">
                  <c:v>691</c:v>
                </c:pt>
                <c:pt idx="12">
                  <c:v>747</c:v>
                </c:pt>
                <c:pt idx="13">
                  <c:v>734</c:v>
                </c:pt>
                <c:pt idx="14">
                  <c:v>738</c:v>
                </c:pt>
                <c:pt idx="15">
                  <c:v>689</c:v>
                </c:pt>
                <c:pt idx="16">
                  <c:v>733</c:v>
                </c:pt>
                <c:pt idx="17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10-47ED-B9DF-61F4B325BF14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3'!$U$140:$AL$140</c:f>
              <c:numCache>
                <c:formatCode>General</c:formatCode>
                <c:ptCount val="18"/>
                <c:pt idx="0">
                  <c:v>3792</c:v>
                </c:pt>
                <c:pt idx="1">
                  <c:v>2731</c:v>
                </c:pt>
                <c:pt idx="2">
                  <c:v>2292</c:v>
                </c:pt>
                <c:pt idx="3">
                  <c:v>2041</c:v>
                </c:pt>
                <c:pt idx="4">
                  <c:v>1664</c:v>
                </c:pt>
                <c:pt idx="5">
                  <c:v>1293</c:v>
                </c:pt>
                <c:pt idx="6">
                  <c:v>1072</c:v>
                </c:pt>
                <c:pt idx="7">
                  <c:v>874</c:v>
                </c:pt>
                <c:pt idx="8">
                  <c:v>748</c:v>
                </c:pt>
                <c:pt idx="9">
                  <c:v>722</c:v>
                </c:pt>
                <c:pt idx="10">
                  <c:v>738</c:v>
                </c:pt>
                <c:pt idx="11">
                  <c:v>692</c:v>
                </c:pt>
                <c:pt idx="12">
                  <c:v>719</c:v>
                </c:pt>
                <c:pt idx="13">
                  <c:v>740</c:v>
                </c:pt>
                <c:pt idx="14">
                  <c:v>696</c:v>
                </c:pt>
                <c:pt idx="15">
                  <c:v>690</c:v>
                </c:pt>
                <c:pt idx="16">
                  <c:v>732</c:v>
                </c:pt>
                <c:pt idx="17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10-47ED-B9DF-61F4B325BF14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3'!$U$141:$AL$141</c:f>
              <c:numCache>
                <c:formatCode>General</c:formatCode>
                <c:ptCount val="18"/>
                <c:pt idx="0">
                  <c:v>3523</c:v>
                </c:pt>
                <c:pt idx="1">
                  <c:v>2627</c:v>
                </c:pt>
                <c:pt idx="2">
                  <c:v>2268</c:v>
                </c:pt>
                <c:pt idx="3">
                  <c:v>1956</c:v>
                </c:pt>
                <c:pt idx="4">
                  <c:v>1590</c:v>
                </c:pt>
                <c:pt idx="5">
                  <c:v>1264</c:v>
                </c:pt>
                <c:pt idx="6">
                  <c:v>1025</c:v>
                </c:pt>
                <c:pt idx="7">
                  <c:v>771</c:v>
                </c:pt>
                <c:pt idx="8">
                  <c:v>693</c:v>
                </c:pt>
                <c:pt idx="9">
                  <c:v>670</c:v>
                </c:pt>
                <c:pt idx="10">
                  <c:v>690</c:v>
                </c:pt>
                <c:pt idx="11">
                  <c:v>690</c:v>
                </c:pt>
                <c:pt idx="12">
                  <c:v>685</c:v>
                </c:pt>
                <c:pt idx="13">
                  <c:v>734</c:v>
                </c:pt>
                <c:pt idx="14">
                  <c:v>673</c:v>
                </c:pt>
                <c:pt idx="15">
                  <c:v>690</c:v>
                </c:pt>
                <c:pt idx="16">
                  <c:v>708</c:v>
                </c:pt>
                <c:pt idx="17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10-47ED-B9DF-61F4B325BF1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7866912"/>
        <c:axId val="1227868576"/>
        <c:axId val="1331803296"/>
      </c:surface3DChart>
      <c:catAx>
        <c:axId val="12278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1391797900262468"/>
              <c:y val="0.7641801545640127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868576"/>
        <c:crosses val="autoZero"/>
        <c:auto val="1"/>
        <c:lblAlgn val="ctr"/>
        <c:lblOffset val="100"/>
        <c:noMultiLvlLbl val="0"/>
      </c:catAx>
      <c:valAx>
        <c:axId val="1227868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2014741907261588"/>
              <c:y val="0.271162510936133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866912"/>
        <c:crosses val="autoZero"/>
        <c:crossBetween val="midCat"/>
      </c:valAx>
      <c:serAx>
        <c:axId val="13318032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6.1745844269466305E-2"/>
              <c:y val="0.435400627004957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8685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Datatimes3 - Guided - sup5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171296296296296"/>
          <c:w val="0.9383193350831146"/>
          <c:h val="0.64989537766112571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3'!$B$144:$S$144</c:f>
              <c:numCache>
                <c:formatCode>General</c:formatCode>
                <c:ptCount val="18"/>
                <c:pt idx="0">
                  <c:v>3993</c:v>
                </c:pt>
                <c:pt idx="1">
                  <c:v>3992</c:v>
                </c:pt>
                <c:pt idx="2">
                  <c:v>3993</c:v>
                </c:pt>
                <c:pt idx="3">
                  <c:v>3994</c:v>
                </c:pt>
                <c:pt idx="4">
                  <c:v>3993</c:v>
                </c:pt>
                <c:pt idx="5">
                  <c:v>3993</c:v>
                </c:pt>
                <c:pt idx="6">
                  <c:v>3993</c:v>
                </c:pt>
                <c:pt idx="7">
                  <c:v>3993</c:v>
                </c:pt>
                <c:pt idx="8">
                  <c:v>3993</c:v>
                </c:pt>
                <c:pt idx="9">
                  <c:v>3993</c:v>
                </c:pt>
                <c:pt idx="10">
                  <c:v>3994</c:v>
                </c:pt>
                <c:pt idx="11">
                  <c:v>3993</c:v>
                </c:pt>
                <c:pt idx="12">
                  <c:v>3993</c:v>
                </c:pt>
                <c:pt idx="13">
                  <c:v>3993</c:v>
                </c:pt>
                <c:pt idx="14">
                  <c:v>3993</c:v>
                </c:pt>
                <c:pt idx="15">
                  <c:v>3993</c:v>
                </c:pt>
                <c:pt idx="16">
                  <c:v>3994</c:v>
                </c:pt>
                <c:pt idx="17">
                  <c:v>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00E-92F3-5E634ABF296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3'!$B$145:$S$145</c:f>
              <c:numCache>
                <c:formatCode>General</c:formatCode>
                <c:ptCount val="18"/>
                <c:pt idx="0">
                  <c:v>2002</c:v>
                </c:pt>
                <c:pt idx="1">
                  <c:v>2002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>
                  <c:v>2002</c:v>
                </c:pt>
                <c:pt idx="7">
                  <c:v>2002</c:v>
                </c:pt>
                <c:pt idx="8">
                  <c:v>2002</c:v>
                </c:pt>
                <c:pt idx="9">
                  <c:v>2002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2-400E-92F3-5E634ABF296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3'!$B$146:$S$146</c:f>
              <c:numCache>
                <c:formatCode>General</c:formatCode>
                <c:ptCount val="18"/>
                <c:pt idx="0">
                  <c:v>1428</c:v>
                </c:pt>
                <c:pt idx="1">
                  <c:v>1437</c:v>
                </c:pt>
                <c:pt idx="2">
                  <c:v>1443</c:v>
                </c:pt>
                <c:pt idx="3">
                  <c:v>1402</c:v>
                </c:pt>
                <c:pt idx="4">
                  <c:v>1406</c:v>
                </c:pt>
                <c:pt idx="5">
                  <c:v>1404</c:v>
                </c:pt>
                <c:pt idx="6">
                  <c:v>1400</c:v>
                </c:pt>
                <c:pt idx="7">
                  <c:v>1361</c:v>
                </c:pt>
                <c:pt idx="8">
                  <c:v>1378</c:v>
                </c:pt>
                <c:pt idx="9">
                  <c:v>1384</c:v>
                </c:pt>
                <c:pt idx="10">
                  <c:v>1365</c:v>
                </c:pt>
                <c:pt idx="11">
                  <c:v>1353</c:v>
                </c:pt>
                <c:pt idx="12">
                  <c:v>1376</c:v>
                </c:pt>
                <c:pt idx="13">
                  <c:v>1388</c:v>
                </c:pt>
                <c:pt idx="14">
                  <c:v>1410</c:v>
                </c:pt>
                <c:pt idx="15">
                  <c:v>1416</c:v>
                </c:pt>
                <c:pt idx="16">
                  <c:v>1392</c:v>
                </c:pt>
                <c:pt idx="17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2-400E-92F3-5E634ABF296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3'!$B$147:$S$147</c:f>
              <c:numCache>
                <c:formatCode>General</c:formatCode>
                <c:ptCount val="18"/>
                <c:pt idx="0">
                  <c:v>1084</c:v>
                </c:pt>
                <c:pt idx="1">
                  <c:v>1076</c:v>
                </c:pt>
                <c:pt idx="2">
                  <c:v>1092</c:v>
                </c:pt>
                <c:pt idx="3">
                  <c:v>1087</c:v>
                </c:pt>
                <c:pt idx="4">
                  <c:v>1081</c:v>
                </c:pt>
                <c:pt idx="5">
                  <c:v>1076</c:v>
                </c:pt>
                <c:pt idx="6">
                  <c:v>1064</c:v>
                </c:pt>
                <c:pt idx="7">
                  <c:v>1066</c:v>
                </c:pt>
                <c:pt idx="8">
                  <c:v>1083</c:v>
                </c:pt>
                <c:pt idx="9">
                  <c:v>1068</c:v>
                </c:pt>
                <c:pt idx="10">
                  <c:v>1059</c:v>
                </c:pt>
                <c:pt idx="11">
                  <c:v>1031</c:v>
                </c:pt>
                <c:pt idx="12">
                  <c:v>1017</c:v>
                </c:pt>
                <c:pt idx="13">
                  <c:v>1025</c:v>
                </c:pt>
                <c:pt idx="14">
                  <c:v>1034</c:v>
                </c:pt>
                <c:pt idx="15">
                  <c:v>1037</c:v>
                </c:pt>
                <c:pt idx="16">
                  <c:v>1044</c:v>
                </c:pt>
                <c:pt idx="17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2-400E-92F3-5E634ABF2963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3'!$B$148:$S$148</c:f>
              <c:numCache>
                <c:formatCode>General</c:formatCode>
                <c:ptCount val="18"/>
                <c:pt idx="0">
                  <c:v>904</c:v>
                </c:pt>
                <c:pt idx="1">
                  <c:v>895</c:v>
                </c:pt>
                <c:pt idx="2">
                  <c:v>899</c:v>
                </c:pt>
                <c:pt idx="3">
                  <c:v>884</c:v>
                </c:pt>
                <c:pt idx="4">
                  <c:v>899</c:v>
                </c:pt>
                <c:pt idx="5">
                  <c:v>893</c:v>
                </c:pt>
                <c:pt idx="6">
                  <c:v>864</c:v>
                </c:pt>
                <c:pt idx="7">
                  <c:v>837</c:v>
                </c:pt>
                <c:pt idx="8">
                  <c:v>830</c:v>
                </c:pt>
                <c:pt idx="9">
                  <c:v>820</c:v>
                </c:pt>
                <c:pt idx="10">
                  <c:v>819</c:v>
                </c:pt>
                <c:pt idx="11">
                  <c:v>826</c:v>
                </c:pt>
                <c:pt idx="12">
                  <c:v>834</c:v>
                </c:pt>
                <c:pt idx="13">
                  <c:v>838</c:v>
                </c:pt>
                <c:pt idx="14">
                  <c:v>838</c:v>
                </c:pt>
                <c:pt idx="15">
                  <c:v>846</c:v>
                </c:pt>
                <c:pt idx="16">
                  <c:v>853</c:v>
                </c:pt>
                <c:pt idx="17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2-400E-92F3-5E634ABF296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3'!$B$149:$S$149</c:f>
              <c:numCache>
                <c:formatCode>General</c:formatCode>
                <c:ptCount val="18"/>
                <c:pt idx="0">
                  <c:v>808</c:v>
                </c:pt>
                <c:pt idx="1">
                  <c:v>797</c:v>
                </c:pt>
                <c:pt idx="2">
                  <c:v>798</c:v>
                </c:pt>
                <c:pt idx="3">
                  <c:v>772</c:v>
                </c:pt>
                <c:pt idx="4">
                  <c:v>774</c:v>
                </c:pt>
                <c:pt idx="5">
                  <c:v>746</c:v>
                </c:pt>
                <c:pt idx="6">
                  <c:v>738</c:v>
                </c:pt>
                <c:pt idx="7">
                  <c:v>732</c:v>
                </c:pt>
                <c:pt idx="8">
                  <c:v>715</c:v>
                </c:pt>
                <c:pt idx="9">
                  <c:v>719</c:v>
                </c:pt>
                <c:pt idx="10">
                  <c:v>699</c:v>
                </c:pt>
                <c:pt idx="11">
                  <c:v>707</c:v>
                </c:pt>
                <c:pt idx="12">
                  <c:v>702</c:v>
                </c:pt>
                <c:pt idx="13">
                  <c:v>708</c:v>
                </c:pt>
                <c:pt idx="14">
                  <c:v>713</c:v>
                </c:pt>
                <c:pt idx="15">
                  <c:v>720</c:v>
                </c:pt>
                <c:pt idx="16">
                  <c:v>728</c:v>
                </c:pt>
                <c:pt idx="17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2-400E-92F3-5E634ABF296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3'!$B$150:$S$150</c:f>
              <c:numCache>
                <c:formatCode>General</c:formatCode>
                <c:ptCount val="18"/>
                <c:pt idx="0">
                  <c:v>865</c:v>
                </c:pt>
                <c:pt idx="1">
                  <c:v>917</c:v>
                </c:pt>
                <c:pt idx="2">
                  <c:v>928</c:v>
                </c:pt>
                <c:pt idx="3">
                  <c:v>924</c:v>
                </c:pt>
                <c:pt idx="4">
                  <c:v>920</c:v>
                </c:pt>
                <c:pt idx="5">
                  <c:v>921</c:v>
                </c:pt>
                <c:pt idx="6">
                  <c:v>922</c:v>
                </c:pt>
                <c:pt idx="7">
                  <c:v>921</c:v>
                </c:pt>
                <c:pt idx="8">
                  <c:v>921</c:v>
                </c:pt>
                <c:pt idx="9">
                  <c:v>921</c:v>
                </c:pt>
                <c:pt idx="10">
                  <c:v>868</c:v>
                </c:pt>
                <c:pt idx="11">
                  <c:v>922</c:v>
                </c:pt>
                <c:pt idx="12">
                  <c:v>916</c:v>
                </c:pt>
                <c:pt idx="13">
                  <c:v>903</c:v>
                </c:pt>
                <c:pt idx="14">
                  <c:v>904</c:v>
                </c:pt>
                <c:pt idx="15">
                  <c:v>903</c:v>
                </c:pt>
                <c:pt idx="16">
                  <c:v>904</c:v>
                </c:pt>
                <c:pt idx="17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D2-400E-92F3-5E634ABF296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3'!$B$151:$S$151</c:f>
              <c:numCache>
                <c:formatCode>General</c:formatCode>
                <c:ptCount val="18"/>
                <c:pt idx="0">
                  <c:v>818</c:v>
                </c:pt>
                <c:pt idx="1">
                  <c:v>820</c:v>
                </c:pt>
                <c:pt idx="2">
                  <c:v>817</c:v>
                </c:pt>
                <c:pt idx="3">
                  <c:v>814</c:v>
                </c:pt>
                <c:pt idx="4">
                  <c:v>815</c:v>
                </c:pt>
                <c:pt idx="5">
                  <c:v>816</c:v>
                </c:pt>
                <c:pt idx="6">
                  <c:v>818</c:v>
                </c:pt>
                <c:pt idx="7">
                  <c:v>813</c:v>
                </c:pt>
                <c:pt idx="8">
                  <c:v>807</c:v>
                </c:pt>
                <c:pt idx="9">
                  <c:v>807</c:v>
                </c:pt>
                <c:pt idx="10">
                  <c:v>806</c:v>
                </c:pt>
                <c:pt idx="11">
                  <c:v>808</c:v>
                </c:pt>
                <c:pt idx="12">
                  <c:v>807</c:v>
                </c:pt>
                <c:pt idx="13">
                  <c:v>807</c:v>
                </c:pt>
                <c:pt idx="14">
                  <c:v>807</c:v>
                </c:pt>
                <c:pt idx="15">
                  <c:v>808</c:v>
                </c:pt>
                <c:pt idx="16">
                  <c:v>809</c:v>
                </c:pt>
                <c:pt idx="17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D2-400E-92F3-5E634ABF2963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3'!$B$152:$S$152</c:f>
              <c:numCache>
                <c:formatCode>General</c:formatCode>
                <c:ptCount val="18"/>
                <c:pt idx="0">
                  <c:v>817</c:v>
                </c:pt>
                <c:pt idx="1">
                  <c:v>791</c:v>
                </c:pt>
                <c:pt idx="2">
                  <c:v>794</c:v>
                </c:pt>
                <c:pt idx="3">
                  <c:v>753</c:v>
                </c:pt>
                <c:pt idx="4">
                  <c:v>776</c:v>
                </c:pt>
                <c:pt idx="5">
                  <c:v>746</c:v>
                </c:pt>
                <c:pt idx="6">
                  <c:v>740</c:v>
                </c:pt>
                <c:pt idx="7">
                  <c:v>737</c:v>
                </c:pt>
                <c:pt idx="8">
                  <c:v>745</c:v>
                </c:pt>
                <c:pt idx="9">
                  <c:v>732</c:v>
                </c:pt>
                <c:pt idx="10">
                  <c:v>736</c:v>
                </c:pt>
                <c:pt idx="11">
                  <c:v>730</c:v>
                </c:pt>
                <c:pt idx="12">
                  <c:v>730</c:v>
                </c:pt>
                <c:pt idx="13">
                  <c:v>733</c:v>
                </c:pt>
                <c:pt idx="14">
                  <c:v>736</c:v>
                </c:pt>
                <c:pt idx="15">
                  <c:v>733</c:v>
                </c:pt>
                <c:pt idx="16">
                  <c:v>724</c:v>
                </c:pt>
                <c:pt idx="17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D2-400E-92F3-5E634ABF2963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3'!$B$153:$S$153</c:f>
              <c:numCache>
                <c:formatCode>General</c:formatCode>
                <c:ptCount val="18"/>
                <c:pt idx="0">
                  <c:v>823</c:v>
                </c:pt>
                <c:pt idx="1">
                  <c:v>824</c:v>
                </c:pt>
                <c:pt idx="2">
                  <c:v>798</c:v>
                </c:pt>
                <c:pt idx="3">
                  <c:v>809</c:v>
                </c:pt>
                <c:pt idx="4">
                  <c:v>777</c:v>
                </c:pt>
                <c:pt idx="5">
                  <c:v>738</c:v>
                </c:pt>
                <c:pt idx="6">
                  <c:v>709</c:v>
                </c:pt>
                <c:pt idx="7">
                  <c:v>681</c:v>
                </c:pt>
                <c:pt idx="8">
                  <c:v>696</c:v>
                </c:pt>
                <c:pt idx="9">
                  <c:v>698</c:v>
                </c:pt>
                <c:pt idx="10">
                  <c:v>699</c:v>
                </c:pt>
                <c:pt idx="11">
                  <c:v>696</c:v>
                </c:pt>
                <c:pt idx="12">
                  <c:v>692</c:v>
                </c:pt>
                <c:pt idx="13">
                  <c:v>697</c:v>
                </c:pt>
                <c:pt idx="14">
                  <c:v>697</c:v>
                </c:pt>
                <c:pt idx="15">
                  <c:v>683</c:v>
                </c:pt>
                <c:pt idx="16">
                  <c:v>704</c:v>
                </c:pt>
                <c:pt idx="17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D2-400E-92F3-5E634ABF2963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3'!$B$154:$S$154</c:f>
              <c:numCache>
                <c:formatCode>General</c:formatCode>
                <c:ptCount val="18"/>
                <c:pt idx="0">
                  <c:v>797</c:v>
                </c:pt>
                <c:pt idx="1">
                  <c:v>817</c:v>
                </c:pt>
                <c:pt idx="2">
                  <c:v>813</c:v>
                </c:pt>
                <c:pt idx="3">
                  <c:v>797</c:v>
                </c:pt>
                <c:pt idx="4">
                  <c:v>765</c:v>
                </c:pt>
                <c:pt idx="5">
                  <c:v>740</c:v>
                </c:pt>
                <c:pt idx="6">
                  <c:v>727</c:v>
                </c:pt>
                <c:pt idx="7">
                  <c:v>674</c:v>
                </c:pt>
                <c:pt idx="8">
                  <c:v>688</c:v>
                </c:pt>
                <c:pt idx="9">
                  <c:v>677</c:v>
                </c:pt>
                <c:pt idx="10">
                  <c:v>678</c:v>
                </c:pt>
                <c:pt idx="11">
                  <c:v>681</c:v>
                </c:pt>
                <c:pt idx="12">
                  <c:v>688</c:v>
                </c:pt>
                <c:pt idx="13">
                  <c:v>685</c:v>
                </c:pt>
                <c:pt idx="14">
                  <c:v>690</c:v>
                </c:pt>
                <c:pt idx="15">
                  <c:v>684</c:v>
                </c:pt>
                <c:pt idx="16">
                  <c:v>698</c:v>
                </c:pt>
                <c:pt idx="17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D2-400E-92F3-5E634ABF2963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3'!$B$155:$S$155</c:f>
              <c:numCache>
                <c:formatCode>General</c:formatCode>
                <c:ptCount val="18"/>
                <c:pt idx="0">
                  <c:v>811</c:v>
                </c:pt>
                <c:pt idx="1">
                  <c:v>822</c:v>
                </c:pt>
                <c:pt idx="2">
                  <c:v>796</c:v>
                </c:pt>
                <c:pt idx="3">
                  <c:v>769</c:v>
                </c:pt>
                <c:pt idx="4">
                  <c:v>764</c:v>
                </c:pt>
                <c:pt idx="5">
                  <c:v>733</c:v>
                </c:pt>
                <c:pt idx="6">
                  <c:v>707</c:v>
                </c:pt>
                <c:pt idx="7">
                  <c:v>686</c:v>
                </c:pt>
                <c:pt idx="8">
                  <c:v>672</c:v>
                </c:pt>
                <c:pt idx="9">
                  <c:v>667</c:v>
                </c:pt>
                <c:pt idx="10">
                  <c:v>665</c:v>
                </c:pt>
                <c:pt idx="11">
                  <c:v>673</c:v>
                </c:pt>
                <c:pt idx="12">
                  <c:v>676</c:v>
                </c:pt>
                <c:pt idx="13">
                  <c:v>679</c:v>
                </c:pt>
                <c:pt idx="14">
                  <c:v>682</c:v>
                </c:pt>
                <c:pt idx="15">
                  <c:v>684</c:v>
                </c:pt>
                <c:pt idx="16">
                  <c:v>687</c:v>
                </c:pt>
                <c:pt idx="17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D2-400E-92F3-5E634ABF296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5145888"/>
        <c:axId val="1395146304"/>
        <c:axId val="1143865968"/>
      </c:surface3DChart>
      <c:catAx>
        <c:axId val="139514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75584689413823258"/>
              <c:y val="0.779579687955672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6304"/>
        <c:crosses val="autoZero"/>
        <c:auto val="1"/>
        <c:lblAlgn val="ctr"/>
        <c:lblOffset val="100"/>
        <c:noMultiLvlLbl val="0"/>
      </c:catAx>
      <c:valAx>
        <c:axId val="1395146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9381474190726159"/>
              <c:y val="0.18729913969087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5888"/>
        <c:crosses val="autoZero"/>
        <c:crossBetween val="midCat"/>
      </c:valAx>
      <c:serAx>
        <c:axId val="11438659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7.115354330708662E-2"/>
              <c:y val="0.669163021289005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1463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Datatimes3 - Static -</a:t>
            </a:r>
            <a:r>
              <a:rPr lang="de-DE" baseline="0"/>
              <a:t> Sup2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81714785651793"/>
          <c:y val="0.14393518518518519"/>
          <c:w val="0.83230074365704287"/>
          <c:h val="0.6927387722368038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3'!$U$116:$AL$116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0-4A5A-BF73-83C448F3AD0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3'!$U$117:$AL$117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0-4A5A-BF73-83C448F3AD0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3'!$U$118:$AL$118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0-4A5A-BF73-83C448F3AD0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3'!$U$119:$AL$119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0-4A5A-BF73-83C448F3AD03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3'!$U$120:$AL$120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0-4A5A-BF73-83C448F3AD0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3'!$U$121:$AL$121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0-4A5A-BF73-83C448F3AD0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3'!$U$122:$AL$122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0-4A5A-BF73-83C448F3AD0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3'!$U$123:$AL$123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00-4A5A-BF73-83C448F3AD03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3'!$U$124:$AL$124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00-4A5A-BF73-83C448F3AD03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3'!$U$125:$AL$125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00-4A5A-BF73-83C448F3AD03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3'!$U$126:$AL$126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0-4A5A-BF73-83C448F3AD03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3'!$U$127:$AL$127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00-4A5A-BF73-83C448F3AD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5327680"/>
        <c:axId val="1225323936"/>
        <c:axId val="1227877984"/>
      </c:surface3DChart>
      <c:catAx>
        <c:axId val="12253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4898840769903759"/>
              <c:y val="0.8151177456984541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323936"/>
        <c:crosses val="autoZero"/>
        <c:auto val="1"/>
        <c:lblAlgn val="ctr"/>
        <c:lblOffset val="100"/>
        <c:noMultiLvlLbl val="0"/>
      </c:catAx>
      <c:valAx>
        <c:axId val="1225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7.4015091863517055E-2"/>
              <c:y val="0.20289370078740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327680"/>
        <c:crosses val="autoZero"/>
        <c:crossBetween val="midCat"/>
      </c:valAx>
      <c:serAx>
        <c:axId val="12278779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9948643919510052"/>
              <c:y val="0.564305555555555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3239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Datatimes3 - Static - sup5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467592592592595"/>
          <c:w val="0.94011111111111112"/>
          <c:h val="0.72396945173519978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3'!$U$144:$AL$144</c:f>
              <c:numCache>
                <c:formatCode>General</c:formatCode>
                <c:ptCount val="18"/>
                <c:pt idx="0">
                  <c:v>3970</c:v>
                </c:pt>
                <c:pt idx="1">
                  <c:v>3973</c:v>
                </c:pt>
                <c:pt idx="2">
                  <c:v>3972</c:v>
                </c:pt>
                <c:pt idx="3">
                  <c:v>3972</c:v>
                </c:pt>
                <c:pt idx="4">
                  <c:v>3972</c:v>
                </c:pt>
                <c:pt idx="5">
                  <c:v>3973</c:v>
                </c:pt>
                <c:pt idx="6">
                  <c:v>3973</c:v>
                </c:pt>
                <c:pt idx="7">
                  <c:v>3973</c:v>
                </c:pt>
                <c:pt idx="8">
                  <c:v>3972</c:v>
                </c:pt>
                <c:pt idx="9">
                  <c:v>3971</c:v>
                </c:pt>
                <c:pt idx="10">
                  <c:v>3972</c:v>
                </c:pt>
                <c:pt idx="11">
                  <c:v>3972</c:v>
                </c:pt>
                <c:pt idx="12">
                  <c:v>3973</c:v>
                </c:pt>
                <c:pt idx="13">
                  <c:v>3970</c:v>
                </c:pt>
                <c:pt idx="14">
                  <c:v>3971</c:v>
                </c:pt>
                <c:pt idx="15">
                  <c:v>3971</c:v>
                </c:pt>
                <c:pt idx="16">
                  <c:v>3972</c:v>
                </c:pt>
                <c:pt idx="17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4DEF-ACBB-AABC9FC7EC1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3'!$U$145:$AL$145</c:f>
              <c:numCache>
                <c:formatCode>General</c:formatCode>
                <c:ptCount val="18"/>
                <c:pt idx="0">
                  <c:v>2403</c:v>
                </c:pt>
                <c:pt idx="1">
                  <c:v>2439</c:v>
                </c:pt>
                <c:pt idx="2">
                  <c:v>3151</c:v>
                </c:pt>
                <c:pt idx="3">
                  <c:v>2875</c:v>
                </c:pt>
                <c:pt idx="4">
                  <c:v>3070</c:v>
                </c:pt>
                <c:pt idx="5">
                  <c:v>2041</c:v>
                </c:pt>
                <c:pt idx="6">
                  <c:v>2079</c:v>
                </c:pt>
                <c:pt idx="7">
                  <c:v>1991</c:v>
                </c:pt>
                <c:pt idx="8">
                  <c:v>1988</c:v>
                </c:pt>
                <c:pt idx="9">
                  <c:v>1985</c:v>
                </c:pt>
                <c:pt idx="10">
                  <c:v>2021</c:v>
                </c:pt>
                <c:pt idx="11">
                  <c:v>2025</c:v>
                </c:pt>
                <c:pt idx="12">
                  <c:v>2006</c:v>
                </c:pt>
                <c:pt idx="13">
                  <c:v>2018</c:v>
                </c:pt>
                <c:pt idx="14">
                  <c:v>1984</c:v>
                </c:pt>
                <c:pt idx="15">
                  <c:v>1993</c:v>
                </c:pt>
                <c:pt idx="16">
                  <c:v>1995</c:v>
                </c:pt>
                <c:pt idx="17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A-4DEF-ACBB-AABC9FC7EC1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3'!$U$146:$AL$146</c:f>
              <c:numCache>
                <c:formatCode>General</c:formatCode>
                <c:ptCount val="18"/>
                <c:pt idx="0">
                  <c:v>1995</c:v>
                </c:pt>
                <c:pt idx="1">
                  <c:v>1621</c:v>
                </c:pt>
                <c:pt idx="2">
                  <c:v>1614</c:v>
                </c:pt>
                <c:pt idx="3">
                  <c:v>1548</c:v>
                </c:pt>
                <c:pt idx="4">
                  <c:v>1608</c:v>
                </c:pt>
                <c:pt idx="5">
                  <c:v>1598</c:v>
                </c:pt>
                <c:pt idx="6">
                  <c:v>1471</c:v>
                </c:pt>
                <c:pt idx="7">
                  <c:v>1349</c:v>
                </c:pt>
                <c:pt idx="8">
                  <c:v>1333</c:v>
                </c:pt>
                <c:pt idx="9">
                  <c:v>1328</c:v>
                </c:pt>
                <c:pt idx="10">
                  <c:v>1374</c:v>
                </c:pt>
                <c:pt idx="11">
                  <c:v>1323</c:v>
                </c:pt>
                <c:pt idx="12">
                  <c:v>1340</c:v>
                </c:pt>
                <c:pt idx="13">
                  <c:v>1339</c:v>
                </c:pt>
                <c:pt idx="14">
                  <c:v>1326</c:v>
                </c:pt>
                <c:pt idx="15">
                  <c:v>1378</c:v>
                </c:pt>
                <c:pt idx="16">
                  <c:v>1372</c:v>
                </c:pt>
                <c:pt idx="17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A-4DEF-ACBB-AABC9FC7EC1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3'!$U$147:$AL$147</c:f>
              <c:numCache>
                <c:formatCode>General</c:formatCode>
                <c:ptCount val="18"/>
                <c:pt idx="0">
                  <c:v>1560</c:v>
                </c:pt>
                <c:pt idx="1">
                  <c:v>1435</c:v>
                </c:pt>
                <c:pt idx="2">
                  <c:v>1263</c:v>
                </c:pt>
                <c:pt idx="3">
                  <c:v>1449</c:v>
                </c:pt>
                <c:pt idx="4">
                  <c:v>1312</c:v>
                </c:pt>
                <c:pt idx="5">
                  <c:v>1584</c:v>
                </c:pt>
                <c:pt idx="6">
                  <c:v>1215</c:v>
                </c:pt>
                <c:pt idx="7">
                  <c:v>1000</c:v>
                </c:pt>
                <c:pt idx="8">
                  <c:v>1195</c:v>
                </c:pt>
                <c:pt idx="9">
                  <c:v>1029</c:v>
                </c:pt>
                <c:pt idx="10">
                  <c:v>1075</c:v>
                </c:pt>
                <c:pt idx="11">
                  <c:v>1056</c:v>
                </c:pt>
                <c:pt idx="12">
                  <c:v>1051</c:v>
                </c:pt>
                <c:pt idx="13">
                  <c:v>1028</c:v>
                </c:pt>
                <c:pt idx="14">
                  <c:v>994</c:v>
                </c:pt>
                <c:pt idx="15">
                  <c:v>1056</c:v>
                </c:pt>
                <c:pt idx="16">
                  <c:v>998</c:v>
                </c:pt>
                <c:pt idx="17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A-4DEF-ACBB-AABC9FC7EC14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3'!$U$148:$AL$148</c:f>
              <c:numCache>
                <c:formatCode>General</c:formatCode>
                <c:ptCount val="18"/>
                <c:pt idx="0">
                  <c:v>1532</c:v>
                </c:pt>
                <c:pt idx="1">
                  <c:v>1214</c:v>
                </c:pt>
                <c:pt idx="2">
                  <c:v>1442</c:v>
                </c:pt>
                <c:pt idx="3">
                  <c:v>1378</c:v>
                </c:pt>
                <c:pt idx="4">
                  <c:v>1490</c:v>
                </c:pt>
                <c:pt idx="5">
                  <c:v>1297</c:v>
                </c:pt>
                <c:pt idx="6">
                  <c:v>1042</c:v>
                </c:pt>
                <c:pt idx="7">
                  <c:v>823</c:v>
                </c:pt>
                <c:pt idx="8">
                  <c:v>876</c:v>
                </c:pt>
                <c:pt idx="9">
                  <c:v>811</c:v>
                </c:pt>
                <c:pt idx="10">
                  <c:v>817</c:v>
                </c:pt>
                <c:pt idx="11">
                  <c:v>796</c:v>
                </c:pt>
                <c:pt idx="12">
                  <c:v>861</c:v>
                </c:pt>
                <c:pt idx="13">
                  <c:v>824</c:v>
                </c:pt>
                <c:pt idx="14">
                  <c:v>883</c:v>
                </c:pt>
                <c:pt idx="15">
                  <c:v>822</c:v>
                </c:pt>
                <c:pt idx="16">
                  <c:v>874</c:v>
                </c:pt>
                <c:pt idx="17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A-4DEF-ACBB-AABC9FC7EC14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3'!$U$149:$AL$149</c:f>
              <c:numCache>
                <c:formatCode>General</c:formatCode>
                <c:ptCount val="18"/>
                <c:pt idx="0">
                  <c:v>1372</c:v>
                </c:pt>
                <c:pt idx="1">
                  <c:v>1298</c:v>
                </c:pt>
                <c:pt idx="2">
                  <c:v>1068</c:v>
                </c:pt>
                <c:pt idx="3">
                  <c:v>1061</c:v>
                </c:pt>
                <c:pt idx="4">
                  <c:v>1162</c:v>
                </c:pt>
                <c:pt idx="5">
                  <c:v>1102</c:v>
                </c:pt>
                <c:pt idx="6">
                  <c:v>859</c:v>
                </c:pt>
                <c:pt idx="7">
                  <c:v>704</c:v>
                </c:pt>
                <c:pt idx="8">
                  <c:v>685</c:v>
                </c:pt>
                <c:pt idx="9">
                  <c:v>677</c:v>
                </c:pt>
                <c:pt idx="10">
                  <c:v>729</c:v>
                </c:pt>
                <c:pt idx="11">
                  <c:v>706</c:v>
                </c:pt>
                <c:pt idx="12">
                  <c:v>672</c:v>
                </c:pt>
                <c:pt idx="13">
                  <c:v>722</c:v>
                </c:pt>
                <c:pt idx="14">
                  <c:v>664</c:v>
                </c:pt>
                <c:pt idx="15">
                  <c:v>705</c:v>
                </c:pt>
                <c:pt idx="16">
                  <c:v>749</c:v>
                </c:pt>
                <c:pt idx="17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A-4DEF-ACBB-AABC9FC7EC1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3'!$U$150:$AL$150</c:f>
              <c:numCache>
                <c:formatCode>General</c:formatCode>
                <c:ptCount val="18"/>
                <c:pt idx="0">
                  <c:v>1368</c:v>
                </c:pt>
                <c:pt idx="1">
                  <c:v>1378</c:v>
                </c:pt>
                <c:pt idx="2">
                  <c:v>1289</c:v>
                </c:pt>
                <c:pt idx="3">
                  <c:v>1272</c:v>
                </c:pt>
                <c:pt idx="4">
                  <c:v>1268</c:v>
                </c:pt>
                <c:pt idx="5">
                  <c:v>1147</c:v>
                </c:pt>
                <c:pt idx="6">
                  <c:v>1238</c:v>
                </c:pt>
                <c:pt idx="7">
                  <c:v>1106</c:v>
                </c:pt>
                <c:pt idx="8">
                  <c:v>1081</c:v>
                </c:pt>
                <c:pt idx="9">
                  <c:v>1161</c:v>
                </c:pt>
                <c:pt idx="10">
                  <c:v>1163</c:v>
                </c:pt>
                <c:pt idx="11">
                  <c:v>1064</c:v>
                </c:pt>
                <c:pt idx="12">
                  <c:v>1125</c:v>
                </c:pt>
                <c:pt idx="13">
                  <c:v>1034</c:v>
                </c:pt>
                <c:pt idx="14">
                  <c:v>1108</c:v>
                </c:pt>
                <c:pt idx="15">
                  <c:v>1108</c:v>
                </c:pt>
                <c:pt idx="16">
                  <c:v>1004</c:v>
                </c:pt>
                <c:pt idx="17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A-4DEF-ACBB-AABC9FC7EC1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3'!$U$151:$AL$151</c:f>
              <c:numCache>
                <c:formatCode>General</c:formatCode>
                <c:ptCount val="18"/>
                <c:pt idx="0">
                  <c:v>1220</c:v>
                </c:pt>
                <c:pt idx="1">
                  <c:v>1314</c:v>
                </c:pt>
                <c:pt idx="2">
                  <c:v>1325</c:v>
                </c:pt>
                <c:pt idx="3">
                  <c:v>1317</c:v>
                </c:pt>
                <c:pt idx="4">
                  <c:v>1085</c:v>
                </c:pt>
                <c:pt idx="5">
                  <c:v>1167</c:v>
                </c:pt>
                <c:pt idx="6">
                  <c:v>1087</c:v>
                </c:pt>
                <c:pt idx="7">
                  <c:v>946</c:v>
                </c:pt>
                <c:pt idx="8">
                  <c:v>961</c:v>
                </c:pt>
                <c:pt idx="9">
                  <c:v>988</c:v>
                </c:pt>
                <c:pt idx="10">
                  <c:v>988</c:v>
                </c:pt>
                <c:pt idx="11">
                  <c:v>1010</c:v>
                </c:pt>
                <c:pt idx="12">
                  <c:v>985</c:v>
                </c:pt>
                <c:pt idx="13">
                  <c:v>1006</c:v>
                </c:pt>
                <c:pt idx="14">
                  <c:v>936</c:v>
                </c:pt>
                <c:pt idx="15">
                  <c:v>998</c:v>
                </c:pt>
                <c:pt idx="16">
                  <c:v>1006</c:v>
                </c:pt>
                <c:pt idx="17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7A-4DEF-ACBB-AABC9FC7EC1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3'!$U$152:$AL$152</c:f>
              <c:numCache>
                <c:formatCode>General</c:formatCode>
                <c:ptCount val="18"/>
                <c:pt idx="0">
                  <c:v>1160</c:v>
                </c:pt>
                <c:pt idx="1">
                  <c:v>1061</c:v>
                </c:pt>
                <c:pt idx="2">
                  <c:v>1142</c:v>
                </c:pt>
                <c:pt idx="3">
                  <c:v>1030</c:v>
                </c:pt>
                <c:pt idx="4">
                  <c:v>1129</c:v>
                </c:pt>
                <c:pt idx="5">
                  <c:v>962</c:v>
                </c:pt>
                <c:pt idx="6">
                  <c:v>1012</c:v>
                </c:pt>
                <c:pt idx="7">
                  <c:v>909</c:v>
                </c:pt>
                <c:pt idx="8">
                  <c:v>939</c:v>
                </c:pt>
                <c:pt idx="9">
                  <c:v>982</c:v>
                </c:pt>
                <c:pt idx="10">
                  <c:v>984</c:v>
                </c:pt>
                <c:pt idx="11">
                  <c:v>942</c:v>
                </c:pt>
                <c:pt idx="12">
                  <c:v>918</c:v>
                </c:pt>
                <c:pt idx="13">
                  <c:v>942</c:v>
                </c:pt>
                <c:pt idx="14">
                  <c:v>978</c:v>
                </c:pt>
                <c:pt idx="15">
                  <c:v>928</c:v>
                </c:pt>
                <c:pt idx="16">
                  <c:v>928</c:v>
                </c:pt>
                <c:pt idx="1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A-4DEF-ACBB-AABC9FC7EC1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3'!$U$153:$AL$153</c:f>
              <c:numCache>
                <c:formatCode>General</c:formatCode>
                <c:ptCount val="18"/>
                <c:pt idx="0">
                  <c:v>1159</c:v>
                </c:pt>
                <c:pt idx="1">
                  <c:v>1184</c:v>
                </c:pt>
                <c:pt idx="2">
                  <c:v>1259</c:v>
                </c:pt>
                <c:pt idx="3">
                  <c:v>1416</c:v>
                </c:pt>
                <c:pt idx="4">
                  <c:v>1477</c:v>
                </c:pt>
                <c:pt idx="5">
                  <c:v>989</c:v>
                </c:pt>
                <c:pt idx="6">
                  <c:v>1043</c:v>
                </c:pt>
                <c:pt idx="7">
                  <c:v>829</c:v>
                </c:pt>
                <c:pt idx="8">
                  <c:v>894</c:v>
                </c:pt>
                <c:pt idx="9">
                  <c:v>890</c:v>
                </c:pt>
                <c:pt idx="10">
                  <c:v>828</c:v>
                </c:pt>
                <c:pt idx="11">
                  <c:v>887</c:v>
                </c:pt>
                <c:pt idx="12">
                  <c:v>841</c:v>
                </c:pt>
                <c:pt idx="13">
                  <c:v>830</c:v>
                </c:pt>
                <c:pt idx="14">
                  <c:v>890</c:v>
                </c:pt>
                <c:pt idx="15">
                  <c:v>873</c:v>
                </c:pt>
                <c:pt idx="16">
                  <c:v>886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A-4DEF-ACBB-AABC9FC7EC14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3'!$U$154:$AL$154</c:f>
              <c:numCache>
                <c:formatCode>General</c:formatCode>
                <c:ptCount val="18"/>
                <c:pt idx="0">
                  <c:v>1193</c:v>
                </c:pt>
                <c:pt idx="1">
                  <c:v>1139</c:v>
                </c:pt>
                <c:pt idx="2">
                  <c:v>1113</c:v>
                </c:pt>
                <c:pt idx="3">
                  <c:v>1189</c:v>
                </c:pt>
                <c:pt idx="4">
                  <c:v>1017</c:v>
                </c:pt>
                <c:pt idx="5">
                  <c:v>978</c:v>
                </c:pt>
                <c:pt idx="6">
                  <c:v>969</c:v>
                </c:pt>
                <c:pt idx="7">
                  <c:v>964</c:v>
                </c:pt>
                <c:pt idx="8">
                  <c:v>911</c:v>
                </c:pt>
                <c:pt idx="9">
                  <c:v>800</c:v>
                </c:pt>
                <c:pt idx="10">
                  <c:v>819</c:v>
                </c:pt>
                <c:pt idx="11">
                  <c:v>807</c:v>
                </c:pt>
                <c:pt idx="12">
                  <c:v>802</c:v>
                </c:pt>
                <c:pt idx="13">
                  <c:v>806</c:v>
                </c:pt>
                <c:pt idx="14">
                  <c:v>838</c:v>
                </c:pt>
                <c:pt idx="15">
                  <c:v>887</c:v>
                </c:pt>
                <c:pt idx="16">
                  <c:v>756</c:v>
                </c:pt>
                <c:pt idx="17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A-4DEF-ACBB-AABC9FC7EC14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3'!$U$155:$AL$155</c:f>
              <c:numCache>
                <c:formatCode>General</c:formatCode>
                <c:ptCount val="18"/>
                <c:pt idx="0">
                  <c:v>1119</c:v>
                </c:pt>
                <c:pt idx="1">
                  <c:v>1150</c:v>
                </c:pt>
                <c:pt idx="2">
                  <c:v>1213</c:v>
                </c:pt>
                <c:pt idx="3">
                  <c:v>1092</c:v>
                </c:pt>
                <c:pt idx="4">
                  <c:v>1099</c:v>
                </c:pt>
                <c:pt idx="5">
                  <c:v>964</c:v>
                </c:pt>
                <c:pt idx="6">
                  <c:v>959</c:v>
                </c:pt>
                <c:pt idx="7">
                  <c:v>880</c:v>
                </c:pt>
                <c:pt idx="8">
                  <c:v>815</c:v>
                </c:pt>
                <c:pt idx="9">
                  <c:v>755</c:v>
                </c:pt>
                <c:pt idx="10">
                  <c:v>743</c:v>
                </c:pt>
                <c:pt idx="11">
                  <c:v>757</c:v>
                </c:pt>
                <c:pt idx="12">
                  <c:v>715</c:v>
                </c:pt>
                <c:pt idx="13">
                  <c:v>762</c:v>
                </c:pt>
                <c:pt idx="14">
                  <c:v>668</c:v>
                </c:pt>
                <c:pt idx="15">
                  <c:v>712</c:v>
                </c:pt>
                <c:pt idx="16">
                  <c:v>742</c:v>
                </c:pt>
                <c:pt idx="1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A-4DEF-ACBB-AABC9FC7EC1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7852064"/>
        <c:axId val="1327849568"/>
        <c:axId val="1411834464"/>
      </c:surface3DChart>
      <c:catAx>
        <c:axId val="13278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9218175853018371"/>
              <c:y val="0.77477107028288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49568"/>
        <c:crosses val="autoZero"/>
        <c:auto val="1"/>
        <c:lblAlgn val="ctr"/>
        <c:lblOffset val="100"/>
        <c:noMultiLvlLbl val="0"/>
      </c:catAx>
      <c:valAx>
        <c:axId val="1327849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34283683289589"/>
              <c:y val="0.182768299795858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52064"/>
        <c:crosses val="autoZero"/>
        <c:crossBetween val="midCat"/>
      </c:valAx>
      <c:serAx>
        <c:axId val="1411834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3.782020997375328E-2"/>
              <c:y val="0.659903762029746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4956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Skalierungsstudie - Datatimes1 - sup6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Skalierungsstudie!$D$64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Skalierungsstudie!$D$65:$D$76</c:f>
              <c:numCache>
                <c:formatCode>General</c:formatCode>
                <c:ptCount val="12"/>
                <c:pt idx="0">
                  <c:v>1</c:v>
                </c:pt>
                <c:pt idx="1">
                  <c:v>1.2352941176470589</c:v>
                </c:pt>
                <c:pt idx="2">
                  <c:v>1.4482758620689655</c:v>
                </c:pt>
                <c:pt idx="3">
                  <c:v>1.6153846153846154</c:v>
                </c:pt>
                <c:pt idx="4">
                  <c:v>1.68</c:v>
                </c:pt>
                <c:pt idx="5">
                  <c:v>1.75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1.4</c:v>
                </c:pt>
                <c:pt idx="10">
                  <c:v>1.3125</c:v>
                </c:pt>
                <c:pt idx="11">
                  <c:v>1.3548387096774193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B21-AFAF-3F39CF8BBA31}"/>
            </c:ext>
          </c:extLst>
        </c:ser>
        <c:ser>
          <c:idx val="1"/>
          <c:order val="1"/>
          <c:tx>
            <c:strRef>
              <c:f>Skalierungsstudie!$E$64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Skalierungsstudie!$E$65:$E$76</c:f>
              <c:numCache>
                <c:formatCode>General</c:formatCode>
                <c:ptCount val="12"/>
                <c:pt idx="0">
                  <c:v>1</c:v>
                </c:pt>
                <c:pt idx="1">
                  <c:v>1.3428571428571427</c:v>
                </c:pt>
                <c:pt idx="2">
                  <c:v>1.5666666666666667</c:v>
                </c:pt>
                <c:pt idx="3">
                  <c:v>1.6785714285714286</c:v>
                </c:pt>
                <c:pt idx="4">
                  <c:v>1.8076923076923077</c:v>
                </c:pt>
                <c:pt idx="5">
                  <c:v>1.8076923076923077</c:v>
                </c:pt>
                <c:pt idx="6">
                  <c:v>1.9583333333333333</c:v>
                </c:pt>
                <c:pt idx="7">
                  <c:v>1.8076923076923077</c:v>
                </c:pt>
                <c:pt idx="8">
                  <c:v>1.7407407407407407</c:v>
                </c:pt>
                <c:pt idx="9">
                  <c:v>1.8076923076923077</c:v>
                </c:pt>
                <c:pt idx="10">
                  <c:v>1.5666666666666667</c:v>
                </c:pt>
                <c:pt idx="11">
                  <c:v>1.5161290322580645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B21-AFAF-3F39CF8BBA31}"/>
            </c:ext>
          </c:extLst>
        </c:ser>
        <c:ser>
          <c:idx val="2"/>
          <c:order val="2"/>
          <c:tx>
            <c:strRef>
              <c:f>Skalierungsstudie!$F$64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Skalierungsstudie!$F$65:$F$76</c:f>
              <c:numCache>
                <c:formatCode>General</c:formatCode>
                <c:ptCount val="12"/>
                <c:pt idx="0">
                  <c:v>1</c:v>
                </c:pt>
                <c:pt idx="1">
                  <c:v>1.1714285714285715</c:v>
                </c:pt>
                <c:pt idx="2">
                  <c:v>1.4137931034482758</c:v>
                </c:pt>
                <c:pt idx="3">
                  <c:v>1.64</c:v>
                </c:pt>
                <c:pt idx="4">
                  <c:v>1.5769230769230769</c:v>
                </c:pt>
                <c:pt idx="5">
                  <c:v>1.5769230769230769</c:v>
                </c:pt>
                <c:pt idx="6">
                  <c:v>1.5185185185185186</c:v>
                </c:pt>
                <c:pt idx="7">
                  <c:v>1.4642857142857142</c:v>
                </c:pt>
                <c:pt idx="8">
                  <c:v>1.4137931034482758</c:v>
                </c:pt>
                <c:pt idx="9">
                  <c:v>1.28125</c:v>
                </c:pt>
                <c:pt idx="10">
                  <c:v>1.28125</c:v>
                </c:pt>
                <c:pt idx="11">
                  <c:v>1.2058823529411764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B21-AFAF-3F39CF8B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69760"/>
        <c:axId val="340966432"/>
      </c:lineChart>
      <c:catAx>
        <c:axId val="34096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966432"/>
        <c:crosses val="autoZero"/>
        <c:auto val="1"/>
        <c:lblAlgn val="ctr"/>
        <c:lblOffset val="100"/>
        <c:noMultiLvlLbl val="0"/>
      </c:catAx>
      <c:valAx>
        <c:axId val="340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Skalierungsstudie - Datatimes2 - sup6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Skalierungsstudie!$J$64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Skalierungsstudie!$J$65:$J$76</c:f>
              <c:numCache>
                <c:formatCode>General</c:formatCode>
                <c:ptCount val="12"/>
                <c:pt idx="0">
                  <c:v>1</c:v>
                </c:pt>
                <c:pt idx="1">
                  <c:v>1.5341883320554819</c:v>
                </c:pt>
                <c:pt idx="2">
                  <c:v>2.0325038090401217</c:v>
                </c:pt>
                <c:pt idx="3">
                  <c:v>2.6458708979444645</c:v>
                </c:pt>
                <c:pt idx="4">
                  <c:v>2.7730393700787404</c:v>
                </c:pt>
                <c:pt idx="5">
                  <c:v>3.0010225645919966</c:v>
                </c:pt>
                <c:pt idx="6">
                  <c:v>3.0613351877607791</c:v>
                </c:pt>
                <c:pt idx="7">
                  <c:v>3.2090683773144772</c:v>
                </c:pt>
                <c:pt idx="8">
                  <c:v>2.943434073281626</c:v>
                </c:pt>
                <c:pt idx="9">
                  <c:v>2.9552900107411384</c:v>
                </c:pt>
                <c:pt idx="10">
                  <c:v>3.2611304541077115</c:v>
                </c:pt>
                <c:pt idx="11">
                  <c:v>3.0123169563432324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A-4763-BC09-B133F8AD1055}"/>
            </c:ext>
          </c:extLst>
        </c:ser>
        <c:ser>
          <c:idx val="1"/>
          <c:order val="1"/>
          <c:tx>
            <c:strRef>
              <c:f>Skalierungsstudie!$K$64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Skalierungsstudie!$K$65:$K$76</c:f>
              <c:numCache>
                <c:formatCode>General</c:formatCode>
                <c:ptCount val="12"/>
                <c:pt idx="0">
                  <c:v>1</c:v>
                </c:pt>
                <c:pt idx="1">
                  <c:v>1.347766217870257</c:v>
                </c:pt>
                <c:pt idx="2">
                  <c:v>2.1053008938387268</c:v>
                </c:pt>
                <c:pt idx="3">
                  <c:v>2.6290813585626456</c:v>
                </c:pt>
                <c:pt idx="4">
                  <c:v>2.7610957873620863</c:v>
                </c:pt>
                <c:pt idx="5">
                  <c:v>3.1636977445769285</c:v>
                </c:pt>
                <c:pt idx="6">
                  <c:v>3.2293423271500843</c:v>
                </c:pt>
                <c:pt idx="7">
                  <c:v>3.2587303936075762</c:v>
                </c:pt>
                <c:pt idx="8">
                  <c:v>3.532926927087511</c:v>
                </c:pt>
                <c:pt idx="9">
                  <c:v>3.6750104297037964</c:v>
                </c:pt>
                <c:pt idx="10">
                  <c:v>3.5092821289140308</c:v>
                </c:pt>
                <c:pt idx="11">
                  <c:v>3.8366724738675959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A-4763-BC09-B133F8AD1055}"/>
            </c:ext>
          </c:extLst>
        </c:ser>
        <c:ser>
          <c:idx val="2"/>
          <c:order val="2"/>
          <c:tx>
            <c:strRef>
              <c:f>Skalierungsstudie!$L$64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Skalierungsstudie!$L$65:$L$76</c:f>
              <c:numCache>
                <c:formatCode>General</c:formatCode>
                <c:ptCount val="12"/>
                <c:pt idx="0">
                  <c:v>1</c:v>
                </c:pt>
                <c:pt idx="1">
                  <c:v>1.7926287925066178</c:v>
                </c:pt>
                <c:pt idx="2">
                  <c:v>2.0358910318671661</c:v>
                </c:pt>
                <c:pt idx="3">
                  <c:v>2.4354321124266902</c:v>
                </c:pt>
                <c:pt idx="4">
                  <c:v>2.8272849894020169</c:v>
                </c:pt>
                <c:pt idx="5">
                  <c:v>3.0460175766382949</c:v>
                </c:pt>
                <c:pt idx="6">
                  <c:v>3.3083803081548289</c:v>
                </c:pt>
                <c:pt idx="7">
                  <c:v>2.7359065199825969</c:v>
                </c:pt>
                <c:pt idx="8">
                  <c:v>2.9881202905437512</c:v>
                </c:pt>
                <c:pt idx="9">
                  <c:v>2.903562005277045</c:v>
                </c:pt>
                <c:pt idx="10">
                  <c:v>3.144592084583512</c:v>
                </c:pt>
                <c:pt idx="11">
                  <c:v>3.1231729814105291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A-4763-BC09-B133F8AD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22480"/>
        <c:axId val="346713744"/>
      </c:lineChart>
      <c:catAx>
        <c:axId val="3467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13744"/>
        <c:crosses val="autoZero"/>
        <c:auto val="1"/>
        <c:lblAlgn val="ctr"/>
        <c:lblOffset val="100"/>
        <c:noMultiLvlLbl val="0"/>
      </c:catAx>
      <c:valAx>
        <c:axId val="3467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Times1 - Static - sup2.dat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497812773403319E-2"/>
          <c:y val="0.12078703703703704"/>
          <c:w val="0.8467311898512685"/>
          <c:h val="0.73440543890347043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2'!$B$116:$S$116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EB9-9E6C-BA6D14C7511B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2'!$B$117:$S$117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EB9-9E6C-BA6D14C7511B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2'!$B$118:$S$118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C-4EB9-9E6C-BA6D14C7511B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2'!$B$119:$S$119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C-4EB9-9E6C-BA6D14C7511B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2'!$B$120:$S$120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C-4EB9-9E6C-BA6D14C7511B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2'!$B$121:$S$121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C-4EB9-9E6C-BA6D14C7511B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2'!$B$122:$S$122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C-4EB9-9E6C-BA6D14C7511B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2'!$B$123:$S$123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C-4EB9-9E6C-BA6D14C7511B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2'!$B$124:$S$124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C-4EB9-9E6C-BA6D14C7511B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2'!$B$125:$S$125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AC-4EB9-9E6C-BA6D14C7511B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2'!$B$126:$S$126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AC-4EB9-9E6C-BA6D14C7511B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2'!$B$127:$S$127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AC-4EB9-9E6C-BA6D14C7511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5732575"/>
        <c:axId val="675728415"/>
        <c:axId val="651321839"/>
      </c:surface3DChart>
      <c:catAx>
        <c:axId val="6757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2260025636330342"/>
              <c:y val="0.7969181977252843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8415"/>
        <c:crosses val="autoZero"/>
        <c:auto val="1"/>
        <c:lblAlgn val="ctr"/>
        <c:lblOffset val="100"/>
        <c:noMultiLvlLbl val="0"/>
      </c:catAx>
      <c:valAx>
        <c:axId val="6757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5.0939195100612421E-2"/>
              <c:y val="0.194861111111111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32575"/>
        <c:crosses val="autoZero"/>
        <c:crossBetween val="midCat"/>
      </c:valAx>
      <c:serAx>
        <c:axId val="6513218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86429833770778652"/>
              <c:y val="0.43801655001458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8415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Skalierungsstudie - Times1 -</a:t>
            </a:r>
            <a:r>
              <a:rPr lang="de-DE" baseline="0"/>
              <a:t> sup7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Skalierungsstudie_Quertest!$D$64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Skalierungsstudie_Quertest!$D$65:$D$76</c:f>
              <c:numCache>
                <c:formatCode>General</c:formatCode>
                <c:ptCount val="12"/>
                <c:pt idx="0">
                  <c:v>1</c:v>
                </c:pt>
                <c:pt idx="1">
                  <c:v>1.5972222222222223</c:v>
                </c:pt>
                <c:pt idx="2">
                  <c:v>2.1100917431192658</c:v>
                </c:pt>
                <c:pt idx="3">
                  <c:v>2.5842696629213484</c:v>
                </c:pt>
                <c:pt idx="4">
                  <c:v>2.9487179487179489</c:v>
                </c:pt>
                <c:pt idx="5">
                  <c:v>3.1081081081081079</c:v>
                </c:pt>
                <c:pt idx="6">
                  <c:v>2.4731182795698925</c:v>
                </c:pt>
                <c:pt idx="7">
                  <c:v>2.5555555555555554</c:v>
                </c:pt>
                <c:pt idx="8">
                  <c:v>2.6436781609195403</c:v>
                </c:pt>
                <c:pt idx="9">
                  <c:v>2.7710843373493974</c:v>
                </c:pt>
                <c:pt idx="10">
                  <c:v>2.8395061728395063</c:v>
                </c:pt>
                <c:pt idx="11">
                  <c:v>2.9870129870129869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D83-8F79-383E157839AD}"/>
            </c:ext>
          </c:extLst>
        </c:ser>
        <c:ser>
          <c:idx val="1"/>
          <c:order val="1"/>
          <c:tx>
            <c:strRef>
              <c:f>Skalierungsstudie_Quertest!$E$64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Skalierungsstudie_Quertest!$E$65:$E$76</c:f>
              <c:numCache>
                <c:formatCode>General</c:formatCode>
                <c:ptCount val="12"/>
                <c:pt idx="0">
                  <c:v>1</c:v>
                </c:pt>
                <c:pt idx="1">
                  <c:v>1.5731707317073171</c:v>
                </c:pt>
                <c:pt idx="2">
                  <c:v>2.1147540983606556</c:v>
                </c:pt>
                <c:pt idx="3">
                  <c:v>2.5544554455445545</c:v>
                </c:pt>
                <c:pt idx="4">
                  <c:v>3</c:v>
                </c:pt>
                <c:pt idx="5">
                  <c:v>3.1463414634146343</c:v>
                </c:pt>
                <c:pt idx="6">
                  <c:v>3.3076923076923075</c:v>
                </c:pt>
                <c:pt idx="7">
                  <c:v>3.3506493506493507</c:v>
                </c:pt>
                <c:pt idx="8">
                  <c:v>3.44</c:v>
                </c:pt>
                <c:pt idx="9">
                  <c:v>3.4864864864864864</c:v>
                </c:pt>
                <c:pt idx="10">
                  <c:v>3.44</c:v>
                </c:pt>
                <c:pt idx="11">
                  <c:v>3.3076923076923075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8-4D83-8F79-383E157839AD}"/>
            </c:ext>
          </c:extLst>
        </c:ser>
        <c:ser>
          <c:idx val="2"/>
          <c:order val="2"/>
          <c:tx>
            <c:strRef>
              <c:f>Skalierungsstudie_Quertest!$F$64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Skalierungsstudie_Quertest!$F$65:$F$76</c:f>
              <c:numCache>
                <c:formatCode>General</c:formatCode>
                <c:ptCount val="12"/>
                <c:pt idx="0">
                  <c:v>1</c:v>
                </c:pt>
                <c:pt idx="1">
                  <c:v>1.6083916083916083</c:v>
                </c:pt>
                <c:pt idx="2">
                  <c:v>2.1698113207547172</c:v>
                </c:pt>
                <c:pt idx="3">
                  <c:v>2.6136363636363638</c:v>
                </c:pt>
                <c:pt idx="4">
                  <c:v>2.875</c:v>
                </c:pt>
                <c:pt idx="5">
                  <c:v>3.1506849315068495</c:v>
                </c:pt>
                <c:pt idx="6">
                  <c:v>2.5274725274725274</c:v>
                </c:pt>
                <c:pt idx="7">
                  <c:v>2.5842696629213484</c:v>
                </c:pt>
                <c:pt idx="8">
                  <c:v>2.6744186046511627</c:v>
                </c:pt>
                <c:pt idx="9">
                  <c:v>2.7710843373493974</c:v>
                </c:pt>
                <c:pt idx="10">
                  <c:v>2.875</c:v>
                </c:pt>
                <c:pt idx="11">
                  <c:v>3.0666666666666669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8-4D83-8F79-383E1578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58752"/>
        <c:axId val="1082059168"/>
      </c:lineChart>
      <c:catAx>
        <c:axId val="10820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059168"/>
        <c:crosses val="autoZero"/>
        <c:auto val="1"/>
        <c:lblAlgn val="ctr"/>
        <c:lblOffset val="100"/>
        <c:noMultiLvlLbl val="0"/>
      </c:catAx>
      <c:valAx>
        <c:axId val="10820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Skalierungsstudie</a:t>
            </a:r>
            <a:r>
              <a:rPr lang="de-DE" baseline="0"/>
              <a:t> - Times2 - sup7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Skalierungsstudie_Quertest!$J$64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Skalierungsstudie_Quertest!$J$65:$J$76</c:f>
              <c:numCache>
                <c:formatCode>General</c:formatCode>
                <c:ptCount val="12"/>
                <c:pt idx="0">
                  <c:v>1</c:v>
                </c:pt>
                <c:pt idx="1">
                  <c:v>1.9405364612051441</c:v>
                </c:pt>
                <c:pt idx="2">
                  <c:v>2.8381774342014157</c:v>
                </c:pt>
                <c:pt idx="3">
                  <c:v>3.6734688498318344</c:v>
                </c:pt>
                <c:pt idx="4">
                  <c:v>4.5104632572349557</c:v>
                </c:pt>
                <c:pt idx="5">
                  <c:v>5.3004959457198062</c:v>
                </c:pt>
                <c:pt idx="6">
                  <c:v>4.3049849567855087</c:v>
                </c:pt>
                <c:pt idx="7">
                  <c:v>4.2453439420985619</c:v>
                </c:pt>
                <c:pt idx="8">
                  <c:v>4.5486204037938078</c:v>
                </c:pt>
                <c:pt idx="9">
                  <c:v>4.7692818375322537</c:v>
                </c:pt>
                <c:pt idx="10">
                  <c:v>4.9371200634821673</c:v>
                </c:pt>
                <c:pt idx="11">
                  <c:v>5.3133077644511202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46B-8DCC-FE63CFB6F281}"/>
            </c:ext>
          </c:extLst>
        </c:ser>
        <c:ser>
          <c:idx val="1"/>
          <c:order val="1"/>
          <c:tx>
            <c:strRef>
              <c:f>Skalierungsstudie_Quertest!$K$64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Skalierungsstudie_Quertest!$K$65:$K$76</c:f>
              <c:numCache>
                <c:formatCode>General</c:formatCode>
                <c:ptCount val="12"/>
                <c:pt idx="0">
                  <c:v>1</c:v>
                </c:pt>
                <c:pt idx="1">
                  <c:v>1.8291398647426098</c:v>
                </c:pt>
                <c:pt idx="2">
                  <c:v>2.3377706726724914</c:v>
                </c:pt>
                <c:pt idx="3">
                  <c:v>3.6486831437164899</c:v>
                </c:pt>
                <c:pt idx="4">
                  <c:v>4.5453994526260919</c:v>
                </c:pt>
                <c:pt idx="5">
                  <c:v>5.2746610406599972</c:v>
                </c:pt>
                <c:pt idx="6">
                  <c:v>5.0089905713895888</c:v>
                </c:pt>
                <c:pt idx="7">
                  <c:v>5.4355791409513126</c:v>
                </c:pt>
                <c:pt idx="8">
                  <c:v>5.4360027431848996</c:v>
                </c:pt>
                <c:pt idx="9">
                  <c:v>5.4977419075167289</c:v>
                </c:pt>
                <c:pt idx="10">
                  <c:v>5.5898658503357748</c:v>
                </c:pt>
                <c:pt idx="11">
                  <c:v>5.7321757280915131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46B-8DCC-FE63CFB6F281}"/>
            </c:ext>
          </c:extLst>
        </c:ser>
        <c:ser>
          <c:idx val="2"/>
          <c:order val="2"/>
          <c:tx>
            <c:strRef>
              <c:f>Skalierungsstudie_Quertest!$L$64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Skalierungsstudie_Quertest!$L$65:$L$76</c:f>
              <c:numCache>
                <c:formatCode>General</c:formatCode>
                <c:ptCount val="12"/>
                <c:pt idx="0">
                  <c:v>1</c:v>
                </c:pt>
                <c:pt idx="1">
                  <c:v>1.938137934296071</c:v>
                </c:pt>
                <c:pt idx="2">
                  <c:v>2.8149343827779036</c:v>
                </c:pt>
                <c:pt idx="3">
                  <c:v>3.6826956622863123</c:v>
                </c:pt>
                <c:pt idx="4">
                  <c:v>4.5085293089836016</c:v>
                </c:pt>
                <c:pt idx="5">
                  <c:v>5.256214870421366</c:v>
                </c:pt>
                <c:pt idx="6">
                  <c:v>4.1785221615786003</c:v>
                </c:pt>
                <c:pt idx="7">
                  <c:v>4.3482480558225465</c:v>
                </c:pt>
                <c:pt idx="8">
                  <c:v>4.5504928119346051</c:v>
                </c:pt>
                <c:pt idx="9">
                  <c:v>4.7114058104306427</c:v>
                </c:pt>
                <c:pt idx="10">
                  <c:v>4.9478360297146429</c:v>
                </c:pt>
                <c:pt idx="11">
                  <c:v>5.3327388379017631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3-446B-8DCC-FE63CFB6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68736"/>
        <c:axId val="1082071232"/>
      </c:lineChart>
      <c:catAx>
        <c:axId val="10820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071232"/>
        <c:crosses val="autoZero"/>
        <c:auto val="1"/>
        <c:lblAlgn val="ctr"/>
        <c:lblOffset val="100"/>
        <c:noMultiLvlLbl val="0"/>
      </c:catAx>
      <c:valAx>
        <c:axId val="10820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0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Skalierungsstudie - Times3 - sup6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Skalierungsstudie_Quertest!$P$64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Skalierungsstudie_Quertest!$P$65:$P$76</c:f>
              <c:numCache>
                <c:formatCode>General</c:formatCode>
                <c:ptCount val="12"/>
                <c:pt idx="0">
                  <c:v>1</c:v>
                </c:pt>
                <c:pt idx="1">
                  <c:v>1.9887490846148725</c:v>
                </c:pt>
                <c:pt idx="2">
                  <c:v>2.968007948335817</c:v>
                </c:pt>
                <c:pt idx="3">
                  <c:v>3.9399894486942757</c:v>
                </c:pt>
                <c:pt idx="4">
                  <c:v>4.9734454341130441</c:v>
                </c:pt>
                <c:pt idx="5">
                  <c:v>5.8448444531402854</c:v>
                </c:pt>
                <c:pt idx="6">
                  <c:v>4.1017437869010021</c:v>
                </c:pt>
                <c:pt idx="7">
                  <c:v>4.4813981398139813</c:v>
                </c:pt>
                <c:pt idx="8">
                  <c:v>4.6724016579338388</c:v>
                </c:pt>
                <c:pt idx="9">
                  <c:v>4.9800783529215638</c:v>
                </c:pt>
                <c:pt idx="10">
                  <c:v>5.2611835153222968</c:v>
                </c:pt>
                <c:pt idx="11">
                  <c:v>5.5146760199372347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3-4F42-8B5E-D18A426DA886}"/>
            </c:ext>
          </c:extLst>
        </c:ser>
        <c:ser>
          <c:idx val="1"/>
          <c:order val="1"/>
          <c:tx>
            <c:strRef>
              <c:f>Skalierungsstudie_Quertest!$Q$64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Skalierungsstudie_Quertest!$Q$65:$Q$76</c:f>
              <c:numCache>
                <c:formatCode>General</c:formatCode>
                <c:ptCount val="12"/>
                <c:pt idx="0">
                  <c:v>1</c:v>
                </c:pt>
                <c:pt idx="1">
                  <c:v>1.9737292599420595</c:v>
                </c:pt>
                <c:pt idx="2">
                  <c:v>2.6136274467064826</c:v>
                </c:pt>
                <c:pt idx="3">
                  <c:v>3.7825867507886435</c:v>
                </c:pt>
                <c:pt idx="4">
                  <c:v>4.8502548337513147</c:v>
                </c:pt>
                <c:pt idx="5">
                  <c:v>5.8083704708389847</c:v>
                </c:pt>
                <c:pt idx="6">
                  <c:v>5.6368935690109065</c:v>
                </c:pt>
                <c:pt idx="7">
                  <c:v>5.4832632156575816</c:v>
                </c:pt>
                <c:pt idx="8">
                  <c:v>5.4607887785772835</c:v>
                </c:pt>
                <c:pt idx="9">
                  <c:v>5.6390142964635066</c:v>
                </c:pt>
                <c:pt idx="10">
                  <c:v>5.908544397358825</c:v>
                </c:pt>
                <c:pt idx="11">
                  <c:v>6.1630345394736841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3-4F42-8B5E-D18A426DA886}"/>
            </c:ext>
          </c:extLst>
        </c:ser>
        <c:ser>
          <c:idx val="2"/>
          <c:order val="2"/>
          <c:tx>
            <c:strRef>
              <c:f>Skalierungsstudie_Quertest!$R$64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Skalierungsstudie_Quertest!$R$65:$R$76</c:f>
              <c:numCache>
                <c:formatCode>General</c:formatCode>
                <c:ptCount val="12"/>
                <c:pt idx="0">
                  <c:v>1</c:v>
                </c:pt>
                <c:pt idx="1">
                  <c:v>1.9989066330925718</c:v>
                </c:pt>
                <c:pt idx="2">
                  <c:v>2.9607400500564363</c:v>
                </c:pt>
                <c:pt idx="3">
                  <c:v>3.9738506125675142</c:v>
                </c:pt>
                <c:pt idx="4">
                  <c:v>4.9306145799280809</c:v>
                </c:pt>
                <c:pt idx="5">
                  <c:v>5.9194466248037676</c:v>
                </c:pt>
                <c:pt idx="6">
                  <c:v>6.0030845771144277</c:v>
                </c:pt>
                <c:pt idx="7">
                  <c:v>5.9445265543403289</c:v>
                </c:pt>
                <c:pt idx="8">
                  <c:v>5.9870000992358836</c:v>
                </c:pt>
                <c:pt idx="9">
                  <c:v>5.8825078003120126</c:v>
                </c:pt>
                <c:pt idx="10">
                  <c:v>6.1537127702978376</c:v>
                </c:pt>
                <c:pt idx="11">
                  <c:v>6.1890644234714811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3-4F42-8B5E-D18A426D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22511"/>
        <c:axId val="2015823759"/>
      </c:lineChart>
      <c:catAx>
        <c:axId val="201582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823759"/>
        <c:crosses val="autoZero"/>
        <c:auto val="1"/>
        <c:lblAlgn val="ctr"/>
        <c:lblOffset val="100"/>
        <c:noMultiLvlLbl val="0"/>
      </c:catAx>
      <c:valAx>
        <c:axId val="2015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8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Times2 - Static</a:t>
            </a:r>
            <a:r>
              <a:rPr lang="de-DE" baseline="0"/>
              <a:t> - sup2.dat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2'!$V$116:$AM$116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64E-B465-3F7D8DB3162D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2'!$V$117:$AM$117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F-464E-B465-3F7D8DB3162D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2'!$V$118:$AM$118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F-464E-B465-3F7D8DB3162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2'!$V$119:$AM$119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F-464E-B465-3F7D8DB3162D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2'!$V$120:$AM$120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F-464E-B465-3F7D8DB3162D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2'!$V$121:$AM$121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F-464E-B465-3F7D8DB3162D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2'!$V$122:$AM$122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F-464E-B465-3F7D8DB3162D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2'!$V$123:$AM$123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F-464E-B465-3F7D8DB3162D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2'!$V$124:$AM$124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F-464E-B465-3F7D8DB3162D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2'!$V$125:$AM$125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EF-464E-B465-3F7D8DB3162D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2'!$V$126:$AM$126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EF-464E-B465-3F7D8DB3162D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2'!$V$127:$AM$127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EF-464E-B465-3F7D8DB3162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5823711"/>
        <c:axId val="655824127"/>
        <c:axId val="644571535"/>
      </c:surface3DChart>
      <c:catAx>
        <c:axId val="65582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6769289673885901"/>
              <c:y val="0.731784412365120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24127"/>
        <c:crosses val="autoZero"/>
        <c:auto val="1"/>
        <c:lblAlgn val="ctr"/>
        <c:lblOffset val="100"/>
        <c:noMultiLvlLbl val="0"/>
      </c:catAx>
      <c:valAx>
        <c:axId val="655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23711"/>
        <c:crosses val="autoZero"/>
        <c:crossBetween val="midCat"/>
      </c:valAx>
      <c:serAx>
        <c:axId val="6445715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2412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</a:t>
            </a:r>
            <a:r>
              <a:rPr lang="de-DE" baseline="0"/>
              <a:t> - Static - sup5.dat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22222222222223"/>
          <c:y val="9.7638888888888886E-2"/>
          <c:w val="0.77998600174978128"/>
          <c:h val="0.69093649752114317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2'!$V$130:$AM$130</c:f>
              <c:numCache>
                <c:formatCode>General</c:formatCode>
                <c:ptCount val="18"/>
                <c:pt idx="0">
                  <c:v>2913</c:v>
                </c:pt>
                <c:pt idx="1">
                  <c:v>2915</c:v>
                </c:pt>
                <c:pt idx="2">
                  <c:v>2917</c:v>
                </c:pt>
                <c:pt idx="3">
                  <c:v>2915</c:v>
                </c:pt>
                <c:pt idx="4">
                  <c:v>2916</c:v>
                </c:pt>
                <c:pt idx="5">
                  <c:v>2913</c:v>
                </c:pt>
                <c:pt idx="6">
                  <c:v>2915</c:v>
                </c:pt>
                <c:pt idx="7">
                  <c:v>2913</c:v>
                </c:pt>
                <c:pt idx="8">
                  <c:v>2915</c:v>
                </c:pt>
                <c:pt idx="9">
                  <c:v>2914</c:v>
                </c:pt>
                <c:pt idx="10">
                  <c:v>2918</c:v>
                </c:pt>
                <c:pt idx="11">
                  <c:v>2913</c:v>
                </c:pt>
                <c:pt idx="12">
                  <c:v>2917</c:v>
                </c:pt>
                <c:pt idx="13">
                  <c:v>2916</c:v>
                </c:pt>
                <c:pt idx="14">
                  <c:v>2914</c:v>
                </c:pt>
                <c:pt idx="15">
                  <c:v>2917</c:v>
                </c:pt>
                <c:pt idx="16">
                  <c:v>2912</c:v>
                </c:pt>
                <c:pt idx="1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5-46FC-A963-3F593C0B5379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2'!$V$131:$AM$131</c:f>
              <c:numCache>
                <c:formatCode>General</c:formatCode>
                <c:ptCount val="18"/>
                <c:pt idx="0">
                  <c:v>1992</c:v>
                </c:pt>
                <c:pt idx="1">
                  <c:v>2408</c:v>
                </c:pt>
                <c:pt idx="2">
                  <c:v>2242</c:v>
                </c:pt>
                <c:pt idx="3">
                  <c:v>3221</c:v>
                </c:pt>
                <c:pt idx="4">
                  <c:v>2603</c:v>
                </c:pt>
                <c:pt idx="5">
                  <c:v>2187</c:v>
                </c:pt>
                <c:pt idx="6">
                  <c:v>2169</c:v>
                </c:pt>
                <c:pt idx="7">
                  <c:v>2285</c:v>
                </c:pt>
                <c:pt idx="8">
                  <c:v>2036</c:v>
                </c:pt>
                <c:pt idx="9">
                  <c:v>1996</c:v>
                </c:pt>
                <c:pt idx="10">
                  <c:v>1899</c:v>
                </c:pt>
                <c:pt idx="11">
                  <c:v>1876</c:v>
                </c:pt>
                <c:pt idx="12">
                  <c:v>1924</c:v>
                </c:pt>
                <c:pt idx="13">
                  <c:v>1907</c:v>
                </c:pt>
                <c:pt idx="14">
                  <c:v>2166</c:v>
                </c:pt>
                <c:pt idx="15">
                  <c:v>2178</c:v>
                </c:pt>
                <c:pt idx="16">
                  <c:v>1842</c:v>
                </c:pt>
                <c:pt idx="17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5-46FC-A963-3F593C0B537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2'!$V$132:$AM$132</c:f>
              <c:numCache>
                <c:formatCode>General</c:formatCode>
                <c:ptCount val="18"/>
                <c:pt idx="0">
                  <c:v>1766</c:v>
                </c:pt>
                <c:pt idx="1">
                  <c:v>1951</c:v>
                </c:pt>
                <c:pt idx="2">
                  <c:v>1593</c:v>
                </c:pt>
                <c:pt idx="3">
                  <c:v>1757</c:v>
                </c:pt>
                <c:pt idx="4">
                  <c:v>1868</c:v>
                </c:pt>
                <c:pt idx="5">
                  <c:v>1763</c:v>
                </c:pt>
                <c:pt idx="6">
                  <c:v>1809</c:v>
                </c:pt>
                <c:pt idx="7">
                  <c:v>1717</c:v>
                </c:pt>
                <c:pt idx="8">
                  <c:v>1620</c:v>
                </c:pt>
                <c:pt idx="9">
                  <c:v>1482</c:v>
                </c:pt>
                <c:pt idx="10">
                  <c:v>1553</c:v>
                </c:pt>
                <c:pt idx="11">
                  <c:v>1407</c:v>
                </c:pt>
                <c:pt idx="12">
                  <c:v>1451</c:v>
                </c:pt>
                <c:pt idx="13">
                  <c:v>1441</c:v>
                </c:pt>
                <c:pt idx="14">
                  <c:v>1424</c:v>
                </c:pt>
                <c:pt idx="15">
                  <c:v>1384</c:v>
                </c:pt>
                <c:pt idx="16">
                  <c:v>1496</c:v>
                </c:pt>
                <c:pt idx="17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5-46FC-A963-3F593C0B537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2'!$V$133:$AM$133</c:f>
              <c:numCache>
                <c:formatCode>General</c:formatCode>
                <c:ptCount val="18"/>
                <c:pt idx="0">
                  <c:v>1717</c:v>
                </c:pt>
                <c:pt idx="1">
                  <c:v>1613</c:v>
                </c:pt>
                <c:pt idx="2">
                  <c:v>1456</c:v>
                </c:pt>
                <c:pt idx="3">
                  <c:v>1404</c:v>
                </c:pt>
                <c:pt idx="4">
                  <c:v>1500</c:v>
                </c:pt>
                <c:pt idx="5">
                  <c:v>1425</c:v>
                </c:pt>
                <c:pt idx="6">
                  <c:v>1295</c:v>
                </c:pt>
                <c:pt idx="7">
                  <c:v>1201</c:v>
                </c:pt>
                <c:pt idx="8">
                  <c:v>1090</c:v>
                </c:pt>
                <c:pt idx="9">
                  <c:v>1286</c:v>
                </c:pt>
                <c:pt idx="10">
                  <c:v>1218</c:v>
                </c:pt>
                <c:pt idx="11">
                  <c:v>1088</c:v>
                </c:pt>
                <c:pt idx="12">
                  <c:v>1131</c:v>
                </c:pt>
                <c:pt idx="13">
                  <c:v>1089</c:v>
                </c:pt>
                <c:pt idx="14">
                  <c:v>1106</c:v>
                </c:pt>
                <c:pt idx="15">
                  <c:v>1134</c:v>
                </c:pt>
                <c:pt idx="16">
                  <c:v>1101</c:v>
                </c:pt>
                <c:pt idx="17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5-46FC-A963-3F593C0B5379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2'!$V$134:$AM$134</c:f>
              <c:numCache>
                <c:formatCode>General</c:formatCode>
                <c:ptCount val="18"/>
                <c:pt idx="0">
                  <c:v>1278</c:v>
                </c:pt>
                <c:pt idx="1">
                  <c:v>1330</c:v>
                </c:pt>
                <c:pt idx="2">
                  <c:v>1280</c:v>
                </c:pt>
                <c:pt idx="3">
                  <c:v>1251</c:v>
                </c:pt>
                <c:pt idx="4">
                  <c:v>1235</c:v>
                </c:pt>
                <c:pt idx="5">
                  <c:v>1203</c:v>
                </c:pt>
                <c:pt idx="6">
                  <c:v>1152</c:v>
                </c:pt>
                <c:pt idx="7">
                  <c:v>1146</c:v>
                </c:pt>
                <c:pt idx="8">
                  <c:v>986</c:v>
                </c:pt>
                <c:pt idx="9">
                  <c:v>1110</c:v>
                </c:pt>
                <c:pt idx="10">
                  <c:v>918</c:v>
                </c:pt>
                <c:pt idx="11">
                  <c:v>889</c:v>
                </c:pt>
                <c:pt idx="12">
                  <c:v>905</c:v>
                </c:pt>
                <c:pt idx="13">
                  <c:v>915</c:v>
                </c:pt>
                <c:pt idx="14">
                  <c:v>830</c:v>
                </c:pt>
                <c:pt idx="15">
                  <c:v>912</c:v>
                </c:pt>
                <c:pt idx="16">
                  <c:v>884</c:v>
                </c:pt>
                <c:pt idx="17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5-46FC-A963-3F593C0B5379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2'!$V$135:$AM$135</c:f>
              <c:numCache>
                <c:formatCode>General</c:formatCode>
                <c:ptCount val="18"/>
                <c:pt idx="0">
                  <c:v>1257</c:v>
                </c:pt>
                <c:pt idx="1">
                  <c:v>1202</c:v>
                </c:pt>
                <c:pt idx="2">
                  <c:v>1344</c:v>
                </c:pt>
                <c:pt idx="3">
                  <c:v>1107</c:v>
                </c:pt>
                <c:pt idx="4">
                  <c:v>1056</c:v>
                </c:pt>
                <c:pt idx="5">
                  <c:v>1241</c:v>
                </c:pt>
                <c:pt idx="6">
                  <c:v>901</c:v>
                </c:pt>
                <c:pt idx="7">
                  <c:v>912</c:v>
                </c:pt>
                <c:pt idx="8">
                  <c:v>929</c:v>
                </c:pt>
                <c:pt idx="9">
                  <c:v>782</c:v>
                </c:pt>
                <c:pt idx="10">
                  <c:v>741</c:v>
                </c:pt>
                <c:pt idx="11">
                  <c:v>785</c:v>
                </c:pt>
                <c:pt idx="12">
                  <c:v>714</c:v>
                </c:pt>
                <c:pt idx="13">
                  <c:v>720</c:v>
                </c:pt>
                <c:pt idx="14">
                  <c:v>724</c:v>
                </c:pt>
                <c:pt idx="15">
                  <c:v>748</c:v>
                </c:pt>
                <c:pt idx="16">
                  <c:v>736</c:v>
                </c:pt>
                <c:pt idx="17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5-46FC-A963-3F593C0B5379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2'!$V$136:$AM$136</c:f>
              <c:numCache>
                <c:formatCode>General</c:formatCode>
                <c:ptCount val="18"/>
                <c:pt idx="0">
                  <c:v>1145</c:v>
                </c:pt>
                <c:pt idx="1">
                  <c:v>1297</c:v>
                </c:pt>
                <c:pt idx="2">
                  <c:v>1148</c:v>
                </c:pt>
                <c:pt idx="3">
                  <c:v>1180</c:v>
                </c:pt>
                <c:pt idx="4">
                  <c:v>1260</c:v>
                </c:pt>
                <c:pt idx="5">
                  <c:v>1173</c:v>
                </c:pt>
                <c:pt idx="6">
                  <c:v>1190</c:v>
                </c:pt>
                <c:pt idx="7">
                  <c:v>1136</c:v>
                </c:pt>
                <c:pt idx="8">
                  <c:v>1166</c:v>
                </c:pt>
                <c:pt idx="9">
                  <c:v>1191</c:v>
                </c:pt>
                <c:pt idx="10">
                  <c:v>1090</c:v>
                </c:pt>
                <c:pt idx="11">
                  <c:v>1095</c:v>
                </c:pt>
                <c:pt idx="12">
                  <c:v>1104</c:v>
                </c:pt>
                <c:pt idx="13">
                  <c:v>1141</c:v>
                </c:pt>
                <c:pt idx="14">
                  <c:v>1082</c:v>
                </c:pt>
                <c:pt idx="15">
                  <c:v>1068</c:v>
                </c:pt>
                <c:pt idx="16">
                  <c:v>823</c:v>
                </c:pt>
                <c:pt idx="17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5-46FC-A963-3F593C0B5379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2'!$V$137:$AM$137</c:f>
              <c:numCache>
                <c:formatCode>General</c:formatCode>
                <c:ptCount val="18"/>
                <c:pt idx="0">
                  <c:v>1029</c:v>
                </c:pt>
                <c:pt idx="1">
                  <c:v>1194</c:v>
                </c:pt>
                <c:pt idx="2">
                  <c:v>1058</c:v>
                </c:pt>
                <c:pt idx="3">
                  <c:v>1229</c:v>
                </c:pt>
                <c:pt idx="4">
                  <c:v>1142</c:v>
                </c:pt>
                <c:pt idx="5">
                  <c:v>1180</c:v>
                </c:pt>
                <c:pt idx="6">
                  <c:v>1052</c:v>
                </c:pt>
                <c:pt idx="7">
                  <c:v>1001</c:v>
                </c:pt>
                <c:pt idx="8">
                  <c:v>1065</c:v>
                </c:pt>
                <c:pt idx="9">
                  <c:v>1031</c:v>
                </c:pt>
                <c:pt idx="10">
                  <c:v>940</c:v>
                </c:pt>
                <c:pt idx="11">
                  <c:v>998</c:v>
                </c:pt>
                <c:pt idx="12">
                  <c:v>1016</c:v>
                </c:pt>
                <c:pt idx="13">
                  <c:v>994</c:v>
                </c:pt>
                <c:pt idx="14">
                  <c:v>1028</c:v>
                </c:pt>
                <c:pt idx="15">
                  <c:v>956</c:v>
                </c:pt>
                <c:pt idx="16">
                  <c:v>984</c:v>
                </c:pt>
                <c:pt idx="17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5-46FC-A963-3F593C0B5379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2'!$V$138:$AM$138</c:f>
              <c:numCache>
                <c:formatCode>General</c:formatCode>
                <c:ptCount val="18"/>
                <c:pt idx="0">
                  <c:v>1187</c:v>
                </c:pt>
                <c:pt idx="1">
                  <c:v>1461</c:v>
                </c:pt>
                <c:pt idx="2">
                  <c:v>1128</c:v>
                </c:pt>
                <c:pt idx="3">
                  <c:v>1220</c:v>
                </c:pt>
                <c:pt idx="4">
                  <c:v>1136</c:v>
                </c:pt>
                <c:pt idx="5">
                  <c:v>1028</c:v>
                </c:pt>
                <c:pt idx="6">
                  <c:v>1057</c:v>
                </c:pt>
                <c:pt idx="7">
                  <c:v>1040</c:v>
                </c:pt>
                <c:pt idx="8">
                  <c:v>944</c:v>
                </c:pt>
                <c:pt idx="9">
                  <c:v>886</c:v>
                </c:pt>
                <c:pt idx="10">
                  <c:v>1015</c:v>
                </c:pt>
                <c:pt idx="11">
                  <c:v>863</c:v>
                </c:pt>
                <c:pt idx="12">
                  <c:v>917</c:v>
                </c:pt>
                <c:pt idx="13">
                  <c:v>944</c:v>
                </c:pt>
                <c:pt idx="14">
                  <c:v>851</c:v>
                </c:pt>
                <c:pt idx="15">
                  <c:v>988</c:v>
                </c:pt>
                <c:pt idx="16">
                  <c:v>924</c:v>
                </c:pt>
                <c:pt idx="17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25-46FC-A963-3F593C0B537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2'!$V$139:$AM$139</c:f>
              <c:numCache>
                <c:formatCode>General</c:formatCode>
                <c:ptCount val="18"/>
                <c:pt idx="0">
                  <c:v>982</c:v>
                </c:pt>
                <c:pt idx="1">
                  <c:v>1353</c:v>
                </c:pt>
                <c:pt idx="2">
                  <c:v>1195</c:v>
                </c:pt>
                <c:pt idx="3">
                  <c:v>923</c:v>
                </c:pt>
                <c:pt idx="4">
                  <c:v>1225</c:v>
                </c:pt>
                <c:pt idx="5">
                  <c:v>1114</c:v>
                </c:pt>
                <c:pt idx="6">
                  <c:v>956</c:v>
                </c:pt>
                <c:pt idx="7">
                  <c:v>1096</c:v>
                </c:pt>
                <c:pt idx="8">
                  <c:v>852</c:v>
                </c:pt>
                <c:pt idx="9">
                  <c:v>948</c:v>
                </c:pt>
                <c:pt idx="10">
                  <c:v>884</c:v>
                </c:pt>
                <c:pt idx="11">
                  <c:v>894</c:v>
                </c:pt>
                <c:pt idx="12">
                  <c:v>888</c:v>
                </c:pt>
                <c:pt idx="13">
                  <c:v>824</c:v>
                </c:pt>
                <c:pt idx="14">
                  <c:v>877</c:v>
                </c:pt>
                <c:pt idx="15">
                  <c:v>927</c:v>
                </c:pt>
                <c:pt idx="16">
                  <c:v>797</c:v>
                </c:pt>
                <c:pt idx="17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25-46FC-A963-3F593C0B5379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2'!$V$140:$AM$140</c:f>
              <c:numCache>
                <c:formatCode>General</c:formatCode>
                <c:ptCount val="18"/>
                <c:pt idx="0">
                  <c:v>1508</c:v>
                </c:pt>
                <c:pt idx="1">
                  <c:v>1233</c:v>
                </c:pt>
                <c:pt idx="2">
                  <c:v>1310</c:v>
                </c:pt>
                <c:pt idx="3">
                  <c:v>1061</c:v>
                </c:pt>
                <c:pt idx="4">
                  <c:v>1125</c:v>
                </c:pt>
                <c:pt idx="5">
                  <c:v>1065</c:v>
                </c:pt>
                <c:pt idx="6">
                  <c:v>999</c:v>
                </c:pt>
                <c:pt idx="7">
                  <c:v>873</c:v>
                </c:pt>
                <c:pt idx="8">
                  <c:v>827</c:v>
                </c:pt>
                <c:pt idx="9">
                  <c:v>851</c:v>
                </c:pt>
                <c:pt idx="10">
                  <c:v>814</c:v>
                </c:pt>
                <c:pt idx="11">
                  <c:v>775</c:v>
                </c:pt>
                <c:pt idx="12">
                  <c:v>808</c:v>
                </c:pt>
                <c:pt idx="13">
                  <c:v>847</c:v>
                </c:pt>
                <c:pt idx="14">
                  <c:v>833</c:v>
                </c:pt>
                <c:pt idx="15">
                  <c:v>737</c:v>
                </c:pt>
                <c:pt idx="16">
                  <c:v>778</c:v>
                </c:pt>
                <c:pt idx="17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25-46FC-A963-3F593C0B5379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2'!$V$141:$AM$141</c:f>
              <c:numCache>
                <c:formatCode>General</c:formatCode>
                <c:ptCount val="18"/>
                <c:pt idx="0">
                  <c:v>1374</c:v>
                </c:pt>
                <c:pt idx="1">
                  <c:v>1036</c:v>
                </c:pt>
                <c:pt idx="2">
                  <c:v>1271</c:v>
                </c:pt>
                <c:pt idx="3">
                  <c:v>1243</c:v>
                </c:pt>
                <c:pt idx="4">
                  <c:v>1129</c:v>
                </c:pt>
                <c:pt idx="5">
                  <c:v>1098</c:v>
                </c:pt>
                <c:pt idx="6">
                  <c:v>993</c:v>
                </c:pt>
                <c:pt idx="7">
                  <c:v>937</c:v>
                </c:pt>
                <c:pt idx="8">
                  <c:v>828</c:v>
                </c:pt>
                <c:pt idx="9">
                  <c:v>774</c:v>
                </c:pt>
                <c:pt idx="10">
                  <c:v>740</c:v>
                </c:pt>
                <c:pt idx="11">
                  <c:v>792</c:v>
                </c:pt>
                <c:pt idx="12">
                  <c:v>786</c:v>
                </c:pt>
                <c:pt idx="13">
                  <c:v>793</c:v>
                </c:pt>
                <c:pt idx="14">
                  <c:v>746</c:v>
                </c:pt>
                <c:pt idx="15">
                  <c:v>762</c:v>
                </c:pt>
                <c:pt idx="16">
                  <c:v>778</c:v>
                </c:pt>
                <c:pt idx="17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25-46FC-A963-3F593C0B537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5723423"/>
        <c:axId val="675726751"/>
        <c:axId val="647630415"/>
      </c:surface3DChart>
      <c:catAx>
        <c:axId val="675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8.9122316370073187E-2"/>
              <c:y val="0.775332458442694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6751"/>
        <c:crosses val="autoZero"/>
        <c:auto val="1"/>
        <c:lblAlgn val="ctr"/>
        <c:lblOffset val="100"/>
        <c:noMultiLvlLbl val="0"/>
      </c:catAx>
      <c:valAx>
        <c:axId val="675726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0749934383202113"/>
              <c:y val="0.129168489355497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3423"/>
        <c:crosses val="autoZero"/>
        <c:crossBetween val="midCat"/>
      </c:valAx>
      <c:serAx>
        <c:axId val="64763041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77201443569553818"/>
              <c:y val="0.700236585010207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675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Times1 - Static - sup5.dat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888888888888892E-2"/>
          <c:y val="0.10689814814814814"/>
          <c:w val="0.82443044619422567"/>
          <c:h val="0.62674722951297757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2'!$B$130:$S$130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4-444C-830E-B687AF58706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2'!$B$131:$S$131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4-444C-830E-B687AF58706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2'!$B$132:$S$132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4-444C-830E-B687AF58706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2'!$B$133:$S$133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4-444C-830E-B687AF587064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2'!$B$134:$S$134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4-444C-830E-B687AF587064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2'!$B$135:$S$135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44-444C-830E-B687AF58706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2'!$B$136:$S$136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44-444C-830E-B687AF58706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2'!$B$137:$S$137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44-444C-830E-B687AF58706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2'!$B$138:$S$138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44-444C-830E-B687AF58706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2'!$B$139:$S$139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44-444C-830E-B687AF587064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2'!$B$140:$S$140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44-444C-830E-B687AF587064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2'!$B$141:$S$141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44-444C-830E-B687AF58706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5873951"/>
        <c:axId val="695865215"/>
        <c:axId val="656675583"/>
      </c:surface3DChart>
      <c:catAx>
        <c:axId val="69587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4.1984984435085138E-2"/>
              <c:y val="0.7659729512977544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865215"/>
        <c:crosses val="autoZero"/>
        <c:auto val="1"/>
        <c:lblAlgn val="ctr"/>
        <c:lblOffset val="100"/>
        <c:noMultiLvlLbl val="0"/>
      </c:catAx>
      <c:valAx>
        <c:axId val="695865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89566601049868755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873951"/>
        <c:crosses val="autoZero"/>
        <c:crossBetween val="midCat"/>
      </c:valAx>
      <c:serAx>
        <c:axId val="6566755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75121675415573053"/>
              <c:y val="0.7464147710702828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865215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Times1 - Dynamic - Sup5.dat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467592592592595"/>
          <c:w val="0.92720822397200353"/>
          <c:h val="0.64989537766112571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2'!$B$144:$S$144</c:f>
              <c:numCache>
                <c:formatCode>General</c:formatCode>
                <c:ptCount val="18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0B4-A58C-3E5E61784EBA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2'!$B$145:$S$145</c:f>
              <c:numCache>
                <c:formatCode>General</c:formatCode>
                <c:ptCount val="18"/>
                <c:pt idx="0">
                  <c:v>19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40B4-A58C-3E5E61784EB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2'!$B$146:$S$146</c:f>
              <c:numCache>
                <c:formatCode>General</c:formatCode>
                <c:ptCount val="18"/>
                <c:pt idx="0">
                  <c:v>19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0B4-A58C-3E5E61784EBA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2'!$B$147:$S$147</c:f>
              <c:numCache>
                <c:formatCode>General</c:formatCode>
                <c:ptCount val="18"/>
                <c:pt idx="0">
                  <c:v>19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7-40B4-A58C-3E5E61784EB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2'!$B$148:$S$148</c:f>
              <c:numCache>
                <c:formatCode>General</c:formatCode>
                <c:ptCount val="18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47-40B4-A58C-3E5E61784EBA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2'!$B$149:$S$149</c:f>
              <c:numCache>
                <c:formatCode>General</c:formatCode>
                <c:ptCount val="18"/>
                <c:pt idx="0">
                  <c:v>19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47-40B4-A58C-3E5E61784EBA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2'!$B$150:$S$150</c:f>
              <c:numCache>
                <c:formatCode>General</c:formatCode>
                <c:ptCount val="18"/>
                <c:pt idx="0">
                  <c:v>20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47-40B4-A58C-3E5E61784EBA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2'!$B$151:$S$151</c:f>
              <c:numCache>
                <c:formatCode>General</c:formatCode>
                <c:ptCount val="1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47-40B4-A58C-3E5E61784EBA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2'!$B$152:$S$152</c:f>
              <c:numCache>
                <c:formatCode>General</c:formatCode>
                <c:ptCount val="18"/>
                <c:pt idx="0">
                  <c:v>16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47-40B4-A58C-3E5E61784EBA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2'!$B$153:$S$153</c:f>
              <c:numCache>
                <c:formatCode>General</c:formatCode>
                <c:ptCount val="18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47-40B4-A58C-3E5E61784EBA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2'!$B$154:$S$154</c:f>
              <c:numCache>
                <c:formatCode>General</c:formatCode>
                <c:ptCount val="18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47-40B4-A58C-3E5E61784EBA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2'!$B$155:$S$155</c:f>
              <c:numCache>
                <c:formatCode>General</c:formatCode>
                <c:ptCount val="18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47-40B4-A58C-3E5E61784E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5815807"/>
        <c:axId val="655813311"/>
        <c:axId val="647635871"/>
      </c:surface3DChart>
      <c:catAx>
        <c:axId val="65581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6614772519185628"/>
              <c:y val="0.7881106007582385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13311"/>
        <c:crosses val="autoZero"/>
        <c:auto val="1"/>
        <c:lblAlgn val="ctr"/>
        <c:lblOffset val="100"/>
        <c:noMultiLvlLbl val="0"/>
      </c:catAx>
      <c:valAx>
        <c:axId val="6558133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3010542432195975"/>
              <c:y val="0.183667614464858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15807"/>
        <c:crosses val="autoZero"/>
        <c:crossBetween val="midCat"/>
      </c:valAx>
      <c:serAx>
        <c:axId val="6476358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9.2606955380577421E-2"/>
              <c:y val="0.75009842519685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1331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Times2</a:t>
            </a:r>
            <a:r>
              <a:rPr lang="de-DE" baseline="0"/>
              <a:t> - Dynamic - sup5.dat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0689814814814817"/>
          <c:w val="0.92720822397200353"/>
          <c:h val="0.69156204432779234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2'!$V$144:$AM$144</c:f>
              <c:numCache>
                <c:formatCode>General</c:formatCode>
                <c:ptCount val="18"/>
                <c:pt idx="0">
                  <c:v>2920</c:v>
                </c:pt>
                <c:pt idx="1">
                  <c:v>2920</c:v>
                </c:pt>
                <c:pt idx="2">
                  <c:v>2919</c:v>
                </c:pt>
                <c:pt idx="3">
                  <c:v>2916</c:v>
                </c:pt>
                <c:pt idx="4">
                  <c:v>2915</c:v>
                </c:pt>
                <c:pt idx="5">
                  <c:v>2914</c:v>
                </c:pt>
                <c:pt idx="6">
                  <c:v>2914</c:v>
                </c:pt>
                <c:pt idx="7">
                  <c:v>2914</c:v>
                </c:pt>
                <c:pt idx="8">
                  <c:v>2914</c:v>
                </c:pt>
                <c:pt idx="9">
                  <c:v>2914</c:v>
                </c:pt>
                <c:pt idx="10">
                  <c:v>2914</c:v>
                </c:pt>
                <c:pt idx="11">
                  <c:v>2918</c:v>
                </c:pt>
                <c:pt idx="12">
                  <c:v>2918</c:v>
                </c:pt>
                <c:pt idx="13">
                  <c:v>2913</c:v>
                </c:pt>
                <c:pt idx="14">
                  <c:v>2915</c:v>
                </c:pt>
                <c:pt idx="15">
                  <c:v>2915</c:v>
                </c:pt>
                <c:pt idx="16">
                  <c:v>2915</c:v>
                </c:pt>
                <c:pt idx="1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F-4A6A-BF2B-3F076ED3538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2'!$V$145:$AM$145</c:f>
              <c:numCache>
                <c:formatCode>General</c:formatCode>
                <c:ptCount val="18"/>
                <c:pt idx="0">
                  <c:v>4888</c:v>
                </c:pt>
                <c:pt idx="1">
                  <c:v>4307</c:v>
                </c:pt>
                <c:pt idx="2">
                  <c:v>4317</c:v>
                </c:pt>
                <c:pt idx="3">
                  <c:v>4351</c:v>
                </c:pt>
                <c:pt idx="4">
                  <c:v>3578</c:v>
                </c:pt>
                <c:pt idx="5">
                  <c:v>3437</c:v>
                </c:pt>
                <c:pt idx="6">
                  <c:v>3063</c:v>
                </c:pt>
                <c:pt idx="7">
                  <c:v>3052</c:v>
                </c:pt>
                <c:pt idx="8">
                  <c:v>2602</c:v>
                </c:pt>
                <c:pt idx="9">
                  <c:v>2119</c:v>
                </c:pt>
                <c:pt idx="10">
                  <c:v>2194</c:v>
                </c:pt>
                <c:pt idx="11">
                  <c:v>1970</c:v>
                </c:pt>
                <c:pt idx="12">
                  <c:v>1944</c:v>
                </c:pt>
                <c:pt idx="13">
                  <c:v>1881</c:v>
                </c:pt>
                <c:pt idx="14">
                  <c:v>1814</c:v>
                </c:pt>
                <c:pt idx="15">
                  <c:v>1574</c:v>
                </c:pt>
                <c:pt idx="16">
                  <c:v>1863</c:v>
                </c:pt>
                <c:pt idx="17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F-4A6A-BF2B-3F076ED3538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2'!$V$146:$AM$146</c:f>
              <c:numCache>
                <c:formatCode>General</c:formatCode>
                <c:ptCount val="18"/>
                <c:pt idx="0">
                  <c:v>4799</c:v>
                </c:pt>
                <c:pt idx="1">
                  <c:v>4250</c:v>
                </c:pt>
                <c:pt idx="2">
                  <c:v>3788</c:v>
                </c:pt>
                <c:pt idx="3">
                  <c:v>3347</c:v>
                </c:pt>
                <c:pt idx="4">
                  <c:v>3142</c:v>
                </c:pt>
                <c:pt idx="5">
                  <c:v>2899</c:v>
                </c:pt>
                <c:pt idx="6">
                  <c:v>2419</c:v>
                </c:pt>
                <c:pt idx="7">
                  <c:v>1191</c:v>
                </c:pt>
                <c:pt idx="8">
                  <c:v>1808</c:v>
                </c:pt>
                <c:pt idx="9">
                  <c:v>1633</c:v>
                </c:pt>
                <c:pt idx="10">
                  <c:v>1484</c:v>
                </c:pt>
                <c:pt idx="11">
                  <c:v>1418</c:v>
                </c:pt>
                <c:pt idx="12">
                  <c:v>1379</c:v>
                </c:pt>
                <c:pt idx="13">
                  <c:v>1341</c:v>
                </c:pt>
                <c:pt idx="14">
                  <c:v>1313</c:v>
                </c:pt>
                <c:pt idx="15">
                  <c:v>1202</c:v>
                </c:pt>
                <c:pt idx="16">
                  <c:v>1341</c:v>
                </c:pt>
                <c:pt idx="17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F-4A6A-BF2B-3F076ED3538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2'!$V$147:$AM$147</c:f>
              <c:numCache>
                <c:formatCode>General</c:formatCode>
                <c:ptCount val="18"/>
                <c:pt idx="0">
                  <c:v>4371</c:v>
                </c:pt>
                <c:pt idx="1">
                  <c:v>3507</c:v>
                </c:pt>
                <c:pt idx="2">
                  <c:v>3287</c:v>
                </c:pt>
                <c:pt idx="3">
                  <c:v>3101</c:v>
                </c:pt>
                <c:pt idx="4">
                  <c:v>2538</c:v>
                </c:pt>
                <c:pt idx="5">
                  <c:v>2039</c:v>
                </c:pt>
                <c:pt idx="6">
                  <c:v>1805</c:v>
                </c:pt>
                <c:pt idx="7">
                  <c:v>946</c:v>
                </c:pt>
                <c:pt idx="8">
                  <c:v>1383</c:v>
                </c:pt>
                <c:pt idx="9">
                  <c:v>1288</c:v>
                </c:pt>
                <c:pt idx="10">
                  <c:v>1125</c:v>
                </c:pt>
                <c:pt idx="11">
                  <c:v>1090</c:v>
                </c:pt>
                <c:pt idx="12">
                  <c:v>1069</c:v>
                </c:pt>
                <c:pt idx="13">
                  <c:v>993</c:v>
                </c:pt>
                <c:pt idx="14">
                  <c:v>1061</c:v>
                </c:pt>
                <c:pt idx="15">
                  <c:v>913</c:v>
                </c:pt>
                <c:pt idx="16">
                  <c:v>999</c:v>
                </c:pt>
                <c:pt idx="1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F-4A6A-BF2B-3F076ED3538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2'!$V$148:$AM$148</c:f>
              <c:numCache>
                <c:formatCode>General</c:formatCode>
                <c:ptCount val="18"/>
                <c:pt idx="0">
                  <c:v>4198</c:v>
                </c:pt>
                <c:pt idx="1">
                  <c:v>3346</c:v>
                </c:pt>
                <c:pt idx="2">
                  <c:v>2818</c:v>
                </c:pt>
                <c:pt idx="3">
                  <c:v>2389</c:v>
                </c:pt>
                <c:pt idx="4">
                  <c:v>2203</c:v>
                </c:pt>
                <c:pt idx="5">
                  <c:v>1759</c:v>
                </c:pt>
                <c:pt idx="6">
                  <c:v>1575</c:v>
                </c:pt>
                <c:pt idx="7">
                  <c:v>763</c:v>
                </c:pt>
                <c:pt idx="8">
                  <c:v>1074</c:v>
                </c:pt>
                <c:pt idx="9">
                  <c:v>1025</c:v>
                </c:pt>
                <c:pt idx="10">
                  <c:v>918</c:v>
                </c:pt>
                <c:pt idx="11">
                  <c:v>784</c:v>
                </c:pt>
                <c:pt idx="12">
                  <c:v>845</c:v>
                </c:pt>
                <c:pt idx="13">
                  <c:v>847</c:v>
                </c:pt>
                <c:pt idx="14">
                  <c:v>807</c:v>
                </c:pt>
                <c:pt idx="15">
                  <c:v>796</c:v>
                </c:pt>
                <c:pt idx="16">
                  <c:v>760</c:v>
                </c:pt>
                <c:pt idx="17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F-4A6A-BF2B-3F076ED35382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2'!$V$149:$AM$149</c:f>
              <c:numCache>
                <c:formatCode>General</c:formatCode>
                <c:ptCount val="18"/>
                <c:pt idx="0">
                  <c:v>4125</c:v>
                </c:pt>
                <c:pt idx="1">
                  <c:v>3090</c:v>
                </c:pt>
                <c:pt idx="2">
                  <c:v>2537</c:v>
                </c:pt>
                <c:pt idx="3">
                  <c:v>2125</c:v>
                </c:pt>
                <c:pt idx="4">
                  <c:v>1912</c:v>
                </c:pt>
                <c:pt idx="5">
                  <c:v>1635</c:v>
                </c:pt>
                <c:pt idx="6">
                  <c:v>1283</c:v>
                </c:pt>
                <c:pt idx="7">
                  <c:v>654</c:v>
                </c:pt>
                <c:pt idx="8">
                  <c:v>840</c:v>
                </c:pt>
                <c:pt idx="9">
                  <c:v>792</c:v>
                </c:pt>
                <c:pt idx="10">
                  <c:v>717</c:v>
                </c:pt>
                <c:pt idx="11">
                  <c:v>741</c:v>
                </c:pt>
                <c:pt idx="12">
                  <c:v>686</c:v>
                </c:pt>
                <c:pt idx="13">
                  <c:v>722</c:v>
                </c:pt>
                <c:pt idx="14">
                  <c:v>702</c:v>
                </c:pt>
                <c:pt idx="15">
                  <c:v>698</c:v>
                </c:pt>
                <c:pt idx="16">
                  <c:v>682</c:v>
                </c:pt>
                <c:pt idx="17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F-4A6A-BF2B-3F076ED35382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2'!$V$150:$AM$150</c:f>
              <c:numCache>
                <c:formatCode>General</c:formatCode>
                <c:ptCount val="18"/>
                <c:pt idx="0">
                  <c:v>3656</c:v>
                </c:pt>
                <c:pt idx="1">
                  <c:v>2737</c:v>
                </c:pt>
                <c:pt idx="2">
                  <c:v>2395</c:v>
                </c:pt>
                <c:pt idx="3">
                  <c:v>1888</c:v>
                </c:pt>
                <c:pt idx="4">
                  <c:v>1741</c:v>
                </c:pt>
                <c:pt idx="5">
                  <c:v>1489</c:v>
                </c:pt>
                <c:pt idx="6">
                  <c:v>1246</c:v>
                </c:pt>
                <c:pt idx="7">
                  <c:v>813</c:v>
                </c:pt>
                <c:pt idx="8">
                  <c:v>893</c:v>
                </c:pt>
                <c:pt idx="9">
                  <c:v>788</c:v>
                </c:pt>
                <c:pt idx="10">
                  <c:v>757</c:v>
                </c:pt>
                <c:pt idx="11">
                  <c:v>739</c:v>
                </c:pt>
                <c:pt idx="12">
                  <c:v>708</c:v>
                </c:pt>
                <c:pt idx="13">
                  <c:v>642</c:v>
                </c:pt>
                <c:pt idx="14">
                  <c:v>666</c:v>
                </c:pt>
                <c:pt idx="15">
                  <c:v>708</c:v>
                </c:pt>
                <c:pt idx="16">
                  <c:v>709</c:v>
                </c:pt>
                <c:pt idx="17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F-4A6A-BF2B-3F076ED35382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2'!$V$151:$AM$151</c:f>
              <c:numCache>
                <c:formatCode>General</c:formatCode>
                <c:ptCount val="18"/>
                <c:pt idx="0">
                  <c:v>3402</c:v>
                </c:pt>
                <c:pt idx="1">
                  <c:v>2631</c:v>
                </c:pt>
                <c:pt idx="2">
                  <c:v>2332</c:v>
                </c:pt>
                <c:pt idx="3">
                  <c:v>1869</c:v>
                </c:pt>
                <c:pt idx="4">
                  <c:v>1665</c:v>
                </c:pt>
                <c:pt idx="5">
                  <c:v>1327</c:v>
                </c:pt>
                <c:pt idx="6">
                  <c:v>1177</c:v>
                </c:pt>
                <c:pt idx="7">
                  <c:v>998</c:v>
                </c:pt>
                <c:pt idx="8">
                  <c:v>841</c:v>
                </c:pt>
                <c:pt idx="9">
                  <c:v>779</c:v>
                </c:pt>
                <c:pt idx="10">
                  <c:v>738</c:v>
                </c:pt>
                <c:pt idx="11">
                  <c:v>674</c:v>
                </c:pt>
                <c:pt idx="12">
                  <c:v>709</c:v>
                </c:pt>
                <c:pt idx="13">
                  <c:v>684</c:v>
                </c:pt>
                <c:pt idx="14">
                  <c:v>701</c:v>
                </c:pt>
                <c:pt idx="15">
                  <c:v>675</c:v>
                </c:pt>
                <c:pt idx="16">
                  <c:v>734</c:v>
                </c:pt>
                <c:pt idx="17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2F-4A6A-BF2B-3F076ED35382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2'!$V$152:$AM$152</c:f>
              <c:numCache>
                <c:formatCode>General</c:formatCode>
                <c:ptCount val="18"/>
                <c:pt idx="0">
                  <c:v>3296</c:v>
                </c:pt>
                <c:pt idx="1">
                  <c:v>2639</c:v>
                </c:pt>
                <c:pt idx="2">
                  <c:v>2305</c:v>
                </c:pt>
                <c:pt idx="3">
                  <c:v>1904</c:v>
                </c:pt>
                <c:pt idx="4">
                  <c:v>1590</c:v>
                </c:pt>
                <c:pt idx="5">
                  <c:v>1327</c:v>
                </c:pt>
                <c:pt idx="6">
                  <c:v>1158</c:v>
                </c:pt>
                <c:pt idx="7">
                  <c:v>658</c:v>
                </c:pt>
                <c:pt idx="8">
                  <c:v>800</c:v>
                </c:pt>
                <c:pt idx="9">
                  <c:v>775</c:v>
                </c:pt>
                <c:pt idx="10">
                  <c:v>768</c:v>
                </c:pt>
                <c:pt idx="11">
                  <c:v>689</c:v>
                </c:pt>
                <c:pt idx="12">
                  <c:v>703</c:v>
                </c:pt>
                <c:pt idx="13">
                  <c:v>708</c:v>
                </c:pt>
                <c:pt idx="14">
                  <c:v>673</c:v>
                </c:pt>
                <c:pt idx="15">
                  <c:v>708</c:v>
                </c:pt>
                <c:pt idx="16">
                  <c:v>714</c:v>
                </c:pt>
                <c:pt idx="17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F-4A6A-BF2B-3F076ED35382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2'!$V$153:$AM$153</c:f>
              <c:numCache>
                <c:formatCode>General</c:formatCode>
                <c:ptCount val="18"/>
                <c:pt idx="0">
                  <c:v>3124</c:v>
                </c:pt>
                <c:pt idx="1">
                  <c:v>2596</c:v>
                </c:pt>
                <c:pt idx="2">
                  <c:v>2168</c:v>
                </c:pt>
                <c:pt idx="3">
                  <c:v>1820</c:v>
                </c:pt>
                <c:pt idx="4">
                  <c:v>1598</c:v>
                </c:pt>
                <c:pt idx="5">
                  <c:v>1289</c:v>
                </c:pt>
                <c:pt idx="6">
                  <c:v>1100</c:v>
                </c:pt>
                <c:pt idx="7">
                  <c:v>653</c:v>
                </c:pt>
                <c:pt idx="8">
                  <c:v>811</c:v>
                </c:pt>
                <c:pt idx="9">
                  <c:v>730</c:v>
                </c:pt>
                <c:pt idx="10">
                  <c:v>696</c:v>
                </c:pt>
                <c:pt idx="11">
                  <c:v>699</c:v>
                </c:pt>
                <c:pt idx="12">
                  <c:v>691</c:v>
                </c:pt>
                <c:pt idx="13">
                  <c:v>646</c:v>
                </c:pt>
                <c:pt idx="14">
                  <c:v>662</c:v>
                </c:pt>
                <c:pt idx="15">
                  <c:v>703</c:v>
                </c:pt>
                <c:pt idx="16">
                  <c:v>705</c:v>
                </c:pt>
                <c:pt idx="17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F-4A6A-BF2B-3F076ED35382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2'!$V$154:$AM$154</c:f>
              <c:numCache>
                <c:formatCode>General</c:formatCode>
                <c:ptCount val="18"/>
                <c:pt idx="0">
                  <c:v>3106</c:v>
                </c:pt>
                <c:pt idx="1">
                  <c:v>2521</c:v>
                </c:pt>
                <c:pt idx="2">
                  <c:v>2050</c:v>
                </c:pt>
                <c:pt idx="3">
                  <c:v>1724</c:v>
                </c:pt>
                <c:pt idx="4">
                  <c:v>1536</c:v>
                </c:pt>
                <c:pt idx="5">
                  <c:v>1181</c:v>
                </c:pt>
                <c:pt idx="6">
                  <c:v>1024</c:v>
                </c:pt>
                <c:pt idx="7">
                  <c:v>684</c:v>
                </c:pt>
                <c:pt idx="8">
                  <c:v>743</c:v>
                </c:pt>
                <c:pt idx="9">
                  <c:v>696</c:v>
                </c:pt>
                <c:pt idx="10">
                  <c:v>652</c:v>
                </c:pt>
                <c:pt idx="11">
                  <c:v>703</c:v>
                </c:pt>
                <c:pt idx="12">
                  <c:v>678</c:v>
                </c:pt>
                <c:pt idx="13">
                  <c:v>641</c:v>
                </c:pt>
                <c:pt idx="14">
                  <c:v>665</c:v>
                </c:pt>
                <c:pt idx="15">
                  <c:v>702</c:v>
                </c:pt>
                <c:pt idx="16">
                  <c:v>717</c:v>
                </c:pt>
                <c:pt idx="17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F-4A6A-BF2B-3F076ED35382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2'!$V$155:$AM$155</c:f>
              <c:numCache>
                <c:formatCode>General</c:formatCode>
                <c:ptCount val="18"/>
                <c:pt idx="0">
                  <c:v>2919</c:v>
                </c:pt>
                <c:pt idx="1">
                  <c:v>2410</c:v>
                </c:pt>
                <c:pt idx="2">
                  <c:v>2009</c:v>
                </c:pt>
                <c:pt idx="3">
                  <c:v>1746</c:v>
                </c:pt>
                <c:pt idx="4">
                  <c:v>1431</c:v>
                </c:pt>
                <c:pt idx="5">
                  <c:v>1198</c:v>
                </c:pt>
                <c:pt idx="6">
                  <c:v>927</c:v>
                </c:pt>
                <c:pt idx="7">
                  <c:v>885</c:v>
                </c:pt>
                <c:pt idx="8">
                  <c:v>689</c:v>
                </c:pt>
                <c:pt idx="9">
                  <c:v>705</c:v>
                </c:pt>
                <c:pt idx="10">
                  <c:v>678</c:v>
                </c:pt>
                <c:pt idx="11">
                  <c:v>655</c:v>
                </c:pt>
                <c:pt idx="12">
                  <c:v>655</c:v>
                </c:pt>
                <c:pt idx="13">
                  <c:v>643</c:v>
                </c:pt>
                <c:pt idx="14">
                  <c:v>664</c:v>
                </c:pt>
                <c:pt idx="15">
                  <c:v>659</c:v>
                </c:pt>
                <c:pt idx="16">
                  <c:v>688</c:v>
                </c:pt>
                <c:pt idx="17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2F-4A6A-BF2B-3F076ED353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5817887"/>
        <c:axId val="655826207"/>
        <c:axId val="676867343"/>
      </c:surface3DChart>
      <c:catAx>
        <c:axId val="65581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64076065544661043"/>
              <c:y val="0.793289588801399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26207"/>
        <c:crosses val="autoZero"/>
        <c:auto val="1"/>
        <c:lblAlgn val="ctr"/>
        <c:lblOffset val="100"/>
        <c:noMultiLvlLbl val="0"/>
      </c:catAx>
      <c:valAx>
        <c:axId val="655826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0.93993941382327206"/>
              <c:y val="0.295282881306503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17887"/>
        <c:crosses val="autoZero"/>
        <c:crossBetween val="midCat"/>
      </c:valAx>
      <c:serAx>
        <c:axId val="67686734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</a:t>
                </a:r>
                <a:r>
                  <a:rPr lang="de-DE"/>
                  <a:t>der Threads</a:t>
                </a:r>
              </a:p>
            </c:rich>
          </c:tx>
          <c:layout>
            <c:manualLayout>
              <c:xMode val="edge"/>
              <c:yMode val="edge"/>
              <c:x val="2.8946194225721786E-2"/>
              <c:y val="0.412086249635462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2620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Times1 - Guided - sup2.dat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025371828521425E-2"/>
          <c:y val="0.13190981335666374"/>
          <c:w val="0.83466207349081356"/>
          <c:h val="0.71588692038495183"/>
        </c:manualLayout>
      </c:layout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'Laufzeitbestimmungen 1 &amp; 2'!$B$158:$S$158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CB1-93FC-A96E5E1E95C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'Laufzeitbestimmungen 1 &amp; 2'!$B$159:$S$159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CB1-93FC-A96E5E1E95C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'Laufzeitbestimmungen 1 &amp; 2'!$B$160:$S$160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CB1-93FC-A96E5E1E95C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'Laufzeitbestimmungen 1 &amp; 2'!$B$161:$S$161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CB1-93FC-A96E5E1E95C4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'Laufzeitbestimmungen 1 &amp; 2'!$B$162:$S$162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8-4CB1-93FC-A96E5E1E95C4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'Laufzeitbestimmungen 1 &amp; 2'!$B$163:$S$163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18-4CB1-93FC-A96E5E1E95C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2'!$B$164:$S$164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18-4CB1-93FC-A96E5E1E95C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2'!$B$165:$S$165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18-4CB1-93FC-A96E5E1E95C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2'!$B$166:$S$166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18-4CB1-93FC-A96E5E1E95C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2'!$B$167:$S$167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18-4CB1-93FC-A96E5E1E95C4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2'!$B$168:$S$168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18-4CB1-93FC-A96E5E1E95C4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'Laufzeitbestimmungen 1 &amp; 2'!$B$169:$S$169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18-4CB1-93FC-A96E5E1E95C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0751215"/>
        <c:axId val="1130742479"/>
        <c:axId val="1107154607"/>
      </c:surface3DChart>
      <c:catAx>
        <c:axId val="11307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Chunkgröße</a:t>
                </a:r>
              </a:p>
            </c:rich>
          </c:tx>
          <c:layout>
            <c:manualLayout>
              <c:xMode val="edge"/>
              <c:yMode val="edge"/>
              <c:x val="0.17744466316710411"/>
              <c:y val="0.7922699766695829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42479"/>
        <c:crosses val="autoZero"/>
        <c:auto val="1"/>
        <c:lblAlgn val="ctr"/>
        <c:lblOffset val="100"/>
        <c:noMultiLvlLbl val="0"/>
      </c:catAx>
      <c:valAx>
        <c:axId val="11307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Mikrosekunden</a:t>
                </a:r>
              </a:p>
            </c:rich>
          </c:tx>
          <c:layout>
            <c:manualLayout>
              <c:xMode val="edge"/>
              <c:yMode val="edge"/>
              <c:x val="6.6530402449693771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51215"/>
        <c:crosses val="autoZero"/>
        <c:crossBetween val="midCat"/>
      </c:valAx>
      <c:serAx>
        <c:axId val="110715460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Threads</a:t>
                </a:r>
              </a:p>
            </c:rich>
          </c:tx>
          <c:layout>
            <c:manualLayout>
              <c:xMode val="edge"/>
              <c:yMode val="edge"/>
              <c:x val="0.91258945756780396"/>
              <c:y val="0.294498031496063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42479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9525</xdr:rowOff>
    </xdr:from>
    <xdr:to>
      <xdr:col>14</xdr:col>
      <xdr:colOff>476250</xdr:colOff>
      <xdr:row>21</xdr:row>
      <xdr:rowOff>152400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22</xdr:row>
      <xdr:rowOff>28575</xdr:rowOff>
    </xdr:from>
    <xdr:to>
      <xdr:col>14</xdr:col>
      <xdr:colOff>323850</xdr:colOff>
      <xdr:row>36</xdr:row>
      <xdr:rowOff>104775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7</xdr:row>
      <xdr:rowOff>28575</xdr:rowOff>
    </xdr:from>
    <xdr:to>
      <xdr:col>7</xdr:col>
      <xdr:colOff>323850</xdr:colOff>
      <xdr:row>21</xdr:row>
      <xdr:rowOff>104775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9525</xdr:rowOff>
    </xdr:from>
    <xdr:to>
      <xdr:col>7</xdr:col>
      <xdr:colOff>304800</xdr:colOff>
      <xdr:row>65</xdr:row>
      <xdr:rowOff>85725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7</xdr:col>
      <xdr:colOff>304800</xdr:colOff>
      <xdr:row>51</xdr:row>
      <xdr:rowOff>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36</xdr:row>
      <xdr:rowOff>123825</xdr:rowOff>
    </xdr:from>
    <xdr:to>
      <xdr:col>14</xdr:col>
      <xdr:colOff>314325</xdr:colOff>
      <xdr:row>51</xdr:row>
      <xdr:rowOff>9525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104775</xdr:colOff>
      <xdr:row>51</xdr:row>
      <xdr:rowOff>19050</xdr:rowOff>
    </xdr:from>
    <xdr:to>
      <xdr:col>14</xdr:col>
      <xdr:colOff>409575</xdr:colOff>
      <xdr:row>65</xdr:row>
      <xdr:rowOff>95250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95250</xdr:colOff>
      <xdr:row>7</xdr:row>
      <xdr:rowOff>38100</xdr:rowOff>
    </xdr:from>
    <xdr:to>
      <xdr:col>21</xdr:col>
      <xdr:colOff>400050</xdr:colOff>
      <xdr:row>21</xdr:row>
      <xdr:rowOff>114300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36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171450</xdr:colOff>
      <xdr:row>36</xdr:row>
      <xdr:rowOff>114300</xdr:rowOff>
    </xdr:from>
    <xdr:to>
      <xdr:col>21</xdr:col>
      <xdr:colOff>476250</xdr:colOff>
      <xdr:row>51</xdr:row>
      <xdr:rowOff>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295275</xdr:colOff>
      <xdr:row>51</xdr:row>
      <xdr:rowOff>9525</xdr:rowOff>
    </xdr:from>
    <xdr:to>
      <xdr:col>21</xdr:col>
      <xdr:colOff>600075</xdr:colOff>
      <xdr:row>65</xdr:row>
      <xdr:rowOff>85725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65</xdr:row>
      <xdr:rowOff>142875</xdr:rowOff>
    </xdr:from>
    <xdr:to>
      <xdr:col>7</xdr:col>
      <xdr:colOff>371475</xdr:colOff>
      <xdr:row>80</xdr:row>
      <xdr:rowOff>28575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79</xdr:row>
      <xdr:rowOff>171450</xdr:rowOff>
    </xdr:from>
    <xdr:to>
      <xdr:col>7</xdr:col>
      <xdr:colOff>371475</xdr:colOff>
      <xdr:row>94</xdr:row>
      <xdr:rowOff>57150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200025</xdr:colOff>
      <xdr:row>65</xdr:row>
      <xdr:rowOff>114300</xdr:rowOff>
    </xdr:from>
    <xdr:to>
      <xdr:col>14</xdr:col>
      <xdr:colOff>571500</xdr:colOff>
      <xdr:row>80</xdr:row>
      <xdr:rowOff>0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219075</xdr:colOff>
      <xdr:row>80</xdr:row>
      <xdr:rowOff>9525</xdr:rowOff>
    </xdr:from>
    <xdr:to>
      <xdr:col>14</xdr:col>
      <xdr:colOff>590550</xdr:colOff>
      <xdr:row>94</xdr:row>
      <xdr:rowOff>85725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381000</xdr:colOff>
      <xdr:row>65</xdr:row>
      <xdr:rowOff>123825</xdr:rowOff>
    </xdr:from>
    <xdr:to>
      <xdr:col>22</xdr:col>
      <xdr:colOff>142875</xdr:colOff>
      <xdr:row>80</xdr:row>
      <xdr:rowOff>9525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419100</xdr:colOff>
      <xdr:row>80</xdr:row>
      <xdr:rowOff>19050</xdr:rowOff>
    </xdr:from>
    <xdr:to>
      <xdr:col>22</xdr:col>
      <xdr:colOff>180975</xdr:colOff>
      <xdr:row>94</xdr:row>
      <xdr:rowOff>95250</xdr:rowOff>
    </xdr:to>
    <xdr:graphicFrame macro="">
      <xdr:nvGraphicFramePr>
        <xdr:cNvPr id="33" name="Diagramm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9525</xdr:rowOff>
    </xdr:from>
    <xdr:to>
      <xdr:col>7</xdr:col>
      <xdr:colOff>381000</xdr:colOff>
      <xdr:row>46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32</xdr:row>
      <xdr:rowOff>0</xdr:rowOff>
    </xdr:from>
    <xdr:to>
      <xdr:col>15</xdr:col>
      <xdr:colOff>152400</xdr:colOff>
      <xdr:row>46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31</xdr:row>
      <xdr:rowOff>180975</xdr:rowOff>
    </xdr:from>
    <xdr:to>
      <xdr:col>22</xdr:col>
      <xdr:colOff>209550</xdr:colOff>
      <xdr:row>46</xdr:row>
      <xdr:rowOff>66675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3</xdr:row>
      <xdr:rowOff>28575</xdr:rowOff>
    </xdr:from>
    <xdr:to>
      <xdr:col>15</xdr:col>
      <xdr:colOff>171450</xdr:colOff>
      <xdr:row>17</xdr:row>
      <xdr:rowOff>104775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180975</xdr:colOff>
      <xdr:row>3</xdr:row>
      <xdr:rowOff>9525</xdr:rowOff>
    </xdr:from>
    <xdr:to>
      <xdr:col>22</xdr:col>
      <xdr:colOff>228600</xdr:colOff>
      <xdr:row>17</xdr:row>
      <xdr:rowOff>85725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361950</xdr:colOff>
      <xdr:row>17</xdr:row>
      <xdr:rowOff>133350</xdr:rowOff>
    </xdr:from>
    <xdr:to>
      <xdr:col>15</xdr:col>
      <xdr:colOff>133350</xdr:colOff>
      <xdr:row>32</xdr:row>
      <xdr:rowOff>19050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152400</xdr:colOff>
      <xdr:row>17</xdr:row>
      <xdr:rowOff>123825</xdr:rowOff>
    </xdr:from>
    <xdr:to>
      <xdr:col>22</xdr:col>
      <xdr:colOff>200025</xdr:colOff>
      <xdr:row>32</xdr:row>
      <xdr:rowOff>9525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28575</xdr:rowOff>
    </xdr:from>
    <xdr:to>
      <xdr:col>7</xdr:col>
      <xdr:colOff>371475</xdr:colOff>
      <xdr:row>17</xdr:row>
      <xdr:rowOff>104775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123825</xdr:rowOff>
    </xdr:from>
    <xdr:to>
      <xdr:col>7</xdr:col>
      <xdr:colOff>371475</xdr:colOff>
      <xdr:row>32</xdr:row>
      <xdr:rowOff>9525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0</xdr:colOff>
      <xdr:row>18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18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0</xdr:colOff>
      <xdr:row>16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19050</xdr:rowOff>
    </xdr:from>
    <xdr:to>
      <xdr:col>7</xdr:col>
      <xdr:colOff>0</xdr:colOff>
      <xdr:row>31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41"/>
  <sheetViews>
    <sheetView topLeftCell="A61" workbookViewId="0">
      <selection activeCell="J104" sqref="J104"/>
    </sheetView>
  </sheetViews>
  <sheetFormatPr baseColWidth="10" defaultColWidth="9.140625" defaultRowHeight="15" x14ac:dyDescent="0.25"/>
  <cols>
    <col min="1" max="21" width="9" customWidth="1"/>
  </cols>
  <sheetData>
    <row r="2" spans="2:20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4" spans="2:20" x14ac:dyDescent="0.25">
      <c r="C4" t="s">
        <v>6</v>
      </c>
      <c r="F4" s="3" t="s">
        <v>10</v>
      </c>
      <c r="G4" s="3"/>
      <c r="H4" s="3"/>
      <c r="I4" s="3"/>
      <c r="L4" s="3" t="s">
        <v>13</v>
      </c>
      <c r="M4" s="3"/>
      <c r="N4" s="3"/>
      <c r="O4" s="3"/>
      <c r="P4" s="3"/>
      <c r="Q4" s="3"/>
      <c r="R4" s="3"/>
      <c r="S4" s="3"/>
      <c r="T4" s="3"/>
    </row>
    <row r="5" spans="2:20" x14ac:dyDescent="0.25">
      <c r="F5" s="3" t="s">
        <v>11</v>
      </c>
      <c r="G5" s="3"/>
      <c r="H5" s="3"/>
      <c r="I5" s="3"/>
      <c r="L5" s="3" t="s">
        <v>14</v>
      </c>
      <c r="M5" s="3"/>
      <c r="N5" s="3"/>
      <c r="O5" s="3"/>
      <c r="P5" s="3"/>
      <c r="Q5" s="3"/>
      <c r="R5" s="3"/>
      <c r="S5" s="3"/>
      <c r="T5" s="3"/>
    </row>
    <row r="100" spans="1:39" x14ac:dyDescent="0.25">
      <c r="B100" t="s">
        <v>1</v>
      </c>
      <c r="C100" t="s">
        <v>5</v>
      </c>
      <c r="D100" t="s">
        <v>7</v>
      </c>
      <c r="E100" t="s">
        <v>3</v>
      </c>
      <c r="F100" s="1"/>
      <c r="V100" t="s">
        <v>8</v>
      </c>
      <c r="W100" t="s">
        <v>7</v>
      </c>
      <c r="X100" t="s">
        <v>3</v>
      </c>
    </row>
    <row r="101" spans="1:39" x14ac:dyDescent="0.25">
      <c r="A101" t="s">
        <v>4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V101">
        <v>1</v>
      </c>
      <c r="W101">
        <v>2</v>
      </c>
      <c r="X101">
        <v>3</v>
      </c>
      <c r="Y101">
        <v>4</v>
      </c>
      <c r="Z101">
        <v>5</v>
      </c>
      <c r="AA101">
        <v>6</v>
      </c>
      <c r="AB101">
        <v>7</v>
      </c>
      <c r="AC101">
        <v>8</v>
      </c>
      <c r="AD101">
        <v>9</v>
      </c>
      <c r="AE101">
        <v>10</v>
      </c>
      <c r="AF101">
        <v>11</v>
      </c>
      <c r="AG101">
        <v>12</v>
      </c>
      <c r="AH101">
        <v>13</v>
      </c>
      <c r="AI101">
        <v>14</v>
      </c>
      <c r="AJ101">
        <v>15</v>
      </c>
      <c r="AK101">
        <v>16</v>
      </c>
      <c r="AL101">
        <v>17</v>
      </c>
      <c r="AM101">
        <v>18</v>
      </c>
    </row>
    <row r="102" spans="1:39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U102">
        <v>1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0</v>
      </c>
    </row>
    <row r="103" spans="1:39" x14ac:dyDescent="0.25">
      <c r="A103">
        <v>2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U103">
        <v>2</v>
      </c>
      <c r="V103">
        <v>0</v>
      </c>
      <c r="W103">
        <v>3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</row>
    <row r="104" spans="1:39" x14ac:dyDescent="0.25">
      <c r="A104">
        <v>3</v>
      </c>
      <c r="B104">
        <v>0</v>
      </c>
      <c r="C104">
        <v>2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U104">
        <v>3</v>
      </c>
      <c r="V104">
        <v>1</v>
      </c>
      <c r="W104">
        <v>3</v>
      </c>
      <c r="X104">
        <v>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</row>
    <row r="105" spans="1:39" x14ac:dyDescent="0.25">
      <c r="A105">
        <v>4</v>
      </c>
      <c r="B105">
        <v>1</v>
      </c>
      <c r="C105">
        <v>3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U105">
        <v>4</v>
      </c>
      <c r="V105">
        <v>1</v>
      </c>
      <c r="W105">
        <v>4</v>
      </c>
      <c r="X105">
        <v>3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</row>
    <row r="106" spans="1:39" x14ac:dyDescent="0.25">
      <c r="A106">
        <v>5</v>
      </c>
      <c r="B106">
        <v>1</v>
      </c>
      <c r="C106">
        <v>3</v>
      </c>
      <c r="D106">
        <v>2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U106">
        <v>5</v>
      </c>
      <c r="V106">
        <v>1</v>
      </c>
      <c r="W106">
        <v>5</v>
      </c>
      <c r="X106">
        <v>3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1</v>
      </c>
      <c r="AI106">
        <v>1</v>
      </c>
      <c r="AJ106">
        <v>2</v>
      </c>
      <c r="AK106">
        <v>1</v>
      </c>
      <c r="AL106">
        <v>1</v>
      </c>
      <c r="AM106">
        <v>1</v>
      </c>
    </row>
    <row r="107" spans="1:39" x14ac:dyDescent="0.25">
      <c r="A107">
        <v>6</v>
      </c>
      <c r="B107">
        <v>1</v>
      </c>
      <c r="C107">
        <v>4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U107">
        <v>6</v>
      </c>
      <c r="V107">
        <v>2</v>
      </c>
      <c r="W107">
        <v>4</v>
      </c>
      <c r="X107">
        <v>3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</row>
    <row r="108" spans="1:39" x14ac:dyDescent="0.25">
      <c r="A108">
        <v>7</v>
      </c>
      <c r="B108">
        <v>1</v>
      </c>
      <c r="C108">
        <v>3</v>
      </c>
      <c r="D108">
        <v>2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1</v>
      </c>
      <c r="P108">
        <v>2</v>
      </c>
      <c r="Q108">
        <v>1</v>
      </c>
      <c r="R108">
        <v>1</v>
      </c>
      <c r="S108">
        <v>1</v>
      </c>
      <c r="U108">
        <v>7</v>
      </c>
      <c r="V108">
        <v>2</v>
      </c>
      <c r="W108">
        <v>5</v>
      </c>
      <c r="X108">
        <v>3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</row>
    <row r="109" spans="1:39" x14ac:dyDescent="0.25">
      <c r="A109">
        <v>8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U109">
        <v>8</v>
      </c>
      <c r="V109">
        <v>2</v>
      </c>
      <c r="W109">
        <v>4</v>
      </c>
      <c r="X109">
        <v>3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</row>
    <row r="110" spans="1:39" x14ac:dyDescent="0.25">
      <c r="A110">
        <v>9</v>
      </c>
      <c r="B110">
        <v>1</v>
      </c>
      <c r="C110">
        <v>2</v>
      </c>
      <c r="D110">
        <v>2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U110">
        <v>9</v>
      </c>
      <c r="V110">
        <v>2</v>
      </c>
      <c r="W110">
        <v>4</v>
      </c>
      <c r="X110">
        <v>3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</row>
    <row r="111" spans="1:39" x14ac:dyDescent="0.25">
      <c r="A111">
        <v>10</v>
      </c>
      <c r="B111">
        <v>1</v>
      </c>
      <c r="C111">
        <v>2</v>
      </c>
      <c r="D111">
        <v>2</v>
      </c>
      <c r="E111">
        <v>2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2</v>
      </c>
      <c r="Q111">
        <v>1</v>
      </c>
      <c r="R111">
        <v>1</v>
      </c>
      <c r="S111">
        <v>1</v>
      </c>
      <c r="U111">
        <v>10</v>
      </c>
      <c r="V111">
        <v>2</v>
      </c>
      <c r="W111">
        <v>3</v>
      </c>
      <c r="X111">
        <v>3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</row>
    <row r="112" spans="1:39" x14ac:dyDescent="0.25">
      <c r="A112">
        <v>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U112">
        <v>11</v>
      </c>
      <c r="V112">
        <v>2</v>
      </c>
      <c r="W112">
        <v>3</v>
      </c>
      <c r="X112">
        <v>3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</row>
    <row r="113" spans="1:39" x14ac:dyDescent="0.25">
      <c r="A113">
        <v>12</v>
      </c>
      <c r="B113">
        <v>1</v>
      </c>
      <c r="C113">
        <v>3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1</v>
      </c>
      <c r="L113">
        <v>2</v>
      </c>
      <c r="M113">
        <v>2</v>
      </c>
      <c r="N113">
        <v>1</v>
      </c>
      <c r="O113">
        <v>2</v>
      </c>
      <c r="P113">
        <v>2</v>
      </c>
      <c r="Q113">
        <v>1</v>
      </c>
      <c r="R113">
        <v>1</v>
      </c>
      <c r="S113">
        <v>1</v>
      </c>
      <c r="U113">
        <v>12</v>
      </c>
      <c r="V113">
        <v>2</v>
      </c>
      <c r="W113">
        <v>3</v>
      </c>
      <c r="X113">
        <v>3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</row>
    <row r="115" spans="1:39" x14ac:dyDescent="0.25">
      <c r="C115" t="s">
        <v>5</v>
      </c>
      <c r="D115" t="s">
        <v>2</v>
      </c>
      <c r="E115" t="s">
        <v>3</v>
      </c>
      <c r="V115" t="s">
        <v>8</v>
      </c>
      <c r="W115" t="s">
        <v>2</v>
      </c>
      <c r="X115" t="s">
        <v>3</v>
      </c>
    </row>
    <row r="116" spans="1:3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V116">
        <v>2</v>
      </c>
      <c r="W116">
        <v>2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2</v>
      </c>
      <c r="AE116">
        <v>1</v>
      </c>
      <c r="AF116">
        <v>2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0</v>
      </c>
    </row>
    <row r="117" spans="1:39" x14ac:dyDescent="0.25">
      <c r="B117">
        <v>0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V117">
        <v>0</v>
      </c>
      <c r="W117">
        <v>3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</row>
    <row r="118" spans="1:39" x14ac:dyDescent="0.25"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V118">
        <v>0</v>
      </c>
      <c r="W118">
        <v>3</v>
      </c>
      <c r="X118">
        <v>2</v>
      </c>
      <c r="Y118">
        <v>2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2</v>
      </c>
      <c r="AF118">
        <v>2</v>
      </c>
      <c r="AG118">
        <v>2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</row>
    <row r="119" spans="1:39" x14ac:dyDescent="0.25"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V119">
        <v>0</v>
      </c>
      <c r="W119">
        <v>3</v>
      </c>
      <c r="X119">
        <v>2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2</v>
      </c>
      <c r="AF119">
        <v>2</v>
      </c>
      <c r="AG119">
        <v>2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</row>
    <row r="120" spans="1:39" x14ac:dyDescent="0.25"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V120">
        <v>0</v>
      </c>
      <c r="W120">
        <v>4</v>
      </c>
      <c r="X120">
        <v>2</v>
      </c>
      <c r="Y120">
        <v>2</v>
      </c>
      <c r="Z120">
        <v>1</v>
      </c>
      <c r="AA120">
        <v>2</v>
      </c>
      <c r="AB120">
        <v>1</v>
      </c>
      <c r="AC120">
        <v>1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1</v>
      </c>
      <c r="AJ120">
        <v>1</v>
      </c>
      <c r="AK120">
        <v>2</v>
      </c>
      <c r="AL120">
        <v>1</v>
      </c>
      <c r="AM120">
        <v>2</v>
      </c>
    </row>
    <row r="121" spans="1:39" x14ac:dyDescent="0.25">
      <c r="B121">
        <v>0</v>
      </c>
      <c r="C121">
        <v>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V121">
        <v>0</v>
      </c>
      <c r="W121">
        <v>4</v>
      </c>
      <c r="X121">
        <v>2</v>
      </c>
      <c r="Y121">
        <v>2</v>
      </c>
      <c r="Z121">
        <v>1</v>
      </c>
      <c r="AA121">
        <v>2</v>
      </c>
      <c r="AB121">
        <v>1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1</v>
      </c>
      <c r="AK121">
        <v>2</v>
      </c>
      <c r="AL121">
        <v>2</v>
      </c>
      <c r="AM121">
        <v>2</v>
      </c>
    </row>
    <row r="122" spans="1:39" x14ac:dyDescent="0.25">
      <c r="B122">
        <v>0</v>
      </c>
      <c r="C122">
        <v>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V122">
        <v>0</v>
      </c>
      <c r="W122">
        <v>3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</row>
    <row r="123" spans="1:39" x14ac:dyDescent="0.25">
      <c r="B123">
        <v>0</v>
      </c>
      <c r="C123"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V123">
        <v>0</v>
      </c>
      <c r="W123">
        <v>4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</row>
    <row r="124" spans="1:39" x14ac:dyDescent="0.25">
      <c r="B124">
        <v>0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V124">
        <v>0</v>
      </c>
      <c r="W124">
        <v>3</v>
      </c>
      <c r="X124">
        <v>3</v>
      </c>
      <c r="Y124">
        <v>3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</row>
    <row r="125" spans="1:39" x14ac:dyDescent="0.25">
      <c r="B125">
        <v>0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V125">
        <v>0</v>
      </c>
      <c r="W125">
        <v>3</v>
      </c>
      <c r="X125">
        <v>2</v>
      </c>
      <c r="Y125">
        <v>3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</row>
    <row r="126" spans="1:39" x14ac:dyDescent="0.25">
      <c r="B126">
        <v>0</v>
      </c>
      <c r="C126">
        <v>2</v>
      </c>
      <c r="D126">
        <v>2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2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V126">
        <v>0</v>
      </c>
      <c r="W126">
        <v>3</v>
      </c>
      <c r="X126">
        <v>3</v>
      </c>
      <c r="Y126">
        <v>3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</row>
    <row r="127" spans="1:39" x14ac:dyDescent="0.25">
      <c r="B127">
        <v>0</v>
      </c>
      <c r="C127">
        <v>2</v>
      </c>
      <c r="D127">
        <v>2</v>
      </c>
      <c r="E127">
        <v>2</v>
      </c>
      <c r="F127">
        <v>1</v>
      </c>
      <c r="G127">
        <v>1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V127">
        <v>0</v>
      </c>
      <c r="W127">
        <v>4</v>
      </c>
      <c r="X127">
        <v>3</v>
      </c>
      <c r="Y127">
        <v>3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3</v>
      </c>
      <c r="AL127">
        <v>2</v>
      </c>
      <c r="AM127">
        <v>2</v>
      </c>
    </row>
    <row r="129" spans="2:39" x14ac:dyDescent="0.25">
      <c r="B129" t="s">
        <v>5</v>
      </c>
      <c r="C129" t="s">
        <v>2</v>
      </c>
      <c r="D129" t="s">
        <v>9</v>
      </c>
      <c r="V129" t="s">
        <v>8</v>
      </c>
      <c r="W129" t="s">
        <v>2</v>
      </c>
      <c r="X129" t="s">
        <v>9</v>
      </c>
    </row>
    <row r="130" spans="2:39" x14ac:dyDescent="0.25">
      <c r="B130">
        <v>9</v>
      </c>
      <c r="C130">
        <v>9</v>
      </c>
      <c r="D130">
        <v>9</v>
      </c>
      <c r="E130">
        <v>9</v>
      </c>
      <c r="F130">
        <v>9</v>
      </c>
      <c r="G130">
        <v>9</v>
      </c>
      <c r="H130">
        <v>9</v>
      </c>
      <c r="I130">
        <v>9</v>
      </c>
      <c r="J130">
        <v>9</v>
      </c>
      <c r="K130">
        <v>9</v>
      </c>
      <c r="L130">
        <v>9</v>
      </c>
      <c r="M130">
        <v>9</v>
      </c>
      <c r="N130">
        <v>9</v>
      </c>
      <c r="O130">
        <v>9</v>
      </c>
      <c r="P130">
        <v>9</v>
      </c>
      <c r="Q130">
        <v>9</v>
      </c>
      <c r="R130">
        <v>9</v>
      </c>
      <c r="S130">
        <v>9</v>
      </c>
      <c r="V130">
        <v>2913</v>
      </c>
      <c r="W130">
        <v>2915</v>
      </c>
      <c r="X130">
        <v>2917</v>
      </c>
      <c r="Y130">
        <v>2915</v>
      </c>
      <c r="Z130">
        <v>2916</v>
      </c>
      <c r="AA130">
        <v>2913</v>
      </c>
      <c r="AB130">
        <v>2915</v>
      </c>
      <c r="AC130">
        <v>2913</v>
      </c>
      <c r="AD130">
        <v>2915</v>
      </c>
      <c r="AE130">
        <v>2914</v>
      </c>
      <c r="AF130">
        <v>2918</v>
      </c>
      <c r="AG130">
        <v>2913</v>
      </c>
      <c r="AH130">
        <v>2917</v>
      </c>
      <c r="AI130">
        <v>2916</v>
      </c>
      <c r="AJ130">
        <v>2914</v>
      </c>
      <c r="AK130">
        <v>2917</v>
      </c>
      <c r="AL130">
        <v>2912</v>
      </c>
      <c r="AM130">
        <v>2913</v>
      </c>
    </row>
    <row r="131" spans="2:39" x14ac:dyDescent="0.25">
      <c r="B131">
        <v>6</v>
      </c>
      <c r="C131">
        <v>6</v>
      </c>
      <c r="D131">
        <v>6</v>
      </c>
      <c r="E131">
        <v>9</v>
      </c>
      <c r="F131">
        <v>9</v>
      </c>
      <c r="G131">
        <v>6</v>
      </c>
      <c r="H131">
        <v>9</v>
      </c>
      <c r="I131">
        <v>9</v>
      </c>
      <c r="J131">
        <v>9</v>
      </c>
      <c r="K131">
        <v>9</v>
      </c>
      <c r="L131">
        <v>9</v>
      </c>
      <c r="M131">
        <v>9</v>
      </c>
      <c r="N131">
        <v>9</v>
      </c>
      <c r="O131">
        <v>9</v>
      </c>
      <c r="P131">
        <v>10</v>
      </c>
      <c r="Q131">
        <v>10</v>
      </c>
      <c r="R131">
        <v>9</v>
      </c>
      <c r="S131">
        <v>9</v>
      </c>
      <c r="V131">
        <v>1992</v>
      </c>
      <c r="W131">
        <v>2408</v>
      </c>
      <c r="X131">
        <v>2242</v>
      </c>
      <c r="Y131">
        <v>3221</v>
      </c>
      <c r="Z131">
        <v>2603</v>
      </c>
      <c r="AA131">
        <v>2187</v>
      </c>
      <c r="AB131">
        <v>2169</v>
      </c>
      <c r="AC131">
        <v>2285</v>
      </c>
      <c r="AD131">
        <v>2036</v>
      </c>
      <c r="AE131">
        <v>1996</v>
      </c>
      <c r="AF131">
        <v>1899</v>
      </c>
      <c r="AG131">
        <v>1876</v>
      </c>
      <c r="AH131">
        <v>1924</v>
      </c>
      <c r="AI131">
        <v>1907</v>
      </c>
      <c r="AJ131">
        <v>2166</v>
      </c>
      <c r="AK131">
        <v>2178</v>
      </c>
      <c r="AL131">
        <v>1842</v>
      </c>
      <c r="AM131">
        <v>1907</v>
      </c>
    </row>
    <row r="132" spans="2:39" x14ac:dyDescent="0.25">
      <c r="B132">
        <v>7</v>
      </c>
      <c r="C132">
        <v>7</v>
      </c>
      <c r="D132">
        <v>7</v>
      </c>
      <c r="E132">
        <v>7</v>
      </c>
      <c r="F132">
        <v>7</v>
      </c>
      <c r="G132">
        <v>7</v>
      </c>
      <c r="H132">
        <v>7</v>
      </c>
      <c r="I132">
        <v>7</v>
      </c>
      <c r="J132">
        <v>7</v>
      </c>
      <c r="K132">
        <v>7</v>
      </c>
      <c r="L132">
        <v>6</v>
      </c>
      <c r="M132">
        <v>7</v>
      </c>
      <c r="N132">
        <v>7</v>
      </c>
      <c r="O132">
        <v>7</v>
      </c>
      <c r="P132">
        <v>6</v>
      </c>
      <c r="Q132">
        <v>6</v>
      </c>
      <c r="R132">
        <v>7</v>
      </c>
      <c r="S132">
        <v>7</v>
      </c>
      <c r="V132">
        <v>1766</v>
      </c>
      <c r="W132">
        <v>1951</v>
      </c>
      <c r="X132">
        <v>1593</v>
      </c>
      <c r="Y132">
        <v>1757</v>
      </c>
      <c r="Z132">
        <v>1868</v>
      </c>
      <c r="AA132">
        <v>1763</v>
      </c>
      <c r="AB132">
        <v>1809</v>
      </c>
      <c r="AC132">
        <v>1717</v>
      </c>
      <c r="AD132">
        <v>1620</v>
      </c>
      <c r="AE132">
        <v>1482</v>
      </c>
      <c r="AF132">
        <v>1553</v>
      </c>
      <c r="AG132">
        <v>1407</v>
      </c>
      <c r="AH132">
        <v>1451</v>
      </c>
      <c r="AI132">
        <v>1441</v>
      </c>
      <c r="AJ132">
        <v>1424</v>
      </c>
      <c r="AK132">
        <v>1384</v>
      </c>
      <c r="AL132">
        <v>1496</v>
      </c>
      <c r="AM132">
        <v>1432</v>
      </c>
    </row>
    <row r="133" spans="2:39" x14ac:dyDescent="0.25"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V133">
        <v>1717</v>
      </c>
      <c r="W133">
        <v>1613</v>
      </c>
      <c r="X133">
        <v>1456</v>
      </c>
      <c r="Y133">
        <v>1404</v>
      </c>
      <c r="Z133">
        <v>1500</v>
      </c>
      <c r="AA133">
        <v>1425</v>
      </c>
      <c r="AB133">
        <v>1295</v>
      </c>
      <c r="AC133">
        <v>1201</v>
      </c>
      <c r="AD133">
        <v>1090</v>
      </c>
      <c r="AE133">
        <v>1286</v>
      </c>
      <c r="AF133">
        <v>1218</v>
      </c>
      <c r="AG133">
        <v>1088</v>
      </c>
      <c r="AH133">
        <v>1131</v>
      </c>
      <c r="AI133">
        <v>1089</v>
      </c>
      <c r="AJ133">
        <v>1106</v>
      </c>
      <c r="AK133">
        <v>1134</v>
      </c>
      <c r="AL133">
        <v>1101</v>
      </c>
      <c r="AM133">
        <v>1167</v>
      </c>
    </row>
    <row r="134" spans="2:39" x14ac:dyDescent="0.25"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V134">
        <v>1278</v>
      </c>
      <c r="W134">
        <v>1330</v>
      </c>
      <c r="X134">
        <v>1280</v>
      </c>
      <c r="Y134">
        <v>1251</v>
      </c>
      <c r="Z134">
        <v>1235</v>
      </c>
      <c r="AA134">
        <v>1203</v>
      </c>
      <c r="AB134">
        <v>1152</v>
      </c>
      <c r="AC134">
        <v>1146</v>
      </c>
      <c r="AD134">
        <v>986</v>
      </c>
      <c r="AE134">
        <v>1110</v>
      </c>
      <c r="AF134">
        <v>918</v>
      </c>
      <c r="AG134">
        <v>889</v>
      </c>
      <c r="AH134">
        <v>905</v>
      </c>
      <c r="AI134">
        <v>915</v>
      </c>
      <c r="AJ134">
        <v>830</v>
      </c>
      <c r="AK134">
        <v>912</v>
      </c>
      <c r="AL134">
        <v>884</v>
      </c>
      <c r="AM134">
        <v>851</v>
      </c>
    </row>
    <row r="135" spans="2:39" x14ac:dyDescent="0.25"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V135">
        <v>1257</v>
      </c>
      <c r="W135">
        <v>1202</v>
      </c>
      <c r="X135">
        <v>1344</v>
      </c>
      <c r="Y135">
        <v>1107</v>
      </c>
      <c r="Z135">
        <v>1056</v>
      </c>
      <c r="AA135">
        <v>1241</v>
      </c>
      <c r="AB135">
        <v>901</v>
      </c>
      <c r="AC135">
        <v>912</v>
      </c>
      <c r="AD135">
        <v>929</v>
      </c>
      <c r="AE135">
        <v>782</v>
      </c>
      <c r="AF135">
        <v>741</v>
      </c>
      <c r="AG135">
        <v>785</v>
      </c>
      <c r="AH135">
        <v>714</v>
      </c>
      <c r="AI135">
        <v>720</v>
      </c>
      <c r="AJ135">
        <v>724</v>
      </c>
      <c r="AK135">
        <v>748</v>
      </c>
      <c r="AL135">
        <v>736</v>
      </c>
      <c r="AM135">
        <v>698</v>
      </c>
    </row>
    <row r="136" spans="2:39" x14ac:dyDescent="0.25">
      <c r="B136">
        <v>4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4</v>
      </c>
      <c r="P136">
        <v>3</v>
      </c>
      <c r="Q136">
        <v>4</v>
      </c>
      <c r="R136">
        <v>4</v>
      </c>
      <c r="S136">
        <v>4</v>
      </c>
      <c r="V136">
        <v>1145</v>
      </c>
      <c r="W136">
        <v>1297</v>
      </c>
      <c r="X136">
        <v>1148</v>
      </c>
      <c r="Y136">
        <v>1180</v>
      </c>
      <c r="Z136">
        <v>1260</v>
      </c>
      <c r="AA136">
        <v>1173</v>
      </c>
      <c r="AB136">
        <v>1190</v>
      </c>
      <c r="AC136">
        <v>1136</v>
      </c>
      <c r="AD136">
        <v>1166</v>
      </c>
      <c r="AE136">
        <v>1191</v>
      </c>
      <c r="AF136">
        <v>1090</v>
      </c>
      <c r="AG136">
        <v>1095</v>
      </c>
      <c r="AH136">
        <v>1104</v>
      </c>
      <c r="AI136">
        <v>1141</v>
      </c>
      <c r="AJ136">
        <v>1082</v>
      </c>
      <c r="AK136">
        <v>1068</v>
      </c>
      <c r="AL136">
        <v>823</v>
      </c>
      <c r="AM136">
        <v>1014</v>
      </c>
    </row>
    <row r="137" spans="2:39" x14ac:dyDescent="0.25"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V137">
        <v>1029</v>
      </c>
      <c r="W137">
        <v>1194</v>
      </c>
      <c r="X137">
        <v>1058</v>
      </c>
      <c r="Y137">
        <v>1229</v>
      </c>
      <c r="Z137">
        <v>1142</v>
      </c>
      <c r="AA137">
        <v>1180</v>
      </c>
      <c r="AB137">
        <v>1052</v>
      </c>
      <c r="AC137">
        <v>1001</v>
      </c>
      <c r="AD137">
        <v>1065</v>
      </c>
      <c r="AE137">
        <v>1031</v>
      </c>
      <c r="AF137">
        <v>940</v>
      </c>
      <c r="AG137">
        <v>998</v>
      </c>
      <c r="AH137">
        <v>1016</v>
      </c>
      <c r="AI137">
        <v>994</v>
      </c>
      <c r="AJ137">
        <v>1028</v>
      </c>
      <c r="AK137">
        <v>956</v>
      </c>
      <c r="AL137">
        <v>984</v>
      </c>
      <c r="AM137">
        <v>811</v>
      </c>
    </row>
    <row r="138" spans="2:39" x14ac:dyDescent="0.25">
      <c r="B138">
        <v>3</v>
      </c>
      <c r="C138">
        <v>3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V138">
        <v>1187</v>
      </c>
      <c r="W138">
        <v>1461</v>
      </c>
      <c r="X138">
        <v>1128</v>
      </c>
      <c r="Y138">
        <v>1220</v>
      </c>
      <c r="Z138">
        <v>1136</v>
      </c>
      <c r="AA138">
        <v>1028</v>
      </c>
      <c r="AB138">
        <v>1057</v>
      </c>
      <c r="AC138">
        <v>1040</v>
      </c>
      <c r="AD138">
        <v>944</v>
      </c>
      <c r="AE138">
        <v>886</v>
      </c>
      <c r="AF138">
        <v>1015</v>
      </c>
      <c r="AG138">
        <v>863</v>
      </c>
      <c r="AH138">
        <v>917</v>
      </c>
      <c r="AI138">
        <v>944</v>
      </c>
      <c r="AJ138">
        <v>851</v>
      </c>
      <c r="AK138">
        <v>988</v>
      </c>
      <c r="AL138">
        <v>924</v>
      </c>
      <c r="AM138">
        <v>807</v>
      </c>
    </row>
    <row r="139" spans="2:39" x14ac:dyDescent="0.25">
      <c r="B139">
        <v>3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3</v>
      </c>
      <c r="P139">
        <v>3</v>
      </c>
      <c r="Q139">
        <v>3</v>
      </c>
      <c r="R139">
        <v>3</v>
      </c>
      <c r="S139">
        <v>3</v>
      </c>
      <c r="V139">
        <v>982</v>
      </c>
      <c r="W139">
        <v>1353</v>
      </c>
      <c r="X139">
        <v>1195</v>
      </c>
      <c r="Y139">
        <v>923</v>
      </c>
      <c r="Z139">
        <v>1225</v>
      </c>
      <c r="AA139">
        <v>1114</v>
      </c>
      <c r="AB139">
        <v>956</v>
      </c>
      <c r="AC139">
        <v>1096</v>
      </c>
      <c r="AD139">
        <v>852</v>
      </c>
      <c r="AE139">
        <v>948</v>
      </c>
      <c r="AF139">
        <v>884</v>
      </c>
      <c r="AG139">
        <v>894</v>
      </c>
      <c r="AH139">
        <v>888</v>
      </c>
      <c r="AI139">
        <v>824</v>
      </c>
      <c r="AJ139">
        <v>877</v>
      </c>
      <c r="AK139">
        <v>927</v>
      </c>
      <c r="AL139">
        <v>797</v>
      </c>
      <c r="AM139">
        <v>847</v>
      </c>
    </row>
    <row r="140" spans="2:39" x14ac:dyDescent="0.25">
      <c r="B140">
        <v>3</v>
      </c>
      <c r="C140">
        <v>3</v>
      </c>
      <c r="D140">
        <v>3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V140">
        <v>1508</v>
      </c>
      <c r="W140">
        <v>1233</v>
      </c>
      <c r="X140">
        <v>1310</v>
      </c>
      <c r="Y140">
        <v>1061</v>
      </c>
      <c r="Z140">
        <v>1125</v>
      </c>
      <c r="AA140">
        <v>1065</v>
      </c>
      <c r="AB140">
        <v>999</v>
      </c>
      <c r="AC140">
        <v>873</v>
      </c>
      <c r="AD140">
        <v>827</v>
      </c>
      <c r="AE140">
        <v>851</v>
      </c>
      <c r="AF140">
        <v>814</v>
      </c>
      <c r="AG140">
        <v>775</v>
      </c>
      <c r="AH140">
        <v>808</v>
      </c>
      <c r="AI140">
        <v>847</v>
      </c>
      <c r="AJ140">
        <v>833</v>
      </c>
      <c r="AK140">
        <v>737</v>
      </c>
      <c r="AL140">
        <v>778</v>
      </c>
      <c r="AM140">
        <v>838</v>
      </c>
    </row>
    <row r="141" spans="2:39" x14ac:dyDescent="0.25"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3</v>
      </c>
      <c r="V141">
        <v>1374</v>
      </c>
      <c r="W141">
        <v>1036</v>
      </c>
      <c r="X141">
        <v>1271</v>
      </c>
      <c r="Y141">
        <v>1243</v>
      </c>
      <c r="Z141">
        <v>1129</v>
      </c>
      <c r="AA141">
        <v>1098</v>
      </c>
      <c r="AB141">
        <v>993</v>
      </c>
      <c r="AC141">
        <v>937</v>
      </c>
      <c r="AD141">
        <v>828</v>
      </c>
      <c r="AE141">
        <v>774</v>
      </c>
      <c r="AF141">
        <v>740</v>
      </c>
      <c r="AG141">
        <v>792</v>
      </c>
      <c r="AH141">
        <v>786</v>
      </c>
      <c r="AI141">
        <v>793</v>
      </c>
      <c r="AJ141">
        <v>746</v>
      </c>
      <c r="AK141">
        <v>762</v>
      </c>
      <c r="AL141">
        <v>778</v>
      </c>
      <c r="AM141">
        <v>831</v>
      </c>
    </row>
    <row r="143" spans="2:39" x14ac:dyDescent="0.25">
      <c r="B143" t="s">
        <v>5</v>
      </c>
      <c r="C143" t="s">
        <v>7</v>
      </c>
      <c r="D143" t="s">
        <v>9</v>
      </c>
      <c r="V143" t="s">
        <v>8</v>
      </c>
      <c r="W143" t="s">
        <v>7</v>
      </c>
      <c r="X143" t="s">
        <v>9</v>
      </c>
    </row>
    <row r="144" spans="2:39" x14ac:dyDescent="0.25">
      <c r="B144">
        <v>16</v>
      </c>
      <c r="C144">
        <v>12</v>
      </c>
      <c r="D144">
        <v>11</v>
      </c>
      <c r="E144">
        <v>11</v>
      </c>
      <c r="F144">
        <v>10</v>
      </c>
      <c r="G144">
        <v>10</v>
      </c>
      <c r="H144">
        <v>10</v>
      </c>
      <c r="I144">
        <v>10</v>
      </c>
      <c r="J144">
        <v>10</v>
      </c>
      <c r="K144">
        <v>10</v>
      </c>
      <c r="L144">
        <v>10</v>
      </c>
      <c r="M144">
        <v>9</v>
      </c>
      <c r="N144">
        <v>9</v>
      </c>
      <c r="O144">
        <v>9</v>
      </c>
      <c r="P144">
        <v>10</v>
      </c>
      <c r="Q144">
        <v>9</v>
      </c>
      <c r="R144">
        <v>9</v>
      </c>
      <c r="S144">
        <v>9</v>
      </c>
      <c r="V144">
        <v>2920</v>
      </c>
      <c r="W144">
        <v>2920</v>
      </c>
      <c r="X144">
        <v>2919</v>
      </c>
      <c r="Y144">
        <v>2916</v>
      </c>
      <c r="Z144">
        <v>2915</v>
      </c>
      <c r="AA144">
        <v>2914</v>
      </c>
      <c r="AB144">
        <v>2914</v>
      </c>
      <c r="AC144">
        <v>2914</v>
      </c>
      <c r="AD144">
        <v>2914</v>
      </c>
      <c r="AE144">
        <v>2914</v>
      </c>
      <c r="AF144">
        <v>2914</v>
      </c>
      <c r="AG144">
        <v>2918</v>
      </c>
      <c r="AH144">
        <v>2918</v>
      </c>
      <c r="AI144">
        <v>2913</v>
      </c>
      <c r="AJ144">
        <v>2915</v>
      </c>
      <c r="AK144">
        <v>2915</v>
      </c>
      <c r="AL144">
        <v>2915</v>
      </c>
      <c r="AM144">
        <v>2913</v>
      </c>
    </row>
    <row r="145" spans="2:39" x14ac:dyDescent="0.25">
      <c r="B145">
        <v>19</v>
      </c>
      <c r="C145">
        <v>12</v>
      </c>
      <c r="D145">
        <v>10</v>
      </c>
      <c r="E145">
        <v>9</v>
      </c>
      <c r="F145">
        <v>8</v>
      </c>
      <c r="G145">
        <v>8</v>
      </c>
      <c r="H145">
        <v>8</v>
      </c>
      <c r="I145">
        <v>7</v>
      </c>
      <c r="J145">
        <v>7</v>
      </c>
      <c r="K145">
        <v>7</v>
      </c>
      <c r="L145">
        <v>6</v>
      </c>
      <c r="M145">
        <v>7</v>
      </c>
      <c r="N145">
        <v>7</v>
      </c>
      <c r="O145">
        <v>7</v>
      </c>
      <c r="P145">
        <v>7</v>
      </c>
      <c r="Q145">
        <v>7</v>
      </c>
      <c r="R145">
        <v>5</v>
      </c>
      <c r="S145">
        <v>7</v>
      </c>
      <c r="V145">
        <v>4888</v>
      </c>
      <c r="W145">
        <v>4307</v>
      </c>
      <c r="X145">
        <v>4317</v>
      </c>
      <c r="Y145">
        <v>4351</v>
      </c>
      <c r="Z145">
        <v>3578</v>
      </c>
      <c r="AA145">
        <v>3437</v>
      </c>
      <c r="AB145">
        <v>3063</v>
      </c>
      <c r="AC145">
        <v>3052</v>
      </c>
      <c r="AD145">
        <v>2602</v>
      </c>
      <c r="AE145">
        <v>2119</v>
      </c>
      <c r="AF145">
        <v>2194</v>
      </c>
      <c r="AG145">
        <v>1970</v>
      </c>
      <c r="AH145">
        <v>1944</v>
      </c>
      <c r="AI145">
        <v>1881</v>
      </c>
      <c r="AJ145">
        <v>1814</v>
      </c>
      <c r="AK145">
        <v>1574</v>
      </c>
      <c r="AL145">
        <v>1863</v>
      </c>
      <c r="AM145">
        <v>1791</v>
      </c>
    </row>
    <row r="146" spans="2:39" x14ac:dyDescent="0.25">
      <c r="B146">
        <v>19</v>
      </c>
      <c r="C146">
        <v>11</v>
      </c>
      <c r="D146">
        <v>8</v>
      </c>
      <c r="E146">
        <v>8</v>
      </c>
      <c r="F146">
        <v>7</v>
      </c>
      <c r="G146">
        <v>8</v>
      </c>
      <c r="H146">
        <v>7</v>
      </c>
      <c r="I146">
        <v>6</v>
      </c>
      <c r="J146">
        <v>6</v>
      </c>
      <c r="K146">
        <v>6</v>
      </c>
      <c r="L146">
        <v>6</v>
      </c>
      <c r="M146">
        <v>6</v>
      </c>
      <c r="N146">
        <v>6</v>
      </c>
      <c r="O146">
        <v>6</v>
      </c>
      <c r="P146">
        <v>6</v>
      </c>
      <c r="Q146">
        <v>6</v>
      </c>
      <c r="R146">
        <v>6</v>
      </c>
      <c r="S146">
        <v>6</v>
      </c>
      <c r="V146">
        <v>4799</v>
      </c>
      <c r="W146">
        <v>4250</v>
      </c>
      <c r="X146">
        <v>3788</v>
      </c>
      <c r="Y146">
        <v>3347</v>
      </c>
      <c r="Z146">
        <v>3142</v>
      </c>
      <c r="AA146">
        <v>2899</v>
      </c>
      <c r="AB146">
        <v>2419</v>
      </c>
      <c r="AC146">
        <v>1191</v>
      </c>
      <c r="AD146">
        <v>1808</v>
      </c>
      <c r="AE146">
        <v>1633</v>
      </c>
      <c r="AF146">
        <v>1484</v>
      </c>
      <c r="AG146">
        <v>1418</v>
      </c>
      <c r="AH146">
        <v>1379</v>
      </c>
      <c r="AI146">
        <v>1341</v>
      </c>
      <c r="AJ146">
        <v>1313</v>
      </c>
      <c r="AK146">
        <v>1202</v>
      </c>
      <c r="AL146">
        <v>1341</v>
      </c>
      <c r="AM146">
        <v>1181</v>
      </c>
    </row>
    <row r="147" spans="2:39" x14ac:dyDescent="0.25">
      <c r="B147">
        <v>19</v>
      </c>
      <c r="C147">
        <v>11</v>
      </c>
      <c r="D147">
        <v>8</v>
      </c>
      <c r="E147">
        <v>7</v>
      </c>
      <c r="F147">
        <v>8</v>
      </c>
      <c r="G147">
        <v>6</v>
      </c>
      <c r="H147">
        <v>6</v>
      </c>
      <c r="I147">
        <v>6</v>
      </c>
      <c r="J147">
        <v>6</v>
      </c>
      <c r="K147">
        <v>5</v>
      </c>
      <c r="L147">
        <v>6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5</v>
      </c>
      <c r="V147">
        <v>4371</v>
      </c>
      <c r="W147">
        <v>3507</v>
      </c>
      <c r="X147">
        <v>3287</v>
      </c>
      <c r="Y147">
        <v>3101</v>
      </c>
      <c r="Z147">
        <v>2538</v>
      </c>
      <c r="AA147">
        <v>2039</v>
      </c>
      <c r="AB147">
        <v>1805</v>
      </c>
      <c r="AC147">
        <v>946</v>
      </c>
      <c r="AD147">
        <v>1383</v>
      </c>
      <c r="AE147">
        <v>1288</v>
      </c>
      <c r="AF147">
        <v>1125</v>
      </c>
      <c r="AG147">
        <v>1090</v>
      </c>
      <c r="AH147">
        <v>1069</v>
      </c>
      <c r="AI147">
        <v>993</v>
      </c>
      <c r="AJ147">
        <v>1061</v>
      </c>
      <c r="AK147">
        <v>913</v>
      </c>
      <c r="AL147">
        <v>999</v>
      </c>
      <c r="AM147">
        <v>987</v>
      </c>
    </row>
    <row r="148" spans="2:39" x14ac:dyDescent="0.25">
      <c r="B148">
        <v>19</v>
      </c>
      <c r="C148">
        <v>12</v>
      </c>
      <c r="D148">
        <v>9</v>
      </c>
      <c r="E148">
        <v>7</v>
      </c>
      <c r="F148">
        <v>7</v>
      </c>
      <c r="G148">
        <v>6</v>
      </c>
      <c r="H148">
        <v>6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V148">
        <v>4198</v>
      </c>
      <c r="W148">
        <v>3346</v>
      </c>
      <c r="X148">
        <v>2818</v>
      </c>
      <c r="Y148">
        <v>2389</v>
      </c>
      <c r="Z148">
        <v>2203</v>
      </c>
      <c r="AA148">
        <v>1759</v>
      </c>
      <c r="AB148">
        <v>1575</v>
      </c>
      <c r="AC148">
        <v>763</v>
      </c>
      <c r="AD148">
        <v>1074</v>
      </c>
      <c r="AE148">
        <v>1025</v>
      </c>
      <c r="AF148">
        <v>918</v>
      </c>
      <c r="AG148">
        <v>784</v>
      </c>
      <c r="AH148">
        <v>845</v>
      </c>
      <c r="AI148">
        <v>847</v>
      </c>
      <c r="AJ148">
        <v>807</v>
      </c>
      <c r="AK148">
        <v>796</v>
      </c>
      <c r="AL148">
        <v>760</v>
      </c>
      <c r="AM148">
        <v>805</v>
      </c>
    </row>
    <row r="149" spans="2:39" x14ac:dyDescent="0.25">
      <c r="B149">
        <v>19</v>
      </c>
      <c r="C149">
        <v>11</v>
      </c>
      <c r="D149">
        <v>9</v>
      </c>
      <c r="E149">
        <v>7</v>
      </c>
      <c r="F149">
        <v>7</v>
      </c>
      <c r="G149">
        <v>6</v>
      </c>
      <c r="H149">
        <v>6</v>
      </c>
      <c r="I149">
        <v>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4</v>
      </c>
      <c r="P149">
        <v>4</v>
      </c>
      <c r="Q149">
        <v>4</v>
      </c>
      <c r="R149">
        <v>5</v>
      </c>
      <c r="S149">
        <v>5</v>
      </c>
      <c r="V149">
        <v>4125</v>
      </c>
      <c r="W149">
        <v>3090</v>
      </c>
      <c r="X149">
        <v>2537</v>
      </c>
      <c r="Y149">
        <v>2125</v>
      </c>
      <c r="Z149">
        <v>1912</v>
      </c>
      <c r="AA149">
        <v>1635</v>
      </c>
      <c r="AB149">
        <v>1283</v>
      </c>
      <c r="AC149">
        <v>654</v>
      </c>
      <c r="AD149">
        <v>840</v>
      </c>
      <c r="AE149">
        <v>792</v>
      </c>
      <c r="AF149">
        <v>717</v>
      </c>
      <c r="AG149">
        <v>741</v>
      </c>
      <c r="AH149">
        <v>686</v>
      </c>
      <c r="AI149">
        <v>722</v>
      </c>
      <c r="AJ149">
        <v>702</v>
      </c>
      <c r="AK149">
        <v>698</v>
      </c>
      <c r="AL149">
        <v>682</v>
      </c>
      <c r="AM149">
        <v>684</v>
      </c>
    </row>
    <row r="150" spans="2:39" x14ac:dyDescent="0.25">
      <c r="B150">
        <v>20</v>
      </c>
      <c r="C150">
        <v>9</v>
      </c>
      <c r="D150">
        <v>8</v>
      </c>
      <c r="E150">
        <v>7</v>
      </c>
      <c r="F150">
        <v>6</v>
      </c>
      <c r="G150">
        <v>7</v>
      </c>
      <c r="H150">
        <v>5</v>
      </c>
      <c r="I150">
        <v>5</v>
      </c>
      <c r="J150">
        <v>5</v>
      </c>
      <c r="K150">
        <v>4</v>
      </c>
      <c r="L150">
        <v>4</v>
      </c>
      <c r="M150">
        <v>5</v>
      </c>
      <c r="N150">
        <v>4</v>
      </c>
      <c r="O150">
        <v>4</v>
      </c>
      <c r="P150">
        <v>5</v>
      </c>
      <c r="Q150">
        <v>4</v>
      </c>
      <c r="R150">
        <v>4</v>
      </c>
      <c r="S150">
        <v>4</v>
      </c>
      <c r="V150">
        <v>3656</v>
      </c>
      <c r="W150">
        <v>2737</v>
      </c>
      <c r="X150">
        <v>2395</v>
      </c>
      <c r="Y150">
        <v>1888</v>
      </c>
      <c r="Z150">
        <v>1741</v>
      </c>
      <c r="AA150">
        <v>1489</v>
      </c>
      <c r="AB150">
        <v>1246</v>
      </c>
      <c r="AC150">
        <v>813</v>
      </c>
      <c r="AD150">
        <v>893</v>
      </c>
      <c r="AE150">
        <v>788</v>
      </c>
      <c r="AF150">
        <v>757</v>
      </c>
      <c r="AG150">
        <v>739</v>
      </c>
      <c r="AH150">
        <v>708</v>
      </c>
      <c r="AI150">
        <v>642</v>
      </c>
      <c r="AJ150">
        <v>666</v>
      </c>
      <c r="AK150">
        <v>708</v>
      </c>
      <c r="AL150">
        <v>709</v>
      </c>
      <c r="AM150">
        <v>694</v>
      </c>
    </row>
    <row r="151" spans="2:39" x14ac:dyDescent="0.25">
      <c r="B151">
        <v>15</v>
      </c>
      <c r="C151">
        <v>10</v>
      </c>
      <c r="D151">
        <v>8</v>
      </c>
      <c r="E151">
        <v>7</v>
      </c>
      <c r="F151">
        <v>7</v>
      </c>
      <c r="G151">
        <v>7</v>
      </c>
      <c r="H151">
        <v>5</v>
      </c>
      <c r="I151">
        <v>5</v>
      </c>
      <c r="J151">
        <v>5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4</v>
      </c>
      <c r="V151">
        <v>3402</v>
      </c>
      <c r="W151">
        <v>2631</v>
      </c>
      <c r="X151">
        <v>2332</v>
      </c>
      <c r="Y151">
        <v>1869</v>
      </c>
      <c r="Z151">
        <v>1665</v>
      </c>
      <c r="AA151">
        <v>1327</v>
      </c>
      <c r="AB151">
        <v>1177</v>
      </c>
      <c r="AC151">
        <v>998</v>
      </c>
      <c r="AD151">
        <v>841</v>
      </c>
      <c r="AE151">
        <v>779</v>
      </c>
      <c r="AF151">
        <v>738</v>
      </c>
      <c r="AG151">
        <v>674</v>
      </c>
      <c r="AH151">
        <v>709</v>
      </c>
      <c r="AI151">
        <v>684</v>
      </c>
      <c r="AJ151">
        <v>701</v>
      </c>
      <c r="AK151">
        <v>675</v>
      </c>
      <c r="AL151">
        <v>734</v>
      </c>
      <c r="AM151">
        <v>691</v>
      </c>
    </row>
    <row r="152" spans="2:39" x14ac:dyDescent="0.25">
      <c r="B152">
        <v>16</v>
      </c>
      <c r="C152">
        <v>9</v>
      </c>
      <c r="D152">
        <v>7</v>
      </c>
      <c r="E152">
        <v>6</v>
      </c>
      <c r="F152">
        <v>5</v>
      </c>
      <c r="G152">
        <v>5</v>
      </c>
      <c r="H152">
        <v>4</v>
      </c>
      <c r="I152">
        <v>5</v>
      </c>
      <c r="J152">
        <v>5</v>
      </c>
      <c r="K152">
        <v>4</v>
      </c>
      <c r="L152">
        <v>4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V152">
        <v>3296</v>
      </c>
      <c r="W152">
        <v>2639</v>
      </c>
      <c r="X152">
        <v>2305</v>
      </c>
      <c r="Y152">
        <v>1904</v>
      </c>
      <c r="Z152">
        <v>1590</v>
      </c>
      <c r="AA152">
        <v>1327</v>
      </c>
      <c r="AB152">
        <v>1158</v>
      </c>
      <c r="AC152">
        <v>658</v>
      </c>
      <c r="AD152">
        <v>800</v>
      </c>
      <c r="AE152">
        <v>775</v>
      </c>
      <c r="AF152">
        <v>768</v>
      </c>
      <c r="AG152">
        <v>689</v>
      </c>
      <c r="AH152">
        <v>703</v>
      </c>
      <c r="AI152">
        <v>708</v>
      </c>
      <c r="AJ152">
        <v>673</v>
      </c>
      <c r="AK152">
        <v>708</v>
      </c>
      <c r="AL152">
        <v>714</v>
      </c>
      <c r="AM152">
        <v>682</v>
      </c>
    </row>
    <row r="153" spans="2:39" x14ac:dyDescent="0.25">
      <c r="B153">
        <v>15</v>
      </c>
      <c r="C153">
        <v>9</v>
      </c>
      <c r="D153">
        <v>7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V153">
        <v>3124</v>
      </c>
      <c r="W153">
        <v>2596</v>
      </c>
      <c r="X153">
        <v>2168</v>
      </c>
      <c r="Y153">
        <v>1820</v>
      </c>
      <c r="Z153">
        <v>1598</v>
      </c>
      <c r="AA153">
        <v>1289</v>
      </c>
      <c r="AB153">
        <v>1100</v>
      </c>
      <c r="AC153">
        <v>653</v>
      </c>
      <c r="AD153">
        <v>811</v>
      </c>
      <c r="AE153">
        <v>730</v>
      </c>
      <c r="AF153">
        <v>696</v>
      </c>
      <c r="AG153">
        <v>699</v>
      </c>
      <c r="AH153">
        <v>691</v>
      </c>
      <c r="AI153">
        <v>646</v>
      </c>
      <c r="AJ153">
        <v>662</v>
      </c>
      <c r="AK153">
        <v>703</v>
      </c>
      <c r="AL153">
        <v>705</v>
      </c>
      <c r="AM153">
        <v>704</v>
      </c>
    </row>
    <row r="154" spans="2:39" x14ac:dyDescent="0.25">
      <c r="B154">
        <v>14</v>
      </c>
      <c r="C154">
        <v>9</v>
      </c>
      <c r="D154">
        <v>7</v>
      </c>
      <c r="E154">
        <v>5</v>
      </c>
      <c r="F154">
        <v>5</v>
      </c>
      <c r="G154">
        <v>5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3</v>
      </c>
      <c r="O154">
        <v>4</v>
      </c>
      <c r="P154">
        <v>4</v>
      </c>
      <c r="Q154">
        <v>4</v>
      </c>
      <c r="R154">
        <v>4</v>
      </c>
      <c r="S154">
        <v>4</v>
      </c>
      <c r="V154">
        <v>3106</v>
      </c>
      <c r="W154">
        <v>2521</v>
      </c>
      <c r="X154">
        <v>2050</v>
      </c>
      <c r="Y154">
        <v>1724</v>
      </c>
      <c r="Z154">
        <v>1536</v>
      </c>
      <c r="AA154">
        <v>1181</v>
      </c>
      <c r="AB154">
        <v>1024</v>
      </c>
      <c r="AC154">
        <v>684</v>
      </c>
      <c r="AD154">
        <v>743</v>
      </c>
      <c r="AE154">
        <v>696</v>
      </c>
      <c r="AF154">
        <v>652</v>
      </c>
      <c r="AG154">
        <v>703</v>
      </c>
      <c r="AH154">
        <v>678</v>
      </c>
      <c r="AI154">
        <v>641</v>
      </c>
      <c r="AJ154">
        <v>665</v>
      </c>
      <c r="AK154">
        <v>702</v>
      </c>
      <c r="AL154">
        <v>717</v>
      </c>
      <c r="AM154">
        <v>693</v>
      </c>
    </row>
    <row r="155" spans="2:39" x14ac:dyDescent="0.25">
      <c r="B155">
        <v>14</v>
      </c>
      <c r="C155">
        <v>9</v>
      </c>
      <c r="D155">
        <v>7</v>
      </c>
      <c r="E155">
        <v>7</v>
      </c>
      <c r="F155">
        <v>5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V155">
        <v>2919</v>
      </c>
      <c r="W155">
        <v>2410</v>
      </c>
      <c r="X155">
        <v>2009</v>
      </c>
      <c r="Y155">
        <v>1746</v>
      </c>
      <c r="Z155">
        <v>1431</v>
      </c>
      <c r="AA155">
        <v>1198</v>
      </c>
      <c r="AB155">
        <v>927</v>
      </c>
      <c r="AC155">
        <v>885</v>
      </c>
      <c r="AD155">
        <v>689</v>
      </c>
      <c r="AE155">
        <v>705</v>
      </c>
      <c r="AF155">
        <v>678</v>
      </c>
      <c r="AG155">
        <v>655</v>
      </c>
      <c r="AH155">
        <v>655</v>
      </c>
      <c r="AI155">
        <v>643</v>
      </c>
      <c r="AJ155">
        <v>664</v>
      </c>
      <c r="AK155">
        <v>659</v>
      </c>
      <c r="AL155">
        <v>688</v>
      </c>
      <c r="AM155">
        <v>691</v>
      </c>
    </row>
    <row r="157" spans="2:39" x14ac:dyDescent="0.25">
      <c r="B157" t="s">
        <v>5</v>
      </c>
      <c r="C157" t="s">
        <v>12</v>
      </c>
      <c r="D157" t="s">
        <v>3</v>
      </c>
      <c r="V157" t="s">
        <v>8</v>
      </c>
      <c r="W157" t="s">
        <v>12</v>
      </c>
      <c r="X157" t="s">
        <v>3</v>
      </c>
    </row>
    <row r="158" spans="2:39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1</v>
      </c>
      <c r="AC158">
        <v>1</v>
      </c>
      <c r="AD158">
        <v>2</v>
      </c>
      <c r="AE158">
        <v>1</v>
      </c>
      <c r="AF158">
        <v>1</v>
      </c>
      <c r="AG158">
        <v>1</v>
      </c>
      <c r="AH158">
        <v>1</v>
      </c>
      <c r="AI158">
        <v>2</v>
      </c>
      <c r="AJ158">
        <v>1</v>
      </c>
      <c r="AK158">
        <v>2</v>
      </c>
      <c r="AL158">
        <v>2</v>
      </c>
      <c r="AM158">
        <v>0</v>
      </c>
    </row>
    <row r="159" spans="2:39" x14ac:dyDescent="0.25">
      <c r="B159">
        <v>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V159">
        <v>0</v>
      </c>
      <c r="W159">
        <v>3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</row>
    <row r="160" spans="2:39" x14ac:dyDescent="0.25">
      <c r="B160">
        <v>0</v>
      </c>
      <c r="C160">
        <v>2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V160">
        <v>1</v>
      </c>
      <c r="W160">
        <v>3</v>
      </c>
      <c r="X160">
        <v>2</v>
      </c>
      <c r="Y160">
        <v>2</v>
      </c>
      <c r="Z160">
        <v>2</v>
      </c>
      <c r="AA160">
        <v>2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</row>
    <row r="161" spans="2:39" x14ac:dyDescent="0.25">
      <c r="B161">
        <v>1</v>
      </c>
      <c r="C161">
        <v>3</v>
      </c>
      <c r="D161">
        <v>2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V161">
        <v>1</v>
      </c>
      <c r="W161">
        <v>4</v>
      </c>
      <c r="X161">
        <v>3</v>
      </c>
      <c r="Y161">
        <v>2</v>
      </c>
      <c r="Z161">
        <v>1</v>
      </c>
      <c r="AA161">
        <v>2</v>
      </c>
      <c r="AB161">
        <v>2</v>
      </c>
      <c r="AC161">
        <v>2</v>
      </c>
      <c r="AD161">
        <v>1</v>
      </c>
      <c r="AE161">
        <v>1</v>
      </c>
      <c r="AF161">
        <v>2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</row>
    <row r="162" spans="2:39" x14ac:dyDescent="0.25">
      <c r="B162">
        <v>1</v>
      </c>
      <c r="C162">
        <v>3</v>
      </c>
      <c r="D162">
        <v>2</v>
      </c>
      <c r="E162">
        <v>2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V162">
        <v>1</v>
      </c>
      <c r="W162">
        <v>5</v>
      </c>
      <c r="X162">
        <v>3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1</v>
      </c>
    </row>
    <row r="163" spans="2:39" x14ac:dyDescent="0.25">
      <c r="B163">
        <v>1</v>
      </c>
      <c r="C163">
        <v>4</v>
      </c>
      <c r="D163">
        <v>2</v>
      </c>
      <c r="E163">
        <v>2</v>
      </c>
      <c r="F163">
        <v>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V163">
        <v>1</v>
      </c>
      <c r="W163">
        <v>4</v>
      </c>
      <c r="X163">
        <v>3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</row>
    <row r="164" spans="2:39" x14ac:dyDescent="0.25">
      <c r="B164">
        <v>1</v>
      </c>
      <c r="C164">
        <v>4</v>
      </c>
      <c r="D164">
        <v>3</v>
      </c>
      <c r="E164">
        <v>2</v>
      </c>
      <c r="F164">
        <v>2</v>
      </c>
      <c r="G164">
        <v>1</v>
      </c>
      <c r="H164">
        <v>2</v>
      </c>
      <c r="I164">
        <v>2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2</v>
      </c>
      <c r="S164">
        <v>1</v>
      </c>
      <c r="V164">
        <v>2</v>
      </c>
      <c r="W164">
        <v>4</v>
      </c>
      <c r="X164">
        <v>4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</row>
    <row r="165" spans="2:39" x14ac:dyDescent="0.25">
      <c r="B165">
        <v>2</v>
      </c>
      <c r="C165">
        <v>3</v>
      </c>
      <c r="D165">
        <v>2</v>
      </c>
      <c r="E165">
        <v>2</v>
      </c>
      <c r="F165">
        <v>2</v>
      </c>
      <c r="G165">
        <v>2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1</v>
      </c>
      <c r="R165">
        <v>1</v>
      </c>
      <c r="S165">
        <v>2</v>
      </c>
      <c r="V165">
        <v>2</v>
      </c>
      <c r="W165">
        <v>3</v>
      </c>
      <c r="X165">
        <v>3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2</v>
      </c>
      <c r="AE165">
        <v>2</v>
      </c>
      <c r="AF165">
        <v>2</v>
      </c>
      <c r="AG165">
        <v>2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2</v>
      </c>
    </row>
    <row r="166" spans="2:39" x14ac:dyDescent="0.25">
      <c r="B166">
        <v>1</v>
      </c>
      <c r="C166">
        <v>3</v>
      </c>
      <c r="D166">
        <v>2</v>
      </c>
      <c r="E166">
        <v>2</v>
      </c>
      <c r="F166">
        <v>1</v>
      </c>
      <c r="G166">
        <v>2</v>
      </c>
      <c r="H166">
        <v>1</v>
      </c>
      <c r="I166">
        <v>1</v>
      </c>
      <c r="J166">
        <v>2</v>
      </c>
      <c r="K166">
        <v>1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2</v>
      </c>
      <c r="V166">
        <v>2</v>
      </c>
      <c r="W166">
        <v>3</v>
      </c>
      <c r="X166">
        <v>3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2</v>
      </c>
    </row>
    <row r="167" spans="2:39" x14ac:dyDescent="0.25">
      <c r="B167">
        <v>1</v>
      </c>
      <c r="C167">
        <v>3</v>
      </c>
      <c r="D167">
        <v>2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2</v>
      </c>
      <c r="K167">
        <v>1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1</v>
      </c>
      <c r="R167">
        <v>1</v>
      </c>
      <c r="S167">
        <v>2</v>
      </c>
      <c r="V167">
        <v>2</v>
      </c>
      <c r="W167">
        <v>3</v>
      </c>
      <c r="X167">
        <v>2</v>
      </c>
      <c r="Y167">
        <v>2</v>
      </c>
      <c r="Z167">
        <v>3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</row>
    <row r="168" spans="2:39" x14ac:dyDescent="0.25">
      <c r="B168">
        <v>1</v>
      </c>
      <c r="C168">
        <v>3</v>
      </c>
      <c r="D168">
        <v>2</v>
      </c>
      <c r="E168">
        <v>2</v>
      </c>
      <c r="F168">
        <v>1</v>
      </c>
      <c r="G168">
        <v>1</v>
      </c>
      <c r="H168">
        <v>2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1</v>
      </c>
      <c r="R168">
        <v>1</v>
      </c>
      <c r="S168">
        <v>1</v>
      </c>
      <c r="V168">
        <v>2</v>
      </c>
      <c r="W168">
        <v>3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3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2</v>
      </c>
    </row>
    <row r="169" spans="2:39" x14ac:dyDescent="0.25">
      <c r="B169">
        <v>1</v>
      </c>
      <c r="C169">
        <v>3</v>
      </c>
      <c r="D169">
        <v>2</v>
      </c>
      <c r="E169">
        <v>2</v>
      </c>
      <c r="F169">
        <v>1</v>
      </c>
      <c r="G169">
        <v>1</v>
      </c>
      <c r="H169">
        <v>2</v>
      </c>
      <c r="I169">
        <v>2</v>
      </c>
      <c r="J169">
        <v>1</v>
      </c>
      <c r="K169">
        <v>1</v>
      </c>
      <c r="L169">
        <v>2</v>
      </c>
      <c r="M169">
        <v>2</v>
      </c>
      <c r="N169">
        <v>2</v>
      </c>
      <c r="O169">
        <v>2</v>
      </c>
      <c r="P169">
        <v>1</v>
      </c>
      <c r="Q169">
        <v>2</v>
      </c>
      <c r="R169">
        <v>1</v>
      </c>
      <c r="S169">
        <v>1</v>
      </c>
      <c r="V169">
        <v>2</v>
      </c>
      <c r="W169">
        <v>3</v>
      </c>
      <c r="X169">
        <v>2</v>
      </c>
      <c r="Y169">
        <v>2</v>
      </c>
      <c r="Z169">
        <v>3</v>
      </c>
      <c r="AA169">
        <v>2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3</v>
      </c>
      <c r="AJ169">
        <v>2</v>
      </c>
      <c r="AK169">
        <v>2</v>
      </c>
      <c r="AL169">
        <v>2</v>
      </c>
      <c r="AM169">
        <v>2</v>
      </c>
    </row>
    <row r="171" spans="2:39" x14ac:dyDescent="0.25">
      <c r="B171" t="s">
        <v>5</v>
      </c>
      <c r="C171" t="s">
        <v>12</v>
      </c>
      <c r="D171" t="s">
        <v>9</v>
      </c>
      <c r="V171" t="s">
        <v>8</v>
      </c>
      <c r="W171" t="s">
        <v>12</v>
      </c>
      <c r="X171" t="s">
        <v>9</v>
      </c>
    </row>
    <row r="172" spans="2:39" x14ac:dyDescent="0.25">
      <c r="B172">
        <v>9</v>
      </c>
      <c r="C172">
        <v>9</v>
      </c>
      <c r="D172">
        <v>9</v>
      </c>
      <c r="E172">
        <v>9</v>
      </c>
      <c r="F172">
        <v>9</v>
      </c>
      <c r="G172">
        <v>9</v>
      </c>
      <c r="H172">
        <v>9</v>
      </c>
      <c r="I172">
        <v>9</v>
      </c>
      <c r="J172">
        <v>9</v>
      </c>
      <c r="K172">
        <v>9</v>
      </c>
      <c r="L172">
        <v>9</v>
      </c>
      <c r="M172">
        <v>9</v>
      </c>
      <c r="N172">
        <v>9</v>
      </c>
      <c r="O172">
        <v>9</v>
      </c>
      <c r="P172">
        <v>9</v>
      </c>
      <c r="Q172">
        <v>9</v>
      </c>
      <c r="R172">
        <v>9</v>
      </c>
      <c r="S172">
        <v>9</v>
      </c>
      <c r="V172">
        <v>2913</v>
      </c>
      <c r="W172">
        <v>2915</v>
      </c>
      <c r="X172">
        <v>2918</v>
      </c>
      <c r="Y172">
        <v>2914</v>
      </c>
      <c r="Z172">
        <v>2916</v>
      </c>
      <c r="AA172">
        <v>2915</v>
      </c>
      <c r="AB172">
        <v>2913</v>
      </c>
      <c r="AC172">
        <v>2913</v>
      </c>
      <c r="AD172">
        <v>2915</v>
      </c>
      <c r="AE172">
        <v>2913</v>
      </c>
      <c r="AF172">
        <v>2917</v>
      </c>
      <c r="AG172">
        <v>2916</v>
      </c>
      <c r="AH172">
        <v>2915</v>
      </c>
      <c r="AI172">
        <v>2915</v>
      </c>
      <c r="AJ172">
        <v>2913</v>
      </c>
      <c r="AK172">
        <v>2912</v>
      </c>
      <c r="AL172">
        <v>2915</v>
      </c>
      <c r="AM172">
        <v>2916</v>
      </c>
    </row>
    <row r="173" spans="2:39" x14ac:dyDescent="0.25">
      <c r="B173">
        <v>9</v>
      </c>
      <c r="C173">
        <v>9</v>
      </c>
      <c r="D173">
        <v>9</v>
      </c>
      <c r="E173">
        <v>9</v>
      </c>
      <c r="F173">
        <v>9</v>
      </c>
      <c r="G173">
        <v>6</v>
      </c>
      <c r="H173">
        <v>9</v>
      </c>
      <c r="I173">
        <v>10</v>
      </c>
      <c r="J173">
        <v>9</v>
      </c>
      <c r="K173">
        <v>9</v>
      </c>
      <c r="L173">
        <v>9</v>
      </c>
      <c r="M173">
        <v>9</v>
      </c>
      <c r="N173">
        <v>9</v>
      </c>
      <c r="O173">
        <v>9</v>
      </c>
      <c r="P173">
        <v>6</v>
      </c>
      <c r="Q173">
        <v>9</v>
      </c>
      <c r="R173">
        <v>9</v>
      </c>
      <c r="S173">
        <v>9</v>
      </c>
      <c r="V173">
        <v>3015</v>
      </c>
      <c r="W173">
        <v>2866</v>
      </c>
      <c r="X173">
        <v>2685</v>
      </c>
      <c r="Y173">
        <v>2856</v>
      </c>
      <c r="Z173">
        <v>2447</v>
      </c>
      <c r="AA173">
        <v>2142</v>
      </c>
      <c r="AB173">
        <v>1821</v>
      </c>
      <c r="AC173">
        <v>2456</v>
      </c>
      <c r="AD173">
        <v>2050</v>
      </c>
      <c r="AE173">
        <v>1966</v>
      </c>
      <c r="AF173">
        <v>1867</v>
      </c>
      <c r="AG173">
        <v>2149</v>
      </c>
      <c r="AH173">
        <v>1799</v>
      </c>
      <c r="AI173">
        <v>1787</v>
      </c>
      <c r="AJ173">
        <v>1988</v>
      </c>
      <c r="AK173">
        <v>1891</v>
      </c>
      <c r="AL173">
        <v>1762</v>
      </c>
      <c r="AM173">
        <v>1848</v>
      </c>
    </row>
    <row r="174" spans="2:39" x14ac:dyDescent="0.25">
      <c r="B174">
        <v>7</v>
      </c>
      <c r="C174">
        <v>7</v>
      </c>
      <c r="D174">
        <v>7</v>
      </c>
      <c r="E174">
        <v>7</v>
      </c>
      <c r="F174">
        <v>7</v>
      </c>
      <c r="G174">
        <v>6</v>
      </c>
      <c r="H174">
        <v>6</v>
      </c>
      <c r="I174">
        <v>6</v>
      </c>
      <c r="J174">
        <v>7</v>
      </c>
      <c r="K174">
        <v>6</v>
      </c>
      <c r="L174">
        <v>7</v>
      </c>
      <c r="M174">
        <v>7</v>
      </c>
      <c r="N174">
        <v>6</v>
      </c>
      <c r="O174">
        <v>7</v>
      </c>
      <c r="P174">
        <v>7</v>
      </c>
      <c r="Q174">
        <v>6</v>
      </c>
      <c r="R174">
        <v>7</v>
      </c>
      <c r="S174">
        <v>6</v>
      </c>
      <c r="V174">
        <v>2178</v>
      </c>
      <c r="W174">
        <v>1655</v>
      </c>
      <c r="X174">
        <v>1720</v>
      </c>
      <c r="Y174">
        <v>1666</v>
      </c>
      <c r="Z174">
        <v>1307</v>
      </c>
      <c r="AA174">
        <v>1319</v>
      </c>
      <c r="AB174">
        <v>1498</v>
      </c>
      <c r="AC174">
        <v>1645</v>
      </c>
      <c r="AD174">
        <v>1514</v>
      </c>
      <c r="AE174">
        <v>1376</v>
      </c>
      <c r="AF174">
        <v>1490</v>
      </c>
      <c r="AG174">
        <v>1481</v>
      </c>
      <c r="AH174">
        <v>1244</v>
      </c>
      <c r="AI174">
        <v>1457</v>
      </c>
      <c r="AJ174">
        <v>1431</v>
      </c>
      <c r="AK174">
        <v>1416</v>
      </c>
      <c r="AL174">
        <v>1456</v>
      </c>
      <c r="AM174">
        <v>1398</v>
      </c>
    </row>
    <row r="175" spans="2:39" x14ac:dyDescent="0.25">
      <c r="B175">
        <v>5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V175">
        <v>1637</v>
      </c>
      <c r="W175">
        <v>1623</v>
      </c>
      <c r="X175">
        <v>1528</v>
      </c>
      <c r="Y175">
        <v>1530</v>
      </c>
      <c r="Z175">
        <v>1523</v>
      </c>
      <c r="AA175">
        <v>1101</v>
      </c>
      <c r="AB175">
        <v>1197</v>
      </c>
      <c r="AC175">
        <v>1157</v>
      </c>
      <c r="AD175">
        <v>1282</v>
      </c>
      <c r="AE175">
        <v>1121</v>
      </c>
      <c r="AF175">
        <v>1138</v>
      </c>
      <c r="AG175">
        <v>1107</v>
      </c>
      <c r="AH175">
        <v>984</v>
      </c>
      <c r="AI175">
        <v>1115</v>
      </c>
      <c r="AJ175">
        <v>1096</v>
      </c>
      <c r="AK175">
        <v>1146</v>
      </c>
      <c r="AL175">
        <v>1118</v>
      </c>
      <c r="AM175">
        <v>1146</v>
      </c>
    </row>
    <row r="176" spans="2:39" x14ac:dyDescent="0.25"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5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V176">
        <v>1441</v>
      </c>
      <c r="W176">
        <v>1401</v>
      </c>
      <c r="X176">
        <v>1272</v>
      </c>
      <c r="Y176">
        <v>1146</v>
      </c>
      <c r="Z176">
        <v>1254</v>
      </c>
      <c r="AA176">
        <v>1055</v>
      </c>
      <c r="AB176">
        <v>1095</v>
      </c>
      <c r="AC176">
        <v>1024</v>
      </c>
      <c r="AD176">
        <v>962</v>
      </c>
      <c r="AE176">
        <v>913</v>
      </c>
      <c r="AF176">
        <v>1042</v>
      </c>
      <c r="AG176">
        <v>887</v>
      </c>
      <c r="AH176">
        <v>893</v>
      </c>
      <c r="AI176">
        <v>905</v>
      </c>
      <c r="AJ176">
        <v>836</v>
      </c>
      <c r="AK176">
        <v>894</v>
      </c>
      <c r="AL176">
        <v>896</v>
      </c>
      <c r="AM176">
        <v>897</v>
      </c>
    </row>
    <row r="177" spans="2:39" x14ac:dyDescent="0.25"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V177">
        <v>1239</v>
      </c>
      <c r="W177">
        <v>1270</v>
      </c>
      <c r="X177">
        <v>1185</v>
      </c>
      <c r="Y177">
        <v>1231</v>
      </c>
      <c r="Z177">
        <v>1127</v>
      </c>
      <c r="AA177">
        <v>980</v>
      </c>
      <c r="AB177">
        <v>1082</v>
      </c>
      <c r="AC177">
        <v>882</v>
      </c>
      <c r="AD177">
        <v>862</v>
      </c>
      <c r="AE177">
        <v>752</v>
      </c>
      <c r="AF177">
        <v>812</v>
      </c>
      <c r="AG177">
        <v>726</v>
      </c>
      <c r="AH177">
        <v>713</v>
      </c>
      <c r="AI177">
        <v>740</v>
      </c>
      <c r="AJ177">
        <v>798</v>
      </c>
      <c r="AK177">
        <v>747</v>
      </c>
      <c r="AL177">
        <v>799</v>
      </c>
      <c r="AM177">
        <v>844</v>
      </c>
    </row>
    <row r="178" spans="2:39" x14ac:dyDescent="0.25">
      <c r="B178">
        <v>3</v>
      </c>
      <c r="C178">
        <v>3</v>
      </c>
      <c r="D178">
        <v>4</v>
      </c>
      <c r="E178">
        <v>3</v>
      </c>
      <c r="F178">
        <v>3</v>
      </c>
      <c r="G178">
        <v>4</v>
      </c>
      <c r="H178">
        <v>3</v>
      </c>
      <c r="I178">
        <v>3</v>
      </c>
      <c r="J178">
        <v>3</v>
      </c>
      <c r="K178">
        <v>4</v>
      </c>
      <c r="L178">
        <v>4</v>
      </c>
      <c r="M178">
        <v>3</v>
      </c>
      <c r="N178">
        <v>4</v>
      </c>
      <c r="O178">
        <v>4</v>
      </c>
      <c r="P178">
        <v>3</v>
      </c>
      <c r="Q178">
        <v>3</v>
      </c>
      <c r="R178">
        <v>4</v>
      </c>
      <c r="S178">
        <v>4</v>
      </c>
      <c r="V178">
        <v>1092</v>
      </c>
      <c r="W178">
        <v>1307</v>
      </c>
      <c r="X178">
        <v>1194</v>
      </c>
      <c r="Y178">
        <v>1220</v>
      </c>
      <c r="Z178">
        <v>1110</v>
      </c>
      <c r="AA178">
        <v>933</v>
      </c>
      <c r="AB178">
        <v>1027</v>
      </c>
      <c r="AC178">
        <v>1152</v>
      </c>
      <c r="AD178">
        <v>1161</v>
      </c>
      <c r="AE178">
        <v>1019</v>
      </c>
      <c r="AF178">
        <v>1139</v>
      </c>
      <c r="AG178">
        <v>1013</v>
      </c>
      <c r="AH178">
        <v>766</v>
      </c>
      <c r="AI178">
        <v>1062</v>
      </c>
      <c r="AJ178">
        <v>839</v>
      </c>
      <c r="AK178">
        <v>1036</v>
      </c>
      <c r="AL178">
        <v>1015</v>
      </c>
      <c r="AM178">
        <v>1059</v>
      </c>
    </row>
    <row r="179" spans="2:39" x14ac:dyDescent="0.25"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3</v>
      </c>
      <c r="M179">
        <v>3</v>
      </c>
      <c r="N179">
        <v>3</v>
      </c>
      <c r="O179">
        <v>3</v>
      </c>
      <c r="P179">
        <v>4</v>
      </c>
      <c r="Q179">
        <v>3</v>
      </c>
      <c r="R179">
        <v>3</v>
      </c>
      <c r="S179">
        <v>4</v>
      </c>
      <c r="V179">
        <v>1409</v>
      </c>
      <c r="W179">
        <v>1201</v>
      </c>
      <c r="X179">
        <v>1247</v>
      </c>
      <c r="Y179">
        <v>1093</v>
      </c>
      <c r="Z179">
        <v>1040</v>
      </c>
      <c r="AA179">
        <v>1230</v>
      </c>
      <c r="AB179">
        <v>1197</v>
      </c>
      <c r="AC179">
        <v>1063</v>
      </c>
      <c r="AD179">
        <v>972</v>
      </c>
      <c r="AE179">
        <v>910</v>
      </c>
      <c r="AF179">
        <v>941</v>
      </c>
      <c r="AG179">
        <v>924</v>
      </c>
      <c r="AH179">
        <v>914</v>
      </c>
      <c r="AI179">
        <v>830</v>
      </c>
      <c r="AJ179">
        <v>947</v>
      </c>
      <c r="AK179">
        <v>938</v>
      </c>
      <c r="AL179">
        <v>1043</v>
      </c>
      <c r="AM179">
        <v>991</v>
      </c>
    </row>
    <row r="180" spans="2:39" x14ac:dyDescent="0.25">
      <c r="B180">
        <v>3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4</v>
      </c>
      <c r="V180">
        <v>1124</v>
      </c>
      <c r="W180">
        <v>1347</v>
      </c>
      <c r="X180">
        <v>1108</v>
      </c>
      <c r="Y180">
        <v>968</v>
      </c>
      <c r="Z180">
        <v>1017</v>
      </c>
      <c r="AA180">
        <v>983</v>
      </c>
      <c r="AB180">
        <v>1176</v>
      </c>
      <c r="AC180">
        <v>1061</v>
      </c>
      <c r="AD180">
        <v>797</v>
      </c>
      <c r="AE180">
        <v>904</v>
      </c>
      <c r="AF180">
        <v>910</v>
      </c>
      <c r="AG180">
        <v>950</v>
      </c>
      <c r="AH180">
        <v>894</v>
      </c>
      <c r="AI180">
        <v>841</v>
      </c>
      <c r="AJ180">
        <v>927</v>
      </c>
      <c r="AK180">
        <v>911</v>
      </c>
      <c r="AL180">
        <v>1090</v>
      </c>
      <c r="AM180">
        <v>1006</v>
      </c>
    </row>
    <row r="181" spans="2:39" x14ac:dyDescent="0.25">
      <c r="B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V181">
        <v>1248</v>
      </c>
      <c r="W181">
        <v>1371</v>
      </c>
      <c r="X181">
        <v>1257</v>
      </c>
      <c r="Y181">
        <v>1191</v>
      </c>
      <c r="Z181">
        <v>892</v>
      </c>
      <c r="AA181">
        <v>897</v>
      </c>
      <c r="AB181">
        <v>1114</v>
      </c>
      <c r="AC181">
        <v>985</v>
      </c>
      <c r="AD181">
        <v>828</v>
      </c>
      <c r="AE181">
        <v>754</v>
      </c>
      <c r="AF181">
        <v>813</v>
      </c>
      <c r="AG181">
        <v>864</v>
      </c>
      <c r="AH181">
        <v>771</v>
      </c>
      <c r="AI181">
        <v>742</v>
      </c>
      <c r="AJ181">
        <v>912</v>
      </c>
      <c r="AK181">
        <v>840</v>
      </c>
      <c r="AL181">
        <v>919</v>
      </c>
      <c r="AM181">
        <v>859</v>
      </c>
    </row>
    <row r="182" spans="2:39" x14ac:dyDescent="0.25">
      <c r="B182">
        <v>3</v>
      </c>
      <c r="C182">
        <v>3</v>
      </c>
      <c r="D182">
        <v>3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V182">
        <v>1285</v>
      </c>
      <c r="W182">
        <v>1211</v>
      </c>
      <c r="X182">
        <v>1236</v>
      </c>
      <c r="Y182">
        <v>1012</v>
      </c>
      <c r="Z182">
        <v>1324</v>
      </c>
      <c r="AA182">
        <v>816</v>
      </c>
      <c r="AB182">
        <v>972</v>
      </c>
      <c r="AC182">
        <v>761</v>
      </c>
      <c r="AD182">
        <v>677</v>
      </c>
      <c r="AE182">
        <v>734</v>
      </c>
      <c r="AF182">
        <v>805</v>
      </c>
      <c r="AG182">
        <v>758</v>
      </c>
      <c r="AH182">
        <v>648</v>
      </c>
      <c r="AI182">
        <v>670</v>
      </c>
      <c r="AJ182">
        <v>872</v>
      </c>
      <c r="AK182">
        <v>735</v>
      </c>
      <c r="AL182">
        <v>792</v>
      </c>
      <c r="AM182">
        <v>821</v>
      </c>
    </row>
    <row r="183" spans="2:39" x14ac:dyDescent="0.25">
      <c r="B183">
        <v>3</v>
      </c>
      <c r="C183">
        <v>3</v>
      </c>
      <c r="D183">
        <v>3</v>
      </c>
      <c r="E183">
        <v>3</v>
      </c>
      <c r="F183">
        <v>3</v>
      </c>
      <c r="G183">
        <v>4</v>
      </c>
      <c r="H183">
        <v>3</v>
      </c>
      <c r="I183">
        <v>3</v>
      </c>
      <c r="J183">
        <v>4</v>
      </c>
      <c r="K183">
        <v>3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  <c r="R183">
        <v>3</v>
      </c>
      <c r="S183">
        <v>3</v>
      </c>
      <c r="V183">
        <v>1275</v>
      </c>
      <c r="W183">
        <v>1562</v>
      </c>
      <c r="X183">
        <v>1225</v>
      </c>
      <c r="Y183">
        <v>1371</v>
      </c>
      <c r="Z183">
        <v>1079</v>
      </c>
      <c r="AA183">
        <v>951</v>
      </c>
      <c r="AB183">
        <v>969</v>
      </c>
      <c r="AC183">
        <v>785</v>
      </c>
      <c r="AD183">
        <v>689</v>
      </c>
      <c r="AE183">
        <v>678</v>
      </c>
      <c r="AF183">
        <v>743</v>
      </c>
      <c r="AG183">
        <v>760</v>
      </c>
      <c r="AH183">
        <v>603</v>
      </c>
      <c r="AI183">
        <v>726</v>
      </c>
      <c r="AJ183">
        <v>739</v>
      </c>
      <c r="AK183">
        <v>755</v>
      </c>
      <c r="AL183">
        <v>852</v>
      </c>
      <c r="AM183">
        <v>835</v>
      </c>
    </row>
    <row r="185" spans="2:39" x14ac:dyDescent="0.25">
      <c r="B185" t="s">
        <v>5</v>
      </c>
      <c r="C185" t="s">
        <v>2</v>
      </c>
      <c r="D185" t="s">
        <v>15</v>
      </c>
      <c r="I185" t="s">
        <v>8</v>
      </c>
      <c r="J185" t="s">
        <v>2</v>
      </c>
      <c r="K185" t="s">
        <v>15</v>
      </c>
      <c r="P185" t="s">
        <v>5</v>
      </c>
      <c r="Q185" t="s">
        <v>7</v>
      </c>
      <c r="R185" t="s">
        <v>15</v>
      </c>
      <c r="W185" t="s">
        <v>8</v>
      </c>
      <c r="X185" t="s">
        <v>7</v>
      </c>
      <c r="Y185" t="s">
        <v>15</v>
      </c>
    </row>
    <row r="186" spans="2:39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f>324 / (10^6)</f>
        <v>3.2400000000000001E-4</v>
      </c>
      <c r="J186">
        <f xml:space="preserve"> 313 / (10^6)</f>
        <v>3.1300000000000002E-4</v>
      </c>
      <c r="K186">
        <f xml:space="preserve"> 309 / (10^6)</f>
        <v>3.0899999999999998E-4</v>
      </c>
      <c r="L186">
        <f xml:space="preserve"> 310 / (10^6)</f>
        <v>3.1E-4</v>
      </c>
      <c r="M186">
        <f>309 / (10^6)</f>
        <v>3.0899999999999998E-4</v>
      </c>
      <c r="N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W186">
        <f xml:space="preserve"> 729 / (10^6)</f>
        <v>7.2900000000000005E-4</v>
      </c>
      <c r="X186">
        <f>625/ (10^6)</f>
        <v>6.2500000000000001E-4</v>
      </c>
      <c r="Y186">
        <f>552/ (10^6)</f>
        <v>5.5199999999999997E-4</v>
      </c>
      <c r="Z186">
        <f>400/ (10^6)</f>
        <v>4.0000000000000002E-4</v>
      </c>
      <c r="AA186">
        <f>372/ (10^6)</f>
        <v>3.7199999999999999E-4</v>
      </c>
      <c r="AB186">
        <v>0</v>
      </c>
    </row>
    <row r="187" spans="2:39" x14ac:dyDescent="0.25">
      <c r="B187">
        <v>0</v>
      </c>
      <c r="C187">
        <v>995</v>
      </c>
      <c r="D187">
        <v>991</v>
      </c>
      <c r="E187">
        <v>987</v>
      </c>
      <c r="F187">
        <v>986</v>
      </c>
      <c r="G187">
        <v>986</v>
      </c>
      <c r="I187">
        <v>0</v>
      </c>
      <c r="J187">
        <f>11013556 / (10^6)</f>
        <v>11.013555999999999</v>
      </c>
      <c r="K187">
        <f>11015991 / (10^6)</f>
        <v>11.015991</v>
      </c>
      <c r="L187">
        <f>11015845 / (10^6)</f>
        <v>11.015845000000001</v>
      </c>
      <c r="M187">
        <f>11015785 / (10^6)</f>
        <v>11.015784999999999</v>
      </c>
      <c r="N187">
        <f>11015994 / (10^6)</f>
        <v>11.015993999999999</v>
      </c>
      <c r="P187">
        <v>0</v>
      </c>
      <c r="Q187">
        <v>3137</v>
      </c>
      <c r="R187">
        <v>1952</v>
      </c>
      <c r="S187">
        <v>1570</v>
      </c>
      <c r="T187">
        <v>1456</v>
      </c>
      <c r="U187">
        <v>1339</v>
      </c>
      <c r="W187">
        <v>0</v>
      </c>
      <c r="X187">
        <f>11015965/ (10^6)</f>
        <v>11.015965</v>
      </c>
      <c r="Y187">
        <f>11014635/ (10^6)</f>
        <v>11.014635</v>
      </c>
      <c r="Z187">
        <f>11015049/ (10^6)</f>
        <v>11.015048999999999</v>
      </c>
      <c r="AA187">
        <f>11017640/ (10^6)</f>
        <v>11.01764</v>
      </c>
      <c r="AB187">
        <f>11018575/ (10^6)</f>
        <v>11.018575</v>
      </c>
    </row>
    <row r="188" spans="2:39" x14ac:dyDescent="0.25">
      <c r="B188">
        <v>986</v>
      </c>
      <c r="C188">
        <v>625</v>
      </c>
      <c r="D188">
        <v>565</v>
      </c>
      <c r="E188">
        <v>557</v>
      </c>
      <c r="F188">
        <v>562</v>
      </c>
      <c r="G188">
        <v>553</v>
      </c>
      <c r="I188">
        <f>11015783 / (10^6)</f>
        <v>11.015783000000001</v>
      </c>
      <c r="J188">
        <f>5521924 / (10^6)</f>
        <v>5.5219240000000003</v>
      </c>
      <c r="K188">
        <f xml:space="preserve"> 5528362 / (10^6)</f>
        <v>5.5283620000000004</v>
      </c>
      <c r="L188">
        <f>5525768 / (10^6)</f>
        <v>5.5257680000000002</v>
      </c>
      <c r="M188">
        <f>5526343 / (10^6)</f>
        <v>5.5263429999999998</v>
      </c>
      <c r="N188">
        <f>5526653 / (10^6)</f>
        <v>5.5266529999999996</v>
      </c>
      <c r="P188">
        <v>1298</v>
      </c>
      <c r="Q188">
        <v>2178</v>
      </c>
      <c r="R188">
        <v>1337</v>
      </c>
      <c r="S188">
        <v>1028</v>
      </c>
      <c r="T188">
        <v>1035</v>
      </c>
      <c r="U188">
        <v>837</v>
      </c>
      <c r="W188">
        <f>11019846/ (10^6)</f>
        <v>11.019845999999999</v>
      </c>
      <c r="X188">
        <f>16652647/ (10^6)</f>
        <v>16.652647000000002</v>
      </c>
      <c r="Y188">
        <f>14567473/ (10^6)</f>
        <v>14.567473</v>
      </c>
      <c r="Z188">
        <f>14906810/ (10^6)</f>
        <v>14.90681</v>
      </c>
      <c r="AA188">
        <f>14755326/ (10^6)</f>
        <v>14.755326</v>
      </c>
      <c r="AB188">
        <f>12425046/ (10^6)</f>
        <v>12.425046</v>
      </c>
    </row>
    <row r="189" spans="2:39" x14ac:dyDescent="0.25">
      <c r="B189">
        <v>610</v>
      </c>
      <c r="C189">
        <v>547</v>
      </c>
      <c r="D189">
        <v>559</v>
      </c>
      <c r="E189">
        <v>554</v>
      </c>
      <c r="F189">
        <v>464</v>
      </c>
      <c r="G189">
        <v>528</v>
      </c>
      <c r="I189">
        <f>5530120 / (10^6)</f>
        <v>5.5301200000000001</v>
      </c>
      <c r="J189">
        <f>3703708 / (10^6)</f>
        <v>3.7037079999999998</v>
      </c>
      <c r="K189">
        <f>3705454 / (10^6)</f>
        <v>3.705454</v>
      </c>
      <c r="L189">
        <f>3703416 / (10^6)</f>
        <v>3.7034159999999998</v>
      </c>
      <c r="M189">
        <f>3699659 / (10^6)</f>
        <v>3.699659</v>
      </c>
      <c r="N189">
        <f>3700965 / (10^6)</f>
        <v>3.7009650000000001</v>
      </c>
      <c r="P189">
        <v>764</v>
      </c>
      <c r="Q189">
        <v>1906</v>
      </c>
      <c r="R189">
        <v>1144</v>
      </c>
      <c r="S189">
        <v>756</v>
      </c>
      <c r="T189">
        <v>751</v>
      </c>
      <c r="U189">
        <v>615</v>
      </c>
      <c r="W189">
        <f>9662486/ (10^6)</f>
        <v>9.6624859999999995</v>
      </c>
      <c r="X189">
        <f>16736341/ (10^6)</f>
        <v>16.736340999999999</v>
      </c>
      <c r="Y189">
        <f>14678191/ (10^6)</f>
        <v>14.678191</v>
      </c>
      <c r="Z189">
        <f>13178612/ (10^6)</f>
        <v>13.178611999999999</v>
      </c>
      <c r="AA189">
        <f>11599414/ (10^6)</f>
        <v>11.599413999999999</v>
      </c>
      <c r="AB189">
        <f>10520741/ (10^6)</f>
        <v>10.520740999999999</v>
      </c>
    </row>
    <row r="190" spans="2:39" x14ac:dyDescent="0.25">
      <c r="B190">
        <v>522</v>
      </c>
      <c r="C190">
        <v>432</v>
      </c>
      <c r="D190">
        <v>450</v>
      </c>
      <c r="E190">
        <v>443</v>
      </c>
      <c r="F190">
        <v>408</v>
      </c>
      <c r="G190">
        <v>400</v>
      </c>
      <c r="I190">
        <f>3695334 / (10^6)</f>
        <v>3.6953339999999999</v>
      </c>
      <c r="J190">
        <f>2807567 / (10^6)</f>
        <v>2.8075670000000001</v>
      </c>
      <c r="K190">
        <f>2787539 / (10^6)</f>
        <v>2.7875390000000002</v>
      </c>
      <c r="L190">
        <f>2788212 / (10^6)</f>
        <v>2.7882120000000001</v>
      </c>
      <c r="M190">
        <f>2794150 / (10^6)</f>
        <v>2.7941500000000001</v>
      </c>
      <c r="N190">
        <f>2793968 / (10^6)</f>
        <v>2.793968</v>
      </c>
      <c r="P190">
        <v>550</v>
      </c>
      <c r="Q190">
        <v>1880</v>
      </c>
      <c r="R190">
        <v>973</v>
      </c>
      <c r="S190">
        <v>627</v>
      </c>
      <c r="T190">
        <v>627</v>
      </c>
      <c r="U190">
        <v>475</v>
      </c>
      <c r="W190">
        <f>9377092/ (10^6)</f>
        <v>9.3770919999999993</v>
      </c>
      <c r="X190">
        <f>15372717/ (10^6)</f>
        <v>15.372717</v>
      </c>
      <c r="Y190">
        <f>12323670/ (10^6)</f>
        <v>12.32367</v>
      </c>
      <c r="Z190">
        <f>11215285/ (10^6)</f>
        <v>11.215285</v>
      </c>
      <c r="AA190">
        <f>9120204/ (10^6)</f>
        <v>9.1202039999999993</v>
      </c>
      <c r="AB190">
        <f>7866364/ (10^6)</f>
        <v>7.8663639999999999</v>
      </c>
    </row>
    <row r="191" spans="2:39" x14ac:dyDescent="0.25">
      <c r="B191">
        <v>389</v>
      </c>
      <c r="C191">
        <v>379</v>
      </c>
      <c r="D191">
        <v>365</v>
      </c>
      <c r="E191">
        <v>365</v>
      </c>
      <c r="F191">
        <v>355</v>
      </c>
      <c r="G191">
        <v>354</v>
      </c>
      <c r="I191">
        <f>2778592 / (10^6)</f>
        <v>2.7785920000000002</v>
      </c>
      <c r="J191">
        <f>2247297 / (10^6)</f>
        <v>2.2472970000000001</v>
      </c>
      <c r="K191">
        <f>2258329 / (10^6)</f>
        <v>2.2583289999999998</v>
      </c>
      <c r="L191">
        <f>2274960 / (10^6)</f>
        <v>2.2749600000000001</v>
      </c>
      <c r="M191">
        <f>2244494 / (10^6)</f>
        <v>2.244494</v>
      </c>
      <c r="N191">
        <f>2244697 / (10^6)</f>
        <v>2.2446969999999999</v>
      </c>
      <c r="P191">
        <v>449</v>
      </c>
      <c r="Q191">
        <v>1851</v>
      </c>
      <c r="R191">
        <v>919</v>
      </c>
      <c r="S191">
        <v>594</v>
      </c>
      <c r="T191">
        <v>509</v>
      </c>
      <c r="U191">
        <v>410</v>
      </c>
      <c r="W191">
        <f>6945070/ (10^6)</f>
        <v>6.9450700000000003</v>
      </c>
      <c r="X191">
        <f>15025953/ (10^6)</f>
        <v>15.025952999999999</v>
      </c>
      <c r="Y191">
        <f>11222750/ (10^6)</f>
        <v>11.22275</v>
      </c>
      <c r="Z191">
        <f>9275366/ (10^6)</f>
        <v>9.275366</v>
      </c>
      <c r="AA191">
        <f>7017853/ (10^6)</f>
        <v>7.0178529999999997</v>
      </c>
      <c r="AB191">
        <f>6407099/ (10^6)</f>
        <v>6.4070989999999997</v>
      </c>
    </row>
    <row r="193" spans="2:38" x14ac:dyDescent="0.25">
      <c r="B193" t="s">
        <v>5</v>
      </c>
      <c r="C193" t="s">
        <v>12</v>
      </c>
      <c r="D193" t="s">
        <v>15</v>
      </c>
      <c r="I193" t="s">
        <v>8</v>
      </c>
      <c r="J193" t="s">
        <v>12</v>
      </c>
      <c r="K193" t="s">
        <v>15</v>
      </c>
    </row>
    <row r="194" spans="2:38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I194">
        <f>325*( (10^-6))</f>
        <v>3.2499999999999999E-4</v>
      </c>
      <c r="J194">
        <f>318*( (10^-6))</f>
        <v>3.1799999999999998E-4</v>
      </c>
      <c r="K194">
        <f>276*( (10^-6))</f>
        <v>2.7599999999999999E-4</v>
      </c>
      <c r="L194">
        <f>280*( (10^-6))</f>
        <v>2.7999999999999998E-4</v>
      </c>
      <c r="M194">
        <f>262*( (10^-6))</f>
        <v>2.6199999999999997E-4</v>
      </c>
      <c r="N194">
        <f>0*( (10^-6))</f>
        <v>0</v>
      </c>
    </row>
    <row r="195" spans="2:38" x14ac:dyDescent="0.25">
      <c r="B195">
        <v>0</v>
      </c>
      <c r="C195">
        <v>999</v>
      </c>
      <c r="D195">
        <v>991</v>
      </c>
      <c r="E195">
        <v>985</v>
      </c>
      <c r="F195">
        <v>983</v>
      </c>
      <c r="G195">
        <v>991</v>
      </c>
      <c r="I195">
        <f>0*( (10^-6))</f>
        <v>0</v>
      </c>
      <c r="J195">
        <f>11016543*( (10^-6))</f>
        <v>11.016542999999999</v>
      </c>
      <c r="K195">
        <f>11014520*( (10^-6))</f>
        <v>11.014519999999999</v>
      </c>
      <c r="L195">
        <f>11015378*( (10^-6))</f>
        <v>11.015378</v>
      </c>
      <c r="M195">
        <f>11018971*( (10^-6))</f>
        <v>11.018970999999999</v>
      </c>
      <c r="N195">
        <f>11017162*( (10^-6))</f>
        <v>11.017161999999999</v>
      </c>
    </row>
    <row r="196" spans="2:38" x14ac:dyDescent="0.25">
      <c r="B196">
        <v>979</v>
      </c>
      <c r="C196">
        <v>569</v>
      </c>
      <c r="D196">
        <v>573</v>
      </c>
      <c r="E196">
        <v>558</v>
      </c>
      <c r="F196">
        <v>566</v>
      </c>
      <c r="G196">
        <v>615</v>
      </c>
      <c r="I196">
        <f>11023315*( (10^-6))</f>
        <v>11.023315</v>
      </c>
      <c r="J196">
        <f>5522372*( (10^-6))</f>
        <v>5.5223719999999998</v>
      </c>
      <c r="K196">
        <f>5528780*( (10^-6))</f>
        <v>5.5287799999999994</v>
      </c>
      <c r="L196">
        <f>5532211*( (10^-6))</f>
        <v>5.5322109999999993</v>
      </c>
      <c r="M196">
        <f>5534578*( (10^-6))</f>
        <v>5.5345779999999998</v>
      </c>
      <c r="N196">
        <f>5530636*( (10^-6))</f>
        <v>5.5306359999999994</v>
      </c>
    </row>
    <row r="197" spans="2:38" x14ac:dyDescent="0.25">
      <c r="B197">
        <v>552</v>
      </c>
      <c r="C197">
        <v>528</v>
      </c>
      <c r="D197">
        <v>423</v>
      </c>
      <c r="E197">
        <v>406</v>
      </c>
      <c r="F197">
        <v>409</v>
      </c>
      <c r="G197">
        <v>405</v>
      </c>
      <c r="I197">
        <f>5542989*( (10^-6))</f>
        <v>5.5429889999999995</v>
      </c>
      <c r="J197">
        <f>3700881*( (10^-6))</f>
        <v>3.7008809999999999</v>
      </c>
      <c r="K197">
        <f>3770664*( (10^-6))</f>
        <v>3.770664</v>
      </c>
      <c r="L197">
        <f>3711662*( (10^-6))</f>
        <v>3.711662</v>
      </c>
      <c r="M197">
        <f>3697536*( (10^-6))</f>
        <v>3.6975359999999999</v>
      </c>
      <c r="N197">
        <f>3703308*( (10^-6))</f>
        <v>3.7033079999999998</v>
      </c>
    </row>
    <row r="198" spans="2:38" x14ac:dyDescent="0.25">
      <c r="B198">
        <v>394</v>
      </c>
      <c r="C198">
        <v>410</v>
      </c>
      <c r="D198">
        <v>355</v>
      </c>
      <c r="E198">
        <v>335</v>
      </c>
      <c r="F198">
        <v>327</v>
      </c>
      <c r="G198">
        <v>306</v>
      </c>
      <c r="I198">
        <f>3810425*( (10^-6))</f>
        <v>3.810425</v>
      </c>
      <c r="J198">
        <f>2800229*( (10^-6))</f>
        <v>2.8002289999999999</v>
      </c>
      <c r="K198">
        <f>2936701*( (10^-6))</f>
        <v>2.9367009999999998</v>
      </c>
      <c r="L198">
        <f>2864859*( (10^-6))</f>
        <v>2.864859</v>
      </c>
      <c r="M198">
        <f>2815865*( (10^-6))</f>
        <v>2.8158650000000001</v>
      </c>
      <c r="N198">
        <f>2784099*( (10^-6))</f>
        <v>2.7840989999999999</v>
      </c>
    </row>
    <row r="199" spans="2:38" x14ac:dyDescent="0.25">
      <c r="B199">
        <v>348</v>
      </c>
      <c r="C199">
        <v>379</v>
      </c>
      <c r="D199">
        <v>342</v>
      </c>
      <c r="E199">
        <v>291</v>
      </c>
      <c r="F199">
        <v>271</v>
      </c>
      <c r="G199">
        <v>289</v>
      </c>
      <c r="I199">
        <f>2808398*( (10^-6))</f>
        <v>2.8083979999999999</v>
      </c>
      <c r="J199">
        <f>2236727*( (10^-6))</f>
        <v>2.2367269999999997</v>
      </c>
      <c r="K199">
        <f>2634200*( (10^-6))</f>
        <v>2.6341999999999999</v>
      </c>
      <c r="L199">
        <f>2271432*( (10^-6))</f>
        <v>2.2714319999999999</v>
      </c>
      <c r="M199">
        <f>2266335*( (10^-6))</f>
        <v>2.2663349999999998</v>
      </c>
      <c r="N199">
        <f>2256853*( (10^-6))</f>
        <v>2.256853</v>
      </c>
    </row>
    <row r="201" spans="2:38" x14ac:dyDescent="0.25">
      <c r="B201" t="s">
        <v>5</v>
      </c>
      <c r="C201" t="s">
        <v>2</v>
      </c>
      <c r="D201" t="s">
        <v>17</v>
      </c>
      <c r="U201" t="s">
        <v>8</v>
      </c>
      <c r="V201" t="s">
        <v>2</v>
      </c>
      <c r="W201" t="s">
        <v>17</v>
      </c>
    </row>
    <row r="202" spans="2:38" x14ac:dyDescent="0.25">
      <c r="B202">
        <v>42</v>
      </c>
      <c r="C202">
        <v>41</v>
      </c>
      <c r="D202">
        <v>42</v>
      </c>
      <c r="E202">
        <v>41</v>
      </c>
      <c r="F202">
        <v>41</v>
      </c>
      <c r="G202">
        <v>41</v>
      </c>
      <c r="H202">
        <v>42</v>
      </c>
      <c r="I202">
        <v>41</v>
      </c>
      <c r="J202">
        <v>42</v>
      </c>
      <c r="K202">
        <v>42</v>
      </c>
      <c r="L202">
        <v>42</v>
      </c>
      <c r="M202">
        <v>41</v>
      </c>
      <c r="N202">
        <v>41</v>
      </c>
      <c r="O202">
        <v>41</v>
      </c>
      <c r="P202">
        <v>41</v>
      </c>
      <c r="Q202">
        <v>41</v>
      </c>
      <c r="R202">
        <v>41</v>
      </c>
      <c r="S202">
        <v>42</v>
      </c>
      <c r="U202">
        <v>44000</v>
      </c>
      <c r="V202">
        <v>44077</v>
      </c>
      <c r="W202">
        <v>44021</v>
      </c>
      <c r="X202">
        <v>44015</v>
      </c>
      <c r="Y202">
        <v>44002</v>
      </c>
      <c r="Z202">
        <v>44024</v>
      </c>
      <c r="AA202">
        <v>44081</v>
      </c>
      <c r="AB202">
        <v>44007</v>
      </c>
      <c r="AC202">
        <v>44008</v>
      </c>
      <c r="AD202">
        <v>44021</v>
      </c>
      <c r="AE202">
        <v>44072</v>
      </c>
      <c r="AF202">
        <v>44116</v>
      </c>
      <c r="AG202">
        <v>44002</v>
      </c>
      <c r="AH202">
        <v>44017</v>
      </c>
      <c r="AI202">
        <v>44123</v>
      </c>
      <c r="AJ202">
        <v>44077</v>
      </c>
      <c r="AK202">
        <v>44004</v>
      </c>
      <c r="AL202">
        <v>44005</v>
      </c>
    </row>
    <row r="203" spans="2:38" x14ac:dyDescent="0.25">
      <c r="B203">
        <v>31</v>
      </c>
      <c r="C203">
        <v>31</v>
      </c>
      <c r="D203">
        <v>34</v>
      </c>
      <c r="E203">
        <v>36</v>
      </c>
      <c r="F203">
        <v>34</v>
      </c>
      <c r="G203">
        <v>34</v>
      </c>
      <c r="H203">
        <v>34</v>
      </c>
      <c r="I203">
        <v>35</v>
      </c>
      <c r="J203">
        <v>35</v>
      </c>
      <c r="K203">
        <v>35</v>
      </c>
      <c r="L203">
        <v>35</v>
      </c>
      <c r="M203">
        <v>36</v>
      </c>
      <c r="N203">
        <v>34</v>
      </c>
      <c r="O203">
        <v>36</v>
      </c>
      <c r="P203">
        <v>36</v>
      </c>
      <c r="Q203">
        <v>34</v>
      </c>
      <c r="R203">
        <v>34</v>
      </c>
      <c r="S203">
        <v>34</v>
      </c>
      <c r="U203">
        <v>27489</v>
      </c>
      <c r="V203">
        <v>27493</v>
      </c>
      <c r="W203">
        <v>26746</v>
      </c>
      <c r="X203">
        <v>28252</v>
      </c>
      <c r="Y203">
        <v>27244</v>
      </c>
      <c r="Z203">
        <v>27488</v>
      </c>
      <c r="AA203">
        <v>28083</v>
      </c>
      <c r="AB203">
        <v>27299</v>
      </c>
      <c r="AC203">
        <v>26710</v>
      </c>
      <c r="AD203">
        <v>27052</v>
      </c>
      <c r="AE203">
        <v>28028</v>
      </c>
      <c r="AF203">
        <v>26924</v>
      </c>
      <c r="AG203">
        <v>24906</v>
      </c>
      <c r="AH203">
        <v>24205</v>
      </c>
      <c r="AI203">
        <v>27082</v>
      </c>
      <c r="AJ203">
        <v>26670</v>
      </c>
      <c r="AK203">
        <v>26695</v>
      </c>
      <c r="AL203">
        <v>24316</v>
      </c>
    </row>
    <row r="204" spans="2:38" x14ac:dyDescent="0.25">
      <c r="B204">
        <v>26</v>
      </c>
      <c r="C204">
        <v>27</v>
      </c>
      <c r="D204">
        <v>28</v>
      </c>
      <c r="E204">
        <v>28</v>
      </c>
      <c r="F204">
        <v>28</v>
      </c>
      <c r="G204">
        <v>28</v>
      </c>
      <c r="H204">
        <v>27</v>
      </c>
      <c r="I204">
        <v>27</v>
      </c>
      <c r="J204">
        <v>29</v>
      </c>
      <c r="K204">
        <v>28</v>
      </c>
      <c r="L204">
        <v>28</v>
      </c>
      <c r="M204">
        <v>27</v>
      </c>
      <c r="N204">
        <v>28</v>
      </c>
      <c r="O204">
        <v>28</v>
      </c>
      <c r="P204">
        <v>28</v>
      </c>
      <c r="Q204">
        <v>27</v>
      </c>
      <c r="R204">
        <v>28</v>
      </c>
      <c r="S204">
        <v>28</v>
      </c>
      <c r="U204">
        <v>21782</v>
      </c>
      <c r="V204">
        <v>21483</v>
      </c>
      <c r="W204">
        <v>20954</v>
      </c>
      <c r="X204">
        <v>21472</v>
      </c>
      <c r="Y204">
        <v>20577</v>
      </c>
      <c r="Z204">
        <v>20691</v>
      </c>
      <c r="AA204">
        <v>20792</v>
      </c>
      <c r="AB204">
        <v>20327</v>
      </c>
      <c r="AC204">
        <v>21064</v>
      </c>
      <c r="AD204">
        <v>20688</v>
      </c>
      <c r="AE204">
        <v>20748</v>
      </c>
      <c r="AF204">
        <v>20158</v>
      </c>
      <c r="AG204">
        <v>20978</v>
      </c>
      <c r="AH204">
        <v>20880</v>
      </c>
      <c r="AI204">
        <v>20112</v>
      </c>
      <c r="AJ204">
        <v>20128</v>
      </c>
      <c r="AK204">
        <v>20779</v>
      </c>
      <c r="AL204">
        <v>20230</v>
      </c>
    </row>
    <row r="205" spans="2:38" x14ac:dyDescent="0.25">
      <c r="B205">
        <v>24</v>
      </c>
      <c r="C205">
        <v>25</v>
      </c>
      <c r="D205">
        <v>26</v>
      </c>
      <c r="E205">
        <v>25</v>
      </c>
      <c r="F205">
        <v>24</v>
      </c>
      <c r="G205">
        <v>25</v>
      </c>
      <c r="H205">
        <v>24</v>
      </c>
      <c r="I205">
        <v>24</v>
      </c>
      <c r="J205">
        <v>25</v>
      </c>
      <c r="K205">
        <v>25</v>
      </c>
      <c r="L205">
        <v>25</v>
      </c>
      <c r="M205">
        <v>25</v>
      </c>
      <c r="N205">
        <v>26</v>
      </c>
      <c r="O205">
        <v>26</v>
      </c>
      <c r="P205">
        <v>27</v>
      </c>
      <c r="Q205">
        <v>25</v>
      </c>
      <c r="R205">
        <v>24</v>
      </c>
      <c r="S205">
        <v>25</v>
      </c>
      <c r="U205">
        <v>18617</v>
      </c>
      <c r="V205">
        <v>18810</v>
      </c>
      <c r="W205">
        <v>18360</v>
      </c>
      <c r="X205">
        <v>17948</v>
      </c>
      <c r="Y205">
        <v>18169</v>
      </c>
      <c r="Z205">
        <v>18154</v>
      </c>
      <c r="AA205">
        <v>16960</v>
      </c>
      <c r="AB205">
        <v>15583</v>
      </c>
      <c r="AC205">
        <v>17701</v>
      </c>
      <c r="AD205">
        <v>17306</v>
      </c>
      <c r="AE205">
        <v>17631</v>
      </c>
      <c r="AF205">
        <v>17457</v>
      </c>
      <c r="AG205">
        <v>17662</v>
      </c>
      <c r="AH205">
        <v>17410</v>
      </c>
      <c r="AI205">
        <v>16528</v>
      </c>
      <c r="AJ205">
        <v>17803</v>
      </c>
      <c r="AK205">
        <v>17554</v>
      </c>
      <c r="AL205">
        <v>17201</v>
      </c>
    </row>
    <row r="206" spans="2:38" x14ac:dyDescent="0.25">
      <c r="B206">
        <v>22</v>
      </c>
      <c r="C206">
        <v>24</v>
      </c>
      <c r="D206">
        <v>25</v>
      </c>
      <c r="E206">
        <v>25</v>
      </c>
      <c r="F206">
        <v>24</v>
      </c>
      <c r="G206">
        <v>24</v>
      </c>
      <c r="H206">
        <v>24</v>
      </c>
      <c r="I206">
        <v>24</v>
      </c>
      <c r="J206">
        <v>25</v>
      </c>
      <c r="K206">
        <v>25</v>
      </c>
      <c r="L206">
        <v>26</v>
      </c>
      <c r="M206">
        <v>26</v>
      </c>
      <c r="N206">
        <v>26</v>
      </c>
      <c r="O206">
        <v>25</v>
      </c>
      <c r="P206">
        <v>25</v>
      </c>
      <c r="Q206">
        <v>23</v>
      </c>
      <c r="R206">
        <v>25</v>
      </c>
      <c r="S206">
        <v>24</v>
      </c>
      <c r="U206">
        <v>16596</v>
      </c>
      <c r="V206">
        <v>15504</v>
      </c>
      <c r="W206">
        <v>16373</v>
      </c>
      <c r="X206">
        <v>16122</v>
      </c>
      <c r="Y206">
        <v>15799</v>
      </c>
      <c r="Z206">
        <v>16362</v>
      </c>
      <c r="AA206">
        <v>16322</v>
      </c>
      <c r="AB206">
        <v>15888</v>
      </c>
      <c r="AC206">
        <v>15754</v>
      </c>
      <c r="AD206">
        <v>15623</v>
      </c>
      <c r="AE206">
        <v>15613</v>
      </c>
      <c r="AF206">
        <v>14873</v>
      </c>
      <c r="AG206">
        <v>15078</v>
      </c>
      <c r="AH206">
        <v>15473</v>
      </c>
      <c r="AI206">
        <v>14985</v>
      </c>
      <c r="AJ206">
        <v>14620</v>
      </c>
      <c r="AK206">
        <v>15646</v>
      </c>
      <c r="AL206">
        <v>15489</v>
      </c>
    </row>
    <row r="207" spans="2:38" x14ac:dyDescent="0.25">
      <c r="B207">
        <v>23</v>
      </c>
      <c r="C207">
        <v>23</v>
      </c>
      <c r="D207">
        <v>25</v>
      </c>
      <c r="E207">
        <v>24</v>
      </c>
      <c r="F207">
        <v>23</v>
      </c>
      <c r="G207">
        <v>25</v>
      </c>
      <c r="H207">
        <v>23</v>
      </c>
      <c r="I207">
        <v>25</v>
      </c>
      <c r="J207">
        <v>25</v>
      </c>
      <c r="K207">
        <v>26</v>
      </c>
      <c r="L207">
        <v>26</v>
      </c>
      <c r="M207">
        <v>25</v>
      </c>
      <c r="N207">
        <v>24</v>
      </c>
      <c r="O207">
        <v>25</v>
      </c>
      <c r="P207">
        <v>26</v>
      </c>
      <c r="Q207">
        <v>24</v>
      </c>
      <c r="R207">
        <v>24</v>
      </c>
      <c r="S207">
        <v>24</v>
      </c>
      <c r="U207">
        <v>15285</v>
      </c>
      <c r="V207">
        <v>15619</v>
      </c>
      <c r="W207">
        <v>15149</v>
      </c>
      <c r="X207">
        <v>14975</v>
      </c>
      <c r="Y207">
        <v>13638</v>
      </c>
      <c r="Z207">
        <v>14935</v>
      </c>
      <c r="AA207">
        <v>13985</v>
      </c>
      <c r="AB207">
        <v>14865</v>
      </c>
      <c r="AC207">
        <v>14652</v>
      </c>
      <c r="AD207">
        <v>14042</v>
      </c>
      <c r="AE207">
        <v>14300</v>
      </c>
      <c r="AF207">
        <v>14035</v>
      </c>
      <c r="AG207">
        <v>13543</v>
      </c>
      <c r="AH207">
        <v>14076</v>
      </c>
      <c r="AI207">
        <v>14148</v>
      </c>
      <c r="AJ207">
        <v>14261</v>
      </c>
      <c r="AK207">
        <v>14350</v>
      </c>
      <c r="AL207">
        <v>13442</v>
      </c>
    </row>
    <row r="208" spans="2:38" x14ac:dyDescent="0.25">
      <c r="B208">
        <v>24</v>
      </c>
      <c r="C208">
        <v>25</v>
      </c>
      <c r="D208">
        <v>26</v>
      </c>
      <c r="E208">
        <v>26</v>
      </c>
      <c r="F208">
        <v>26</v>
      </c>
      <c r="G208">
        <v>24</v>
      </c>
      <c r="H208">
        <v>27</v>
      </c>
      <c r="I208">
        <v>25</v>
      </c>
      <c r="J208">
        <v>28</v>
      </c>
      <c r="K208">
        <v>28</v>
      </c>
      <c r="L208">
        <v>26</v>
      </c>
      <c r="M208">
        <v>25</v>
      </c>
      <c r="N208">
        <v>27</v>
      </c>
      <c r="O208">
        <v>27</v>
      </c>
      <c r="P208">
        <v>26</v>
      </c>
      <c r="Q208">
        <v>25</v>
      </c>
      <c r="R208">
        <v>24</v>
      </c>
      <c r="S208">
        <v>25</v>
      </c>
      <c r="U208">
        <v>15280</v>
      </c>
      <c r="V208">
        <v>13309</v>
      </c>
      <c r="W208">
        <v>15301</v>
      </c>
      <c r="X208">
        <v>14243</v>
      </c>
      <c r="Y208">
        <v>14800</v>
      </c>
      <c r="Z208">
        <v>13310</v>
      </c>
      <c r="AA208">
        <v>13857</v>
      </c>
      <c r="AB208">
        <v>12951</v>
      </c>
      <c r="AC208">
        <v>13026</v>
      </c>
      <c r="AD208">
        <v>13469</v>
      </c>
      <c r="AE208">
        <v>12880</v>
      </c>
      <c r="AF208">
        <v>13051</v>
      </c>
      <c r="AG208">
        <v>12609</v>
      </c>
      <c r="AH208">
        <v>12317</v>
      </c>
      <c r="AI208">
        <v>12666</v>
      </c>
      <c r="AJ208">
        <v>12863</v>
      </c>
      <c r="AK208">
        <v>12963</v>
      </c>
      <c r="AL208">
        <v>12894</v>
      </c>
    </row>
    <row r="209" spans="2:38" x14ac:dyDescent="0.25">
      <c r="B209">
        <v>25</v>
      </c>
      <c r="C209">
        <v>25</v>
      </c>
      <c r="D209">
        <v>27</v>
      </c>
      <c r="E209">
        <v>27</v>
      </c>
      <c r="F209">
        <v>26</v>
      </c>
      <c r="G209">
        <v>27</v>
      </c>
      <c r="H209">
        <v>27</v>
      </c>
      <c r="I209">
        <v>25</v>
      </c>
      <c r="J209">
        <v>26</v>
      </c>
      <c r="K209">
        <v>27</v>
      </c>
      <c r="L209">
        <v>27</v>
      </c>
      <c r="M209">
        <v>26</v>
      </c>
      <c r="N209">
        <v>27</v>
      </c>
      <c r="O209">
        <v>27</v>
      </c>
      <c r="P209">
        <v>26</v>
      </c>
      <c r="Q209">
        <v>27</v>
      </c>
      <c r="R209">
        <v>27</v>
      </c>
      <c r="S209">
        <v>26</v>
      </c>
      <c r="U209">
        <v>15919</v>
      </c>
      <c r="V209">
        <v>15932</v>
      </c>
      <c r="W209">
        <v>14766</v>
      </c>
      <c r="X209">
        <v>15410</v>
      </c>
      <c r="Y209">
        <v>15763</v>
      </c>
      <c r="Z209">
        <v>14857</v>
      </c>
      <c r="AA209">
        <v>14368</v>
      </c>
      <c r="AB209">
        <v>13655</v>
      </c>
      <c r="AC209">
        <v>14835</v>
      </c>
      <c r="AD209">
        <v>14859</v>
      </c>
      <c r="AE209">
        <v>14138</v>
      </c>
      <c r="AF209">
        <v>14931</v>
      </c>
      <c r="AG209">
        <v>14625</v>
      </c>
      <c r="AH209">
        <v>14957</v>
      </c>
      <c r="AI209">
        <v>14628</v>
      </c>
      <c r="AJ209">
        <v>14481</v>
      </c>
      <c r="AK209">
        <v>14982</v>
      </c>
      <c r="AL209">
        <v>10177</v>
      </c>
    </row>
    <row r="210" spans="2:38" x14ac:dyDescent="0.25">
      <c r="B210">
        <v>25</v>
      </c>
      <c r="C210">
        <v>26</v>
      </c>
      <c r="D210">
        <v>28</v>
      </c>
      <c r="E210">
        <v>26</v>
      </c>
      <c r="F210">
        <v>28</v>
      </c>
      <c r="G210">
        <v>26</v>
      </c>
      <c r="H210">
        <v>27</v>
      </c>
      <c r="I210">
        <v>27</v>
      </c>
      <c r="J210">
        <v>28</v>
      </c>
      <c r="K210">
        <v>28</v>
      </c>
      <c r="L210">
        <v>26</v>
      </c>
      <c r="M210">
        <v>26</v>
      </c>
      <c r="N210">
        <v>27</v>
      </c>
      <c r="O210">
        <v>28</v>
      </c>
      <c r="P210">
        <v>28</v>
      </c>
      <c r="Q210">
        <v>27</v>
      </c>
      <c r="R210">
        <v>26</v>
      </c>
      <c r="S210">
        <v>26</v>
      </c>
      <c r="U210">
        <v>14956</v>
      </c>
      <c r="V210">
        <v>14909</v>
      </c>
      <c r="W210">
        <v>14821</v>
      </c>
      <c r="X210">
        <v>15284</v>
      </c>
      <c r="Y210">
        <v>14778</v>
      </c>
      <c r="Z210">
        <v>14757</v>
      </c>
      <c r="AA210">
        <v>14517</v>
      </c>
      <c r="AB210">
        <v>14613</v>
      </c>
      <c r="AC210">
        <v>14656</v>
      </c>
      <c r="AD210">
        <v>14916</v>
      </c>
      <c r="AE210">
        <v>14195</v>
      </c>
      <c r="AF210">
        <v>14496</v>
      </c>
      <c r="AG210">
        <v>13748</v>
      </c>
      <c r="AH210">
        <v>14289</v>
      </c>
      <c r="AI210">
        <v>14238</v>
      </c>
      <c r="AJ210">
        <v>14694</v>
      </c>
      <c r="AK210">
        <v>14812</v>
      </c>
      <c r="AL210">
        <v>12539</v>
      </c>
    </row>
    <row r="211" spans="2:38" x14ac:dyDescent="0.25">
      <c r="B211">
        <v>27</v>
      </c>
      <c r="C211">
        <v>25</v>
      </c>
      <c r="D211">
        <v>26</v>
      </c>
      <c r="E211">
        <v>29</v>
      </c>
      <c r="F211">
        <v>26</v>
      </c>
      <c r="G211">
        <v>28</v>
      </c>
      <c r="H211">
        <v>27</v>
      </c>
      <c r="I211">
        <v>27</v>
      </c>
      <c r="J211">
        <v>28</v>
      </c>
      <c r="K211">
        <v>28</v>
      </c>
      <c r="L211">
        <v>29</v>
      </c>
      <c r="M211">
        <v>30</v>
      </c>
      <c r="N211">
        <v>29</v>
      </c>
      <c r="O211">
        <v>28</v>
      </c>
      <c r="P211">
        <v>29</v>
      </c>
      <c r="Q211">
        <v>28</v>
      </c>
      <c r="R211">
        <v>28</v>
      </c>
      <c r="S211">
        <v>28</v>
      </c>
      <c r="U211">
        <v>15252</v>
      </c>
      <c r="V211">
        <v>15296</v>
      </c>
      <c r="W211">
        <v>15189</v>
      </c>
      <c r="X211">
        <v>14654</v>
      </c>
      <c r="Y211">
        <v>14201</v>
      </c>
      <c r="Z211">
        <v>15150</v>
      </c>
      <c r="AA211">
        <v>13844</v>
      </c>
      <c r="AB211">
        <v>14616</v>
      </c>
      <c r="AC211">
        <v>13948</v>
      </c>
      <c r="AD211">
        <v>12886</v>
      </c>
      <c r="AE211">
        <v>13601</v>
      </c>
      <c r="AF211">
        <v>15038</v>
      </c>
      <c r="AG211">
        <v>13806</v>
      </c>
      <c r="AH211">
        <v>13782</v>
      </c>
      <c r="AI211">
        <v>13754</v>
      </c>
      <c r="AJ211">
        <v>13241</v>
      </c>
      <c r="AK211">
        <v>14336</v>
      </c>
      <c r="AL211">
        <v>12116</v>
      </c>
    </row>
    <row r="212" spans="2:38" x14ac:dyDescent="0.25">
      <c r="B212">
        <v>28</v>
      </c>
      <c r="C212">
        <v>28</v>
      </c>
      <c r="D212">
        <v>31</v>
      </c>
      <c r="E212">
        <v>28</v>
      </c>
      <c r="F212">
        <v>26</v>
      </c>
      <c r="G212">
        <v>28</v>
      </c>
      <c r="H212">
        <v>26</v>
      </c>
      <c r="I212">
        <v>30</v>
      </c>
      <c r="J212">
        <v>30</v>
      </c>
      <c r="K212">
        <v>29</v>
      </c>
      <c r="L212">
        <v>30</v>
      </c>
      <c r="M212">
        <v>29</v>
      </c>
      <c r="N212">
        <v>31</v>
      </c>
      <c r="O212">
        <v>27</v>
      </c>
      <c r="P212">
        <v>29</v>
      </c>
      <c r="Q212">
        <v>28</v>
      </c>
      <c r="R212">
        <v>28</v>
      </c>
      <c r="S212">
        <v>28</v>
      </c>
      <c r="U212">
        <v>15077</v>
      </c>
      <c r="V212">
        <v>14315</v>
      </c>
      <c r="W212">
        <v>15558</v>
      </c>
      <c r="X212">
        <v>15007</v>
      </c>
      <c r="Y212">
        <v>14429</v>
      </c>
      <c r="Z212">
        <v>13907</v>
      </c>
      <c r="AA212">
        <v>13751</v>
      </c>
      <c r="AB212">
        <v>13963</v>
      </c>
      <c r="AC212">
        <v>13028</v>
      </c>
      <c r="AD212">
        <v>13566</v>
      </c>
      <c r="AE212">
        <v>12310</v>
      </c>
      <c r="AF212">
        <v>13614</v>
      </c>
      <c r="AG212">
        <v>13067</v>
      </c>
      <c r="AH212">
        <v>12642</v>
      </c>
      <c r="AI212">
        <v>12652</v>
      </c>
      <c r="AJ212">
        <v>13035</v>
      </c>
      <c r="AK212">
        <v>13984</v>
      </c>
      <c r="AL212">
        <v>13037</v>
      </c>
    </row>
    <row r="213" spans="2:38" x14ac:dyDescent="0.25">
      <c r="B213">
        <v>29</v>
      </c>
      <c r="C213">
        <v>29</v>
      </c>
      <c r="D213">
        <v>31</v>
      </c>
      <c r="E213">
        <v>29</v>
      </c>
      <c r="F213">
        <v>31</v>
      </c>
      <c r="G213">
        <v>29</v>
      </c>
      <c r="H213">
        <v>28</v>
      </c>
      <c r="I213">
        <v>32</v>
      </c>
      <c r="J213">
        <v>30</v>
      </c>
      <c r="K213">
        <v>31</v>
      </c>
      <c r="L213">
        <v>30</v>
      </c>
      <c r="M213">
        <v>30</v>
      </c>
      <c r="N213">
        <v>32</v>
      </c>
      <c r="O213">
        <v>30</v>
      </c>
      <c r="P213">
        <v>31</v>
      </c>
      <c r="Q213">
        <v>28</v>
      </c>
      <c r="R213">
        <v>30</v>
      </c>
      <c r="S213">
        <v>29</v>
      </c>
      <c r="U213">
        <v>14561</v>
      </c>
      <c r="V213">
        <v>14434</v>
      </c>
      <c r="W213">
        <v>13471</v>
      </c>
      <c r="X213">
        <v>14359</v>
      </c>
      <c r="Y213">
        <v>13133</v>
      </c>
      <c r="Z213">
        <v>11666</v>
      </c>
      <c r="AA213">
        <v>12153</v>
      </c>
      <c r="AB213">
        <v>13146</v>
      </c>
      <c r="AC213">
        <v>12908</v>
      </c>
      <c r="AD213">
        <v>11975</v>
      </c>
      <c r="AE213">
        <v>11675</v>
      </c>
      <c r="AF213">
        <v>12641</v>
      </c>
      <c r="AG213">
        <v>12361</v>
      </c>
      <c r="AH213">
        <v>11980</v>
      </c>
      <c r="AI213">
        <v>13066</v>
      </c>
      <c r="AJ213">
        <v>12545</v>
      </c>
      <c r="AK213">
        <v>13446</v>
      </c>
      <c r="AL213">
        <v>13366</v>
      </c>
    </row>
    <row r="215" spans="2:38" x14ac:dyDescent="0.25">
      <c r="B215" t="s">
        <v>5</v>
      </c>
      <c r="C215" t="s">
        <v>7</v>
      </c>
      <c r="D215" t="s">
        <v>17</v>
      </c>
      <c r="U215" t="s">
        <v>8</v>
      </c>
      <c r="V215" t="s">
        <v>7</v>
      </c>
      <c r="W215" t="s">
        <v>17</v>
      </c>
    </row>
    <row r="216" spans="2:38" x14ac:dyDescent="0.25">
      <c r="B216">
        <v>89</v>
      </c>
      <c r="C216">
        <v>71</v>
      </c>
      <c r="D216">
        <v>62</v>
      </c>
      <c r="E216">
        <v>57</v>
      </c>
      <c r="F216">
        <v>53</v>
      </c>
      <c r="G216">
        <v>52</v>
      </c>
      <c r="H216">
        <v>50</v>
      </c>
      <c r="I216">
        <v>49</v>
      </c>
      <c r="J216">
        <v>48</v>
      </c>
      <c r="K216">
        <v>48</v>
      </c>
      <c r="L216">
        <v>47</v>
      </c>
      <c r="M216">
        <v>47</v>
      </c>
      <c r="N216">
        <v>46</v>
      </c>
      <c r="O216">
        <v>46</v>
      </c>
      <c r="P216">
        <v>45</v>
      </c>
      <c r="Q216">
        <v>46</v>
      </c>
      <c r="R216">
        <v>46</v>
      </c>
      <c r="S216">
        <v>46</v>
      </c>
      <c r="U216">
        <v>44036</v>
      </c>
      <c r="V216">
        <v>44036</v>
      </c>
      <c r="W216">
        <v>44139</v>
      </c>
      <c r="X216">
        <v>44081</v>
      </c>
      <c r="Y216">
        <v>44012</v>
      </c>
      <c r="Z216">
        <v>44012</v>
      </c>
      <c r="AA216">
        <v>44015</v>
      </c>
      <c r="AB216">
        <v>44006</v>
      </c>
      <c r="AC216">
        <v>44064</v>
      </c>
      <c r="AD216">
        <v>44083</v>
      </c>
      <c r="AE216">
        <v>44023</v>
      </c>
      <c r="AF216">
        <v>44008</v>
      </c>
      <c r="AG216">
        <v>44062</v>
      </c>
      <c r="AH216">
        <v>44131</v>
      </c>
      <c r="AI216">
        <v>44036</v>
      </c>
      <c r="AJ216">
        <v>44008</v>
      </c>
      <c r="AK216">
        <v>44004</v>
      </c>
      <c r="AL216">
        <v>44005</v>
      </c>
    </row>
    <row r="217" spans="2:38" x14ac:dyDescent="0.25">
      <c r="B217">
        <v>84</v>
      </c>
      <c r="C217">
        <v>61</v>
      </c>
      <c r="D217">
        <v>52</v>
      </c>
      <c r="E217">
        <v>47</v>
      </c>
      <c r="F217">
        <v>43</v>
      </c>
      <c r="G217">
        <v>41</v>
      </c>
      <c r="H217">
        <v>39</v>
      </c>
      <c r="I217">
        <v>38</v>
      </c>
      <c r="J217">
        <v>37</v>
      </c>
      <c r="K217">
        <v>37</v>
      </c>
      <c r="L217">
        <v>36</v>
      </c>
      <c r="M217">
        <v>35</v>
      </c>
      <c r="N217">
        <v>35</v>
      </c>
      <c r="O217">
        <v>35</v>
      </c>
      <c r="P217">
        <v>34</v>
      </c>
      <c r="Q217">
        <v>34</v>
      </c>
      <c r="R217">
        <v>33</v>
      </c>
      <c r="S217">
        <v>34</v>
      </c>
      <c r="U217">
        <v>54329</v>
      </c>
      <c r="V217">
        <v>65284</v>
      </c>
      <c r="W217">
        <v>60864</v>
      </c>
      <c r="X217">
        <v>60412</v>
      </c>
      <c r="Y217">
        <v>53445</v>
      </c>
      <c r="Z217">
        <v>47069</v>
      </c>
      <c r="AA217">
        <v>45365</v>
      </c>
      <c r="AB217">
        <v>27543</v>
      </c>
      <c r="AC217">
        <v>37536</v>
      </c>
      <c r="AD217">
        <v>32243</v>
      </c>
      <c r="AE217">
        <v>31998</v>
      </c>
      <c r="AF217">
        <v>29208</v>
      </c>
      <c r="AG217">
        <v>29264</v>
      </c>
      <c r="AH217">
        <v>28261</v>
      </c>
      <c r="AI217">
        <v>28191</v>
      </c>
      <c r="AJ217">
        <v>22685</v>
      </c>
      <c r="AK217">
        <v>26624</v>
      </c>
      <c r="AL217">
        <v>26968</v>
      </c>
    </row>
    <row r="218" spans="2:38" x14ac:dyDescent="0.25">
      <c r="B218">
        <v>92</v>
      </c>
      <c r="C218">
        <v>73</v>
      </c>
      <c r="D218">
        <v>43</v>
      </c>
      <c r="E218">
        <v>40</v>
      </c>
      <c r="F218">
        <v>37</v>
      </c>
      <c r="G218">
        <v>36</v>
      </c>
      <c r="H218">
        <v>34</v>
      </c>
      <c r="I218">
        <v>32</v>
      </c>
      <c r="J218">
        <v>31</v>
      </c>
      <c r="K218">
        <v>31</v>
      </c>
      <c r="L218">
        <v>31</v>
      </c>
      <c r="M218">
        <v>30</v>
      </c>
      <c r="N218">
        <v>29</v>
      </c>
      <c r="O218">
        <v>29</v>
      </c>
      <c r="P218">
        <v>29</v>
      </c>
      <c r="Q218">
        <v>29</v>
      </c>
      <c r="R218">
        <v>29</v>
      </c>
      <c r="S218">
        <v>28</v>
      </c>
      <c r="U218">
        <v>69940</v>
      </c>
      <c r="V218">
        <v>62957</v>
      </c>
      <c r="W218">
        <v>53951</v>
      </c>
      <c r="X218">
        <v>45853</v>
      </c>
      <c r="Y218">
        <v>44916</v>
      </c>
      <c r="Z218">
        <v>39670</v>
      </c>
      <c r="AA218">
        <v>35832</v>
      </c>
      <c r="AB218">
        <v>32419</v>
      </c>
      <c r="AC218">
        <v>26756</v>
      </c>
      <c r="AD218">
        <v>22902</v>
      </c>
      <c r="AE218">
        <v>21634</v>
      </c>
      <c r="AF218">
        <v>21479</v>
      </c>
      <c r="AG218">
        <v>20561</v>
      </c>
      <c r="AH218">
        <v>19411</v>
      </c>
      <c r="AI218">
        <v>19286</v>
      </c>
      <c r="AJ218">
        <v>19495</v>
      </c>
      <c r="AK218">
        <v>19429</v>
      </c>
      <c r="AL218">
        <v>19156</v>
      </c>
    </row>
    <row r="219" spans="2:38" x14ac:dyDescent="0.25">
      <c r="B219">
        <v>125</v>
      </c>
      <c r="C219">
        <v>74</v>
      </c>
      <c r="D219">
        <v>42</v>
      </c>
      <c r="E219">
        <v>36</v>
      </c>
      <c r="F219">
        <v>35</v>
      </c>
      <c r="G219">
        <v>33</v>
      </c>
      <c r="H219">
        <v>31</v>
      </c>
      <c r="I219">
        <v>29</v>
      </c>
      <c r="J219">
        <v>28</v>
      </c>
      <c r="K219">
        <v>28</v>
      </c>
      <c r="L219">
        <v>28</v>
      </c>
      <c r="M219">
        <v>27</v>
      </c>
      <c r="N219">
        <v>27</v>
      </c>
      <c r="O219">
        <v>27</v>
      </c>
      <c r="P219">
        <v>27</v>
      </c>
      <c r="Q219">
        <v>26</v>
      </c>
      <c r="R219">
        <v>27</v>
      </c>
      <c r="S219">
        <v>26</v>
      </c>
      <c r="U219">
        <v>65702</v>
      </c>
      <c r="V219">
        <v>52141</v>
      </c>
      <c r="W219">
        <v>47348</v>
      </c>
      <c r="X219">
        <v>38490</v>
      </c>
      <c r="Y219">
        <v>35495</v>
      </c>
      <c r="Z219">
        <v>30404</v>
      </c>
      <c r="AA219">
        <v>25820</v>
      </c>
      <c r="AB219">
        <v>24224</v>
      </c>
      <c r="AC219">
        <v>20103</v>
      </c>
      <c r="AD219">
        <v>17474</v>
      </c>
      <c r="AE219">
        <v>17700</v>
      </c>
      <c r="AF219">
        <v>15946</v>
      </c>
      <c r="AG219">
        <v>15573</v>
      </c>
      <c r="AH219">
        <v>15674</v>
      </c>
      <c r="AI219">
        <v>15933</v>
      </c>
      <c r="AJ219">
        <v>15755</v>
      </c>
      <c r="AK219">
        <v>16093</v>
      </c>
      <c r="AL219">
        <v>15332</v>
      </c>
    </row>
    <row r="220" spans="2:38" x14ac:dyDescent="0.25">
      <c r="B220">
        <v>131</v>
      </c>
      <c r="C220">
        <v>75</v>
      </c>
      <c r="D220">
        <v>42</v>
      </c>
      <c r="E220">
        <v>34</v>
      </c>
      <c r="F220">
        <v>33</v>
      </c>
      <c r="G220">
        <v>31</v>
      </c>
      <c r="H220">
        <v>31</v>
      </c>
      <c r="I220">
        <v>28</v>
      </c>
      <c r="J220">
        <v>28</v>
      </c>
      <c r="K220">
        <v>27</v>
      </c>
      <c r="L220">
        <v>26</v>
      </c>
      <c r="M220">
        <v>26</v>
      </c>
      <c r="N220">
        <v>26</v>
      </c>
      <c r="O220">
        <v>25</v>
      </c>
      <c r="P220">
        <v>26</v>
      </c>
      <c r="Q220">
        <v>25</v>
      </c>
      <c r="R220">
        <v>26</v>
      </c>
      <c r="S220">
        <v>25</v>
      </c>
      <c r="U220">
        <v>64423</v>
      </c>
      <c r="V220">
        <v>48411</v>
      </c>
      <c r="W220">
        <v>40422</v>
      </c>
      <c r="X220">
        <v>31098</v>
      </c>
      <c r="Y220">
        <v>29593</v>
      </c>
      <c r="Z220">
        <v>26599</v>
      </c>
      <c r="AA220">
        <v>23944</v>
      </c>
      <c r="AB220">
        <v>22475</v>
      </c>
      <c r="AC220">
        <v>17111</v>
      </c>
      <c r="AD220">
        <v>15522</v>
      </c>
      <c r="AE220">
        <v>15093</v>
      </c>
      <c r="AF220">
        <v>13870</v>
      </c>
      <c r="AG220">
        <v>14152</v>
      </c>
      <c r="AH220">
        <v>13640</v>
      </c>
      <c r="AI220">
        <v>13594</v>
      </c>
      <c r="AJ220">
        <v>12429</v>
      </c>
      <c r="AK220">
        <v>13301</v>
      </c>
      <c r="AL220">
        <v>12863</v>
      </c>
    </row>
    <row r="221" spans="2:38" x14ac:dyDescent="0.25">
      <c r="B221">
        <v>64</v>
      </c>
      <c r="C221">
        <v>66</v>
      </c>
      <c r="D221">
        <v>38</v>
      </c>
      <c r="E221">
        <v>34</v>
      </c>
      <c r="F221">
        <v>33</v>
      </c>
      <c r="G221">
        <v>31</v>
      </c>
      <c r="H221">
        <v>31</v>
      </c>
      <c r="I221">
        <v>28</v>
      </c>
      <c r="J221">
        <v>27</v>
      </c>
      <c r="K221">
        <v>25</v>
      </c>
      <c r="L221">
        <v>26</v>
      </c>
      <c r="M221">
        <v>25</v>
      </c>
      <c r="N221">
        <v>26</v>
      </c>
      <c r="O221">
        <v>24</v>
      </c>
      <c r="P221">
        <v>24</v>
      </c>
      <c r="Q221">
        <v>24</v>
      </c>
      <c r="R221">
        <v>24</v>
      </c>
      <c r="S221">
        <v>25</v>
      </c>
      <c r="U221">
        <v>57330</v>
      </c>
      <c r="V221">
        <v>43238</v>
      </c>
      <c r="W221">
        <v>36689</v>
      </c>
      <c r="X221">
        <v>31909</v>
      </c>
      <c r="Y221">
        <v>28032</v>
      </c>
      <c r="Z221">
        <v>24594</v>
      </c>
      <c r="AA221">
        <v>19664</v>
      </c>
      <c r="AB221">
        <v>10964</v>
      </c>
      <c r="AC221">
        <v>14954</v>
      </c>
      <c r="AD221">
        <v>13854</v>
      </c>
      <c r="AE221">
        <v>13132</v>
      </c>
      <c r="AF221">
        <v>11642</v>
      </c>
      <c r="AG221">
        <v>12388</v>
      </c>
      <c r="AH221">
        <v>12003</v>
      </c>
      <c r="AI221">
        <v>11515</v>
      </c>
      <c r="AJ221">
        <v>10956</v>
      </c>
      <c r="AK221">
        <v>11928</v>
      </c>
      <c r="AL221">
        <v>11174</v>
      </c>
    </row>
    <row r="222" spans="2:38" x14ac:dyDescent="0.25">
      <c r="B222">
        <v>90</v>
      </c>
      <c r="C222">
        <v>68</v>
      </c>
      <c r="D222">
        <v>40</v>
      </c>
      <c r="E222">
        <v>43</v>
      </c>
      <c r="F222">
        <v>32</v>
      </c>
      <c r="G222">
        <v>30</v>
      </c>
      <c r="H222">
        <v>30</v>
      </c>
      <c r="I222">
        <v>29</v>
      </c>
      <c r="J222">
        <v>27</v>
      </c>
      <c r="K222">
        <v>26</v>
      </c>
      <c r="L222">
        <v>27</v>
      </c>
      <c r="M222">
        <v>26</v>
      </c>
      <c r="N222">
        <v>26</v>
      </c>
      <c r="O222">
        <v>25</v>
      </c>
      <c r="P222">
        <v>24</v>
      </c>
      <c r="Q222">
        <v>25</v>
      </c>
      <c r="R222">
        <v>25</v>
      </c>
      <c r="S222">
        <v>24</v>
      </c>
      <c r="U222">
        <v>52836</v>
      </c>
      <c r="V222">
        <v>39729</v>
      </c>
      <c r="W222">
        <v>35278</v>
      </c>
      <c r="X222">
        <v>31884</v>
      </c>
      <c r="Y222">
        <v>26708</v>
      </c>
      <c r="Z222">
        <v>20805</v>
      </c>
      <c r="AA222">
        <v>19151</v>
      </c>
      <c r="AB222">
        <v>13475</v>
      </c>
      <c r="AC222">
        <v>14266</v>
      </c>
      <c r="AD222">
        <v>12676</v>
      </c>
      <c r="AE222">
        <v>12297</v>
      </c>
      <c r="AF222">
        <v>12285</v>
      </c>
      <c r="AG222">
        <v>11831</v>
      </c>
      <c r="AH222">
        <v>12594</v>
      </c>
      <c r="AI222">
        <v>12135</v>
      </c>
      <c r="AJ222">
        <v>12095</v>
      </c>
      <c r="AK222">
        <v>11882</v>
      </c>
      <c r="AL222">
        <v>11585</v>
      </c>
    </row>
    <row r="223" spans="2:38" x14ac:dyDescent="0.25">
      <c r="B223">
        <v>77</v>
      </c>
      <c r="C223">
        <v>63</v>
      </c>
      <c r="D223">
        <v>46</v>
      </c>
      <c r="E223">
        <v>34</v>
      </c>
      <c r="F223">
        <v>31</v>
      </c>
      <c r="G223">
        <v>29</v>
      </c>
      <c r="H223">
        <v>27</v>
      </c>
      <c r="I223">
        <v>28</v>
      </c>
      <c r="J223">
        <v>27</v>
      </c>
      <c r="K223">
        <v>26</v>
      </c>
      <c r="L223">
        <v>26</v>
      </c>
      <c r="M223">
        <v>25</v>
      </c>
      <c r="N223">
        <v>26</v>
      </c>
      <c r="O223">
        <v>26</v>
      </c>
      <c r="P223">
        <v>23</v>
      </c>
      <c r="Q223">
        <v>24</v>
      </c>
      <c r="R223">
        <v>25</v>
      </c>
      <c r="S223">
        <v>25</v>
      </c>
      <c r="U223">
        <v>51344</v>
      </c>
      <c r="V223">
        <v>38370</v>
      </c>
      <c r="W223">
        <v>34018</v>
      </c>
      <c r="X223">
        <v>26712</v>
      </c>
      <c r="Y223">
        <v>24463</v>
      </c>
      <c r="Z223">
        <v>20277</v>
      </c>
      <c r="AA223">
        <v>17259</v>
      </c>
      <c r="AB223">
        <v>15840</v>
      </c>
      <c r="AC223">
        <v>13856</v>
      </c>
      <c r="AD223">
        <v>12509</v>
      </c>
      <c r="AE223">
        <v>12554</v>
      </c>
      <c r="AF223">
        <v>12390</v>
      </c>
      <c r="AG223">
        <v>11046</v>
      </c>
      <c r="AH223">
        <v>11561</v>
      </c>
      <c r="AI223">
        <v>11319</v>
      </c>
      <c r="AJ223">
        <v>11457</v>
      </c>
      <c r="AK223">
        <v>11277</v>
      </c>
      <c r="AL223">
        <v>11069</v>
      </c>
    </row>
    <row r="224" spans="2:38" x14ac:dyDescent="0.25">
      <c r="B224">
        <v>63</v>
      </c>
      <c r="C224">
        <v>44</v>
      </c>
      <c r="D224">
        <v>35</v>
      </c>
      <c r="E224">
        <v>31</v>
      </c>
      <c r="F224">
        <v>31</v>
      </c>
      <c r="G224">
        <v>28</v>
      </c>
      <c r="H224">
        <v>27</v>
      </c>
      <c r="I224">
        <v>27</v>
      </c>
      <c r="J224">
        <v>26</v>
      </c>
      <c r="K224">
        <v>27</v>
      </c>
      <c r="L224">
        <v>26</v>
      </c>
      <c r="M224">
        <v>25</v>
      </c>
      <c r="N224">
        <v>26</v>
      </c>
      <c r="O224">
        <v>25</v>
      </c>
      <c r="P224">
        <v>24</v>
      </c>
      <c r="Q224">
        <v>26</v>
      </c>
      <c r="R224">
        <v>25</v>
      </c>
      <c r="S224">
        <v>25</v>
      </c>
      <c r="U224">
        <v>50033</v>
      </c>
      <c r="V224">
        <v>37581</v>
      </c>
      <c r="W224">
        <v>32725</v>
      </c>
      <c r="X224">
        <v>27594</v>
      </c>
      <c r="Y224">
        <v>23364</v>
      </c>
      <c r="Z224">
        <v>19942</v>
      </c>
      <c r="AA224">
        <v>16907</v>
      </c>
      <c r="AB224">
        <v>10681</v>
      </c>
      <c r="AC224">
        <v>13327</v>
      </c>
      <c r="AD224">
        <v>12459</v>
      </c>
      <c r="AE224">
        <v>11801</v>
      </c>
      <c r="AF224">
        <v>12094</v>
      </c>
      <c r="AG224">
        <v>11552</v>
      </c>
      <c r="AH224">
        <v>11099</v>
      </c>
      <c r="AI224">
        <v>11511</v>
      </c>
      <c r="AJ224">
        <v>10755</v>
      </c>
      <c r="AK224">
        <v>10759</v>
      </c>
      <c r="AL224">
        <v>11389</v>
      </c>
    </row>
    <row r="225" spans="2:38" x14ac:dyDescent="0.25">
      <c r="B225">
        <v>68</v>
      </c>
      <c r="C225">
        <v>45</v>
      </c>
      <c r="D225">
        <v>35</v>
      </c>
      <c r="E225">
        <v>37</v>
      </c>
      <c r="F225">
        <v>28</v>
      </c>
      <c r="G225">
        <v>28</v>
      </c>
      <c r="H225">
        <v>28</v>
      </c>
      <c r="I225">
        <v>27</v>
      </c>
      <c r="J225">
        <v>27</v>
      </c>
      <c r="K225">
        <v>27</v>
      </c>
      <c r="L225">
        <v>26</v>
      </c>
      <c r="M225">
        <v>25</v>
      </c>
      <c r="N225">
        <v>25</v>
      </c>
      <c r="O225">
        <v>26</v>
      </c>
      <c r="P225">
        <v>26</v>
      </c>
      <c r="Q225">
        <v>25</v>
      </c>
      <c r="R225">
        <v>26</v>
      </c>
      <c r="S225">
        <v>25</v>
      </c>
      <c r="U225">
        <v>48459</v>
      </c>
      <c r="V225">
        <v>37308</v>
      </c>
      <c r="W225">
        <v>30214</v>
      </c>
      <c r="X225">
        <v>25494</v>
      </c>
      <c r="Y225">
        <v>22821</v>
      </c>
      <c r="Z225">
        <v>19379</v>
      </c>
      <c r="AA225">
        <v>16432</v>
      </c>
      <c r="AB225">
        <v>12361</v>
      </c>
      <c r="AC225">
        <v>12356</v>
      </c>
      <c r="AD225">
        <v>12160</v>
      </c>
      <c r="AE225">
        <v>11898</v>
      </c>
      <c r="AF225">
        <v>11645</v>
      </c>
      <c r="AG225">
        <v>11148</v>
      </c>
      <c r="AH225">
        <v>10983</v>
      </c>
      <c r="AI225">
        <v>11344</v>
      </c>
      <c r="AJ225">
        <v>11350</v>
      </c>
      <c r="AK225">
        <v>11349</v>
      </c>
      <c r="AL225">
        <v>10510</v>
      </c>
    </row>
    <row r="226" spans="2:38" x14ac:dyDescent="0.25">
      <c r="B226">
        <v>57</v>
      </c>
      <c r="C226">
        <v>53</v>
      </c>
      <c r="D226">
        <v>36</v>
      </c>
      <c r="E226">
        <v>36</v>
      </c>
      <c r="F226">
        <v>29</v>
      </c>
      <c r="G226">
        <v>31</v>
      </c>
      <c r="H226">
        <v>30</v>
      </c>
      <c r="I226">
        <v>28</v>
      </c>
      <c r="J226">
        <v>29</v>
      </c>
      <c r="K226">
        <v>29</v>
      </c>
      <c r="L226">
        <v>28</v>
      </c>
      <c r="M226">
        <v>28</v>
      </c>
      <c r="N226">
        <v>28</v>
      </c>
      <c r="O226">
        <v>28</v>
      </c>
      <c r="P226">
        <v>26</v>
      </c>
      <c r="Q226">
        <v>25</v>
      </c>
      <c r="R226">
        <v>28</v>
      </c>
      <c r="S226">
        <v>28</v>
      </c>
      <c r="U226">
        <v>45819</v>
      </c>
      <c r="V226">
        <v>36409</v>
      </c>
      <c r="W226">
        <v>29881</v>
      </c>
      <c r="X226">
        <v>25397</v>
      </c>
      <c r="Y226">
        <v>22375</v>
      </c>
      <c r="Z226">
        <v>18495</v>
      </c>
      <c r="AA226">
        <v>15525</v>
      </c>
      <c r="AB226">
        <v>11544</v>
      </c>
      <c r="AC226">
        <v>12044</v>
      </c>
      <c r="AD226">
        <v>11005</v>
      </c>
      <c r="AE226">
        <v>11660</v>
      </c>
      <c r="AF226">
        <v>11327</v>
      </c>
      <c r="AG226">
        <v>10857</v>
      </c>
      <c r="AH226">
        <v>10880</v>
      </c>
      <c r="AI226">
        <v>10548</v>
      </c>
      <c r="AJ226">
        <v>10954</v>
      </c>
      <c r="AK226">
        <v>10672</v>
      </c>
      <c r="AL226">
        <v>10734</v>
      </c>
    </row>
    <row r="227" spans="2:38" x14ac:dyDescent="0.25">
      <c r="B227">
        <v>56</v>
      </c>
      <c r="C227">
        <v>42</v>
      </c>
      <c r="D227">
        <v>35</v>
      </c>
      <c r="E227">
        <v>36</v>
      </c>
      <c r="F227">
        <v>31</v>
      </c>
      <c r="G227">
        <v>32</v>
      </c>
      <c r="H227">
        <v>31</v>
      </c>
      <c r="I227">
        <v>28</v>
      </c>
      <c r="J227">
        <v>28</v>
      </c>
      <c r="K227">
        <v>30</v>
      </c>
      <c r="L227">
        <v>28</v>
      </c>
      <c r="M227">
        <v>28</v>
      </c>
      <c r="N227">
        <v>28</v>
      </c>
      <c r="O227">
        <v>30</v>
      </c>
      <c r="P227">
        <v>28</v>
      </c>
      <c r="Q227">
        <v>30</v>
      </c>
      <c r="R227">
        <v>27</v>
      </c>
      <c r="S227">
        <v>29</v>
      </c>
      <c r="U227">
        <v>44136</v>
      </c>
      <c r="V227">
        <v>34411</v>
      </c>
      <c r="W227">
        <v>28482</v>
      </c>
      <c r="X227">
        <v>24380</v>
      </c>
      <c r="Y227">
        <v>21659</v>
      </c>
      <c r="Z227">
        <v>18124</v>
      </c>
      <c r="AA227">
        <v>15013</v>
      </c>
      <c r="AB227">
        <v>13111</v>
      </c>
      <c r="AC227">
        <v>11804</v>
      </c>
      <c r="AD227">
        <v>11178</v>
      </c>
      <c r="AE227">
        <v>10824</v>
      </c>
      <c r="AF227">
        <v>11131</v>
      </c>
      <c r="AG227">
        <v>10585</v>
      </c>
      <c r="AH227">
        <v>11026</v>
      </c>
      <c r="AI227">
        <v>10880</v>
      </c>
      <c r="AJ227">
        <v>10530</v>
      </c>
      <c r="AK227">
        <v>10366</v>
      </c>
      <c r="AL227">
        <v>10729</v>
      </c>
    </row>
    <row r="229" spans="2:38" x14ac:dyDescent="0.25">
      <c r="B229" t="s">
        <v>5</v>
      </c>
      <c r="C229" t="s">
        <v>12</v>
      </c>
      <c r="D229" t="s">
        <v>17</v>
      </c>
      <c r="U229" t="s">
        <v>8</v>
      </c>
      <c r="V229" t="s">
        <v>12</v>
      </c>
      <c r="W229" t="s">
        <v>17</v>
      </c>
    </row>
    <row r="230" spans="2:38" x14ac:dyDescent="0.25">
      <c r="B230">
        <v>42</v>
      </c>
      <c r="C230">
        <v>42</v>
      </c>
      <c r="D230">
        <v>41</v>
      </c>
      <c r="E230">
        <v>41</v>
      </c>
      <c r="F230">
        <v>41</v>
      </c>
      <c r="G230">
        <v>42</v>
      </c>
      <c r="H230">
        <v>42</v>
      </c>
      <c r="I230">
        <v>41</v>
      </c>
      <c r="J230">
        <v>41</v>
      </c>
      <c r="K230">
        <v>41</v>
      </c>
      <c r="L230">
        <v>41</v>
      </c>
      <c r="M230">
        <v>41</v>
      </c>
      <c r="N230">
        <v>41</v>
      </c>
      <c r="O230">
        <v>41</v>
      </c>
      <c r="P230">
        <v>41</v>
      </c>
      <c r="Q230">
        <v>41</v>
      </c>
      <c r="R230">
        <v>42</v>
      </c>
      <c r="S230">
        <v>41</v>
      </c>
      <c r="U230">
        <v>44010</v>
      </c>
      <c r="V230">
        <v>44019</v>
      </c>
      <c r="W230">
        <v>44155</v>
      </c>
      <c r="X230">
        <v>44014</v>
      </c>
      <c r="Y230">
        <v>44086</v>
      </c>
      <c r="Z230">
        <v>44015</v>
      </c>
      <c r="AA230">
        <v>44026</v>
      </c>
      <c r="AB230">
        <v>44018</v>
      </c>
      <c r="AC230">
        <v>44025</v>
      </c>
      <c r="AD230">
        <v>44022</v>
      </c>
      <c r="AE230">
        <v>44022</v>
      </c>
      <c r="AF230">
        <v>44018</v>
      </c>
      <c r="AG230">
        <v>44009</v>
      </c>
      <c r="AH230">
        <v>44019</v>
      </c>
      <c r="AI230">
        <v>44023</v>
      </c>
      <c r="AJ230">
        <v>44015</v>
      </c>
      <c r="AK230">
        <v>44022</v>
      </c>
      <c r="AL230">
        <v>44032</v>
      </c>
    </row>
    <row r="231" spans="2:38" x14ac:dyDescent="0.25">
      <c r="B231">
        <v>33</v>
      </c>
      <c r="C231">
        <v>34</v>
      </c>
      <c r="D231">
        <v>34</v>
      </c>
      <c r="E231">
        <v>35</v>
      </c>
      <c r="F231">
        <v>35</v>
      </c>
      <c r="G231">
        <v>35</v>
      </c>
      <c r="H231">
        <v>36</v>
      </c>
      <c r="I231">
        <v>35</v>
      </c>
      <c r="J231">
        <v>35</v>
      </c>
      <c r="K231">
        <v>36</v>
      </c>
      <c r="L231">
        <v>35</v>
      </c>
      <c r="M231">
        <v>34</v>
      </c>
      <c r="N231">
        <v>34</v>
      </c>
      <c r="O231">
        <v>36</v>
      </c>
      <c r="P231">
        <v>36</v>
      </c>
      <c r="Q231">
        <v>36</v>
      </c>
      <c r="R231">
        <v>36</v>
      </c>
      <c r="S231">
        <v>36</v>
      </c>
      <c r="U231">
        <v>26438</v>
      </c>
      <c r="V231">
        <v>28157</v>
      </c>
      <c r="W231">
        <v>27182</v>
      </c>
      <c r="X231">
        <v>27516</v>
      </c>
      <c r="Y231">
        <v>28513</v>
      </c>
      <c r="Z231">
        <v>27558</v>
      </c>
      <c r="AA231">
        <v>23844</v>
      </c>
      <c r="AB231">
        <v>27233</v>
      </c>
      <c r="AC231">
        <v>28109</v>
      </c>
      <c r="AD231">
        <v>27722</v>
      </c>
      <c r="AE231">
        <v>25550</v>
      </c>
      <c r="AF231">
        <v>27269</v>
      </c>
      <c r="AG231">
        <v>27721</v>
      </c>
      <c r="AH231">
        <v>27747</v>
      </c>
      <c r="AI231">
        <v>27328</v>
      </c>
      <c r="AJ231">
        <v>27515</v>
      </c>
      <c r="AK231">
        <v>27631</v>
      </c>
      <c r="AL231">
        <v>26740</v>
      </c>
    </row>
    <row r="232" spans="2:38" x14ac:dyDescent="0.25">
      <c r="B232">
        <v>27</v>
      </c>
      <c r="C232">
        <v>28</v>
      </c>
      <c r="D232">
        <v>27</v>
      </c>
      <c r="E232">
        <v>28</v>
      </c>
      <c r="F232">
        <v>27</v>
      </c>
      <c r="G232">
        <v>28</v>
      </c>
      <c r="H232">
        <v>28</v>
      </c>
      <c r="I232">
        <v>28</v>
      </c>
      <c r="J232">
        <v>29</v>
      </c>
      <c r="K232">
        <v>28</v>
      </c>
      <c r="L232">
        <v>28</v>
      </c>
      <c r="M232">
        <v>28</v>
      </c>
      <c r="N232">
        <v>29</v>
      </c>
      <c r="O232">
        <v>29</v>
      </c>
      <c r="P232">
        <v>28</v>
      </c>
      <c r="Q232">
        <v>28</v>
      </c>
      <c r="R232">
        <v>29</v>
      </c>
      <c r="S232">
        <v>28</v>
      </c>
      <c r="U232">
        <v>21720</v>
      </c>
      <c r="V232">
        <v>21371</v>
      </c>
      <c r="W232">
        <v>21524</v>
      </c>
      <c r="X232">
        <v>21407</v>
      </c>
      <c r="Y232">
        <v>20892</v>
      </c>
      <c r="Z232">
        <v>21232</v>
      </c>
      <c r="AA232">
        <v>20864</v>
      </c>
      <c r="AB232">
        <v>20668</v>
      </c>
      <c r="AC232">
        <v>20607</v>
      </c>
      <c r="AD232">
        <v>20548</v>
      </c>
      <c r="AE232">
        <v>20646</v>
      </c>
      <c r="AF232">
        <v>20741</v>
      </c>
      <c r="AG232">
        <v>20302</v>
      </c>
      <c r="AH232">
        <v>20050</v>
      </c>
      <c r="AI232">
        <v>20352</v>
      </c>
      <c r="AJ232">
        <v>20534</v>
      </c>
      <c r="AK232">
        <v>20623</v>
      </c>
      <c r="AL232">
        <v>20282</v>
      </c>
    </row>
    <row r="233" spans="2:38" x14ac:dyDescent="0.25">
      <c r="B233">
        <v>25</v>
      </c>
      <c r="C233">
        <v>25</v>
      </c>
      <c r="D233">
        <v>26</v>
      </c>
      <c r="E233">
        <v>25</v>
      </c>
      <c r="F233">
        <v>25</v>
      </c>
      <c r="G233">
        <v>25</v>
      </c>
      <c r="H233">
        <v>25</v>
      </c>
      <c r="I233">
        <v>26</v>
      </c>
      <c r="J233">
        <v>25</v>
      </c>
      <c r="K233">
        <v>25</v>
      </c>
      <c r="L233">
        <v>25</v>
      </c>
      <c r="M233">
        <v>26</v>
      </c>
      <c r="N233">
        <v>26</v>
      </c>
      <c r="O233">
        <v>27</v>
      </c>
      <c r="P233">
        <v>26</v>
      </c>
      <c r="Q233">
        <v>25</v>
      </c>
      <c r="R233">
        <v>26</v>
      </c>
      <c r="S233">
        <v>26</v>
      </c>
      <c r="U233">
        <v>18304</v>
      </c>
      <c r="V233">
        <v>18295</v>
      </c>
      <c r="W233">
        <v>17547</v>
      </c>
      <c r="X233">
        <v>17640</v>
      </c>
      <c r="Y233">
        <v>17437</v>
      </c>
      <c r="Z233">
        <v>17698</v>
      </c>
      <c r="AA233">
        <v>17708</v>
      </c>
      <c r="AB233">
        <v>17143</v>
      </c>
      <c r="AC233">
        <v>16852</v>
      </c>
      <c r="AD233">
        <v>17063</v>
      </c>
      <c r="AE233">
        <v>17654</v>
      </c>
      <c r="AF233">
        <v>17541</v>
      </c>
      <c r="AG233">
        <v>17355</v>
      </c>
      <c r="AH233">
        <v>17131</v>
      </c>
      <c r="AI233">
        <v>17400</v>
      </c>
      <c r="AJ233">
        <v>16865</v>
      </c>
      <c r="AK233">
        <v>17461</v>
      </c>
      <c r="AL233">
        <v>17499</v>
      </c>
    </row>
    <row r="234" spans="2:38" x14ac:dyDescent="0.25">
      <c r="B234">
        <v>24</v>
      </c>
      <c r="C234">
        <v>24</v>
      </c>
      <c r="D234">
        <v>25</v>
      </c>
      <c r="E234">
        <v>25</v>
      </c>
      <c r="F234">
        <v>26</v>
      </c>
      <c r="G234">
        <v>26</v>
      </c>
      <c r="H234">
        <v>25</v>
      </c>
      <c r="I234">
        <v>26</v>
      </c>
      <c r="J234">
        <v>25</v>
      </c>
      <c r="K234">
        <v>25</v>
      </c>
      <c r="L234">
        <v>24</v>
      </c>
      <c r="M234">
        <v>26</v>
      </c>
      <c r="N234">
        <v>25</v>
      </c>
      <c r="O234">
        <v>25</v>
      </c>
      <c r="P234">
        <v>25</v>
      </c>
      <c r="Q234">
        <v>25</v>
      </c>
      <c r="R234">
        <v>25</v>
      </c>
      <c r="S234">
        <v>26</v>
      </c>
      <c r="U234">
        <v>16309</v>
      </c>
      <c r="V234">
        <v>16223</v>
      </c>
      <c r="W234">
        <v>15941</v>
      </c>
      <c r="X234">
        <v>16066</v>
      </c>
      <c r="Y234">
        <v>16162</v>
      </c>
      <c r="Z234">
        <v>15884</v>
      </c>
      <c r="AA234">
        <v>15765</v>
      </c>
      <c r="AB234">
        <v>15324</v>
      </c>
      <c r="AC234">
        <v>15458</v>
      </c>
      <c r="AD234">
        <v>14315</v>
      </c>
      <c r="AE234">
        <v>15642</v>
      </c>
      <c r="AF234">
        <v>15615</v>
      </c>
      <c r="AG234">
        <v>15515</v>
      </c>
      <c r="AH234">
        <v>15354</v>
      </c>
      <c r="AI234">
        <v>15367</v>
      </c>
      <c r="AJ234">
        <v>15412</v>
      </c>
      <c r="AK234">
        <v>15251</v>
      </c>
      <c r="AL234">
        <v>15469</v>
      </c>
    </row>
    <row r="235" spans="2:38" x14ac:dyDescent="0.25">
      <c r="B235">
        <v>25</v>
      </c>
      <c r="C235">
        <v>24</v>
      </c>
      <c r="D235">
        <v>25</v>
      </c>
      <c r="E235">
        <v>24</v>
      </c>
      <c r="F235">
        <v>25</v>
      </c>
      <c r="G235">
        <v>25</v>
      </c>
      <c r="H235">
        <v>24</v>
      </c>
      <c r="I235">
        <v>26</v>
      </c>
      <c r="J235">
        <v>25</v>
      </c>
      <c r="K235">
        <v>26</v>
      </c>
      <c r="L235">
        <v>25</v>
      </c>
      <c r="M235">
        <v>26</v>
      </c>
      <c r="N235">
        <v>26</v>
      </c>
      <c r="O235">
        <v>25</v>
      </c>
      <c r="P235">
        <v>25</v>
      </c>
      <c r="Q235">
        <v>26</v>
      </c>
      <c r="R235">
        <v>26</v>
      </c>
      <c r="S235">
        <v>25</v>
      </c>
      <c r="U235">
        <v>15376</v>
      </c>
      <c r="V235">
        <v>15131</v>
      </c>
      <c r="W235">
        <v>15141</v>
      </c>
      <c r="X235">
        <v>15173</v>
      </c>
      <c r="Y235">
        <v>15017</v>
      </c>
      <c r="Z235">
        <v>14450</v>
      </c>
      <c r="AA235">
        <v>14577</v>
      </c>
      <c r="AB235">
        <v>13372</v>
      </c>
      <c r="AC235">
        <v>14611</v>
      </c>
      <c r="AD235">
        <v>14431</v>
      </c>
      <c r="AE235">
        <v>12071</v>
      </c>
      <c r="AF235">
        <v>14362</v>
      </c>
      <c r="AG235">
        <v>13878</v>
      </c>
      <c r="AH235">
        <v>13924</v>
      </c>
      <c r="AI235">
        <v>14478</v>
      </c>
      <c r="AJ235">
        <v>14186</v>
      </c>
      <c r="AK235">
        <v>14454</v>
      </c>
      <c r="AL235">
        <v>14188</v>
      </c>
    </row>
    <row r="236" spans="2:38" x14ac:dyDescent="0.25">
      <c r="B236">
        <v>25</v>
      </c>
      <c r="C236">
        <v>26</v>
      </c>
      <c r="D236">
        <v>27</v>
      </c>
      <c r="E236">
        <v>26</v>
      </c>
      <c r="F236">
        <v>26</v>
      </c>
      <c r="G236">
        <v>26</v>
      </c>
      <c r="H236">
        <v>27</v>
      </c>
      <c r="I236">
        <v>27</v>
      </c>
      <c r="J236">
        <v>26</v>
      </c>
      <c r="K236">
        <v>27</v>
      </c>
      <c r="L236">
        <v>26</v>
      </c>
      <c r="M236">
        <v>26</v>
      </c>
      <c r="N236">
        <v>26</v>
      </c>
      <c r="O236">
        <v>26</v>
      </c>
      <c r="P236">
        <v>26</v>
      </c>
      <c r="Q236">
        <v>26</v>
      </c>
      <c r="R236">
        <v>27</v>
      </c>
      <c r="S236">
        <v>27</v>
      </c>
      <c r="U236">
        <v>14577</v>
      </c>
      <c r="V236">
        <v>14550</v>
      </c>
      <c r="W236">
        <v>13765</v>
      </c>
      <c r="X236">
        <v>14282</v>
      </c>
      <c r="Y236">
        <v>13886</v>
      </c>
      <c r="Z236">
        <v>14025</v>
      </c>
      <c r="AA236">
        <v>13869</v>
      </c>
      <c r="AB236">
        <v>11982</v>
      </c>
      <c r="AC236">
        <v>13071</v>
      </c>
      <c r="AD236">
        <v>12967</v>
      </c>
      <c r="AE236">
        <v>14020</v>
      </c>
      <c r="AF236">
        <v>12449</v>
      </c>
      <c r="AG236">
        <v>12544</v>
      </c>
      <c r="AH236">
        <v>12628</v>
      </c>
      <c r="AI236">
        <v>12709</v>
      </c>
      <c r="AJ236">
        <v>12515</v>
      </c>
      <c r="AK236">
        <v>11725</v>
      </c>
      <c r="AL236">
        <v>12933</v>
      </c>
    </row>
    <row r="237" spans="2:38" x14ac:dyDescent="0.25">
      <c r="B237">
        <v>25</v>
      </c>
      <c r="C237">
        <v>26</v>
      </c>
      <c r="D237">
        <v>27</v>
      </c>
      <c r="E237">
        <v>26</v>
      </c>
      <c r="F237">
        <v>27</v>
      </c>
      <c r="G237">
        <v>27</v>
      </c>
      <c r="H237">
        <v>27</v>
      </c>
      <c r="I237">
        <v>27</v>
      </c>
      <c r="J237">
        <v>27</v>
      </c>
      <c r="K237">
        <v>27</v>
      </c>
      <c r="L237">
        <v>28</v>
      </c>
      <c r="M237">
        <v>27</v>
      </c>
      <c r="N237">
        <v>27</v>
      </c>
      <c r="O237">
        <v>27</v>
      </c>
      <c r="P237">
        <v>27</v>
      </c>
      <c r="Q237">
        <v>26</v>
      </c>
      <c r="R237">
        <v>28</v>
      </c>
      <c r="S237">
        <v>27</v>
      </c>
      <c r="U237">
        <v>16574</v>
      </c>
      <c r="V237">
        <v>15098</v>
      </c>
      <c r="W237">
        <v>15447</v>
      </c>
      <c r="X237">
        <v>15291</v>
      </c>
      <c r="Y237">
        <v>14259</v>
      </c>
      <c r="Z237">
        <v>15053</v>
      </c>
      <c r="AA237">
        <v>15882</v>
      </c>
      <c r="AB237">
        <v>14254</v>
      </c>
      <c r="AC237">
        <v>14095</v>
      </c>
      <c r="AD237">
        <v>13745</v>
      </c>
      <c r="AE237">
        <v>13838</v>
      </c>
      <c r="AF237">
        <v>14272</v>
      </c>
      <c r="AG237">
        <v>14848</v>
      </c>
      <c r="AH237">
        <v>15199</v>
      </c>
      <c r="AI237">
        <v>14681</v>
      </c>
      <c r="AJ237">
        <v>14422</v>
      </c>
      <c r="AK237">
        <v>14970</v>
      </c>
      <c r="AL237">
        <v>14554</v>
      </c>
    </row>
    <row r="238" spans="2:38" x14ac:dyDescent="0.25">
      <c r="B238">
        <v>27</v>
      </c>
      <c r="C238">
        <v>28</v>
      </c>
      <c r="D238">
        <v>27</v>
      </c>
      <c r="E238">
        <v>28</v>
      </c>
      <c r="F238">
        <v>27</v>
      </c>
      <c r="G238">
        <v>28</v>
      </c>
      <c r="H238">
        <v>28</v>
      </c>
      <c r="I238">
        <v>28</v>
      </c>
      <c r="J238">
        <v>29</v>
      </c>
      <c r="K238">
        <v>27</v>
      </c>
      <c r="L238">
        <v>27</v>
      </c>
      <c r="M238">
        <v>27</v>
      </c>
      <c r="N238">
        <v>28</v>
      </c>
      <c r="O238">
        <v>27</v>
      </c>
      <c r="P238">
        <v>28</v>
      </c>
      <c r="Q238">
        <v>26</v>
      </c>
      <c r="R238">
        <v>28</v>
      </c>
      <c r="S238">
        <v>26</v>
      </c>
      <c r="U238">
        <v>16008</v>
      </c>
      <c r="V238">
        <v>15313</v>
      </c>
      <c r="W238">
        <v>15904</v>
      </c>
      <c r="X238">
        <v>14558</v>
      </c>
      <c r="Y238">
        <v>14962</v>
      </c>
      <c r="Z238">
        <v>14221</v>
      </c>
      <c r="AA238">
        <v>15482</v>
      </c>
      <c r="AB238">
        <v>15164</v>
      </c>
      <c r="AC238">
        <v>14288</v>
      </c>
      <c r="AD238">
        <v>15486</v>
      </c>
      <c r="AE238">
        <v>12852</v>
      </c>
      <c r="AF238">
        <v>14244</v>
      </c>
      <c r="AG238">
        <v>14711</v>
      </c>
      <c r="AH238">
        <v>14962</v>
      </c>
      <c r="AI238">
        <v>14619</v>
      </c>
      <c r="AJ238">
        <v>14389</v>
      </c>
      <c r="AK238">
        <v>13791</v>
      </c>
      <c r="AL238">
        <v>13839</v>
      </c>
    </row>
    <row r="239" spans="2:38" x14ac:dyDescent="0.25">
      <c r="B239">
        <v>26</v>
      </c>
      <c r="C239">
        <v>29</v>
      </c>
      <c r="D239">
        <v>27</v>
      </c>
      <c r="E239">
        <v>26</v>
      </c>
      <c r="F239">
        <v>28</v>
      </c>
      <c r="G239">
        <v>28</v>
      </c>
      <c r="H239">
        <v>29</v>
      </c>
      <c r="I239">
        <v>29</v>
      </c>
      <c r="J239">
        <v>28</v>
      </c>
      <c r="K239">
        <v>27</v>
      </c>
      <c r="L239">
        <v>27</v>
      </c>
      <c r="M239">
        <v>27</v>
      </c>
      <c r="N239">
        <v>28</v>
      </c>
      <c r="O239">
        <v>30</v>
      </c>
      <c r="P239">
        <v>28</v>
      </c>
      <c r="Q239">
        <v>29</v>
      </c>
      <c r="R239">
        <v>30</v>
      </c>
      <c r="S239">
        <v>26</v>
      </c>
      <c r="U239">
        <v>14718</v>
      </c>
      <c r="V239">
        <v>15069</v>
      </c>
      <c r="W239">
        <v>14050</v>
      </c>
      <c r="X239">
        <v>15224</v>
      </c>
      <c r="Y239">
        <v>14373</v>
      </c>
      <c r="Z239">
        <v>15233</v>
      </c>
      <c r="AA239">
        <v>14508</v>
      </c>
      <c r="AB239">
        <v>14426</v>
      </c>
      <c r="AC239">
        <v>14023</v>
      </c>
      <c r="AD239">
        <v>13811</v>
      </c>
      <c r="AE239">
        <v>14652</v>
      </c>
      <c r="AF239">
        <v>13854</v>
      </c>
      <c r="AG239">
        <v>13891</v>
      </c>
      <c r="AH239">
        <v>13581</v>
      </c>
      <c r="AI239">
        <v>13275</v>
      </c>
      <c r="AJ239">
        <v>13782</v>
      </c>
      <c r="AK239">
        <v>14175</v>
      </c>
      <c r="AL239">
        <v>14332</v>
      </c>
    </row>
    <row r="240" spans="2:38" x14ac:dyDescent="0.25">
      <c r="B240">
        <v>29</v>
      </c>
      <c r="C240">
        <v>29</v>
      </c>
      <c r="D240">
        <v>27</v>
      </c>
      <c r="E240">
        <v>30</v>
      </c>
      <c r="F240">
        <v>31</v>
      </c>
      <c r="G240">
        <v>31</v>
      </c>
      <c r="H240">
        <v>27</v>
      </c>
      <c r="I240">
        <v>29</v>
      </c>
      <c r="J240">
        <v>28</v>
      </c>
      <c r="K240">
        <v>29</v>
      </c>
      <c r="L240">
        <v>32</v>
      </c>
      <c r="M240">
        <v>31</v>
      </c>
      <c r="N240">
        <v>28</v>
      </c>
      <c r="O240">
        <v>29</v>
      </c>
      <c r="P240">
        <v>28</v>
      </c>
      <c r="Q240">
        <v>29</v>
      </c>
      <c r="R240">
        <v>29</v>
      </c>
      <c r="S240">
        <v>31</v>
      </c>
      <c r="U240">
        <v>14647</v>
      </c>
      <c r="V240">
        <v>13796</v>
      </c>
      <c r="W240">
        <v>16231</v>
      </c>
      <c r="X240">
        <v>13440</v>
      </c>
      <c r="Y240">
        <v>13707</v>
      </c>
      <c r="Z240">
        <v>14088</v>
      </c>
      <c r="AA240">
        <v>14341</v>
      </c>
      <c r="AB240">
        <v>13577</v>
      </c>
      <c r="AC240">
        <v>14132</v>
      </c>
      <c r="AD240">
        <v>13071</v>
      </c>
      <c r="AE240">
        <v>13632</v>
      </c>
      <c r="AF240">
        <v>12121</v>
      </c>
      <c r="AG240">
        <v>13404</v>
      </c>
      <c r="AH240">
        <v>13170</v>
      </c>
      <c r="AI240">
        <v>12516</v>
      </c>
      <c r="AJ240">
        <v>12285</v>
      </c>
      <c r="AK240">
        <v>13270</v>
      </c>
      <c r="AL240">
        <v>12687</v>
      </c>
    </row>
    <row r="241" spans="2:38" x14ac:dyDescent="0.25">
      <c r="B241">
        <v>31</v>
      </c>
      <c r="C241">
        <v>30</v>
      </c>
      <c r="D241">
        <v>33</v>
      </c>
      <c r="E241">
        <v>28</v>
      </c>
      <c r="F241">
        <v>31</v>
      </c>
      <c r="G241">
        <v>31</v>
      </c>
      <c r="H241">
        <v>32</v>
      </c>
      <c r="I241">
        <v>31</v>
      </c>
      <c r="J241">
        <v>33</v>
      </c>
      <c r="K241">
        <v>31</v>
      </c>
      <c r="L241">
        <v>31</v>
      </c>
      <c r="M241">
        <v>31</v>
      </c>
      <c r="N241">
        <v>33</v>
      </c>
      <c r="O241">
        <v>32</v>
      </c>
      <c r="P241">
        <v>32</v>
      </c>
      <c r="Q241">
        <v>30</v>
      </c>
      <c r="R241">
        <v>32</v>
      </c>
      <c r="S241">
        <v>31</v>
      </c>
      <c r="U241">
        <v>15548</v>
      </c>
      <c r="V241">
        <v>15161</v>
      </c>
      <c r="W241">
        <v>14634</v>
      </c>
      <c r="X241">
        <v>13952</v>
      </c>
      <c r="Y241">
        <v>13394</v>
      </c>
      <c r="Z241">
        <v>13328</v>
      </c>
      <c r="AA241">
        <v>13844</v>
      </c>
      <c r="AB241">
        <v>13741</v>
      </c>
      <c r="AC241">
        <v>12465</v>
      </c>
      <c r="AD241">
        <v>12862</v>
      </c>
      <c r="AE241">
        <v>11962</v>
      </c>
      <c r="AF241">
        <v>11819</v>
      </c>
      <c r="AG241">
        <v>12208</v>
      </c>
      <c r="AH241">
        <v>12318</v>
      </c>
      <c r="AI241">
        <v>12593</v>
      </c>
      <c r="AJ241">
        <v>11904</v>
      </c>
      <c r="AK241">
        <v>12155</v>
      </c>
      <c r="AL241">
        <v>11666</v>
      </c>
    </row>
  </sheetData>
  <mergeCells count="5">
    <mergeCell ref="B2:P2"/>
    <mergeCell ref="F4:I4"/>
    <mergeCell ref="F5:I5"/>
    <mergeCell ref="L4:T4"/>
    <mergeCell ref="L5:T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83"/>
  <sheetViews>
    <sheetView topLeftCell="AH1" workbookViewId="0">
      <selection activeCell="AS123" sqref="AS123"/>
    </sheetView>
  </sheetViews>
  <sheetFormatPr baseColWidth="10" defaultRowHeight="15" x14ac:dyDescent="0.25"/>
  <cols>
    <col min="1" max="57" width="9" customWidth="1"/>
  </cols>
  <sheetData>
    <row r="2" spans="3:20" x14ac:dyDescent="0.25">
      <c r="C2" t="s">
        <v>6</v>
      </c>
      <c r="F2" s="3" t="s">
        <v>16</v>
      </c>
      <c r="G2" s="3"/>
      <c r="H2" s="3"/>
      <c r="I2" s="3"/>
      <c r="L2" s="3" t="s">
        <v>13</v>
      </c>
      <c r="M2" s="3"/>
      <c r="N2" s="3"/>
      <c r="O2" s="3"/>
      <c r="P2" s="3"/>
      <c r="Q2" s="3"/>
      <c r="R2" s="3"/>
      <c r="S2" s="3"/>
      <c r="T2" s="3"/>
    </row>
    <row r="3" spans="3:20" x14ac:dyDescent="0.25">
      <c r="F3" s="2"/>
      <c r="G3" s="2"/>
      <c r="H3" s="2"/>
      <c r="I3" s="2"/>
      <c r="L3" s="3" t="s">
        <v>14</v>
      </c>
      <c r="M3" s="3"/>
      <c r="N3" s="3"/>
      <c r="O3" s="3"/>
      <c r="P3" s="3"/>
      <c r="Q3" s="3"/>
      <c r="R3" s="3"/>
      <c r="S3" s="3"/>
      <c r="T3" s="3"/>
    </row>
    <row r="101" spans="2:57" x14ac:dyDescent="0.25">
      <c r="B101" t="s">
        <v>2</v>
      </c>
      <c r="C101" t="s">
        <v>17</v>
      </c>
      <c r="U101" t="s">
        <v>7</v>
      </c>
      <c r="V101" t="s">
        <v>17</v>
      </c>
      <c r="AN101" t="s">
        <v>12</v>
      </c>
      <c r="AO101" t="s">
        <v>17</v>
      </c>
    </row>
    <row r="102" spans="2:57" x14ac:dyDescent="0.25">
      <c r="B102">
        <v>59741</v>
      </c>
      <c r="C102">
        <v>59762</v>
      </c>
      <c r="D102">
        <v>59761</v>
      </c>
      <c r="E102">
        <v>59795</v>
      </c>
      <c r="F102">
        <v>59751</v>
      </c>
      <c r="G102">
        <v>59752</v>
      </c>
      <c r="H102">
        <v>59749</v>
      </c>
      <c r="I102">
        <v>59750</v>
      </c>
      <c r="J102">
        <v>59751</v>
      </c>
      <c r="K102">
        <v>59745</v>
      </c>
      <c r="L102">
        <v>59747</v>
      </c>
      <c r="M102">
        <v>59746</v>
      </c>
      <c r="N102">
        <v>59749</v>
      </c>
      <c r="O102">
        <v>59748</v>
      </c>
      <c r="P102">
        <v>59750</v>
      </c>
      <c r="Q102">
        <v>59751</v>
      </c>
      <c r="R102">
        <v>59746</v>
      </c>
      <c r="S102">
        <v>59749</v>
      </c>
      <c r="U102">
        <v>59971</v>
      </c>
      <c r="V102">
        <v>59966</v>
      </c>
      <c r="W102">
        <v>59960</v>
      </c>
      <c r="X102">
        <v>59956</v>
      </c>
      <c r="Y102">
        <v>59954</v>
      </c>
      <c r="Z102">
        <v>59954</v>
      </c>
      <c r="AA102">
        <v>59951</v>
      </c>
      <c r="AB102">
        <v>59954</v>
      </c>
      <c r="AC102">
        <v>59954</v>
      </c>
      <c r="AD102">
        <v>59953</v>
      </c>
      <c r="AE102">
        <v>59956</v>
      </c>
      <c r="AF102">
        <v>59954</v>
      </c>
      <c r="AG102">
        <v>59953</v>
      </c>
      <c r="AH102">
        <v>59952</v>
      </c>
      <c r="AI102">
        <v>59953</v>
      </c>
      <c r="AJ102">
        <v>59957</v>
      </c>
      <c r="AK102">
        <v>59956</v>
      </c>
      <c r="AL102">
        <v>59957</v>
      </c>
      <c r="AN102">
        <v>60333</v>
      </c>
      <c r="AO102">
        <v>60331</v>
      </c>
      <c r="AP102">
        <v>60329</v>
      </c>
      <c r="AQ102">
        <v>60332</v>
      </c>
      <c r="AR102">
        <v>60330</v>
      </c>
      <c r="AS102">
        <v>60331</v>
      </c>
      <c r="AT102">
        <v>60332</v>
      </c>
      <c r="AU102">
        <v>60332</v>
      </c>
      <c r="AV102">
        <v>60327</v>
      </c>
      <c r="AW102">
        <v>60329</v>
      </c>
      <c r="AX102">
        <v>60330</v>
      </c>
      <c r="AY102">
        <v>60331</v>
      </c>
      <c r="AZ102">
        <v>60331</v>
      </c>
      <c r="BA102">
        <v>60330</v>
      </c>
      <c r="BB102">
        <v>60331</v>
      </c>
      <c r="BC102">
        <v>60332</v>
      </c>
      <c r="BD102">
        <v>60333</v>
      </c>
      <c r="BE102">
        <v>60333</v>
      </c>
    </row>
    <row r="103" spans="2:57" x14ac:dyDescent="0.25">
      <c r="B103">
        <v>32307</v>
      </c>
      <c r="C103">
        <v>33297</v>
      </c>
      <c r="D103">
        <v>34348</v>
      </c>
      <c r="E103">
        <v>33302</v>
      </c>
      <c r="F103">
        <v>33633</v>
      </c>
      <c r="G103">
        <v>34121</v>
      </c>
      <c r="H103">
        <v>30644</v>
      </c>
      <c r="I103">
        <v>29945</v>
      </c>
      <c r="J103">
        <v>29988</v>
      </c>
      <c r="K103">
        <v>29894</v>
      </c>
      <c r="L103">
        <v>30006</v>
      </c>
      <c r="M103">
        <v>30042</v>
      </c>
      <c r="N103">
        <v>29972</v>
      </c>
      <c r="O103">
        <v>29898</v>
      </c>
      <c r="P103">
        <v>29895</v>
      </c>
      <c r="Q103">
        <v>30058</v>
      </c>
      <c r="R103">
        <v>30013</v>
      </c>
      <c r="S103">
        <v>30030</v>
      </c>
      <c r="U103">
        <v>92302</v>
      </c>
      <c r="V103">
        <v>75920</v>
      </c>
      <c r="W103">
        <v>82268</v>
      </c>
      <c r="X103">
        <v>76898</v>
      </c>
      <c r="Y103">
        <v>64609</v>
      </c>
      <c r="Z103">
        <v>46703</v>
      </c>
      <c r="AA103">
        <v>43273</v>
      </c>
      <c r="AB103">
        <v>30463</v>
      </c>
      <c r="AC103">
        <v>30393</v>
      </c>
      <c r="AD103">
        <v>30268</v>
      </c>
      <c r="AE103">
        <v>30325</v>
      </c>
      <c r="AF103">
        <v>30376</v>
      </c>
      <c r="AG103">
        <v>30260</v>
      </c>
      <c r="AH103">
        <v>30434</v>
      </c>
      <c r="AI103">
        <v>30163</v>
      </c>
      <c r="AJ103">
        <v>30386</v>
      </c>
      <c r="AK103">
        <v>30250</v>
      </c>
      <c r="AL103">
        <v>30279</v>
      </c>
      <c r="AN103">
        <v>30180</v>
      </c>
      <c r="AO103">
        <v>30181</v>
      </c>
      <c r="AP103">
        <v>30181</v>
      </c>
      <c r="AQ103">
        <v>30179</v>
      </c>
      <c r="AR103">
        <v>30178</v>
      </c>
      <c r="AS103">
        <v>30179</v>
      </c>
      <c r="AT103">
        <v>30179</v>
      </c>
      <c r="AU103">
        <v>30180</v>
      </c>
      <c r="AV103">
        <v>30179</v>
      </c>
      <c r="AW103">
        <v>30179</v>
      </c>
      <c r="AX103">
        <v>30180</v>
      </c>
      <c r="AY103">
        <v>30182</v>
      </c>
      <c r="AZ103">
        <v>30181</v>
      </c>
      <c r="BA103">
        <v>30181</v>
      </c>
      <c r="BB103">
        <v>30181</v>
      </c>
      <c r="BC103">
        <v>30178</v>
      </c>
      <c r="BD103">
        <v>30178</v>
      </c>
      <c r="BE103">
        <v>30179</v>
      </c>
    </row>
    <row r="104" spans="2:57" x14ac:dyDescent="0.25">
      <c r="B104">
        <v>24819</v>
      </c>
      <c r="C104">
        <v>22966</v>
      </c>
      <c r="D104">
        <v>22979</v>
      </c>
      <c r="E104">
        <v>27023</v>
      </c>
      <c r="F104">
        <v>25495</v>
      </c>
      <c r="G104">
        <v>23305</v>
      </c>
      <c r="H104">
        <v>21125</v>
      </c>
      <c r="I104">
        <v>20138</v>
      </c>
      <c r="J104">
        <v>20044</v>
      </c>
      <c r="K104">
        <v>19942</v>
      </c>
      <c r="L104">
        <v>20038</v>
      </c>
      <c r="M104">
        <v>20130</v>
      </c>
      <c r="N104">
        <v>19990</v>
      </c>
      <c r="O104">
        <v>19925</v>
      </c>
      <c r="P104">
        <v>20065</v>
      </c>
      <c r="Q104">
        <v>20041</v>
      </c>
      <c r="R104">
        <v>20074</v>
      </c>
      <c r="S104">
        <v>19978</v>
      </c>
      <c r="U104">
        <v>92838</v>
      </c>
      <c r="V104">
        <v>82811</v>
      </c>
      <c r="W104">
        <v>72882</v>
      </c>
      <c r="X104">
        <v>74612</v>
      </c>
      <c r="Y104">
        <v>56473</v>
      </c>
      <c r="Z104">
        <v>49955</v>
      </c>
      <c r="AA104">
        <v>45979</v>
      </c>
      <c r="AB104">
        <v>37781</v>
      </c>
      <c r="AC104">
        <v>33010</v>
      </c>
      <c r="AD104">
        <v>27561</v>
      </c>
      <c r="AE104">
        <v>26316</v>
      </c>
      <c r="AF104">
        <v>22939</v>
      </c>
      <c r="AG104">
        <v>20620</v>
      </c>
      <c r="AH104">
        <v>20345</v>
      </c>
      <c r="AI104">
        <v>20389</v>
      </c>
      <c r="AJ104">
        <v>20378</v>
      </c>
      <c r="AK104">
        <v>20204</v>
      </c>
      <c r="AL104">
        <v>20212</v>
      </c>
      <c r="AN104">
        <v>20396</v>
      </c>
      <c r="AO104">
        <v>20431</v>
      </c>
      <c r="AP104">
        <v>20432</v>
      </c>
      <c r="AQ104">
        <v>20424</v>
      </c>
      <c r="AR104">
        <v>20354</v>
      </c>
      <c r="AS104">
        <v>20349</v>
      </c>
      <c r="AT104">
        <v>20333</v>
      </c>
      <c r="AU104">
        <v>20350</v>
      </c>
      <c r="AV104">
        <v>20368</v>
      </c>
      <c r="AW104">
        <v>20370</v>
      </c>
      <c r="AX104">
        <v>20389</v>
      </c>
      <c r="AY104">
        <v>20377</v>
      </c>
      <c r="AZ104">
        <v>20407</v>
      </c>
      <c r="BA104">
        <v>20358</v>
      </c>
      <c r="BB104">
        <v>20351</v>
      </c>
      <c r="BC104">
        <v>20275</v>
      </c>
      <c r="BD104">
        <v>20298</v>
      </c>
      <c r="BE104">
        <v>20296</v>
      </c>
    </row>
    <row r="105" spans="2:57" x14ac:dyDescent="0.25">
      <c r="B105">
        <v>19057</v>
      </c>
      <c r="C105">
        <v>17911</v>
      </c>
      <c r="D105">
        <v>17805</v>
      </c>
      <c r="E105">
        <v>17453</v>
      </c>
      <c r="F105">
        <v>19781</v>
      </c>
      <c r="G105">
        <v>17994</v>
      </c>
      <c r="H105">
        <v>16753</v>
      </c>
      <c r="I105">
        <v>15077</v>
      </c>
      <c r="J105">
        <v>15135</v>
      </c>
      <c r="K105">
        <v>15093</v>
      </c>
      <c r="L105">
        <v>15034</v>
      </c>
      <c r="M105">
        <v>15164</v>
      </c>
      <c r="N105">
        <v>15178</v>
      </c>
      <c r="O105">
        <v>15141</v>
      </c>
      <c r="P105">
        <v>14956</v>
      </c>
      <c r="Q105">
        <v>15202</v>
      </c>
      <c r="R105">
        <v>15021</v>
      </c>
      <c r="S105">
        <v>15166</v>
      </c>
      <c r="U105">
        <v>86101</v>
      </c>
      <c r="V105">
        <v>65765</v>
      </c>
      <c r="W105">
        <v>58602</v>
      </c>
      <c r="X105">
        <v>53705</v>
      </c>
      <c r="Y105">
        <v>41683</v>
      </c>
      <c r="Z105">
        <v>35989</v>
      </c>
      <c r="AA105">
        <v>29585</v>
      </c>
      <c r="AB105">
        <v>23898</v>
      </c>
      <c r="AC105">
        <v>22566</v>
      </c>
      <c r="AD105">
        <v>15359</v>
      </c>
      <c r="AE105">
        <v>18309</v>
      </c>
      <c r="AF105">
        <v>15850</v>
      </c>
      <c r="AG105">
        <v>15335</v>
      </c>
      <c r="AH105">
        <v>15258</v>
      </c>
      <c r="AI105">
        <v>15253</v>
      </c>
      <c r="AJ105">
        <v>15252</v>
      </c>
      <c r="AK105">
        <v>15214</v>
      </c>
      <c r="AL105">
        <v>15246</v>
      </c>
      <c r="AN105">
        <v>15458</v>
      </c>
      <c r="AO105">
        <v>15458</v>
      </c>
      <c r="AP105">
        <v>15427</v>
      </c>
      <c r="AQ105">
        <v>15436</v>
      </c>
      <c r="AR105">
        <v>15388</v>
      </c>
      <c r="AS105">
        <v>15408</v>
      </c>
      <c r="AT105">
        <v>15290</v>
      </c>
      <c r="AU105">
        <v>15399</v>
      </c>
      <c r="AV105">
        <v>15333</v>
      </c>
      <c r="AW105">
        <v>15200</v>
      </c>
      <c r="AX105">
        <v>15124</v>
      </c>
      <c r="AY105">
        <v>15182</v>
      </c>
      <c r="AZ105">
        <v>15220</v>
      </c>
      <c r="BA105">
        <v>15271</v>
      </c>
      <c r="BB105">
        <v>15345</v>
      </c>
      <c r="BC105">
        <v>15383</v>
      </c>
      <c r="BD105">
        <v>15373</v>
      </c>
      <c r="BE105">
        <v>15294</v>
      </c>
    </row>
    <row r="106" spans="2:57" x14ac:dyDescent="0.25">
      <c r="B106">
        <v>15337</v>
      </c>
      <c r="C106">
        <v>14192</v>
      </c>
      <c r="D106">
        <v>15321</v>
      </c>
      <c r="E106">
        <v>15345</v>
      </c>
      <c r="F106">
        <v>14166</v>
      </c>
      <c r="G106">
        <v>15228</v>
      </c>
      <c r="H106">
        <v>13118</v>
      </c>
      <c r="I106">
        <v>12151</v>
      </c>
      <c r="J106">
        <v>12055</v>
      </c>
      <c r="K106">
        <v>11973</v>
      </c>
      <c r="L106">
        <v>12159</v>
      </c>
      <c r="M106">
        <v>12013</v>
      </c>
      <c r="N106">
        <v>12225</v>
      </c>
      <c r="O106">
        <v>12019</v>
      </c>
      <c r="P106">
        <v>11979</v>
      </c>
      <c r="Q106">
        <v>12298</v>
      </c>
      <c r="R106">
        <v>12100</v>
      </c>
      <c r="S106">
        <v>12293</v>
      </c>
      <c r="U106">
        <v>83642</v>
      </c>
      <c r="V106">
        <v>58026</v>
      </c>
      <c r="W106">
        <v>50575</v>
      </c>
      <c r="X106">
        <v>44784</v>
      </c>
      <c r="Y106">
        <v>34893</v>
      </c>
      <c r="Z106">
        <v>31315</v>
      </c>
      <c r="AA106">
        <v>27141</v>
      </c>
      <c r="AB106">
        <v>21015</v>
      </c>
      <c r="AC106">
        <v>16104</v>
      </c>
      <c r="AD106">
        <v>14054</v>
      </c>
      <c r="AE106">
        <v>12552</v>
      </c>
      <c r="AF106">
        <v>12361</v>
      </c>
      <c r="AG106">
        <v>12285</v>
      </c>
      <c r="AH106">
        <v>12236</v>
      </c>
      <c r="AI106">
        <v>12231</v>
      </c>
      <c r="AJ106">
        <v>12374</v>
      </c>
      <c r="AK106">
        <v>12210</v>
      </c>
      <c r="AL106">
        <v>12353</v>
      </c>
      <c r="AN106">
        <v>12482</v>
      </c>
      <c r="AO106">
        <v>12484</v>
      </c>
      <c r="AP106">
        <v>12473</v>
      </c>
      <c r="AQ106">
        <v>12416</v>
      </c>
      <c r="AR106">
        <v>12479</v>
      </c>
      <c r="AS106">
        <v>12322</v>
      </c>
      <c r="AT106">
        <v>12428</v>
      </c>
      <c r="AU106">
        <v>12226</v>
      </c>
      <c r="AV106">
        <v>12235</v>
      </c>
      <c r="AW106">
        <v>12259</v>
      </c>
      <c r="AX106">
        <v>12274</v>
      </c>
      <c r="AY106">
        <v>12236</v>
      </c>
      <c r="AZ106">
        <v>12203</v>
      </c>
      <c r="BA106">
        <v>12200</v>
      </c>
      <c r="BB106">
        <v>12215</v>
      </c>
      <c r="BC106">
        <v>12226</v>
      </c>
      <c r="BD106">
        <v>12273</v>
      </c>
      <c r="BE106">
        <v>12300</v>
      </c>
    </row>
    <row r="107" spans="2:57" x14ac:dyDescent="0.25">
      <c r="B107">
        <v>12650</v>
      </c>
      <c r="C107">
        <v>13659</v>
      </c>
      <c r="D107">
        <v>12581</v>
      </c>
      <c r="E107">
        <v>12838</v>
      </c>
      <c r="F107">
        <v>13149</v>
      </c>
      <c r="G107">
        <v>12478</v>
      </c>
      <c r="H107">
        <v>11634</v>
      </c>
      <c r="I107">
        <v>10926</v>
      </c>
      <c r="J107">
        <v>10021</v>
      </c>
      <c r="K107">
        <v>10065</v>
      </c>
      <c r="L107">
        <v>10034</v>
      </c>
      <c r="M107">
        <v>10222</v>
      </c>
      <c r="N107">
        <v>10014</v>
      </c>
      <c r="O107">
        <v>9976</v>
      </c>
      <c r="P107">
        <v>10251</v>
      </c>
      <c r="Q107">
        <v>10072</v>
      </c>
      <c r="R107">
        <v>10180</v>
      </c>
      <c r="S107">
        <v>10246</v>
      </c>
      <c r="U107">
        <v>83354</v>
      </c>
      <c r="V107">
        <v>54695</v>
      </c>
      <c r="W107">
        <v>44721</v>
      </c>
      <c r="X107">
        <v>37344</v>
      </c>
      <c r="Y107">
        <v>33837</v>
      </c>
      <c r="Z107">
        <v>27087</v>
      </c>
      <c r="AA107">
        <v>20924</v>
      </c>
      <c r="AB107">
        <v>16528</v>
      </c>
      <c r="AC107">
        <v>13023</v>
      </c>
      <c r="AD107">
        <v>10889</v>
      </c>
      <c r="AE107">
        <v>10321</v>
      </c>
      <c r="AF107">
        <v>10322</v>
      </c>
      <c r="AG107">
        <v>10197</v>
      </c>
      <c r="AH107">
        <v>10237</v>
      </c>
      <c r="AI107">
        <v>10300</v>
      </c>
      <c r="AJ107">
        <v>10201</v>
      </c>
      <c r="AK107">
        <v>10236</v>
      </c>
      <c r="AL107">
        <v>10309</v>
      </c>
      <c r="AN107">
        <v>10547</v>
      </c>
      <c r="AO107">
        <v>10551</v>
      </c>
      <c r="AP107">
        <v>10564</v>
      </c>
      <c r="AQ107">
        <v>10444</v>
      </c>
      <c r="AR107">
        <v>10576</v>
      </c>
      <c r="AS107">
        <v>10397</v>
      </c>
      <c r="AT107">
        <v>10429</v>
      </c>
      <c r="AU107">
        <v>10315</v>
      </c>
      <c r="AV107">
        <v>10284</v>
      </c>
      <c r="AW107">
        <v>10268</v>
      </c>
      <c r="AX107">
        <v>10363</v>
      </c>
      <c r="AY107">
        <v>10192</v>
      </c>
      <c r="AZ107">
        <v>10135</v>
      </c>
      <c r="BA107">
        <v>10146</v>
      </c>
      <c r="BB107">
        <v>10174</v>
      </c>
      <c r="BC107">
        <v>10172</v>
      </c>
      <c r="BD107">
        <v>10200</v>
      </c>
      <c r="BE107">
        <v>10230</v>
      </c>
    </row>
    <row r="108" spans="2:57" x14ac:dyDescent="0.25">
      <c r="B108">
        <v>13867</v>
      </c>
      <c r="C108">
        <v>15226</v>
      </c>
      <c r="D108">
        <v>14846</v>
      </c>
      <c r="E108">
        <v>14905</v>
      </c>
      <c r="F108">
        <v>14463</v>
      </c>
      <c r="G108">
        <v>14372</v>
      </c>
      <c r="H108">
        <v>13302</v>
      </c>
      <c r="I108">
        <v>13751</v>
      </c>
      <c r="J108">
        <v>14151</v>
      </c>
      <c r="K108">
        <v>13527</v>
      </c>
      <c r="L108">
        <v>13823</v>
      </c>
      <c r="M108">
        <v>14566</v>
      </c>
      <c r="N108">
        <v>13478</v>
      </c>
      <c r="O108">
        <v>13163</v>
      </c>
      <c r="P108">
        <v>14231</v>
      </c>
      <c r="Q108">
        <v>13414</v>
      </c>
      <c r="R108">
        <v>13396</v>
      </c>
      <c r="S108">
        <v>14281</v>
      </c>
      <c r="U108">
        <v>65360</v>
      </c>
      <c r="V108">
        <v>49529</v>
      </c>
      <c r="W108">
        <v>41568</v>
      </c>
      <c r="X108">
        <v>38713</v>
      </c>
      <c r="Y108">
        <v>31019</v>
      </c>
      <c r="Z108">
        <v>23548</v>
      </c>
      <c r="AA108">
        <v>19851</v>
      </c>
      <c r="AB108">
        <v>17681</v>
      </c>
      <c r="AC108">
        <v>13687</v>
      </c>
      <c r="AD108">
        <v>12610</v>
      </c>
      <c r="AE108">
        <v>10878</v>
      </c>
      <c r="AF108">
        <v>10636</v>
      </c>
      <c r="AG108">
        <v>10044</v>
      </c>
      <c r="AH108">
        <v>10032</v>
      </c>
      <c r="AI108">
        <v>10032</v>
      </c>
      <c r="AJ108">
        <v>10142</v>
      </c>
      <c r="AK108">
        <v>10228</v>
      </c>
      <c r="AL108">
        <v>10041</v>
      </c>
      <c r="AN108">
        <v>10419</v>
      </c>
      <c r="AO108">
        <v>10456</v>
      </c>
      <c r="AP108">
        <v>10489</v>
      </c>
      <c r="AQ108">
        <v>10512</v>
      </c>
      <c r="AR108">
        <v>10439</v>
      </c>
      <c r="AS108">
        <v>10260</v>
      </c>
      <c r="AT108">
        <v>10339</v>
      </c>
      <c r="AU108">
        <v>10274</v>
      </c>
      <c r="AV108">
        <v>10104</v>
      </c>
      <c r="AW108">
        <v>9978</v>
      </c>
      <c r="AX108">
        <v>10052</v>
      </c>
      <c r="AY108">
        <v>10050</v>
      </c>
      <c r="AZ108">
        <v>10015</v>
      </c>
      <c r="BA108">
        <v>10021</v>
      </c>
      <c r="BB108">
        <v>10166</v>
      </c>
      <c r="BC108">
        <v>9960</v>
      </c>
      <c r="BD108">
        <v>9957</v>
      </c>
      <c r="BE108">
        <v>10176</v>
      </c>
    </row>
    <row r="109" spans="2:57" x14ac:dyDescent="0.25">
      <c r="B109">
        <v>13980</v>
      </c>
      <c r="C109">
        <v>14420</v>
      </c>
      <c r="D109">
        <v>13841</v>
      </c>
      <c r="E109">
        <v>13650</v>
      </c>
      <c r="F109">
        <v>14111</v>
      </c>
      <c r="G109">
        <v>13741</v>
      </c>
      <c r="H109">
        <v>13543</v>
      </c>
      <c r="I109">
        <v>13319</v>
      </c>
      <c r="J109">
        <v>13443</v>
      </c>
      <c r="K109">
        <v>13608</v>
      </c>
      <c r="L109">
        <v>12715</v>
      </c>
      <c r="M109">
        <v>13332</v>
      </c>
      <c r="N109">
        <v>12859</v>
      </c>
      <c r="O109">
        <v>12949</v>
      </c>
      <c r="P109">
        <v>12776</v>
      </c>
      <c r="Q109">
        <v>12893</v>
      </c>
      <c r="R109">
        <v>12961</v>
      </c>
      <c r="S109">
        <v>12567</v>
      </c>
      <c r="U109">
        <v>63117</v>
      </c>
      <c r="V109">
        <v>48260</v>
      </c>
      <c r="W109">
        <v>42617</v>
      </c>
      <c r="X109">
        <v>36409</v>
      </c>
      <c r="Y109">
        <v>28835</v>
      </c>
      <c r="Z109">
        <v>22660</v>
      </c>
      <c r="AA109">
        <v>19011</v>
      </c>
      <c r="AB109">
        <v>16485</v>
      </c>
      <c r="AC109">
        <v>13517</v>
      </c>
      <c r="AD109">
        <v>11985</v>
      </c>
      <c r="AE109">
        <v>11200</v>
      </c>
      <c r="AF109">
        <v>10934</v>
      </c>
      <c r="AG109">
        <v>10306</v>
      </c>
      <c r="AH109">
        <v>10122</v>
      </c>
      <c r="AI109">
        <v>10086</v>
      </c>
      <c r="AJ109">
        <v>10132</v>
      </c>
      <c r="AK109">
        <v>10170</v>
      </c>
      <c r="AL109">
        <v>10056</v>
      </c>
      <c r="AN109">
        <v>10668</v>
      </c>
      <c r="AO109">
        <v>10563</v>
      </c>
      <c r="AP109">
        <v>10511</v>
      </c>
      <c r="AQ109">
        <v>10428</v>
      </c>
      <c r="AR109">
        <v>10618</v>
      </c>
      <c r="AS109">
        <v>10401</v>
      </c>
      <c r="AT109">
        <v>10083</v>
      </c>
      <c r="AU109">
        <v>10241</v>
      </c>
      <c r="AV109">
        <v>10032</v>
      </c>
      <c r="AW109">
        <v>10032</v>
      </c>
      <c r="AX109">
        <v>10078</v>
      </c>
      <c r="AY109">
        <v>10149</v>
      </c>
      <c r="AZ109">
        <v>10037</v>
      </c>
      <c r="BA109">
        <v>10168</v>
      </c>
      <c r="BB109">
        <v>10045</v>
      </c>
      <c r="BC109">
        <v>10103</v>
      </c>
      <c r="BD109">
        <v>10275</v>
      </c>
      <c r="BE109">
        <v>10151</v>
      </c>
    </row>
    <row r="110" spans="2:57" x14ac:dyDescent="0.25">
      <c r="B110">
        <v>14782</v>
      </c>
      <c r="C110">
        <v>14421</v>
      </c>
      <c r="D110">
        <v>14369</v>
      </c>
      <c r="E110">
        <v>14324</v>
      </c>
      <c r="F110">
        <v>13831</v>
      </c>
      <c r="G110">
        <v>13250</v>
      </c>
      <c r="H110">
        <v>14027</v>
      </c>
      <c r="I110">
        <v>13344</v>
      </c>
      <c r="J110">
        <v>12823</v>
      </c>
      <c r="K110">
        <v>12872</v>
      </c>
      <c r="L110">
        <v>12893</v>
      </c>
      <c r="M110">
        <v>12787</v>
      </c>
      <c r="N110">
        <v>12401</v>
      </c>
      <c r="O110">
        <v>12215</v>
      </c>
      <c r="P110">
        <v>12600</v>
      </c>
      <c r="Q110">
        <v>12616</v>
      </c>
      <c r="R110">
        <v>13017</v>
      </c>
      <c r="S110">
        <v>13414</v>
      </c>
      <c r="U110">
        <v>62350</v>
      </c>
      <c r="V110">
        <v>47134</v>
      </c>
      <c r="W110">
        <v>40461</v>
      </c>
      <c r="X110">
        <v>33836</v>
      </c>
      <c r="Y110">
        <v>27905</v>
      </c>
      <c r="Z110">
        <v>22155</v>
      </c>
      <c r="AA110">
        <v>17739</v>
      </c>
      <c r="AB110">
        <v>15550</v>
      </c>
      <c r="AC110">
        <v>12700</v>
      </c>
      <c r="AD110">
        <v>11719</v>
      </c>
      <c r="AE110">
        <v>11221</v>
      </c>
      <c r="AF110">
        <v>10979</v>
      </c>
      <c r="AG110">
        <v>10317</v>
      </c>
      <c r="AH110">
        <v>10135</v>
      </c>
      <c r="AI110">
        <v>10028</v>
      </c>
      <c r="AJ110">
        <v>10359</v>
      </c>
      <c r="AK110">
        <v>10053</v>
      </c>
      <c r="AL110">
        <v>10046</v>
      </c>
      <c r="AN110">
        <v>10463</v>
      </c>
      <c r="AO110">
        <v>10637</v>
      </c>
      <c r="AP110">
        <v>10487</v>
      </c>
      <c r="AQ110">
        <v>10546</v>
      </c>
      <c r="AR110">
        <v>10404</v>
      </c>
      <c r="AS110">
        <v>10325</v>
      </c>
      <c r="AT110">
        <v>10296</v>
      </c>
      <c r="AU110">
        <v>10284</v>
      </c>
      <c r="AV110">
        <v>9941</v>
      </c>
      <c r="AW110">
        <v>10234</v>
      </c>
      <c r="AX110">
        <v>10019</v>
      </c>
      <c r="AY110">
        <v>10077</v>
      </c>
      <c r="AZ110">
        <v>10166</v>
      </c>
      <c r="BA110">
        <v>10129</v>
      </c>
      <c r="BB110">
        <v>10143</v>
      </c>
      <c r="BC110">
        <v>10160</v>
      </c>
      <c r="BD110">
        <v>10221</v>
      </c>
      <c r="BE110">
        <v>9997</v>
      </c>
    </row>
    <row r="111" spans="2:57" x14ac:dyDescent="0.25">
      <c r="B111">
        <v>13735</v>
      </c>
      <c r="C111">
        <v>14090</v>
      </c>
      <c r="D111">
        <v>13590</v>
      </c>
      <c r="E111">
        <v>13097</v>
      </c>
      <c r="F111">
        <v>13205</v>
      </c>
      <c r="G111">
        <v>13002</v>
      </c>
      <c r="H111">
        <v>12286</v>
      </c>
      <c r="I111">
        <v>12448</v>
      </c>
      <c r="J111">
        <v>12416</v>
      </c>
      <c r="K111">
        <v>12148</v>
      </c>
      <c r="L111">
        <v>12031</v>
      </c>
      <c r="M111">
        <v>11997</v>
      </c>
      <c r="N111">
        <v>12121</v>
      </c>
      <c r="O111">
        <v>12069</v>
      </c>
      <c r="P111">
        <v>12089</v>
      </c>
      <c r="Q111">
        <v>11975</v>
      </c>
      <c r="R111">
        <v>12268</v>
      </c>
      <c r="S111">
        <v>12181</v>
      </c>
      <c r="U111">
        <v>61266</v>
      </c>
      <c r="V111">
        <v>44785</v>
      </c>
      <c r="W111">
        <v>37834</v>
      </c>
      <c r="X111">
        <v>31617</v>
      </c>
      <c r="Y111">
        <v>26441</v>
      </c>
      <c r="Z111">
        <v>20766</v>
      </c>
      <c r="AA111">
        <v>17012</v>
      </c>
      <c r="AB111">
        <v>14942</v>
      </c>
      <c r="AC111">
        <v>12102</v>
      </c>
      <c r="AD111">
        <v>11066</v>
      </c>
      <c r="AE111">
        <v>10616</v>
      </c>
      <c r="AF111">
        <v>10632</v>
      </c>
      <c r="AG111">
        <v>10233</v>
      </c>
      <c r="AH111">
        <v>10131</v>
      </c>
      <c r="AI111">
        <v>10036</v>
      </c>
      <c r="AJ111">
        <v>10327</v>
      </c>
      <c r="AK111">
        <v>10052</v>
      </c>
      <c r="AL111">
        <v>10037</v>
      </c>
      <c r="AN111">
        <v>10418</v>
      </c>
      <c r="AO111">
        <v>10464</v>
      </c>
      <c r="AP111">
        <v>10375</v>
      </c>
      <c r="AQ111">
        <v>10387</v>
      </c>
      <c r="AR111">
        <v>10418</v>
      </c>
      <c r="AS111">
        <v>10345</v>
      </c>
      <c r="AT111">
        <v>10068</v>
      </c>
      <c r="AU111">
        <v>10286</v>
      </c>
      <c r="AV111">
        <v>10254</v>
      </c>
      <c r="AW111">
        <v>10281</v>
      </c>
      <c r="AX111">
        <v>10282</v>
      </c>
      <c r="AY111">
        <v>10256</v>
      </c>
      <c r="AZ111">
        <v>10062</v>
      </c>
      <c r="BA111">
        <v>10292</v>
      </c>
      <c r="BB111">
        <v>10088</v>
      </c>
      <c r="BC111">
        <v>10195</v>
      </c>
      <c r="BD111">
        <v>10100</v>
      </c>
      <c r="BE111">
        <v>10232</v>
      </c>
    </row>
    <row r="112" spans="2:57" x14ac:dyDescent="0.25">
      <c r="B112">
        <v>12870</v>
      </c>
      <c r="C112">
        <v>13066</v>
      </c>
      <c r="D112">
        <v>12742</v>
      </c>
      <c r="E112">
        <v>13086</v>
      </c>
      <c r="F112">
        <v>12391</v>
      </c>
      <c r="G112">
        <v>12288</v>
      </c>
      <c r="H112">
        <v>12111</v>
      </c>
      <c r="I112">
        <v>11794</v>
      </c>
      <c r="J112">
        <v>11512</v>
      </c>
      <c r="K112">
        <v>11061</v>
      </c>
      <c r="L112">
        <v>11361</v>
      </c>
      <c r="M112">
        <v>11356</v>
      </c>
      <c r="N112">
        <v>11292</v>
      </c>
      <c r="O112">
        <v>11260</v>
      </c>
      <c r="P112">
        <v>11207</v>
      </c>
      <c r="Q112">
        <v>11077</v>
      </c>
      <c r="R112">
        <v>11016</v>
      </c>
      <c r="S112">
        <v>11076</v>
      </c>
      <c r="U112">
        <v>58997</v>
      </c>
      <c r="V112">
        <v>43619</v>
      </c>
      <c r="W112">
        <v>36177</v>
      </c>
      <c r="X112">
        <v>32502</v>
      </c>
      <c r="Y112">
        <v>25401</v>
      </c>
      <c r="Z112">
        <v>20086</v>
      </c>
      <c r="AA112">
        <v>16070</v>
      </c>
      <c r="AB112">
        <v>13906</v>
      </c>
      <c r="AC112">
        <v>11000</v>
      </c>
      <c r="AD112">
        <v>10325</v>
      </c>
      <c r="AE112">
        <v>10303</v>
      </c>
      <c r="AF112">
        <v>10147</v>
      </c>
      <c r="AG112">
        <v>10120</v>
      </c>
      <c r="AH112">
        <v>10114</v>
      </c>
      <c r="AI112">
        <v>10013</v>
      </c>
      <c r="AJ112">
        <v>9894</v>
      </c>
      <c r="AK112">
        <v>10021</v>
      </c>
      <c r="AL112">
        <v>10032</v>
      </c>
      <c r="AN112">
        <v>10325</v>
      </c>
      <c r="AO112">
        <v>10285</v>
      </c>
      <c r="AP112">
        <v>10292</v>
      </c>
      <c r="AQ112">
        <v>10160</v>
      </c>
      <c r="AR112">
        <v>10113</v>
      </c>
      <c r="AS112">
        <v>10054</v>
      </c>
      <c r="AT112">
        <v>9924</v>
      </c>
      <c r="AU112">
        <v>9893</v>
      </c>
      <c r="AV112">
        <v>9816</v>
      </c>
      <c r="AW112">
        <v>9805</v>
      </c>
      <c r="AX112">
        <v>9797</v>
      </c>
      <c r="AY112">
        <v>9804</v>
      </c>
      <c r="AZ112">
        <v>9789</v>
      </c>
      <c r="BA112">
        <v>9777</v>
      </c>
      <c r="BB112">
        <v>9809</v>
      </c>
      <c r="BC112">
        <v>9811</v>
      </c>
      <c r="BD112">
        <v>9819</v>
      </c>
      <c r="BE112">
        <v>9767</v>
      </c>
    </row>
    <row r="113" spans="2:57" x14ac:dyDescent="0.25">
      <c r="B113">
        <v>12212</v>
      </c>
      <c r="C113">
        <v>12649</v>
      </c>
      <c r="D113">
        <v>12183</v>
      </c>
      <c r="E113">
        <v>12496</v>
      </c>
      <c r="F113">
        <v>11723</v>
      </c>
      <c r="G113">
        <v>11880</v>
      </c>
      <c r="H113">
        <v>11267</v>
      </c>
      <c r="I113">
        <v>11390</v>
      </c>
      <c r="J113">
        <v>10714</v>
      </c>
      <c r="K113">
        <v>10968</v>
      </c>
      <c r="L113">
        <v>10414</v>
      </c>
      <c r="M113">
        <v>10834</v>
      </c>
      <c r="N113">
        <v>10707</v>
      </c>
      <c r="O113">
        <v>10731</v>
      </c>
      <c r="P113">
        <v>10636</v>
      </c>
      <c r="Q113">
        <v>10439</v>
      </c>
      <c r="R113">
        <v>10397</v>
      </c>
      <c r="S113">
        <v>10478</v>
      </c>
      <c r="U113">
        <v>55854</v>
      </c>
      <c r="V113">
        <v>42059</v>
      </c>
      <c r="W113">
        <v>34946</v>
      </c>
      <c r="X113">
        <v>30553</v>
      </c>
      <c r="Y113">
        <v>24397</v>
      </c>
      <c r="Z113">
        <v>19062</v>
      </c>
      <c r="AA113">
        <v>15447</v>
      </c>
      <c r="AB113">
        <v>13880</v>
      </c>
      <c r="AC113">
        <v>10435</v>
      </c>
      <c r="AD113">
        <v>9800</v>
      </c>
      <c r="AE113">
        <v>9797</v>
      </c>
      <c r="AF113">
        <v>9728</v>
      </c>
      <c r="AG113">
        <v>9814</v>
      </c>
      <c r="AH113">
        <v>9797</v>
      </c>
      <c r="AI113">
        <v>9680</v>
      </c>
      <c r="AJ113">
        <v>9793</v>
      </c>
      <c r="AK113">
        <v>10007</v>
      </c>
      <c r="AL113">
        <v>9800</v>
      </c>
      <c r="AN113">
        <v>10264</v>
      </c>
      <c r="AO113">
        <v>10350</v>
      </c>
      <c r="AP113">
        <v>10215</v>
      </c>
      <c r="AQ113">
        <v>10107</v>
      </c>
      <c r="AR113">
        <v>10036</v>
      </c>
      <c r="AS113">
        <v>9928</v>
      </c>
      <c r="AT113">
        <v>9854</v>
      </c>
      <c r="AU113">
        <v>9725</v>
      </c>
      <c r="AV113">
        <v>9759</v>
      </c>
      <c r="AW113">
        <v>9762</v>
      </c>
      <c r="AX113">
        <v>9780</v>
      </c>
      <c r="AY113">
        <v>9748</v>
      </c>
      <c r="AZ113">
        <v>9749</v>
      </c>
      <c r="BA113">
        <v>9705</v>
      </c>
      <c r="BB113">
        <v>9722</v>
      </c>
      <c r="BC113">
        <v>9723</v>
      </c>
      <c r="BD113">
        <v>9756</v>
      </c>
      <c r="BE113">
        <v>9781</v>
      </c>
    </row>
    <row r="115" spans="2:57" x14ac:dyDescent="0.25">
      <c r="B115" t="s">
        <v>7</v>
      </c>
      <c r="C115" t="s">
        <v>18</v>
      </c>
      <c r="U115" t="s">
        <v>2</v>
      </c>
      <c r="V115" t="s">
        <v>18</v>
      </c>
    </row>
    <row r="116" spans="2:57" x14ac:dyDescent="0.25"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</row>
    <row r="117" spans="2:57" x14ac:dyDescent="0.25"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U117">
        <v>4</v>
      </c>
      <c r="V117">
        <v>4</v>
      </c>
      <c r="W117">
        <v>4</v>
      </c>
      <c r="X117">
        <v>4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2</v>
      </c>
      <c r="AJ117">
        <v>2</v>
      </c>
      <c r="AK117">
        <v>2</v>
      </c>
      <c r="AL117">
        <v>2</v>
      </c>
    </row>
    <row r="118" spans="2:57" x14ac:dyDescent="0.25">
      <c r="B118">
        <v>3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3</v>
      </c>
      <c r="J118">
        <v>3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3</v>
      </c>
      <c r="Q118">
        <v>3</v>
      </c>
      <c r="R118">
        <v>2</v>
      </c>
      <c r="S118">
        <v>2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</row>
    <row r="119" spans="2:57" x14ac:dyDescent="0.25">
      <c r="B119">
        <v>3</v>
      </c>
      <c r="C119">
        <v>3</v>
      </c>
      <c r="D119">
        <v>3</v>
      </c>
      <c r="E119">
        <v>2</v>
      </c>
      <c r="F119">
        <v>2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3</v>
      </c>
      <c r="M119">
        <v>2</v>
      </c>
      <c r="N119">
        <v>2</v>
      </c>
      <c r="O119">
        <v>2</v>
      </c>
      <c r="P119">
        <v>3</v>
      </c>
      <c r="Q119">
        <v>2</v>
      </c>
      <c r="R119">
        <v>3</v>
      </c>
      <c r="S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2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3</v>
      </c>
      <c r="AK119">
        <v>3</v>
      </c>
      <c r="AL119">
        <v>3</v>
      </c>
    </row>
    <row r="120" spans="2:57" x14ac:dyDescent="0.25">
      <c r="B120">
        <v>3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3</v>
      </c>
      <c r="R120">
        <v>3</v>
      </c>
      <c r="S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</row>
    <row r="121" spans="2:57" x14ac:dyDescent="0.25">
      <c r="B121">
        <v>3</v>
      </c>
      <c r="C121">
        <v>3</v>
      </c>
      <c r="D121">
        <v>3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3</v>
      </c>
      <c r="AE121">
        <v>3</v>
      </c>
      <c r="AF121">
        <v>3</v>
      </c>
      <c r="AG121">
        <v>3</v>
      </c>
      <c r="AH121">
        <v>3</v>
      </c>
      <c r="AI121">
        <v>3</v>
      </c>
      <c r="AJ121">
        <v>3</v>
      </c>
      <c r="AK121">
        <v>3</v>
      </c>
      <c r="AL121">
        <v>3</v>
      </c>
    </row>
    <row r="122" spans="2:57" x14ac:dyDescent="0.25"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3</v>
      </c>
      <c r="S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3</v>
      </c>
      <c r="AF122">
        <v>3</v>
      </c>
      <c r="AG122">
        <v>3</v>
      </c>
      <c r="AH122">
        <v>3</v>
      </c>
      <c r="AI122">
        <v>3</v>
      </c>
      <c r="AJ122">
        <v>3</v>
      </c>
      <c r="AK122">
        <v>3</v>
      </c>
      <c r="AL122">
        <v>3</v>
      </c>
    </row>
    <row r="123" spans="2:57" x14ac:dyDescent="0.25">
      <c r="B123">
        <v>3</v>
      </c>
      <c r="C123">
        <v>3</v>
      </c>
      <c r="D123">
        <v>3</v>
      </c>
      <c r="E123">
        <v>2</v>
      </c>
      <c r="F123">
        <v>2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U123">
        <v>3</v>
      </c>
      <c r="V123">
        <v>3</v>
      </c>
      <c r="W123">
        <v>3</v>
      </c>
      <c r="X123">
        <v>3</v>
      </c>
      <c r="Y123">
        <v>4</v>
      </c>
      <c r="Z123">
        <v>3</v>
      </c>
      <c r="AA123">
        <v>3</v>
      </c>
      <c r="AB123">
        <v>3</v>
      </c>
      <c r="AC123">
        <v>4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</row>
    <row r="124" spans="2:57" x14ac:dyDescent="0.25">
      <c r="B124">
        <v>3</v>
      </c>
      <c r="C124">
        <v>3</v>
      </c>
      <c r="D124">
        <v>3</v>
      </c>
      <c r="E124">
        <v>2</v>
      </c>
      <c r="F124">
        <v>2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3</v>
      </c>
      <c r="AI124">
        <v>3</v>
      </c>
      <c r="AJ124">
        <v>3</v>
      </c>
      <c r="AK124">
        <v>3</v>
      </c>
      <c r="AL124">
        <v>3</v>
      </c>
    </row>
    <row r="125" spans="2:57" x14ac:dyDescent="0.25">
      <c r="B125">
        <v>3</v>
      </c>
      <c r="C125">
        <v>3</v>
      </c>
      <c r="D125">
        <v>3</v>
      </c>
      <c r="E125">
        <v>2</v>
      </c>
      <c r="F125">
        <v>3</v>
      </c>
      <c r="G125">
        <v>3</v>
      </c>
      <c r="H125">
        <v>3</v>
      </c>
      <c r="I125">
        <v>4</v>
      </c>
      <c r="J125">
        <v>3</v>
      </c>
      <c r="K125">
        <v>4</v>
      </c>
      <c r="L125">
        <v>4</v>
      </c>
      <c r="M125">
        <v>3</v>
      </c>
      <c r="N125">
        <v>3</v>
      </c>
      <c r="O125">
        <v>4</v>
      </c>
      <c r="P125">
        <v>4</v>
      </c>
      <c r="Q125">
        <v>3</v>
      </c>
      <c r="R125">
        <v>4</v>
      </c>
      <c r="S125">
        <v>3</v>
      </c>
      <c r="U125">
        <v>3</v>
      </c>
      <c r="V125">
        <v>3</v>
      </c>
      <c r="W125">
        <v>3</v>
      </c>
      <c r="X125">
        <v>4</v>
      </c>
      <c r="Y125">
        <v>4</v>
      </c>
      <c r="Z125">
        <v>3</v>
      </c>
      <c r="AA125">
        <v>3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4</v>
      </c>
      <c r="AL125">
        <v>4</v>
      </c>
    </row>
    <row r="126" spans="2:57" x14ac:dyDescent="0.25">
      <c r="B126">
        <v>3</v>
      </c>
      <c r="C126">
        <v>3</v>
      </c>
      <c r="D126">
        <v>3</v>
      </c>
      <c r="E126">
        <v>3</v>
      </c>
      <c r="F126">
        <v>3</v>
      </c>
      <c r="G126">
        <v>3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U126">
        <v>3</v>
      </c>
      <c r="V126">
        <v>3</v>
      </c>
      <c r="W126">
        <v>3</v>
      </c>
      <c r="X126">
        <v>4</v>
      </c>
      <c r="Y126">
        <v>4</v>
      </c>
      <c r="Z126">
        <v>4</v>
      </c>
      <c r="AA126">
        <v>3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4</v>
      </c>
      <c r="AL126">
        <v>4</v>
      </c>
    </row>
    <row r="127" spans="2:57" x14ac:dyDescent="0.25">
      <c r="B127">
        <v>3</v>
      </c>
      <c r="C127">
        <v>3</v>
      </c>
      <c r="D127">
        <v>3</v>
      </c>
      <c r="E127">
        <v>3</v>
      </c>
      <c r="F127">
        <v>3</v>
      </c>
      <c r="G127">
        <v>3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U127">
        <v>3</v>
      </c>
      <c r="V127">
        <v>3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4</v>
      </c>
      <c r="AK127">
        <v>4</v>
      </c>
      <c r="AL127">
        <v>4</v>
      </c>
    </row>
    <row r="129" spans="2:38" x14ac:dyDescent="0.25">
      <c r="B129" t="s">
        <v>12</v>
      </c>
      <c r="C129" t="s">
        <v>18</v>
      </c>
      <c r="U129" t="s">
        <v>7</v>
      </c>
      <c r="V129" t="s">
        <v>19</v>
      </c>
    </row>
    <row r="130" spans="2:38" x14ac:dyDescent="0.25">
      <c r="B130">
        <v>2</v>
      </c>
      <c r="C130">
        <v>2</v>
      </c>
      <c r="D130">
        <v>2</v>
      </c>
      <c r="E130">
        <v>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U130">
        <v>3973</v>
      </c>
      <c r="V130">
        <v>3975</v>
      </c>
      <c r="W130">
        <v>3973</v>
      </c>
      <c r="X130">
        <v>3972</v>
      </c>
      <c r="Y130">
        <v>3972</v>
      </c>
      <c r="Z130">
        <v>3971</v>
      </c>
      <c r="AA130">
        <v>3971</v>
      </c>
      <c r="AB130">
        <v>3969</v>
      </c>
      <c r="AC130">
        <v>3969</v>
      </c>
      <c r="AD130">
        <v>3969</v>
      </c>
      <c r="AE130">
        <v>3971</v>
      </c>
      <c r="AF130">
        <v>3970</v>
      </c>
      <c r="AG130">
        <v>3969</v>
      </c>
      <c r="AH130">
        <v>3970</v>
      </c>
      <c r="AI130">
        <v>3971</v>
      </c>
      <c r="AJ130">
        <v>3970</v>
      </c>
      <c r="AK130">
        <v>3971</v>
      </c>
      <c r="AL130">
        <v>3970</v>
      </c>
    </row>
    <row r="131" spans="2:38" x14ac:dyDescent="0.25"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U131">
        <v>6026</v>
      </c>
      <c r="V131">
        <v>4764</v>
      </c>
      <c r="W131">
        <v>5255</v>
      </c>
      <c r="X131">
        <v>3724</v>
      </c>
      <c r="Y131">
        <v>4088</v>
      </c>
      <c r="Z131">
        <v>3646</v>
      </c>
      <c r="AA131">
        <v>2749</v>
      </c>
      <c r="AB131">
        <v>2004</v>
      </c>
      <c r="AC131">
        <v>2014</v>
      </c>
      <c r="AD131">
        <v>2015</v>
      </c>
      <c r="AE131">
        <v>2049</v>
      </c>
      <c r="AF131">
        <v>2034</v>
      </c>
      <c r="AG131">
        <v>2023</v>
      </c>
      <c r="AH131">
        <v>2038</v>
      </c>
      <c r="AI131">
        <v>2003</v>
      </c>
      <c r="AJ131">
        <v>2000</v>
      </c>
      <c r="AK131">
        <v>2010</v>
      </c>
      <c r="AL131">
        <v>1991</v>
      </c>
    </row>
    <row r="132" spans="2:38" x14ac:dyDescent="0.25">
      <c r="B132">
        <v>3</v>
      </c>
      <c r="C132">
        <v>3</v>
      </c>
      <c r="D132">
        <v>3</v>
      </c>
      <c r="E132">
        <v>3</v>
      </c>
      <c r="F132">
        <v>2</v>
      </c>
      <c r="G132">
        <v>2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3</v>
      </c>
      <c r="O132">
        <v>2</v>
      </c>
      <c r="P132">
        <v>3</v>
      </c>
      <c r="Q132">
        <v>3</v>
      </c>
      <c r="R132">
        <v>3</v>
      </c>
      <c r="S132">
        <v>3</v>
      </c>
      <c r="U132">
        <v>6130</v>
      </c>
      <c r="V132">
        <v>5306</v>
      </c>
      <c r="W132">
        <v>4717</v>
      </c>
      <c r="X132">
        <v>3777</v>
      </c>
      <c r="Y132">
        <v>3691</v>
      </c>
      <c r="Z132">
        <v>3218</v>
      </c>
      <c r="AA132">
        <v>2820</v>
      </c>
      <c r="AB132">
        <v>1357</v>
      </c>
      <c r="AC132">
        <v>1731</v>
      </c>
      <c r="AD132">
        <v>1360</v>
      </c>
      <c r="AE132">
        <v>1393</v>
      </c>
      <c r="AF132">
        <v>1336</v>
      </c>
      <c r="AG132">
        <v>1430</v>
      </c>
      <c r="AH132">
        <v>1354</v>
      </c>
      <c r="AI132">
        <v>1440</v>
      </c>
      <c r="AJ132">
        <v>1383</v>
      </c>
      <c r="AK132">
        <v>1408</v>
      </c>
      <c r="AL132">
        <v>1403</v>
      </c>
    </row>
    <row r="133" spans="2:38" x14ac:dyDescent="0.25"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U133">
        <v>5704</v>
      </c>
      <c r="V133">
        <v>4258</v>
      </c>
      <c r="W133">
        <v>3735</v>
      </c>
      <c r="X133">
        <v>3151</v>
      </c>
      <c r="Y133">
        <v>2829</v>
      </c>
      <c r="Z133">
        <v>2330</v>
      </c>
      <c r="AA133">
        <v>1839</v>
      </c>
      <c r="AB133">
        <v>1006</v>
      </c>
      <c r="AC133">
        <v>1084</v>
      </c>
      <c r="AD133">
        <v>1037</v>
      </c>
      <c r="AE133">
        <v>1103</v>
      </c>
      <c r="AF133">
        <v>1062</v>
      </c>
      <c r="AG133">
        <v>1061</v>
      </c>
      <c r="AH133">
        <v>1034</v>
      </c>
      <c r="AI133">
        <v>1004</v>
      </c>
      <c r="AJ133">
        <v>1060</v>
      </c>
      <c r="AK133">
        <v>1008</v>
      </c>
      <c r="AL133">
        <v>1061</v>
      </c>
    </row>
    <row r="134" spans="2:38" x14ac:dyDescent="0.25"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U134">
        <v>5552</v>
      </c>
      <c r="V134">
        <v>3720</v>
      </c>
      <c r="W134">
        <v>3376</v>
      </c>
      <c r="X134">
        <v>2464</v>
      </c>
      <c r="Y134">
        <v>2296</v>
      </c>
      <c r="Z134">
        <v>1953</v>
      </c>
      <c r="AA134">
        <v>1755</v>
      </c>
      <c r="AB134">
        <v>827</v>
      </c>
      <c r="AC134">
        <v>1019</v>
      </c>
      <c r="AD134">
        <v>864</v>
      </c>
      <c r="AE134">
        <v>909</v>
      </c>
      <c r="AF134">
        <v>807</v>
      </c>
      <c r="AG134">
        <v>868</v>
      </c>
      <c r="AH134">
        <v>842</v>
      </c>
      <c r="AI134">
        <v>890</v>
      </c>
      <c r="AJ134">
        <v>826</v>
      </c>
      <c r="AK134">
        <v>879</v>
      </c>
      <c r="AL134">
        <v>806</v>
      </c>
    </row>
    <row r="135" spans="2:38" x14ac:dyDescent="0.25">
      <c r="B135">
        <v>3</v>
      </c>
      <c r="C135">
        <v>3</v>
      </c>
      <c r="D135">
        <v>3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U135">
        <v>5268</v>
      </c>
      <c r="V135">
        <v>3567</v>
      </c>
      <c r="W135">
        <v>2845</v>
      </c>
      <c r="X135">
        <v>2691</v>
      </c>
      <c r="Y135">
        <v>2125</v>
      </c>
      <c r="Z135">
        <v>1670</v>
      </c>
      <c r="AA135">
        <v>1377</v>
      </c>
      <c r="AB135">
        <v>708</v>
      </c>
      <c r="AC135">
        <v>832</v>
      </c>
      <c r="AD135">
        <v>692</v>
      </c>
      <c r="AE135">
        <v>755</v>
      </c>
      <c r="AF135">
        <v>710</v>
      </c>
      <c r="AG135">
        <v>697</v>
      </c>
      <c r="AH135">
        <v>726</v>
      </c>
      <c r="AI135">
        <v>675</v>
      </c>
      <c r="AJ135">
        <v>708</v>
      </c>
      <c r="AK135">
        <v>757</v>
      </c>
      <c r="AL135">
        <v>670</v>
      </c>
    </row>
    <row r="136" spans="2:38" x14ac:dyDescent="0.25"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2</v>
      </c>
      <c r="M136">
        <v>3</v>
      </c>
      <c r="N136">
        <v>2</v>
      </c>
      <c r="O136">
        <v>3</v>
      </c>
      <c r="P136">
        <v>3</v>
      </c>
      <c r="Q136">
        <v>2</v>
      </c>
      <c r="R136">
        <v>2</v>
      </c>
      <c r="S136">
        <v>2</v>
      </c>
      <c r="U136">
        <v>4269</v>
      </c>
      <c r="V136">
        <v>3221</v>
      </c>
      <c r="W136">
        <v>2761</v>
      </c>
      <c r="X136">
        <v>2297</v>
      </c>
      <c r="Y136">
        <v>1998</v>
      </c>
      <c r="Z136">
        <v>1571</v>
      </c>
      <c r="AA136">
        <v>1327</v>
      </c>
      <c r="AB136">
        <v>1281</v>
      </c>
      <c r="AC136">
        <v>920</v>
      </c>
      <c r="AD136">
        <v>827</v>
      </c>
      <c r="AE136">
        <v>746</v>
      </c>
      <c r="AF136">
        <v>739</v>
      </c>
      <c r="AG136">
        <v>693</v>
      </c>
      <c r="AH136">
        <v>750</v>
      </c>
      <c r="AI136">
        <v>729</v>
      </c>
      <c r="AJ136">
        <v>710</v>
      </c>
      <c r="AK136">
        <v>725</v>
      </c>
      <c r="AL136">
        <v>716</v>
      </c>
    </row>
    <row r="137" spans="2:38" x14ac:dyDescent="0.25">
      <c r="B137">
        <v>3</v>
      </c>
      <c r="C137">
        <v>3</v>
      </c>
      <c r="D137">
        <v>2</v>
      </c>
      <c r="E137">
        <v>3</v>
      </c>
      <c r="F137">
        <v>2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U137">
        <v>4123</v>
      </c>
      <c r="V137">
        <v>3085</v>
      </c>
      <c r="W137">
        <v>2792</v>
      </c>
      <c r="X137">
        <v>1986</v>
      </c>
      <c r="Y137">
        <v>1836</v>
      </c>
      <c r="Z137">
        <v>1507</v>
      </c>
      <c r="AA137">
        <v>1222</v>
      </c>
      <c r="AB137">
        <v>1187</v>
      </c>
      <c r="AC137">
        <v>882</v>
      </c>
      <c r="AD137">
        <v>721</v>
      </c>
      <c r="AE137">
        <v>744</v>
      </c>
      <c r="AF137">
        <v>709</v>
      </c>
      <c r="AG137">
        <v>747</v>
      </c>
      <c r="AH137">
        <v>737</v>
      </c>
      <c r="AI137">
        <v>695</v>
      </c>
      <c r="AJ137">
        <v>709</v>
      </c>
      <c r="AK137">
        <v>732</v>
      </c>
      <c r="AL137">
        <v>744</v>
      </c>
    </row>
    <row r="138" spans="2:38" x14ac:dyDescent="0.25">
      <c r="B138">
        <v>3</v>
      </c>
      <c r="C138">
        <v>3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4</v>
      </c>
      <c r="J138">
        <v>4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U138">
        <v>4003</v>
      </c>
      <c r="V138">
        <v>2931</v>
      </c>
      <c r="W138">
        <v>2651</v>
      </c>
      <c r="X138">
        <v>1857</v>
      </c>
      <c r="Y138">
        <v>1843</v>
      </c>
      <c r="Z138">
        <v>1420</v>
      </c>
      <c r="AA138">
        <v>1153</v>
      </c>
      <c r="AB138">
        <v>1170</v>
      </c>
      <c r="AC138">
        <v>815</v>
      </c>
      <c r="AD138">
        <v>763</v>
      </c>
      <c r="AE138">
        <v>739</v>
      </c>
      <c r="AF138">
        <v>727</v>
      </c>
      <c r="AG138">
        <v>746</v>
      </c>
      <c r="AH138">
        <v>736</v>
      </c>
      <c r="AI138">
        <v>729</v>
      </c>
      <c r="AJ138">
        <v>690</v>
      </c>
      <c r="AK138">
        <v>732</v>
      </c>
      <c r="AL138">
        <v>775</v>
      </c>
    </row>
    <row r="139" spans="2:38" x14ac:dyDescent="0.25">
      <c r="B139">
        <v>3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4</v>
      </c>
      <c r="J139">
        <v>4</v>
      </c>
      <c r="K139">
        <v>4</v>
      </c>
      <c r="L139">
        <v>4</v>
      </c>
      <c r="M139">
        <v>3</v>
      </c>
      <c r="N139">
        <v>3</v>
      </c>
      <c r="O139">
        <v>4</v>
      </c>
      <c r="P139">
        <v>3</v>
      </c>
      <c r="Q139">
        <v>4</v>
      </c>
      <c r="R139">
        <v>4</v>
      </c>
      <c r="S139">
        <v>4</v>
      </c>
      <c r="U139">
        <v>4003</v>
      </c>
      <c r="V139">
        <v>2881</v>
      </c>
      <c r="W139">
        <v>2457</v>
      </c>
      <c r="X139">
        <v>1819</v>
      </c>
      <c r="Y139">
        <v>1745</v>
      </c>
      <c r="Z139">
        <v>1281</v>
      </c>
      <c r="AA139">
        <v>1108</v>
      </c>
      <c r="AB139">
        <v>690</v>
      </c>
      <c r="AC139">
        <v>782</v>
      </c>
      <c r="AD139">
        <v>737</v>
      </c>
      <c r="AE139">
        <v>742</v>
      </c>
      <c r="AF139">
        <v>691</v>
      </c>
      <c r="AG139">
        <v>747</v>
      </c>
      <c r="AH139">
        <v>734</v>
      </c>
      <c r="AI139">
        <v>738</v>
      </c>
      <c r="AJ139">
        <v>689</v>
      </c>
      <c r="AK139">
        <v>733</v>
      </c>
      <c r="AL139">
        <v>775</v>
      </c>
    </row>
    <row r="140" spans="2:38" x14ac:dyDescent="0.25">
      <c r="B140">
        <v>3</v>
      </c>
      <c r="C140">
        <v>3</v>
      </c>
      <c r="D140">
        <v>3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U140">
        <v>3792</v>
      </c>
      <c r="V140">
        <v>2731</v>
      </c>
      <c r="W140">
        <v>2292</v>
      </c>
      <c r="X140">
        <v>2041</v>
      </c>
      <c r="Y140">
        <v>1664</v>
      </c>
      <c r="Z140">
        <v>1293</v>
      </c>
      <c r="AA140">
        <v>1072</v>
      </c>
      <c r="AB140">
        <v>874</v>
      </c>
      <c r="AC140">
        <v>748</v>
      </c>
      <c r="AD140">
        <v>722</v>
      </c>
      <c r="AE140">
        <v>738</v>
      </c>
      <c r="AF140">
        <v>692</v>
      </c>
      <c r="AG140">
        <v>719</v>
      </c>
      <c r="AH140">
        <v>740</v>
      </c>
      <c r="AI140">
        <v>696</v>
      </c>
      <c r="AJ140">
        <v>690</v>
      </c>
      <c r="AK140">
        <v>732</v>
      </c>
      <c r="AL140">
        <v>715</v>
      </c>
    </row>
    <row r="141" spans="2:38" x14ac:dyDescent="0.25"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U141">
        <v>3523</v>
      </c>
      <c r="V141">
        <v>2627</v>
      </c>
      <c r="W141">
        <v>2268</v>
      </c>
      <c r="X141">
        <v>1956</v>
      </c>
      <c r="Y141">
        <v>1590</v>
      </c>
      <c r="Z141">
        <v>1264</v>
      </c>
      <c r="AA141">
        <v>1025</v>
      </c>
      <c r="AB141">
        <v>771</v>
      </c>
      <c r="AC141">
        <v>693</v>
      </c>
      <c r="AD141">
        <v>670</v>
      </c>
      <c r="AE141">
        <v>690</v>
      </c>
      <c r="AF141">
        <v>690</v>
      </c>
      <c r="AG141">
        <v>685</v>
      </c>
      <c r="AH141">
        <v>734</v>
      </c>
      <c r="AI141">
        <v>673</v>
      </c>
      <c r="AJ141">
        <v>690</v>
      </c>
      <c r="AK141">
        <v>708</v>
      </c>
      <c r="AL141">
        <v>695</v>
      </c>
    </row>
    <row r="143" spans="2:38" x14ac:dyDescent="0.25">
      <c r="B143" t="s">
        <v>12</v>
      </c>
      <c r="C143" t="s">
        <v>19</v>
      </c>
      <c r="U143" t="s">
        <v>2</v>
      </c>
      <c r="V143" t="s">
        <v>19</v>
      </c>
    </row>
    <row r="144" spans="2:38" x14ac:dyDescent="0.25">
      <c r="B144">
        <v>3993</v>
      </c>
      <c r="C144">
        <v>3992</v>
      </c>
      <c r="D144">
        <v>3993</v>
      </c>
      <c r="E144">
        <v>3994</v>
      </c>
      <c r="F144">
        <v>3993</v>
      </c>
      <c r="G144">
        <v>3993</v>
      </c>
      <c r="H144">
        <v>3993</v>
      </c>
      <c r="I144">
        <v>3993</v>
      </c>
      <c r="J144">
        <v>3993</v>
      </c>
      <c r="K144">
        <v>3993</v>
      </c>
      <c r="L144">
        <v>3994</v>
      </c>
      <c r="M144">
        <v>3993</v>
      </c>
      <c r="N144">
        <v>3993</v>
      </c>
      <c r="O144">
        <v>3993</v>
      </c>
      <c r="P144">
        <v>3993</v>
      </c>
      <c r="Q144">
        <v>3993</v>
      </c>
      <c r="R144">
        <v>3994</v>
      </c>
      <c r="S144">
        <v>3993</v>
      </c>
      <c r="U144">
        <v>3970</v>
      </c>
      <c r="V144">
        <v>3973</v>
      </c>
      <c r="W144">
        <v>3972</v>
      </c>
      <c r="X144">
        <v>3972</v>
      </c>
      <c r="Y144">
        <v>3972</v>
      </c>
      <c r="Z144">
        <v>3973</v>
      </c>
      <c r="AA144">
        <v>3973</v>
      </c>
      <c r="AB144">
        <v>3973</v>
      </c>
      <c r="AC144">
        <v>3972</v>
      </c>
      <c r="AD144">
        <v>3971</v>
      </c>
      <c r="AE144">
        <v>3972</v>
      </c>
      <c r="AF144">
        <v>3972</v>
      </c>
      <c r="AG144">
        <v>3973</v>
      </c>
      <c r="AH144">
        <v>3970</v>
      </c>
      <c r="AI144">
        <v>3971</v>
      </c>
      <c r="AJ144">
        <v>3971</v>
      </c>
      <c r="AK144">
        <v>3972</v>
      </c>
      <c r="AL144">
        <v>3972</v>
      </c>
    </row>
    <row r="145" spans="2:38" x14ac:dyDescent="0.25">
      <c r="B145">
        <v>2002</v>
      </c>
      <c r="C145">
        <v>2002</v>
      </c>
      <c r="D145">
        <v>2002</v>
      </c>
      <c r="E145">
        <v>2002</v>
      </c>
      <c r="F145">
        <v>2002</v>
      </c>
      <c r="G145">
        <v>2002</v>
      </c>
      <c r="H145">
        <v>2002</v>
      </c>
      <c r="I145">
        <v>2002</v>
      </c>
      <c r="J145">
        <v>2002</v>
      </c>
      <c r="K145">
        <v>2002</v>
      </c>
      <c r="L145">
        <v>2002</v>
      </c>
      <c r="M145">
        <v>2002</v>
      </c>
      <c r="N145">
        <v>2002</v>
      </c>
      <c r="O145">
        <v>2002</v>
      </c>
      <c r="P145">
        <v>2002</v>
      </c>
      <c r="Q145">
        <v>2002</v>
      </c>
      <c r="R145">
        <v>2002</v>
      </c>
      <c r="S145">
        <v>2002</v>
      </c>
      <c r="U145">
        <v>2403</v>
      </c>
      <c r="V145">
        <v>2439</v>
      </c>
      <c r="W145">
        <v>3151</v>
      </c>
      <c r="X145">
        <v>2875</v>
      </c>
      <c r="Y145">
        <v>3070</v>
      </c>
      <c r="Z145">
        <v>2041</v>
      </c>
      <c r="AA145">
        <v>2079</v>
      </c>
      <c r="AB145">
        <v>1991</v>
      </c>
      <c r="AC145">
        <v>1988</v>
      </c>
      <c r="AD145">
        <v>1985</v>
      </c>
      <c r="AE145">
        <v>2021</v>
      </c>
      <c r="AF145">
        <v>2025</v>
      </c>
      <c r="AG145">
        <v>2006</v>
      </c>
      <c r="AH145">
        <v>2018</v>
      </c>
      <c r="AI145">
        <v>1984</v>
      </c>
      <c r="AJ145">
        <v>1993</v>
      </c>
      <c r="AK145">
        <v>1995</v>
      </c>
      <c r="AL145">
        <v>1982</v>
      </c>
    </row>
    <row r="146" spans="2:38" x14ac:dyDescent="0.25">
      <c r="B146">
        <v>1428</v>
      </c>
      <c r="C146">
        <v>1437</v>
      </c>
      <c r="D146">
        <v>1443</v>
      </c>
      <c r="E146">
        <v>1402</v>
      </c>
      <c r="F146">
        <v>1406</v>
      </c>
      <c r="G146">
        <v>1404</v>
      </c>
      <c r="H146">
        <v>1400</v>
      </c>
      <c r="I146">
        <v>1361</v>
      </c>
      <c r="J146">
        <v>1378</v>
      </c>
      <c r="K146">
        <v>1384</v>
      </c>
      <c r="L146">
        <v>1365</v>
      </c>
      <c r="M146">
        <v>1353</v>
      </c>
      <c r="N146">
        <v>1376</v>
      </c>
      <c r="O146">
        <v>1388</v>
      </c>
      <c r="P146">
        <v>1410</v>
      </c>
      <c r="Q146">
        <v>1416</v>
      </c>
      <c r="R146">
        <v>1392</v>
      </c>
      <c r="S146">
        <v>1383</v>
      </c>
      <c r="U146">
        <v>1995</v>
      </c>
      <c r="V146">
        <v>1621</v>
      </c>
      <c r="W146">
        <v>1614</v>
      </c>
      <c r="X146">
        <v>1548</v>
      </c>
      <c r="Y146">
        <v>1608</v>
      </c>
      <c r="Z146">
        <v>1598</v>
      </c>
      <c r="AA146">
        <v>1471</v>
      </c>
      <c r="AB146">
        <v>1349</v>
      </c>
      <c r="AC146">
        <v>1333</v>
      </c>
      <c r="AD146">
        <v>1328</v>
      </c>
      <c r="AE146">
        <v>1374</v>
      </c>
      <c r="AF146">
        <v>1323</v>
      </c>
      <c r="AG146">
        <v>1340</v>
      </c>
      <c r="AH146">
        <v>1339</v>
      </c>
      <c r="AI146">
        <v>1326</v>
      </c>
      <c r="AJ146">
        <v>1378</v>
      </c>
      <c r="AK146">
        <v>1372</v>
      </c>
      <c r="AL146">
        <v>1331</v>
      </c>
    </row>
    <row r="147" spans="2:38" x14ac:dyDescent="0.25">
      <c r="B147">
        <v>1084</v>
      </c>
      <c r="C147">
        <v>1076</v>
      </c>
      <c r="D147">
        <v>1092</v>
      </c>
      <c r="E147">
        <v>1087</v>
      </c>
      <c r="F147">
        <v>1081</v>
      </c>
      <c r="G147">
        <v>1076</v>
      </c>
      <c r="H147">
        <v>1064</v>
      </c>
      <c r="I147">
        <v>1066</v>
      </c>
      <c r="J147">
        <v>1083</v>
      </c>
      <c r="K147">
        <v>1068</v>
      </c>
      <c r="L147">
        <v>1059</v>
      </c>
      <c r="M147">
        <v>1031</v>
      </c>
      <c r="N147">
        <v>1017</v>
      </c>
      <c r="O147">
        <v>1025</v>
      </c>
      <c r="P147">
        <v>1034</v>
      </c>
      <c r="Q147">
        <v>1037</v>
      </c>
      <c r="R147">
        <v>1044</v>
      </c>
      <c r="S147">
        <v>1046</v>
      </c>
      <c r="U147">
        <v>1560</v>
      </c>
      <c r="V147">
        <v>1435</v>
      </c>
      <c r="W147">
        <v>1263</v>
      </c>
      <c r="X147">
        <v>1449</v>
      </c>
      <c r="Y147">
        <v>1312</v>
      </c>
      <c r="Z147">
        <v>1584</v>
      </c>
      <c r="AA147">
        <v>1215</v>
      </c>
      <c r="AB147">
        <v>1000</v>
      </c>
      <c r="AC147">
        <v>1195</v>
      </c>
      <c r="AD147">
        <v>1029</v>
      </c>
      <c r="AE147">
        <v>1075</v>
      </c>
      <c r="AF147">
        <v>1056</v>
      </c>
      <c r="AG147">
        <v>1051</v>
      </c>
      <c r="AH147">
        <v>1028</v>
      </c>
      <c r="AI147">
        <v>994</v>
      </c>
      <c r="AJ147">
        <v>1056</v>
      </c>
      <c r="AK147">
        <v>998</v>
      </c>
      <c r="AL147">
        <v>1056</v>
      </c>
    </row>
    <row r="148" spans="2:38" x14ac:dyDescent="0.25">
      <c r="B148">
        <v>904</v>
      </c>
      <c r="C148">
        <v>895</v>
      </c>
      <c r="D148">
        <v>899</v>
      </c>
      <c r="E148">
        <v>884</v>
      </c>
      <c r="F148">
        <v>899</v>
      </c>
      <c r="G148">
        <v>893</v>
      </c>
      <c r="H148">
        <v>864</v>
      </c>
      <c r="I148">
        <v>837</v>
      </c>
      <c r="J148">
        <v>830</v>
      </c>
      <c r="K148">
        <v>820</v>
      </c>
      <c r="L148">
        <v>819</v>
      </c>
      <c r="M148">
        <v>826</v>
      </c>
      <c r="N148">
        <v>834</v>
      </c>
      <c r="O148">
        <v>838</v>
      </c>
      <c r="P148">
        <v>838</v>
      </c>
      <c r="Q148">
        <v>846</v>
      </c>
      <c r="R148">
        <v>853</v>
      </c>
      <c r="S148">
        <v>853</v>
      </c>
      <c r="U148">
        <v>1532</v>
      </c>
      <c r="V148">
        <v>1214</v>
      </c>
      <c r="W148">
        <v>1442</v>
      </c>
      <c r="X148">
        <v>1378</v>
      </c>
      <c r="Y148">
        <v>1490</v>
      </c>
      <c r="Z148">
        <v>1297</v>
      </c>
      <c r="AA148">
        <v>1042</v>
      </c>
      <c r="AB148">
        <v>823</v>
      </c>
      <c r="AC148">
        <v>876</v>
      </c>
      <c r="AD148">
        <v>811</v>
      </c>
      <c r="AE148">
        <v>817</v>
      </c>
      <c r="AF148">
        <v>796</v>
      </c>
      <c r="AG148">
        <v>861</v>
      </c>
      <c r="AH148">
        <v>824</v>
      </c>
      <c r="AI148">
        <v>883</v>
      </c>
      <c r="AJ148">
        <v>822</v>
      </c>
      <c r="AK148">
        <v>874</v>
      </c>
      <c r="AL148">
        <v>794</v>
      </c>
    </row>
    <row r="149" spans="2:38" x14ac:dyDescent="0.25">
      <c r="B149">
        <v>808</v>
      </c>
      <c r="C149">
        <v>797</v>
      </c>
      <c r="D149">
        <v>798</v>
      </c>
      <c r="E149">
        <v>772</v>
      </c>
      <c r="F149">
        <v>774</v>
      </c>
      <c r="G149">
        <v>746</v>
      </c>
      <c r="H149">
        <v>738</v>
      </c>
      <c r="I149">
        <v>732</v>
      </c>
      <c r="J149">
        <v>715</v>
      </c>
      <c r="K149">
        <v>719</v>
      </c>
      <c r="L149">
        <v>699</v>
      </c>
      <c r="M149">
        <v>707</v>
      </c>
      <c r="N149">
        <v>702</v>
      </c>
      <c r="O149">
        <v>708</v>
      </c>
      <c r="P149">
        <v>713</v>
      </c>
      <c r="Q149">
        <v>720</v>
      </c>
      <c r="R149">
        <v>728</v>
      </c>
      <c r="S149">
        <v>705</v>
      </c>
      <c r="U149">
        <v>1372</v>
      </c>
      <c r="V149">
        <v>1298</v>
      </c>
      <c r="W149">
        <v>1068</v>
      </c>
      <c r="X149">
        <v>1061</v>
      </c>
      <c r="Y149">
        <v>1162</v>
      </c>
      <c r="Z149">
        <v>1102</v>
      </c>
      <c r="AA149">
        <v>859</v>
      </c>
      <c r="AB149">
        <v>704</v>
      </c>
      <c r="AC149">
        <v>685</v>
      </c>
      <c r="AD149">
        <v>677</v>
      </c>
      <c r="AE149">
        <v>729</v>
      </c>
      <c r="AF149">
        <v>706</v>
      </c>
      <c r="AG149">
        <v>672</v>
      </c>
      <c r="AH149">
        <v>722</v>
      </c>
      <c r="AI149">
        <v>664</v>
      </c>
      <c r="AJ149">
        <v>705</v>
      </c>
      <c r="AK149">
        <v>749</v>
      </c>
      <c r="AL149">
        <v>667</v>
      </c>
    </row>
    <row r="150" spans="2:38" x14ac:dyDescent="0.25">
      <c r="B150">
        <v>865</v>
      </c>
      <c r="C150">
        <v>917</v>
      </c>
      <c r="D150">
        <v>928</v>
      </c>
      <c r="E150">
        <v>924</v>
      </c>
      <c r="F150">
        <v>920</v>
      </c>
      <c r="G150">
        <v>921</v>
      </c>
      <c r="H150">
        <v>922</v>
      </c>
      <c r="I150">
        <v>921</v>
      </c>
      <c r="J150">
        <v>921</v>
      </c>
      <c r="K150">
        <v>921</v>
      </c>
      <c r="L150">
        <v>868</v>
      </c>
      <c r="M150">
        <v>922</v>
      </c>
      <c r="N150">
        <v>916</v>
      </c>
      <c r="O150">
        <v>903</v>
      </c>
      <c r="P150">
        <v>904</v>
      </c>
      <c r="Q150">
        <v>903</v>
      </c>
      <c r="R150">
        <v>904</v>
      </c>
      <c r="S150">
        <v>904</v>
      </c>
      <c r="U150">
        <v>1368</v>
      </c>
      <c r="V150">
        <v>1378</v>
      </c>
      <c r="W150">
        <v>1289</v>
      </c>
      <c r="X150">
        <v>1272</v>
      </c>
      <c r="Y150">
        <v>1268</v>
      </c>
      <c r="Z150">
        <v>1147</v>
      </c>
      <c r="AA150">
        <v>1238</v>
      </c>
      <c r="AB150">
        <v>1106</v>
      </c>
      <c r="AC150">
        <v>1081</v>
      </c>
      <c r="AD150">
        <v>1161</v>
      </c>
      <c r="AE150">
        <v>1163</v>
      </c>
      <c r="AF150">
        <v>1064</v>
      </c>
      <c r="AG150">
        <v>1125</v>
      </c>
      <c r="AH150">
        <v>1034</v>
      </c>
      <c r="AI150">
        <v>1108</v>
      </c>
      <c r="AJ150">
        <v>1108</v>
      </c>
      <c r="AK150">
        <v>1004</v>
      </c>
      <c r="AL150">
        <v>1065</v>
      </c>
    </row>
    <row r="151" spans="2:38" x14ac:dyDescent="0.25">
      <c r="B151">
        <v>818</v>
      </c>
      <c r="C151">
        <v>820</v>
      </c>
      <c r="D151">
        <v>817</v>
      </c>
      <c r="E151">
        <v>814</v>
      </c>
      <c r="F151">
        <v>815</v>
      </c>
      <c r="G151">
        <v>816</v>
      </c>
      <c r="H151">
        <v>818</v>
      </c>
      <c r="I151">
        <v>813</v>
      </c>
      <c r="J151">
        <v>807</v>
      </c>
      <c r="K151">
        <v>807</v>
      </c>
      <c r="L151">
        <v>806</v>
      </c>
      <c r="M151">
        <v>808</v>
      </c>
      <c r="N151">
        <v>807</v>
      </c>
      <c r="O151">
        <v>807</v>
      </c>
      <c r="P151">
        <v>807</v>
      </c>
      <c r="Q151">
        <v>808</v>
      </c>
      <c r="R151">
        <v>809</v>
      </c>
      <c r="S151">
        <v>799</v>
      </c>
      <c r="U151">
        <v>1220</v>
      </c>
      <c r="V151">
        <v>1314</v>
      </c>
      <c r="W151">
        <v>1325</v>
      </c>
      <c r="X151">
        <v>1317</v>
      </c>
      <c r="Y151">
        <v>1085</v>
      </c>
      <c r="Z151">
        <v>1167</v>
      </c>
      <c r="AA151">
        <v>1087</v>
      </c>
      <c r="AB151">
        <v>946</v>
      </c>
      <c r="AC151">
        <v>961</v>
      </c>
      <c r="AD151">
        <v>988</v>
      </c>
      <c r="AE151">
        <v>988</v>
      </c>
      <c r="AF151">
        <v>1010</v>
      </c>
      <c r="AG151">
        <v>985</v>
      </c>
      <c r="AH151">
        <v>1006</v>
      </c>
      <c r="AI151">
        <v>936</v>
      </c>
      <c r="AJ151">
        <v>998</v>
      </c>
      <c r="AK151">
        <v>1006</v>
      </c>
      <c r="AL151">
        <v>978</v>
      </c>
    </row>
    <row r="152" spans="2:38" x14ac:dyDescent="0.25">
      <c r="B152">
        <v>817</v>
      </c>
      <c r="C152">
        <v>791</v>
      </c>
      <c r="D152">
        <v>794</v>
      </c>
      <c r="E152">
        <v>753</v>
      </c>
      <c r="F152">
        <v>776</v>
      </c>
      <c r="G152">
        <v>746</v>
      </c>
      <c r="H152">
        <v>740</v>
      </c>
      <c r="I152">
        <v>737</v>
      </c>
      <c r="J152">
        <v>745</v>
      </c>
      <c r="K152">
        <v>732</v>
      </c>
      <c r="L152">
        <v>736</v>
      </c>
      <c r="M152">
        <v>730</v>
      </c>
      <c r="N152">
        <v>730</v>
      </c>
      <c r="O152">
        <v>733</v>
      </c>
      <c r="P152">
        <v>736</v>
      </c>
      <c r="Q152">
        <v>733</v>
      </c>
      <c r="R152">
        <v>724</v>
      </c>
      <c r="S152">
        <v>725</v>
      </c>
      <c r="U152">
        <v>1160</v>
      </c>
      <c r="V152">
        <v>1061</v>
      </c>
      <c r="W152">
        <v>1142</v>
      </c>
      <c r="X152">
        <v>1030</v>
      </c>
      <c r="Y152">
        <v>1129</v>
      </c>
      <c r="Z152">
        <v>962</v>
      </c>
      <c r="AA152">
        <v>1012</v>
      </c>
      <c r="AB152">
        <v>909</v>
      </c>
      <c r="AC152">
        <v>939</v>
      </c>
      <c r="AD152">
        <v>982</v>
      </c>
      <c r="AE152">
        <v>984</v>
      </c>
      <c r="AF152">
        <v>942</v>
      </c>
      <c r="AG152">
        <v>918</v>
      </c>
      <c r="AH152">
        <v>942</v>
      </c>
      <c r="AI152">
        <v>978</v>
      </c>
      <c r="AJ152">
        <v>928</v>
      </c>
      <c r="AK152">
        <v>928</v>
      </c>
      <c r="AL152">
        <v>1000</v>
      </c>
    </row>
    <row r="153" spans="2:38" x14ac:dyDescent="0.25">
      <c r="B153">
        <v>823</v>
      </c>
      <c r="C153">
        <v>824</v>
      </c>
      <c r="D153">
        <v>798</v>
      </c>
      <c r="E153">
        <v>809</v>
      </c>
      <c r="F153">
        <v>777</v>
      </c>
      <c r="G153">
        <v>738</v>
      </c>
      <c r="H153">
        <v>709</v>
      </c>
      <c r="I153">
        <v>681</v>
      </c>
      <c r="J153">
        <v>696</v>
      </c>
      <c r="K153">
        <v>698</v>
      </c>
      <c r="L153">
        <v>699</v>
      </c>
      <c r="M153">
        <v>696</v>
      </c>
      <c r="N153">
        <v>692</v>
      </c>
      <c r="O153">
        <v>697</v>
      </c>
      <c r="P153">
        <v>697</v>
      </c>
      <c r="Q153">
        <v>683</v>
      </c>
      <c r="R153">
        <v>704</v>
      </c>
      <c r="S153">
        <v>695</v>
      </c>
      <c r="U153">
        <v>1159</v>
      </c>
      <c r="V153">
        <v>1184</v>
      </c>
      <c r="W153">
        <v>1259</v>
      </c>
      <c r="X153">
        <v>1416</v>
      </c>
      <c r="Y153">
        <v>1477</v>
      </c>
      <c r="Z153">
        <v>989</v>
      </c>
      <c r="AA153">
        <v>1043</v>
      </c>
      <c r="AB153">
        <v>829</v>
      </c>
      <c r="AC153">
        <v>894</v>
      </c>
      <c r="AD153">
        <v>890</v>
      </c>
      <c r="AE153">
        <v>828</v>
      </c>
      <c r="AF153">
        <v>887</v>
      </c>
      <c r="AG153">
        <v>841</v>
      </c>
      <c r="AH153">
        <v>830</v>
      </c>
      <c r="AI153">
        <v>890</v>
      </c>
      <c r="AJ153">
        <v>873</v>
      </c>
      <c r="AK153">
        <v>886</v>
      </c>
      <c r="AL153">
        <v>800</v>
      </c>
    </row>
    <row r="154" spans="2:38" x14ac:dyDescent="0.25">
      <c r="B154">
        <v>797</v>
      </c>
      <c r="C154">
        <v>817</v>
      </c>
      <c r="D154">
        <v>813</v>
      </c>
      <c r="E154">
        <v>797</v>
      </c>
      <c r="F154">
        <v>765</v>
      </c>
      <c r="G154">
        <v>740</v>
      </c>
      <c r="H154">
        <v>727</v>
      </c>
      <c r="I154">
        <v>674</v>
      </c>
      <c r="J154">
        <v>688</v>
      </c>
      <c r="K154">
        <v>677</v>
      </c>
      <c r="L154">
        <v>678</v>
      </c>
      <c r="M154">
        <v>681</v>
      </c>
      <c r="N154">
        <v>688</v>
      </c>
      <c r="O154">
        <v>685</v>
      </c>
      <c r="P154">
        <v>690</v>
      </c>
      <c r="Q154">
        <v>684</v>
      </c>
      <c r="R154">
        <v>698</v>
      </c>
      <c r="S154">
        <v>713</v>
      </c>
      <c r="U154">
        <v>1193</v>
      </c>
      <c r="V154">
        <v>1139</v>
      </c>
      <c r="W154">
        <v>1113</v>
      </c>
      <c r="X154">
        <v>1189</v>
      </c>
      <c r="Y154">
        <v>1017</v>
      </c>
      <c r="Z154">
        <v>978</v>
      </c>
      <c r="AA154">
        <v>969</v>
      </c>
      <c r="AB154">
        <v>964</v>
      </c>
      <c r="AC154">
        <v>911</v>
      </c>
      <c r="AD154">
        <v>800</v>
      </c>
      <c r="AE154">
        <v>819</v>
      </c>
      <c r="AF154">
        <v>807</v>
      </c>
      <c r="AG154">
        <v>802</v>
      </c>
      <c r="AH154">
        <v>806</v>
      </c>
      <c r="AI154">
        <v>838</v>
      </c>
      <c r="AJ154">
        <v>887</v>
      </c>
      <c r="AK154">
        <v>756</v>
      </c>
      <c r="AL154">
        <v>799</v>
      </c>
    </row>
    <row r="155" spans="2:38" x14ac:dyDescent="0.25">
      <c r="B155">
        <v>811</v>
      </c>
      <c r="C155">
        <v>822</v>
      </c>
      <c r="D155">
        <v>796</v>
      </c>
      <c r="E155">
        <v>769</v>
      </c>
      <c r="F155">
        <v>764</v>
      </c>
      <c r="G155">
        <v>733</v>
      </c>
      <c r="H155">
        <v>707</v>
      </c>
      <c r="I155">
        <v>686</v>
      </c>
      <c r="J155">
        <v>672</v>
      </c>
      <c r="K155">
        <v>667</v>
      </c>
      <c r="L155">
        <v>665</v>
      </c>
      <c r="M155">
        <v>673</v>
      </c>
      <c r="N155">
        <v>676</v>
      </c>
      <c r="O155">
        <v>679</v>
      </c>
      <c r="P155">
        <v>682</v>
      </c>
      <c r="Q155">
        <v>684</v>
      </c>
      <c r="R155">
        <v>687</v>
      </c>
      <c r="S155">
        <v>702</v>
      </c>
      <c r="U155">
        <v>1119</v>
      </c>
      <c r="V155">
        <v>1150</v>
      </c>
      <c r="W155">
        <v>1213</v>
      </c>
      <c r="X155">
        <v>1092</v>
      </c>
      <c r="Y155">
        <v>1099</v>
      </c>
      <c r="Z155">
        <v>964</v>
      </c>
      <c r="AA155">
        <v>959</v>
      </c>
      <c r="AB155">
        <v>880</v>
      </c>
      <c r="AC155">
        <v>815</v>
      </c>
      <c r="AD155">
        <v>755</v>
      </c>
      <c r="AE155">
        <v>743</v>
      </c>
      <c r="AF155">
        <v>757</v>
      </c>
      <c r="AG155">
        <v>715</v>
      </c>
      <c r="AH155">
        <v>762</v>
      </c>
      <c r="AI155">
        <v>668</v>
      </c>
      <c r="AJ155">
        <v>712</v>
      </c>
      <c r="AK155">
        <v>742</v>
      </c>
      <c r="AL155">
        <v>721</v>
      </c>
    </row>
    <row r="157" spans="2:38" x14ac:dyDescent="0.25">
      <c r="B157" t="s">
        <v>2</v>
      </c>
      <c r="C157" t="s">
        <v>15</v>
      </c>
      <c r="U157" t="s">
        <v>7</v>
      </c>
      <c r="V157" t="s">
        <v>20</v>
      </c>
    </row>
    <row r="158" spans="2:38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U158">
        <f t="shared" ref="U158:AL158" si="0">0*((10^-6))</f>
        <v>0</v>
      </c>
      <c r="V158">
        <f t="shared" si="0"/>
        <v>0</v>
      </c>
      <c r="W158">
        <f t="shared" si="0"/>
        <v>0</v>
      </c>
      <c r="X158">
        <f t="shared" si="0"/>
        <v>0</v>
      </c>
      <c r="Y158">
        <f t="shared" si="0"/>
        <v>0</v>
      </c>
      <c r="Z158">
        <f t="shared" si="0"/>
        <v>0</v>
      </c>
      <c r="AA158">
        <f t="shared" si="0"/>
        <v>0</v>
      </c>
      <c r="AB158">
        <f t="shared" si="0"/>
        <v>0</v>
      </c>
      <c r="AC158">
        <f t="shared" si="0"/>
        <v>0</v>
      </c>
      <c r="AD158">
        <f t="shared" si="0"/>
        <v>0</v>
      </c>
      <c r="AE158">
        <f t="shared" si="0"/>
        <v>0</v>
      </c>
      <c r="AF158">
        <f t="shared" si="0"/>
        <v>0</v>
      </c>
      <c r="AG158">
        <f t="shared" si="0"/>
        <v>0</v>
      </c>
      <c r="AH158">
        <f t="shared" si="0"/>
        <v>0</v>
      </c>
      <c r="AI158">
        <f t="shared" si="0"/>
        <v>0</v>
      </c>
      <c r="AJ158">
        <f t="shared" si="0"/>
        <v>0</v>
      </c>
      <c r="AK158">
        <f t="shared" si="0"/>
        <v>0</v>
      </c>
      <c r="AL158">
        <f t="shared" si="0"/>
        <v>0</v>
      </c>
    </row>
    <row r="159" spans="2:38" x14ac:dyDescent="0.25">
      <c r="B159">
        <v>0</v>
      </c>
      <c r="C159">
        <f>2067564 / (10^6)</f>
        <v>2.067564</v>
      </c>
      <c r="D159">
        <f>2063976 / (10^6)</f>
        <v>2.0639759999999998</v>
      </c>
      <c r="E159">
        <f>2063114 / (10^6)</f>
        <v>2.0631140000000001</v>
      </c>
      <c r="F159">
        <f>2065210 / (10^6)</f>
        <v>2.06521</v>
      </c>
      <c r="G159">
        <f>2059863 / (10^6)</f>
        <v>2.059863</v>
      </c>
      <c r="H159">
        <f>2065911 / (10^6)</f>
        <v>2.0659109999999998</v>
      </c>
      <c r="I159">
        <f>2078526 / (10^6)</f>
        <v>2.0785260000000001</v>
      </c>
      <c r="J159">
        <f>2078156 / (10^6)</f>
        <v>2.0781559999999999</v>
      </c>
      <c r="K159">
        <f>2078901 / (10^6)</f>
        <v>2.0789010000000001</v>
      </c>
      <c r="L159">
        <f>2078876 / (10^6)</f>
        <v>2.0788760000000002</v>
      </c>
      <c r="M159">
        <f>2092741 / (10^6)</f>
        <v>2.0927410000000002</v>
      </c>
      <c r="N159">
        <f>2093651 / (10^6)</f>
        <v>2.0936509999999999</v>
      </c>
      <c r="O159">
        <f>2106015 / (10^6)</f>
        <v>2.1060150000000002</v>
      </c>
      <c r="P159">
        <f>2100899 / (10^6)</f>
        <v>2.1008990000000001</v>
      </c>
      <c r="Q159">
        <f>2100783 / (10^6)</f>
        <v>2.1007829999999998</v>
      </c>
      <c r="R159">
        <f>2097854 / (10^6)</f>
        <v>2.0978539999999999</v>
      </c>
      <c r="S159">
        <f>2103800 / (10^6)</f>
        <v>2.1038000000000001</v>
      </c>
      <c r="U159">
        <f>0*((10^-6))</f>
        <v>0</v>
      </c>
      <c r="V159">
        <f>1302826*((10^-6))</f>
        <v>1.302826</v>
      </c>
      <c r="W159">
        <f>1302195*((10^-6))</f>
        <v>1.302195</v>
      </c>
      <c r="X159">
        <f>1301776*((10^-6))</f>
        <v>1.301776</v>
      </c>
      <c r="Y159">
        <f>1301548*((10^-6))</f>
        <v>1.3015479999999999</v>
      </c>
      <c r="Z159">
        <f>1301323*((10^-6))</f>
        <v>1.301323</v>
      </c>
      <c r="AA159">
        <f>1301490*((10^-6))</f>
        <v>1.30149</v>
      </c>
      <c r="AB159">
        <f>1301385*((10^-6))</f>
        <v>1.301385</v>
      </c>
      <c r="AC159">
        <f>1301014*((10^-6))</f>
        <v>1.3010139999999999</v>
      </c>
      <c r="AD159">
        <f>1301213*((10^-6))</f>
        <v>1.301213</v>
      </c>
      <c r="AE159">
        <f>1300627*((10^-6))</f>
        <v>1.300627</v>
      </c>
      <c r="AF159">
        <f>1300415*((10^-6))</f>
        <v>1.3004149999999999</v>
      </c>
      <c r="AG159">
        <f>1300780*((10^-6))</f>
        <v>1.30078</v>
      </c>
      <c r="AH159">
        <f>1300442*((10^-6))</f>
        <v>1.3004419999999999</v>
      </c>
      <c r="AI159">
        <f>1300502*((10^-6))</f>
        <v>1.300502</v>
      </c>
      <c r="AJ159">
        <f>1300569*((10^-6))</f>
        <v>1.3005689999999999</v>
      </c>
      <c r="AK159">
        <f>1300629*((10^-6))</f>
        <v>1.300629</v>
      </c>
      <c r="AL159">
        <f>1300374*((10^-6))</f>
        <v>1.3003739999999999</v>
      </c>
    </row>
    <row r="160" spans="2:38" x14ac:dyDescent="0.25">
      <c r="B160">
        <f>2106569 / (10^6)</f>
        <v>2.1065689999999999</v>
      </c>
      <c r="C160">
        <f>1073936 / (10^6)</f>
        <v>1.073936</v>
      </c>
      <c r="D160">
        <f>1073552 / (10^6)</f>
        <v>1.0735520000000001</v>
      </c>
      <c r="E160">
        <f>1146722 / (10^6)</f>
        <v>1.146722</v>
      </c>
      <c r="F160">
        <f>1448062 / (10^6)</f>
        <v>1.448062</v>
      </c>
      <c r="G160">
        <f>1364873 / (10^6)</f>
        <v>1.364873</v>
      </c>
      <c r="H160">
        <f>1719368 / (10^6)</f>
        <v>1.719368</v>
      </c>
      <c r="I160">
        <f>1604436 / (10^6)</f>
        <v>1.604436</v>
      </c>
      <c r="J160">
        <f>1589254 / (10^6)</f>
        <v>1.5892539999999999</v>
      </c>
      <c r="K160">
        <f>1593519 / (10^6)</f>
        <v>1.5935189999999999</v>
      </c>
      <c r="L160">
        <f>1581350 / (10^6)</f>
        <v>1.58135</v>
      </c>
      <c r="M160">
        <f>1577672 / (10^6)</f>
        <v>1.577672</v>
      </c>
      <c r="N160">
        <f>1588369 / (10^6)</f>
        <v>1.5883689999999999</v>
      </c>
      <c r="O160">
        <f>1636171 / (10^6)</f>
        <v>1.636171</v>
      </c>
      <c r="P160">
        <f>1089795 / (10^6)</f>
        <v>1.0897950000000001</v>
      </c>
      <c r="Q160">
        <f>1090781 / (10^6)</f>
        <v>1.090781</v>
      </c>
      <c r="R160">
        <f>1107613 / (10^6)</f>
        <v>1.107613</v>
      </c>
      <c r="S160">
        <f>1041672 / (10^6)</f>
        <v>1.0416719999999999</v>
      </c>
      <c r="U160">
        <f>1300545*((10^-6))</f>
        <v>1.3005449999999998</v>
      </c>
      <c r="V160">
        <f>1619182*((10^-6))</f>
        <v>1.6191819999999999</v>
      </c>
      <c r="W160">
        <f>1415670*((10^-6))</f>
        <v>1.41567</v>
      </c>
      <c r="X160">
        <f>1440263*((10^-6))</f>
        <v>1.4402629999999998</v>
      </c>
      <c r="Y160">
        <f>1616854*((10^-6))</f>
        <v>1.616854</v>
      </c>
      <c r="Z160">
        <f>1323586*((10^-6))</f>
        <v>1.3235859999999999</v>
      </c>
      <c r="AA160">
        <f>1222494*((10^-6))</f>
        <v>1.222494</v>
      </c>
      <c r="AB160">
        <f>1204671*((10^-6))</f>
        <v>1.204671</v>
      </c>
      <c r="AC160">
        <f>1170237*((10^-6))</f>
        <v>1.170237</v>
      </c>
      <c r="AD160">
        <f>1088981*((10^-6))</f>
        <v>1.088981</v>
      </c>
      <c r="AE160">
        <f>1033899*((10^-6))</f>
        <v>1.0338989999999999</v>
      </c>
      <c r="AF160">
        <f>969885*((10^-6))</f>
        <v>0.969885</v>
      </c>
      <c r="AG160">
        <f>955012*((10^-6))</f>
        <v>0.95501199999999997</v>
      </c>
      <c r="AH160">
        <f>859056*((10^-6))</f>
        <v>0.85905599999999993</v>
      </c>
      <c r="AI160">
        <f>790743*((10^-6))</f>
        <v>0.79074299999999997</v>
      </c>
      <c r="AJ160">
        <f>740443*((10^-6))</f>
        <v>0.74044299999999996</v>
      </c>
      <c r="AK160">
        <f>698287*((10^-6))</f>
        <v>0.69828699999999999</v>
      </c>
      <c r="AL160">
        <f>687869*((10^-6))</f>
        <v>0.68786899999999995</v>
      </c>
    </row>
    <row r="161" spans="2:38" x14ac:dyDescent="0.25">
      <c r="B161">
        <f>1065992 / (10^6)</f>
        <v>1.0659920000000001</v>
      </c>
      <c r="C161">
        <f>698598 / (10^6)</f>
        <v>0.69859800000000005</v>
      </c>
      <c r="D161">
        <f>699398 / (10^6)</f>
        <v>0.69939799999999996</v>
      </c>
      <c r="E161">
        <f>701488 / (10^6)</f>
        <v>0.701488</v>
      </c>
      <c r="F161">
        <f>700490 / (10^6)</f>
        <v>0.70048999999999995</v>
      </c>
      <c r="G161">
        <f>703619 / (10^6)</f>
        <v>0.70361899999999999</v>
      </c>
      <c r="H161">
        <f>702381 / (10^6)</f>
        <v>0.70238100000000003</v>
      </c>
      <c r="I161">
        <f>712634 / (10^6)</f>
        <v>0.71263399999999999</v>
      </c>
      <c r="J161">
        <f>701032 / (10^6)</f>
        <v>0.70103199999999999</v>
      </c>
      <c r="K161">
        <f>985449 / (10^6)</f>
        <v>0.98544900000000002</v>
      </c>
      <c r="L161">
        <f>990765 / (10^6)</f>
        <v>0.99076500000000001</v>
      </c>
      <c r="M161">
        <f>998899 / (10^6)</f>
        <v>0.99889899999999998</v>
      </c>
      <c r="N161">
        <f>996333 / (10^6)</f>
        <v>0.99633300000000002</v>
      </c>
      <c r="O161">
        <f>994022 / (10^6)</f>
        <v>0.99402199999999996</v>
      </c>
      <c r="P161">
        <f>1047687 / (10^6)</f>
        <v>1.047687</v>
      </c>
      <c r="Q161">
        <f>1014775 / (10^6)</f>
        <v>1.014775</v>
      </c>
      <c r="R161">
        <f>734048 / (10^6)</f>
        <v>0.73404800000000003</v>
      </c>
      <c r="S161">
        <f>1029513 / (10^6)</f>
        <v>1.0295129999999999</v>
      </c>
      <c r="U161">
        <f>667845*((10^-6))</f>
        <v>0.66784500000000002</v>
      </c>
      <c r="V161">
        <f>1489002*((10^-6))</f>
        <v>1.4890019999999999</v>
      </c>
      <c r="W161">
        <f>1360402*((10^-6))</f>
        <v>1.3604019999999999</v>
      </c>
      <c r="X161">
        <f>1264530*((10^-6))</f>
        <v>1.2645299999999999</v>
      </c>
      <c r="Y161">
        <f>1349928*((10^-6))</f>
        <v>1.349928</v>
      </c>
      <c r="Z161">
        <f>1002446*((10^-6))</f>
        <v>1.0024459999999999</v>
      </c>
      <c r="AA161">
        <f>940737*((10^-6))</f>
        <v>0.94073699999999993</v>
      </c>
      <c r="AB161">
        <f>908982*((10^-6))</f>
        <v>0.90898199999999996</v>
      </c>
      <c r="AC161">
        <f>857789*((10^-6))</f>
        <v>0.85778899999999991</v>
      </c>
      <c r="AD161">
        <f>705896*((10^-6))</f>
        <v>0.70589599999999997</v>
      </c>
      <c r="AE161">
        <f>619041*((10^-6))</f>
        <v>0.61904099999999995</v>
      </c>
      <c r="AF161">
        <f>570757*((10^-6))</f>
        <v>0.57075699999999996</v>
      </c>
      <c r="AG161">
        <f>527238*((10^-6))</f>
        <v>0.52723799999999998</v>
      </c>
      <c r="AH161">
        <f>496276*((10^-6))</f>
        <v>0.49627599999999999</v>
      </c>
      <c r="AI161">
        <f>458192*((10^-6))</f>
        <v>0.45819199999999999</v>
      </c>
      <c r="AJ161">
        <f>443634*((10^-6))</f>
        <v>0.44363399999999997</v>
      </c>
      <c r="AK161">
        <f>433591*((10^-6))</f>
        <v>0.433591</v>
      </c>
      <c r="AL161">
        <f>433069*((10^-6))</f>
        <v>0.43306899999999998</v>
      </c>
    </row>
    <row r="162" spans="2:38" x14ac:dyDescent="0.25">
      <c r="B162">
        <f>1104017 / (10^6)</f>
        <v>1.104017</v>
      </c>
      <c r="C162">
        <f>1003283 / (10^6)</f>
        <v>1.0032829999999999</v>
      </c>
      <c r="D162">
        <f>893401 / (10^6)</f>
        <v>0.893401</v>
      </c>
      <c r="E162">
        <f>926982 / (10^6)</f>
        <v>0.92698199999999997</v>
      </c>
      <c r="F162">
        <f>916291 / (10^6)</f>
        <v>0.91629099999999997</v>
      </c>
      <c r="G162">
        <f>916381 / (10^6)</f>
        <v>0.916381</v>
      </c>
      <c r="H162">
        <f>912500 / (10^6)</f>
        <v>0.91249999999999998</v>
      </c>
      <c r="I162">
        <f>905788 / (10^6)</f>
        <v>0.90578800000000004</v>
      </c>
      <c r="J162">
        <f>915882 / (10^6)</f>
        <v>0.91588199999999997</v>
      </c>
      <c r="K162">
        <f>910582 / (10^6)</f>
        <v>0.910582</v>
      </c>
      <c r="L162">
        <f>906963 / (10^6)</f>
        <v>0.90696299999999996</v>
      </c>
      <c r="M162">
        <f>919976 / (10^6)</f>
        <v>0.91997600000000002</v>
      </c>
      <c r="N162">
        <f>907976 / (10^6)</f>
        <v>0.90797600000000001</v>
      </c>
      <c r="O162">
        <f>915964 / (10^6)</f>
        <v>0.915964</v>
      </c>
      <c r="P162">
        <f>911973 / (10^6)</f>
        <v>0.91197300000000003</v>
      </c>
      <c r="Q162">
        <f>912205 / (10^6)</f>
        <v>0.91220500000000004</v>
      </c>
      <c r="R162">
        <f>915976 / (10^6)</f>
        <v>0.91597600000000001</v>
      </c>
      <c r="S162">
        <f>527749 / (10^6)</f>
        <v>0.52774900000000002</v>
      </c>
      <c r="U162">
        <f>433555*((10^-6))</f>
        <v>0.43355499999999997</v>
      </c>
      <c r="V162">
        <f>1360634*((10^-6))</f>
        <v>1.3606339999999999</v>
      </c>
      <c r="W162">
        <f>1095316*((10^-6))</f>
        <v>1.095316</v>
      </c>
      <c r="X162">
        <f>1024989*((10^-6))</f>
        <v>1.0249889999999999</v>
      </c>
      <c r="Y162">
        <f>865515*((10^-6))</f>
        <v>0.86551499999999992</v>
      </c>
      <c r="Z162">
        <f>818641*((10^-6))</f>
        <v>0.81864099999999995</v>
      </c>
      <c r="AA162">
        <f>631391*((10^-6))</f>
        <v>0.63139099999999992</v>
      </c>
      <c r="AB162">
        <f>567184*((10^-6))</f>
        <v>0.56718400000000002</v>
      </c>
      <c r="AC162">
        <f>566492*((10^-6))</f>
        <v>0.566492</v>
      </c>
      <c r="AD162">
        <f>482073*((10^-6))</f>
        <v>0.48207299999999997</v>
      </c>
      <c r="AE162">
        <f>358157*((10^-6))</f>
        <v>0.358157</v>
      </c>
      <c r="AF162">
        <f>386906*((10^-6))</f>
        <v>0.38690599999999997</v>
      </c>
      <c r="AG162">
        <f>346193*((10^-6))</f>
        <v>0.34619299999999997</v>
      </c>
      <c r="AH162">
        <f>342448*((10^-6))</f>
        <v>0.34244799999999997</v>
      </c>
      <c r="AI162">
        <f>323739*((10^-6))</f>
        <v>0.323739</v>
      </c>
      <c r="AJ162">
        <f>325002*((10^-6))</f>
        <v>0.32500199999999996</v>
      </c>
      <c r="AK162">
        <f>324477*((10^-6))</f>
        <v>0.32447699999999996</v>
      </c>
      <c r="AL162">
        <f>324604*((10^-6))</f>
        <v>0.324604</v>
      </c>
    </row>
    <row r="163" spans="2:38" x14ac:dyDescent="0.25">
      <c r="B163">
        <f>527994 / (10^6)</f>
        <v>0.52799399999999996</v>
      </c>
      <c r="C163">
        <f>609979 / (10^6)</f>
        <v>0.60997900000000005</v>
      </c>
      <c r="D163">
        <f>607291 / (10^6)</f>
        <v>0.60729100000000003</v>
      </c>
      <c r="E163">
        <f>603858 / (10^6)</f>
        <v>0.60385800000000001</v>
      </c>
      <c r="F163">
        <f>607843 / (10^6)</f>
        <v>0.60784300000000002</v>
      </c>
      <c r="G163">
        <f>606194 / (10^6)</f>
        <v>0.60619400000000001</v>
      </c>
      <c r="H163">
        <f>605097 / (10^6)</f>
        <v>0.605097</v>
      </c>
      <c r="I163">
        <f>605208 / (10^6)</f>
        <v>0.60520799999999997</v>
      </c>
      <c r="J163">
        <f>606670 / (10^6)</f>
        <v>0.60667000000000004</v>
      </c>
      <c r="K163">
        <f>606727 / (10^6)</f>
        <v>0.60672700000000002</v>
      </c>
      <c r="L163">
        <f>585178 / (10^6)</f>
        <v>0.58517799999999998</v>
      </c>
      <c r="M163">
        <f>617422 / (10^6)</f>
        <v>0.61742200000000003</v>
      </c>
      <c r="N163">
        <f>615572 / (10^6)</f>
        <v>0.61557200000000001</v>
      </c>
      <c r="O163">
        <f>615069 / (10^6)</f>
        <v>0.61506899999999998</v>
      </c>
      <c r="P163">
        <f>622841 / (10^6)</f>
        <v>0.62284099999999998</v>
      </c>
      <c r="Q163">
        <f>632038 / (10^6)</f>
        <v>0.63203799999999999</v>
      </c>
      <c r="R163">
        <f>625184 / (10^6)</f>
        <v>0.62518399999999996</v>
      </c>
      <c r="S163">
        <f>619720 / (10^6)</f>
        <v>0.61972000000000005</v>
      </c>
      <c r="U163">
        <f>324602*((10^-6))</f>
        <v>0.324602</v>
      </c>
      <c r="V163">
        <f>1306417*((10^-6))</f>
        <v>1.3064169999999999</v>
      </c>
      <c r="W163">
        <f>969502*((10^-6))</f>
        <v>0.96950199999999997</v>
      </c>
      <c r="X163">
        <f>803053*((10^-6))</f>
        <v>0.80305300000000002</v>
      </c>
      <c r="Y163">
        <f>764681*((10^-6))</f>
        <v>0.76468099999999994</v>
      </c>
      <c r="Z163">
        <f>625381*((10^-6))</f>
        <v>0.62538099999999996</v>
      </c>
      <c r="AA163">
        <f>508100*((10^-6))</f>
        <v>0.5081</v>
      </c>
      <c r="AB163">
        <f>480299*((10^-6))</f>
        <v>0.48029899999999998</v>
      </c>
      <c r="AC163">
        <f>413419*((10^-6))</f>
        <v>0.41341899999999998</v>
      </c>
      <c r="AD163">
        <f>341280*((10^-6))</f>
        <v>0.34127999999999997</v>
      </c>
      <c r="AE163">
        <f>325336*((10^-6))</f>
        <v>0.32533599999999996</v>
      </c>
      <c r="AF163">
        <f>284843*((10^-6))</f>
        <v>0.28484300000000001</v>
      </c>
      <c r="AG163">
        <f>278524*((10^-6))</f>
        <v>0.27852399999999999</v>
      </c>
      <c r="AH163">
        <f>263922*((10^-6))</f>
        <v>0.26392199999999999</v>
      </c>
      <c r="AI163">
        <f>260202*((10^-6))</f>
        <v>0.26020199999999999</v>
      </c>
      <c r="AJ163">
        <f>259698*((10^-6))</f>
        <v>0.25969799999999998</v>
      </c>
      <c r="AK163">
        <f>260064*((10^-6))</f>
        <v>0.26006399999999996</v>
      </c>
      <c r="AL163">
        <f>260239*((10^-6))</f>
        <v>0.260239</v>
      </c>
    </row>
    <row r="164" spans="2:38" x14ac:dyDescent="0.25">
      <c r="B164">
        <f>637385 / (10^6)</f>
        <v>0.63738499999999998</v>
      </c>
      <c r="C164">
        <f>586235 / (10^6)</f>
        <v>0.58623499999999995</v>
      </c>
      <c r="D164">
        <f>623626 / (10^6)</f>
        <v>0.62362600000000001</v>
      </c>
      <c r="E164">
        <f>591267 / (10^6)</f>
        <v>0.59126699999999999</v>
      </c>
      <c r="F164">
        <f>605625 / (10^6)</f>
        <v>0.60562499999999997</v>
      </c>
      <c r="G164">
        <f>613686 / (10^6)</f>
        <v>0.61368599999999995</v>
      </c>
      <c r="H164">
        <f>617922 / (10^6)</f>
        <v>0.61792199999999997</v>
      </c>
      <c r="I164">
        <f>615815 / (10^6)</f>
        <v>0.615815</v>
      </c>
      <c r="J164">
        <f>614858 / (10^6)</f>
        <v>0.61485800000000002</v>
      </c>
      <c r="K164">
        <f>618335 / (10^6)</f>
        <v>0.61833499999999997</v>
      </c>
      <c r="L164">
        <f>628383 / (10^6)</f>
        <v>0.62838300000000002</v>
      </c>
      <c r="M164">
        <f>619229 / (10^6)</f>
        <v>0.61922900000000003</v>
      </c>
      <c r="N164">
        <f>625360 / (10^6)</f>
        <v>0.62536000000000003</v>
      </c>
      <c r="O164">
        <f>622960 / (10^6)</f>
        <v>0.62295999999999996</v>
      </c>
      <c r="P164">
        <f>626569 / (10^6)</f>
        <v>0.62656900000000004</v>
      </c>
      <c r="Q164">
        <f>623788 / (10^6)</f>
        <v>0.62378800000000001</v>
      </c>
      <c r="R164">
        <f>626413 / (10^6)</f>
        <v>0.626413</v>
      </c>
      <c r="S164">
        <f>617428 / (10^6)</f>
        <v>0.61742799999999998</v>
      </c>
      <c r="U164">
        <f>260259*((10^-6))</f>
        <v>0.26025899999999996</v>
      </c>
      <c r="V164">
        <f>1210498*((10^-6))</f>
        <v>1.2104979999999999</v>
      </c>
      <c r="W164">
        <f>907912*((10^-6))</f>
        <v>0.90791199999999994</v>
      </c>
      <c r="X164">
        <f>810527*((10^-6))</f>
        <v>0.810527</v>
      </c>
      <c r="Y164">
        <f>691037*((10^-6))</f>
        <v>0.69103700000000001</v>
      </c>
      <c r="Z164">
        <f>567234*((10^-6))</f>
        <v>0.56723400000000002</v>
      </c>
      <c r="AA164">
        <f>461046*((10^-6))</f>
        <v>0.46104599999999996</v>
      </c>
      <c r="AB164">
        <f>416561*((10^-6))</f>
        <v>0.41656099999999996</v>
      </c>
      <c r="AC164">
        <f>371534*((10^-6))</f>
        <v>0.37153399999999998</v>
      </c>
      <c r="AD164">
        <f>308276*((10^-6))</f>
        <v>0.30827599999999999</v>
      </c>
      <c r="AE164">
        <f>296862*((10^-6))</f>
        <v>0.29686199999999996</v>
      </c>
      <c r="AF164">
        <f>260316*((10^-6))</f>
        <v>0.26031599999999999</v>
      </c>
      <c r="AG164">
        <f>252181*((10^-6))</f>
        <v>0.25218099999999999</v>
      </c>
      <c r="AH164">
        <f>241554*((10^-6))</f>
        <v>0.24155399999999999</v>
      </c>
      <c r="AI164">
        <f>240753*((10^-6))</f>
        <v>0.24075299999999999</v>
      </c>
      <c r="AJ164">
        <f>239207*((10^-6))</f>
        <v>0.239207</v>
      </c>
      <c r="AK164">
        <f>237397*((10^-6))</f>
        <v>0.237397</v>
      </c>
      <c r="AL164">
        <f>235859*((10^-6))</f>
        <v>0.23585899999999999</v>
      </c>
    </row>
    <row r="165" spans="2:38" x14ac:dyDescent="0.25">
      <c r="B165">
        <f>639980 / (10^6)</f>
        <v>0.63997999999999999</v>
      </c>
      <c r="C165">
        <f>625116 / (10^6)</f>
        <v>0.625116</v>
      </c>
      <c r="D165">
        <f>607968 / (10^6)</f>
        <v>0.60796799999999995</v>
      </c>
      <c r="E165">
        <f>597258 / (10^6)</f>
        <v>0.59725799999999996</v>
      </c>
      <c r="F165">
        <f>597154 / (10^6)</f>
        <v>0.59715399999999996</v>
      </c>
      <c r="G165">
        <f>574515 / (10^6)</f>
        <v>0.574515</v>
      </c>
      <c r="H165">
        <f>598192 / (10^6)</f>
        <v>0.59819199999999995</v>
      </c>
      <c r="I165">
        <f>596948 / (10^6)</f>
        <v>0.59694800000000003</v>
      </c>
      <c r="J165">
        <f>588550 / (10^6)</f>
        <v>0.58855000000000002</v>
      </c>
      <c r="K165">
        <f>570684 / (10^6)</f>
        <v>0.57068399999999997</v>
      </c>
      <c r="L165">
        <f>571478 / (10^6)</f>
        <v>0.57147800000000004</v>
      </c>
      <c r="M165">
        <f>606848 / (10^6)</f>
        <v>0.60684800000000005</v>
      </c>
      <c r="N165">
        <f>444823 / (10^6)</f>
        <v>0.44482300000000002</v>
      </c>
      <c r="O165">
        <f>445369 / (10^6)</f>
        <v>0.44536900000000001</v>
      </c>
      <c r="P165">
        <f>444581 / (10^6)</f>
        <v>0.444581</v>
      </c>
      <c r="Q165">
        <f>444912 / (10^6)</f>
        <v>0.44491199999999997</v>
      </c>
      <c r="R165">
        <f>446022 / (10^6)</f>
        <v>0.44602199999999997</v>
      </c>
      <c r="S165">
        <f>446099 / (10^6)</f>
        <v>0.44609900000000002</v>
      </c>
      <c r="U165">
        <f>238142*((10^-6))</f>
        <v>0.23814199999999999</v>
      </c>
      <c r="V165">
        <f>1059332*((10^-6))</f>
        <v>1.0593319999999999</v>
      </c>
      <c r="W165">
        <f>857597*((10^-6))</f>
        <v>0.85759699999999994</v>
      </c>
      <c r="X165">
        <f>739827*((10^-6))</f>
        <v>0.73982700000000001</v>
      </c>
      <c r="Y165">
        <f>680958*((10^-6))</f>
        <v>0.68095799999999995</v>
      </c>
      <c r="Z165">
        <f>543975*((10^-6))</f>
        <v>0.54397499999999999</v>
      </c>
      <c r="AA165">
        <f>456835*((10^-6))</f>
        <v>0.45683499999999999</v>
      </c>
      <c r="AB165">
        <f>377236*((10^-6))</f>
        <v>0.37723599999999996</v>
      </c>
      <c r="AC165">
        <f>355406*((10^-6))</f>
        <v>0.355406</v>
      </c>
      <c r="AD165">
        <f>307580*((10^-6))</f>
        <v>0.30757999999999996</v>
      </c>
      <c r="AE165">
        <f>284348*((10^-6))</f>
        <v>0.28434799999999999</v>
      </c>
      <c r="AF165">
        <f>271972*((10^-6))</f>
        <v>0.27197199999999999</v>
      </c>
      <c r="AG165">
        <f>263493*((10^-6))</f>
        <v>0.26349299999999998</v>
      </c>
      <c r="AH165">
        <f>249427*((10^-6))</f>
        <v>0.24942699999999998</v>
      </c>
      <c r="AI165">
        <f>245858*((10^-6))</f>
        <v>0.24585799999999999</v>
      </c>
      <c r="AJ165">
        <f>239914*((10^-6))</f>
        <v>0.23991399999999999</v>
      </c>
      <c r="AK165">
        <f>234668*((10^-6))</f>
        <v>0.23466799999999999</v>
      </c>
      <c r="AL165">
        <f>238332*((10^-6))</f>
        <v>0.23833199999999999</v>
      </c>
    </row>
    <row r="166" spans="2:38" x14ac:dyDescent="0.25">
      <c r="B166">
        <f>443745 / (10^6)</f>
        <v>0.443745</v>
      </c>
      <c r="C166">
        <f>446895 / (10^6)</f>
        <v>0.44689499999999999</v>
      </c>
      <c r="D166">
        <f>448892 / (10^6)</f>
        <v>0.44889200000000001</v>
      </c>
      <c r="E166">
        <f>425198 / (10^6)</f>
        <v>0.42519800000000002</v>
      </c>
      <c r="F166">
        <f>396744 / (10^6)</f>
        <v>0.39674399999999999</v>
      </c>
      <c r="G166">
        <f>408675 / (10^6)</f>
        <v>0.40867500000000001</v>
      </c>
      <c r="H166">
        <f>406810 / (10^6)</f>
        <v>0.40681</v>
      </c>
      <c r="I166">
        <f>399514 / (10^6)</f>
        <v>0.39951399999999998</v>
      </c>
      <c r="J166">
        <f>402516 / (10^6)</f>
        <v>0.40251599999999998</v>
      </c>
      <c r="K166">
        <f>400389 / (10^6)</f>
        <v>0.40038899999999999</v>
      </c>
      <c r="L166">
        <f>416297 / (10^6)</f>
        <v>0.41629699999999997</v>
      </c>
      <c r="M166">
        <f>394429 / (10^6)</f>
        <v>0.39442899999999997</v>
      </c>
      <c r="N166">
        <f>403744 / (10^6)</f>
        <v>0.40374399999999999</v>
      </c>
      <c r="O166">
        <f>398448 / (10^6)</f>
        <v>0.39844800000000002</v>
      </c>
      <c r="P166">
        <f>397516 / (10^6)</f>
        <v>0.39751599999999998</v>
      </c>
      <c r="Q166">
        <f>434339 / (10^6)</f>
        <v>0.43433899999999998</v>
      </c>
      <c r="R166">
        <f>394282 / (10^6)</f>
        <v>0.39428200000000002</v>
      </c>
      <c r="S166">
        <f>398183 / (10^6)</f>
        <v>0.39818300000000001</v>
      </c>
      <c r="U166">
        <f>236342*((10^-6))</f>
        <v>0.236342</v>
      </c>
      <c r="V166">
        <f>1034462*((10^-6))</f>
        <v>1.034462</v>
      </c>
      <c r="W166">
        <f>801484*((10^-6))</f>
        <v>0.80148399999999997</v>
      </c>
      <c r="X166">
        <f>724324*((10^-6))</f>
        <v>0.72432399999999997</v>
      </c>
      <c r="Y166">
        <f>622298*((10^-6))</f>
        <v>0.62229800000000002</v>
      </c>
      <c r="Z166">
        <f>511819*((10^-6))</f>
        <v>0.51181900000000002</v>
      </c>
      <c r="AA166">
        <f>416179*((10^-6))</f>
        <v>0.41617899999999997</v>
      </c>
      <c r="AB166">
        <f>364084*((10^-6))</f>
        <v>0.36408399999999996</v>
      </c>
      <c r="AC166">
        <f>334220*((10^-6))</f>
        <v>0.33421999999999996</v>
      </c>
      <c r="AD166">
        <f>294330*((10^-6))</f>
        <v>0.29432999999999998</v>
      </c>
      <c r="AE166">
        <f>277484*((10^-6))</f>
        <v>0.27748400000000001</v>
      </c>
      <c r="AF166">
        <f>266489*((10^-6))</f>
        <v>0.26648899999999998</v>
      </c>
      <c r="AG166">
        <f>263796*((10^-6))</f>
        <v>0.26379599999999997</v>
      </c>
      <c r="AH166">
        <f>250763*((10^-6))</f>
        <v>0.25076300000000001</v>
      </c>
      <c r="AI166">
        <f>246929*((10^-6))</f>
        <v>0.24692899999999998</v>
      </c>
      <c r="AJ166">
        <f>242224*((10^-6))</f>
        <v>0.24222399999999999</v>
      </c>
      <c r="AK166">
        <f>238525*((10^-6))</f>
        <v>0.23852499999999999</v>
      </c>
      <c r="AL166">
        <f>239106*((10^-6))</f>
        <v>0.23910599999999999</v>
      </c>
    </row>
    <row r="167" spans="2:38" x14ac:dyDescent="0.25">
      <c r="B167">
        <f>396061 / (10^6)</f>
        <v>0.396061</v>
      </c>
      <c r="C167">
        <f>430122 / (10^6)</f>
        <v>0.430122</v>
      </c>
      <c r="D167">
        <f>403503 / (10^6)</f>
        <v>0.403503</v>
      </c>
      <c r="E167">
        <f>413276 / (10^6)</f>
        <v>0.41327599999999998</v>
      </c>
      <c r="F167">
        <f>399628 / (10^6)</f>
        <v>0.39962799999999998</v>
      </c>
      <c r="G167">
        <f>404091 / (10^6)</f>
        <v>0.40409099999999998</v>
      </c>
      <c r="H167">
        <f>401746 / (10^6)</f>
        <v>0.40174599999999999</v>
      </c>
      <c r="I167">
        <f>395648 / (10^6)</f>
        <v>0.395648</v>
      </c>
      <c r="J167">
        <f>404018 / (10^6)</f>
        <v>0.40401799999999999</v>
      </c>
      <c r="K167">
        <f>401101 / (10^6)</f>
        <v>0.40110099999999999</v>
      </c>
      <c r="L167">
        <f>395615 / (10^6)</f>
        <v>0.39561499999999999</v>
      </c>
      <c r="M167">
        <f>399892 / (10^6)</f>
        <v>0.39989200000000003</v>
      </c>
      <c r="N167">
        <f>398958 / (10^6)</f>
        <v>0.39895799999999998</v>
      </c>
      <c r="O167">
        <f>392618 / (10^6)</f>
        <v>0.39261800000000002</v>
      </c>
      <c r="P167">
        <f>395601 / (10^6)</f>
        <v>0.39560099999999998</v>
      </c>
      <c r="Q167">
        <f>401700 / (10^6)</f>
        <v>0.4017</v>
      </c>
      <c r="R167">
        <f>396579 / (10^6)</f>
        <v>0.39657900000000001</v>
      </c>
      <c r="S167">
        <f>397778 / (10^6)</f>
        <v>0.39777800000000002</v>
      </c>
      <c r="U167">
        <f>238047*((10^-6))</f>
        <v>0.23804699999999998</v>
      </c>
      <c r="V167">
        <f>1015506*((10^-6))</f>
        <v>1.015506</v>
      </c>
      <c r="W167">
        <f>787134*((10^-6))</f>
        <v>0.787134</v>
      </c>
      <c r="X167">
        <f>695518*((10^-6))</f>
        <v>0.69551799999999997</v>
      </c>
      <c r="Y167">
        <f>600234*((10^-6))</f>
        <v>0.60023399999999993</v>
      </c>
      <c r="Z167">
        <f>493632*((10^-6))</f>
        <v>0.49363199999999996</v>
      </c>
      <c r="AA167">
        <f>396098*((10^-6))</f>
        <v>0.39609800000000001</v>
      </c>
      <c r="AB167">
        <f>339380*((10^-6))</f>
        <v>0.33937999999999996</v>
      </c>
      <c r="AC167">
        <f>314137*((10^-6))</f>
        <v>0.314137</v>
      </c>
      <c r="AD167">
        <f>281473*((10^-6))</f>
        <v>0.28147299999999997</v>
      </c>
      <c r="AE167">
        <f>266315*((10^-6))</f>
        <v>0.26631499999999997</v>
      </c>
      <c r="AF167">
        <f>258751*((10^-6))</f>
        <v>0.25875100000000001</v>
      </c>
      <c r="AG167">
        <f>258678*((10^-6))</f>
        <v>0.25867799999999996</v>
      </c>
      <c r="AH167">
        <f>247904*((10^-6))</f>
        <v>0.24790399999999999</v>
      </c>
      <c r="AI167">
        <f>246622*((10^-6))</f>
        <v>0.24662199999999998</v>
      </c>
      <c r="AJ167">
        <f>242973*((10^-6))</f>
        <v>0.24297299999999999</v>
      </c>
      <c r="AK167">
        <f>240750*((10^-6))</f>
        <v>0.24074999999999999</v>
      </c>
      <c r="AL167">
        <f>239077*((10^-6))</f>
        <v>0.23907699999999998</v>
      </c>
    </row>
    <row r="168" spans="2:38" x14ac:dyDescent="0.25">
      <c r="B168">
        <f>395471 / (10^6)</f>
        <v>0.39547100000000002</v>
      </c>
      <c r="C168">
        <f>407129 / (10^6)</f>
        <v>0.40712900000000002</v>
      </c>
      <c r="D168">
        <f>375903 / (10^6)</f>
        <v>0.37590299999999999</v>
      </c>
      <c r="E168">
        <f>385531 / (10^6)</f>
        <v>0.38553100000000001</v>
      </c>
      <c r="F168">
        <f>375233 / (10^6)</f>
        <v>0.37523299999999998</v>
      </c>
      <c r="G168">
        <f>370298 / (10^6)</f>
        <v>0.37029800000000002</v>
      </c>
      <c r="H168">
        <f>375416 / (10^6)</f>
        <v>0.37541600000000003</v>
      </c>
      <c r="I168">
        <f>368165 / (10^6)</f>
        <v>0.36816500000000002</v>
      </c>
      <c r="J168">
        <f>375508 / (10^6)</f>
        <v>0.37550800000000001</v>
      </c>
      <c r="K168">
        <f>371831 / (10^6)</f>
        <v>0.37183100000000002</v>
      </c>
      <c r="L168">
        <f>371546 / (10^6)</f>
        <v>0.37154599999999999</v>
      </c>
      <c r="M168">
        <f>373393 / (10^6)</f>
        <v>0.37339299999999997</v>
      </c>
      <c r="N168">
        <f>371418 / (10^6)</f>
        <v>0.37141800000000003</v>
      </c>
      <c r="O168">
        <f>370059 / (10^6)</f>
        <v>0.37005900000000003</v>
      </c>
      <c r="P168">
        <f>370713 / (10^6)</f>
        <v>0.37071300000000001</v>
      </c>
      <c r="Q168">
        <f>371787 / (10^6)</f>
        <v>0.37178699999999998</v>
      </c>
      <c r="R168">
        <f>372786 / (10^6)</f>
        <v>0.37278600000000001</v>
      </c>
      <c r="S168">
        <f>368147 / (10^6)</f>
        <v>0.368147</v>
      </c>
      <c r="U168">
        <f>240177*((10^-6))</f>
        <v>0.240177</v>
      </c>
      <c r="V168">
        <f>940196*((10^-6))</f>
        <v>0.94019599999999992</v>
      </c>
      <c r="W168">
        <f>740178*((10^-6))</f>
        <v>0.740178</v>
      </c>
      <c r="X168">
        <f>658129*((10^-6))</f>
        <v>0.65812899999999996</v>
      </c>
      <c r="Y168">
        <f>574847*((10^-6))</f>
        <v>0.574847</v>
      </c>
      <c r="Z168">
        <f>477045*((10^-6))</f>
        <v>0.477045</v>
      </c>
      <c r="AA168">
        <f>381977*((10^-6))</f>
        <v>0.38197699999999996</v>
      </c>
      <c r="AB168">
        <f>326406*((10^-6))</f>
        <v>0.32640599999999997</v>
      </c>
      <c r="AC168">
        <f>289355*((10^-6))</f>
        <v>0.28935499999999997</v>
      </c>
      <c r="AD168">
        <f>265926*((10^-6))</f>
        <v>0.265926</v>
      </c>
      <c r="AE168">
        <f>252625*((10^-6))</f>
        <v>0.25262499999999999</v>
      </c>
      <c r="AF168">
        <f>249578*((10^-6))</f>
        <v>0.24957799999999999</v>
      </c>
      <c r="AG168">
        <f>244572*((10^-6))</f>
        <v>0.24457199999999998</v>
      </c>
      <c r="AH168">
        <f>244332*((10^-6))</f>
        <v>0.24433199999999999</v>
      </c>
      <c r="AI168">
        <f>241309*((10^-6))</f>
        <v>0.241309</v>
      </c>
      <c r="AJ168">
        <f>240671*((10^-6))</f>
        <v>0.240671</v>
      </c>
      <c r="AK168">
        <f>239650*((10^-6))</f>
        <v>0.23965</v>
      </c>
      <c r="AL168">
        <f>239801*((10^-6))</f>
        <v>0.23980099999999999</v>
      </c>
    </row>
    <row r="169" spans="2:38" x14ac:dyDescent="0.25">
      <c r="B169">
        <f>371429 / (10^6)</f>
        <v>0.37142900000000001</v>
      </c>
      <c r="C169">
        <f>402220 / (10^6)</f>
        <v>0.40222000000000002</v>
      </c>
      <c r="D169">
        <f>386676 / (10^6)</f>
        <v>0.38667600000000002</v>
      </c>
      <c r="E169">
        <f>362488 / (10^6)</f>
        <v>0.36248799999999998</v>
      </c>
      <c r="F169">
        <f>361422 / (10^6)</f>
        <v>0.36142200000000002</v>
      </c>
      <c r="G169">
        <f>348404 / (10^6)</f>
        <v>0.34840399999999999</v>
      </c>
      <c r="H169">
        <f>347655 / (10^6)</f>
        <v>0.34765499999999999</v>
      </c>
      <c r="I169">
        <f>345686 / (10^6)</f>
        <v>0.34568599999999999</v>
      </c>
      <c r="J169">
        <f>344009 / (10^6)</f>
        <v>0.34400900000000001</v>
      </c>
      <c r="K169">
        <f>345809 / (10^6)</f>
        <v>0.34580899999999998</v>
      </c>
      <c r="L169">
        <f>341214 / (10^6)</f>
        <v>0.34121400000000002</v>
      </c>
      <c r="M169">
        <f>342048 / (10^6)</f>
        <v>0.34204800000000002</v>
      </c>
      <c r="N169">
        <f>339192 / (10^6)</f>
        <v>0.33919199999999999</v>
      </c>
      <c r="O169">
        <f>340684 / (10^6)</f>
        <v>0.34068399999999999</v>
      </c>
      <c r="P169">
        <f>341030 / (10^6)</f>
        <v>0.34103</v>
      </c>
      <c r="Q169">
        <f>341055 / (10^6)</f>
        <v>0.341055</v>
      </c>
      <c r="R169">
        <f>340504 / (10^6)</f>
        <v>0.34050399999999997</v>
      </c>
      <c r="S169">
        <f>339886 / (10^6)</f>
        <v>0.33988600000000002</v>
      </c>
      <c r="U169">
        <f>237070*((10^-6))</f>
        <v>0.23707</v>
      </c>
      <c r="V169">
        <f>987272*((10^-6))</f>
        <v>0.98727199999999993</v>
      </c>
      <c r="W169">
        <f>736462*((10^-6))</f>
        <v>0.73646199999999995</v>
      </c>
      <c r="X169">
        <f>646023*((10^-6))</f>
        <v>0.64602300000000001</v>
      </c>
      <c r="Y169">
        <f>559563*((10^-6))</f>
        <v>0.55956299999999992</v>
      </c>
      <c r="Z169">
        <f>459040*((10^-6))</f>
        <v>0.45904</v>
      </c>
      <c r="AA169">
        <f>371317*((10^-6))</f>
        <v>0.37131700000000001</v>
      </c>
      <c r="AB169">
        <f>315918*((10^-6))</f>
        <v>0.31591799999999998</v>
      </c>
      <c r="AC169">
        <f>269647*((10^-6))</f>
        <v>0.26964699999999997</v>
      </c>
      <c r="AD169">
        <f>247508*((10^-6))</f>
        <v>0.24750799999999998</v>
      </c>
      <c r="AE169">
        <f>239473*((10^-6))</f>
        <v>0.23947299999999999</v>
      </c>
      <c r="AF169">
        <f>239279*((10^-6))</f>
        <v>0.23927899999999999</v>
      </c>
      <c r="AG169">
        <f>237405*((10^-6))</f>
        <v>0.23740499999999998</v>
      </c>
      <c r="AH169">
        <f>237881*((10^-6))</f>
        <v>0.23788099999999998</v>
      </c>
      <c r="AI169">
        <f>237681*((10^-6))</f>
        <v>0.23768099999999998</v>
      </c>
      <c r="AJ169">
        <f>237117*((10^-6))</f>
        <v>0.23711699999999999</v>
      </c>
      <c r="AK169">
        <f>238089*((10^-6))</f>
        <v>0.238089</v>
      </c>
      <c r="AL169">
        <f>236050*((10^-6))</f>
        <v>0.23604999999999998</v>
      </c>
    </row>
    <row r="171" spans="2:38" x14ac:dyDescent="0.25">
      <c r="B171" t="s">
        <v>12</v>
      </c>
      <c r="C171" t="s">
        <v>15</v>
      </c>
    </row>
    <row r="172" spans="2:38" x14ac:dyDescent="0.25">
      <c r="B172">
        <f t="shared" ref="B172:S172" si="1">0*(10^-6)</f>
        <v>0</v>
      </c>
      <c r="C172">
        <f t="shared" si="1"/>
        <v>0</v>
      </c>
      <c r="D172">
        <f t="shared" si="1"/>
        <v>0</v>
      </c>
      <c r="E172">
        <f t="shared" si="1"/>
        <v>0</v>
      </c>
      <c r="F172">
        <f t="shared" si="1"/>
        <v>0</v>
      </c>
      <c r="G172">
        <f t="shared" si="1"/>
        <v>0</v>
      </c>
      <c r="H172">
        <f t="shared" si="1"/>
        <v>0</v>
      </c>
      <c r="I172">
        <f t="shared" si="1"/>
        <v>0</v>
      </c>
      <c r="J172">
        <f t="shared" si="1"/>
        <v>0</v>
      </c>
      <c r="K172">
        <f t="shared" si="1"/>
        <v>0</v>
      </c>
      <c r="L172">
        <f t="shared" si="1"/>
        <v>0</v>
      </c>
      <c r="M172">
        <f t="shared" si="1"/>
        <v>0</v>
      </c>
      <c r="N172">
        <f t="shared" si="1"/>
        <v>0</v>
      </c>
      <c r="O172">
        <f t="shared" si="1"/>
        <v>0</v>
      </c>
      <c r="P172">
        <f t="shared" si="1"/>
        <v>0</v>
      </c>
      <c r="Q172">
        <f t="shared" si="1"/>
        <v>0</v>
      </c>
      <c r="R172">
        <f t="shared" si="1"/>
        <v>0</v>
      </c>
      <c r="S172">
        <f t="shared" si="1"/>
        <v>0</v>
      </c>
    </row>
    <row r="173" spans="2:38" x14ac:dyDescent="0.25">
      <c r="B173">
        <f>0*(10^-6)</f>
        <v>0</v>
      </c>
      <c r="C173">
        <f>1300229*(10^-6)</f>
        <v>1.3002289999999999</v>
      </c>
      <c r="D173">
        <f>1300477*(10^-6)</f>
        <v>1.3004769999999999</v>
      </c>
      <c r="E173">
        <f>1299727*(10^-6)</f>
        <v>1.2997269999999999</v>
      </c>
      <c r="F173">
        <f>1299669*(10^-6)</f>
        <v>1.299669</v>
      </c>
      <c r="G173">
        <f>1300247*(10^-6)</f>
        <v>1.3002469999999999</v>
      </c>
      <c r="H173">
        <f>1300225*(10^-6)</f>
        <v>1.300225</v>
      </c>
      <c r="I173">
        <f>1299746*(10^-6)</f>
        <v>1.2997459999999998</v>
      </c>
      <c r="J173">
        <f>1299892*(10^-6)</f>
        <v>1.299892</v>
      </c>
      <c r="K173">
        <f>1300678*(10^-6)</f>
        <v>1.300678</v>
      </c>
      <c r="L173">
        <f>1299516*(10^-6)</f>
        <v>1.2995159999999999</v>
      </c>
      <c r="M173">
        <f>1298419*(10^-6)</f>
        <v>1.298419</v>
      </c>
      <c r="N173">
        <f>1298648*(10^-6)</f>
        <v>1.298648</v>
      </c>
      <c r="O173">
        <f>1298853*(10^-6)</f>
        <v>1.298853</v>
      </c>
      <c r="P173">
        <f>1298610*(10^-6)</f>
        <v>1.29861</v>
      </c>
      <c r="Q173">
        <f>1299084*(10^-6)</f>
        <v>1.2990839999999999</v>
      </c>
      <c r="R173">
        <f>1299204*(10^-6)</f>
        <v>1.299204</v>
      </c>
      <c r="S173">
        <f>1298336*(10^-6)</f>
        <v>1.2983359999999999</v>
      </c>
    </row>
    <row r="174" spans="2:38" x14ac:dyDescent="0.25">
      <c r="B174">
        <f>1298656*(10^-6)</f>
        <v>1.298656</v>
      </c>
      <c r="C174">
        <f>650998*(10^-6)</f>
        <v>0.65099799999999997</v>
      </c>
      <c r="D174">
        <f>650754*(10^-6)</f>
        <v>0.65075399999999994</v>
      </c>
      <c r="E174">
        <f>650526*(10^-6)</f>
        <v>0.65052599999999994</v>
      </c>
      <c r="F174">
        <f>650466*(10^-6)</f>
        <v>0.65046599999999999</v>
      </c>
      <c r="G174">
        <f>651368*(10^-6)</f>
        <v>0.65136799999999995</v>
      </c>
      <c r="H174">
        <f>651486*(10^-6)</f>
        <v>0.65148600000000001</v>
      </c>
      <c r="I174">
        <f>651460*(10^-6)</f>
        <v>0.65145999999999993</v>
      </c>
      <c r="J174">
        <f>651463*(10^-6)</f>
        <v>0.65146300000000001</v>
      </c>
      <c r="K174">
        <f>651437*(10^-6)</f>
        <v>0.65143699999999993</v>
      </c>
      <c r="L174">
        <f>651430*(10^-6)</f>
        <v>0.65142999999999995</v>
      </c>
      <c r="M174">
        <f>651288*(10^-6)</f>
        <v>0.65128799999999998</v>
      </c>
      <c r="N174">
        <f>651322*(10^-6)</f>
        <v>0.65132199999999996</v>
      </c>
      <c r="O174">
        <f>651514*(10^-6)</f>
        <v>0.65151399999999993</v>
      </c>
      <c r="P174">
        <f>651419*(10^-6)</f>
        <v>0.65141899999999997</v>
      </c>
      <c r="Q174">
        <f>651356*(10^-6)</f>
        <v>0.65135599999999994</v>
      </c>
      <c r="R174">
        <f>651307*(10^-6)</f>
        <v>0.65130699999999997</v>
      </c>
      <c r="S174">
        <f>651416*(10^-6)</f>
        <v>0.651416</v>
      </c>
    </row>
    <row r="175" spans="2:38" x14ac:dyDescent="0.25">
      <c r="B175">
        <f>651200*(10^-6)</f>
        <v>0.6512</v>
      </c>
      <c r="C175">
        <f>434881*(10^-6)</f>
        <v>0.43488099999999996</v>
      </c>
      <c r="D175">
        <f>435048*(10^-6)</f>
        <v>0.43504799999999999</v>
      </c>
      <c r="E175">
        <f>434963*(10^-6)</f>
        <v>0.43496299999999999</v>
      </c>
      <c r="F175">
        <f>434858*(10^-6)</f>
        <v>0.43485799999999997</v>
      </c>
      <c r="G175">
        <f>434497*(10^-6)</f>
        <v>0.43449699999999997</v>
      </c>
      <c r="H175">
        <f>434585*(10^-6)</f>
        <v>0.434585</v>
      </c>
      <c r="I175">
        <f>434642*(10^-6)</f>
        <v>0.43464199999999997</v>
      </c>
      <c r="J175">
        <f>434449*(10^-6)</f>
        <v>0.43444899999999997</v>
      </c>
      <c r="K175">
        <f>434638*(10^-6)</f>
        <v>0.43463799999999997</v>
      </c>
      <c r="L175">
        <f>434627*(10^-6)</f>
        <v>0.43462699999999999</v>
      </c>
      <c r="M175">
        <f>434602*(10^-6)</f>
        <v>0.43460199999999999</v>
      </c>
      <c r="N175">
        <f>433913*(10^-6)</f>
        <v>0.43391299999999999</v>
      </c>
      <c r="O175">
        <f>433663*(10^-6)</f>
        <v>0.43366299999999997</v>
      </c>
      <c r="P175">
        <f>434410*(10^-6)</f>
        <v>0.43440999999999996</v>
      </c>
      <c r="Q175">
        <f>434746*(10^-6)</f>
        <v>0.43474599999999997</v>
      </c>
      <c r="R175">
        <f>434559*(10^-6)</f>
        <v>0.43455899999999997</v>
      </c>
      <c r="S175">
        <f>434541*(10^-6)</f>
        <v>0.43454099999999996</v>
      </c>
    </row>
    <row r="176" spans="2:38" x14ac:dyDescent="0.25">
      <c r="B176">
        <f>434203*(10^-6)</f>
        <v>0.43420300000000001</v>
      </c>
      <c r="C176">
        <f>326352*(10^-6)</f>
        <v>0.32635199999999998</v>
      </c>
      <c r="D176">
        <f>326511*(10^-6)</f>
        <v>0.326511</v>
      </c>
      <c r="E176">
        <f>326956*(10^-6)</f>
        <v>0.32695599999999997</v>
      </c>
      <c r="F176">
        <f>326171*(10^-6)</f>
        <v>0.32617099999999999</v>
      </c>
      <c r="G176">
        <f>326469*(10^-6)</f>
        <v>0.32646900000000001</v>
      </c>
      <c r="H176">
        <f>326506*(10^-6)</f>
        <v>0.32650599999999996</v>
      </c>
      <c r="I176">
        <f>326313*(10^-6)</f>
        <v>0.32631299999999996</v>
      </c>
      <c r="J176">
        <f>326732*(10^-6)</f>
        <v>0.32673199999999997</v>
      </c>
      <c r="K176">
        <f>326473*(10^-6)</f>
        <v>0.32647299999999996</v>
      </c>
      <c r="L176">
        <f>326298*(10^-6)</f>
        <v>0.32629799999999998</v>
      </c>
      <c r="M176">
        <f>326437*(10^-6)</f>
        <v>0.32643699999999998</v>
      </c>
      <c r="N176">
        <f>326577*(10^-6)</f>
        <v>0.32657700000000001</v>
      </c>
      <c r="O176">
        <f>325860*(10^-6)</f>
        <v>0.32585999999999998</v>
      </c>
      <c r="P176">
        <f>326521*(10^-6)</f>
        <v>0.32652100000000001</v>
      </c>
      <c r="Q176">
        <f>325917*(10^-6)</f>
        <v>0.32591700000000001</v>
      </c>
      <c r="R176">
        <f>326150*(10^-6)</f>
        <v>0.32615</v>
      </c>
      <c r="S176">
        <f>326482*(10^-6)</f>
        <v>0.32648199999999999</v>
      </c>
    </row>
    <row r="177" spans="2:19" x14ac:dyDescent="0.25">
      <c r="B177">
        <f>326131*(10^-6)</f>
        <v>0.326131</v>
      </c>
      <c r="C177">
        <f>261896*(10^-6)</f>
        <v>0.26189599999999996</v>
      </c>
      <c r="D177">
        <f>261595*(10^-6)</f>
        <v>0.26159499999999997</v>
      </c>
      <c r="E177">
        <f>261526*(10^-6)</f>
        <v>0.26152599999999998</v>
      </c>
      <c r="F177">
        <f>261798*(10^-6)</f>
        <v>0.26179799999999998</v>
      </c>
      <c r="G177">
        <f>261303*(10^-6)</f>
        <v>0.26130300000000001</v>
      </c>
      <c r="H177">
        <f>261596*(10^-6)</f>
        <v>0.261596</v>
      </c>
      <c r="I177">
        <f>261743*(10^-6)</f>
        <v>0.261743</v>
      </c>
      <c r="J177">
        <f>261558*(10^-6)</f>
        <v>0.26155800000000001</v>
      </c>
      <c r="K177">
        <f>261312*(10^-6)</f>
        <v>0.26131199999999999</v>
      </c>
      <c r="L177">
        <f>261636*(10^-6)</f>
        <v>0.26163599999999998</v>
      </c>
      <c r="M177">
        <f>261172*(10^-6)</f>
        <v>0.26117200000000002</v>
      </c>
      <c r="N177">
        <f>261618*(10^-6)</f>
        <v>0.26161799999999996</v>
      </c>
      <c r="O177">
        <f>261396*(10^-6)</f>
        <v>0.26139599999999996</v>
      </c>
      <c r="P177">
        <f>261298*(10^-6)</f>
        <v>0.26129799999999997</v>
      </c>
      <c r="Q177">
        <f>261422*(10^-6)</f>
        <v>0.26142199999999999</v>
      </c>
      <c r="R177">
        <f>261359*(10^-6)</f>
        <v>0.26135900000000001</v>
      </c>
      <c r="S177">
        <f>261512*(10^-6)</f>
        <v>0.26151199999999997</v>
      </c>
    </row>
    <row r="178" spans="2:19" x14ac:dyDescent="0.25">
      <c r="B178">
        <f>261273*(10^-6)</f>
        <v>0.26127299999999998</v>
      </c>
      <c r="C178">
        <f>249351*(10^-6)</f>
        <v>0.24935099999999999</v>
      </c>
      <c r="D178">
        <f>267041*(10^-6)</f>
        <v>0.26704099999999997</v>
      </c>
      <c r="E178">
        <f>265604*(10^-6)</f>
        <v>0.26560400000000001</v>
      </c>
      <c r="F178">
        <f>265831*(10^-6)</f>
        <v>0.26583099999999998</v>
      </c>
      <c r="G178">
        <f>265354*(10^-6)</f>
        <v>0.26535399999999998</v>
      </c>
      <c r="H178">
        <f>266129*(10^-6)</f>
        <v>0.266129</v>
      </c>
      <c r="I178">
        <f>265801*(10^-6)</f>
        <v>0.26580100000000001</v>
      </c>
      <c r="J178">
        <f>270238*(10^-6)</f>
        <v>0.27023799999999998</v>
      </c>
      <c r="K178">
        <f>266946*(10^-6)</f>
        <v>0.26694599999999996</v>
      </c>
      <c r="L178">
        <f>267298*(10^-6)</f>
        <v>0.26729799999999998</v>
      </c>
      <c r="M178">
        <f>246221*(10^-6)</f>
        <v>0.246221</v>
      </c>
      <c r="N178">
        <f>267797*(10^-6)</f>
        <v>0.26779700000000001</v>
      </c>
      <c r="O178">
        <f>268282*(10^-6)</f>
        <v>0.26828199999999996</v>
      </c>
      <c r="P178">
        <f>266111*(10^-6)</f>
        <v>0.26611099999999999</v>
      </c>
      <c r="Q178">
        <f>236728*(10^-6)</f>
        <v>0.23672799999999999</v>
      </c>
      <c r="R178">
        <f>253647*(10^-6)</f>
        <v>0.25364700000000001</v>
      </c>
      <c r="S178">
        <f>247629*(10^-6)</f>
        <v>0.24762899999999999</v>
      </c>
    </row>
    <row r="179" spans="2:19" x14ac:dyDescent="0.25">
      <c r="B179">
        <f>265764*(10^-6)</f>
        <v>0.265764</v>
      </c>
      <c r="C179">
        <f>245977*(10^-6)</f>
        <v>0.245977</v>
      </c>
      <c r="D179">
        <f>265126*(10^-6)</f>
        <v>0.26512599999999997</v>
      </c>
      <c r="E179">
        <f>261954*(10^-6)</f>
        <v>0.26195399999999996</v>
      </c>
      <c r="F179">
        <f>238748*(10^-6)</f>
        <v>0.23874799999999999</v>
      </c>
      <c r="G179">
        <f>240047*(10^-6)</f>
        <v>0.24004699999999998</v>
      </c>
      <c r="H179">
        <f>264794*(10^-6)</f>
        <v>0.26479399999999997</v>
      </c>
      <c r="I179">
        <f>265117*(10^-6)</f>
        <v>0.26511699999999999</v>
      </c>
      <c r="J179">
        <f>244006*(10^-6)</f>
        <v>0.244006</v>
      </c>
      <c r="K179">
        <f>246990*(10^-6)</f>
        <v>0.24698999999999999</v>
      </c>
      <c r="L179">
        <f>243534*(10^-6)</f>
        <v>0.243534</v>
      </c>
      <c r="M179">
        <f>244006*(10^-6)</f>
        <v>0.244006</v>
      </c>
      <c r="N179">
        <f>237800*(10^-6)</f>
        <v>0.23779999999999998</v>
      </c>
      <c r="O179">
        <f>246842*(10^-6)</f>
        <v>0.24684199999999998</v>
      </c>
      <c r="P179">
        <f>236482*(10^-6)</f>
        <v>0.236482</v>
      </c>
      <c r="Q179">
        <f>247911*(10^-6)</f>
        <v>0.24791099999999999</v>
      </c>
      <c r="R179">
        <f>241638*(10^-6)</f>
        <v>0.24163799999999999</v>
      </c>
      <c r="S179">
        <f>267230*(10^-6)</f>
        <v>0.26722999999999997</v>
      </c>
    </row>
    <row r="180" spans="2:19" x14ac:dyDescent="0.25">
      <c r="B180">
        <f>246590*(10^-6)</f>
        <v>0.24658999999999998</v>
      </c>
      <c r="C180">
        <f>244558*(10^-6)</f>
        <v>0.244558</v>
      </c>
      <c r="D180">
        <f>244198*(10^-6)</f>
        <v>0.244198</v>
      </c>
      <c r="E180">
        <f>239400*(10^-6)</f>
        <v>0.2394</v>
      </c>
      <c r="F180">
        <f>242632*(10^-6)</f>
        <v>0.24263199999999999</v>
      </c>
      <c r="G180">
        <f>241754*(10^-6)</f>
        <v>0.241754</v>
      </c>
      <c r="H180">
        <f>239291*(10^-6)</f>
        <v>0.23929099999999998</v>
      </c>
      <c r="I180">
        <f>245574*(10^-6)</f>
        <v>0.24557399999999999</v>
      </c>
      <c r="J180">
        <f>254574*(10^-6)</f>
        <v>0.25457399999999997</v>
      </c>
      <c r="K180">
        <f>246758*(10^-6)</f>
        <v>0.24675799999999998</v>
      </c>
      <c r="L180">
        <f>269228*(10^-6)</f>
        <v>0.26922799999999997</v>
      </c>
      <c r="M180">
        <f>237398*(10^-6)</f>
        <v>0.237398</v>
      </c>
      <c r="N180">
        <f>241577*(10^-6)</f>
        <v>0.24157699999999999</v>
      </c>
      <c r="O180">
        <f>239302*(10^-6)</f>
        <v>0.23930199999999999</v>
      </c>
      <c r="P180">
        <f>243192*(10^-6)</f>
        <v>0.24319199999999999</v>
      </c>
      <c r="Q180">
        <f>240232*(10^-6)</f>
        <v>0.240232</v>
      </c>
      <c r="R180">
        <f>239214*(10^-6)</f>
        <v>0.23921399999999998</v>
      </c>
      <c r="S180">
        <f>241387*(10^-6)</f>
        <v>0.24138699999999999</v>
      </c>
    </row>
    <row r="181" spans="2:19" x14ac:dyDescent="0.25">
      <c r="B181">
        <f>239851*(10^-6)</f>
        <v>0.23985099999999998</v>
      </c>
      <c r="C181">
        <f>245786*(10^-6)</f>
        <v>0.24578599999999998</v>
      </c>
      <c r="D181">
        <f>239425*(10^-6)</f>
        <v>0.239425</v>
      </c>
      <c r="E181">
        <f>258450*(10^-6)</f>
        <v>0.25845000000000001</v>
      </c>
      <c r="F181">
        <f>241125*(10^-6)</f>
        <v>0.24112499999999998</v>
      </c>
      <c r="G181">
        <f>244316*(10^-6)</f>
        <v>0.24431599999999998</v>
      </c>
      <c r="H181">
        <f>238829*(10^-6)</f>
        <v>0.23882899999999999</v>
      </c>
      <c r="I181">
        <f>242456*(10^-6)</f>
        <v>0.24245599999999998</v>
      </c>
      <c r="J181">
        <f>238693*(10^-6)</f>
        <v>0.23869299999999999</v>
      </c>
      <c r="K181">
        <f>246595*(10^-6)</f>
        <v>0.24659499999999998</v>
      </c>
      <c r="L181">
        <f>244677*(10^-6)</f>
        <v>0.24467699999999998</v>
      </c>
      <c r="M181">
        <f>244694*(10^-6)</f>
        <v>0.24469399999999999</v>
      </c>
      <c r="N181">
        <f>239304*(10^-6)</f>
        <v>0.23930399999999999</v>
      </c>
      <c r="O181">
        <f>241533*(10^-6)</f>
        <v>0.241533</v>
      </c>
      <c r="P181">
        <f>241553*(10^-6)</f>
        <v>0.24155299999999999</v>
      </c>
      <c r="Q181">
        <f>242908*(10^-6)</f>
        <v>0.24290799999999999</v>
      </c>
      <c r="R181">
        <f>239789*(10^-6)</f>
        <v>0.239789</v>
      </c>
      <c r="S181">
        <f>243912*(10^-6)</f>
        <v>0.24391199999999999</v>
      </c>
    </row>
    <row r="182" spans="2:19" x14ac:dyDescent="0.25">
      <c r="B182">
        <f>239269*(10^-6)</f>
        <v>0.23926899999999998</v>
      </c>
      <c r="C182">
        <f>240237*(10^-6)</f>
        <v>0.24023699999999998</v>
      </c>
      <c r="D182">
        <f>246005*(10^-6)</f>
        <v>0.246005</v>
      </c>
      <c r="E182">
        <f>238547*(10^-6)</f>
        <v>0.23854699999999998</v>
      </c>
      <c r="F182">
        <f>241894*(10^-6)</f>
        <v>0.241894</v>
      </c>
      <c r="G182">
        <f>245794*(10^-6)</f>
        <v>0.24579399999999998</v>
      </c>
      <c r="H182">
        <f>239821*(10^-6)</f>
        <v>0.23982099999999998</v>
      </c>
      <c r="I182">
        <f>246258*(10^-6)</f>
        <v>0.24625799999999998</v>
      </c>
      <c r="J182">
        <f>245910*(10^-6)</f>
        <v>0.24590999999999999</v>
      </c>
      <c r="K182">
        <f>243780*(10^-6)</f>
        <v>0.24378</v>
      </c>
      <c r="L182">
        <f>240325*(10^-6)</f>
        <v>0.24032499999999998</v>
      </c>
      <c r="M182">
        <f>245249*(10^-6)</f>
        <v>0.24524899999999999</v>
      </c>
      <c r="N182">
        <f>242453*(10^-6)</f>
        <v>0.242453</v>
      </c>
      <c r="O182">
        <f>238174*(10^-6)</f>
        <v>0.238174</v>
      </c>
      <c r="P182">
        <f>246835*(10^-6)</f>
        <v>0.246835</v>
      </c>
      <c r="Q182">
        <f>240976*(10^-6)</f>
        <v>0.240976</v>
      </c>
      <c r="R182">
        <f>243113*(10^-6)</f>
        <v>0.243113</v>
      </c>
      <c r="S182">
        <f>240457*(10^-6)</f>
        <v>0.24045699999999998</v>
      </c>
    </row>
    <row r="183" spans="2:19" x14ac:dyDescent="0.25">
      <c r="B183">
        <f>242188*(10^-6)</f>
        <v>0.24218799999999999</v>
      </c>
      <c r="C183">
        <f>244769*(10^-6)</f>
        <v>0.24476899999999999</v>
      </c>
      <c r="D183">
        <f>239735*(10^-6)</f>
        <v>0.23973499999999998</v>
      </c>
      <c r="E183">
        <f>244583*(10^-6)</f>
        <v>0.24458299999999999</v>
      </c>
      <c r="F183">
        <f>242033*(10^-6)</f>
        <v>0.242033</v>
      </c>
      <c r="G183">
        <f>241947*(10^-6)</f>
        <v>0.241947</v>
      </c>
      <c r="H183">
        <f>243485*(10^-6)</f>
        <v>0.24348499999999998</v>
      </c>
      <c r="I183">
        <f>240506*(10^-6)</f>
        <v>0.240506</v>
      </c>
      <c r="J183">
        <f>241584*(10^-6)</f>
        <v>0.24158399999999999</v>
      </c>
      <c r="K183">
        <f>244179*(10^-6)</f>
        <v>0.24417899999999998</v>
      </c>
      <c r="L183">
        <f>240909*(10^-6)</f>
        <v>0.24090899999999998</v>
      </c>
      <c r="M183">
        <f>242718*(10^-6)</f>
        <v>0.24271799999999999</v>
      </c>
      <c r="N183">
        <f>243110*(10^-6)</f>
        <v>0.24310999999999999</v>
      </c>
      <c r="O183">
        <f>240255*(10^-6)</f>
        <v>0.240255</v>
      </c>
      <c r="P183">
        <f>244250*(10^-6)</f>
        <v>0.24424999999999999</v>
      </c>
      <c r="Q183">
        <f>244003*(10^-6)</f>
        <v>0.244003</v>
      </c>
      <c r="R183">
        <f>239642*(10^-6)</f>
        <v>0.23964199999999999</v>
      </c>
      <c r="S183">
        <f>244867*(10^-6)</f>
        <v>0.244867</v>
      </c>
    </row>
  </sheetData>
  <mergeCells count="3">
    <mergeCell ref="F2:I2"/>
    <mergeCell ref="L2:T2"/>
    <mergeCell ref="L3:T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6"/>
  <sheetViews>
    <sheetView workbookViewId="0">
      <selection activeCell="B1" sqref="B1"/>
    </sheetView>
  </sheetViews>
  <sheetFormatPr baseColWidth="10" defaultRowHeight="15" x14ac:dyDescent="0.25"/>
  <sheetData>
    <row r="2" spans="4:11" x14ac:dyDescent="0.25">
      <c r="D2" s="3" t="s">
        <v>22</v>
      </c>
      <c r="E2" s="3"/>
      <c r="F2" s="3"/>
      <c r="G2" s="3"/>
      <c r="H2" s="3"/>
      <c r="I2" s="3"/>
      <c r="J2" s="3"/>
      <c r="K2" s="3"/>
    </row>
    <row r="3" spans="4:11" x14ac:dyDescent="0.25">
      <c r="D3" s="3" t="s">
        <v>38</v>
      </c>
      <c r="E3" s="3"/>
      <c r="F3" s="3"/>
      <c r="G3" s="3"/>
      <c r="H3" s="3"/>
      <c r="I3" s="3"/>
      <c r="J3" s="3"/>
      <c r="K3" s="3"/>
    </row>
    <row r="20" spans="2:15" x14ac:dyDescent="0.25">
      <c r="B20" s="3" t="s">
        <v>40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48" spans="3:10" x14ac:dyDescent="0.25">
      <c r="C48" t="s">
        <v>35</v>
      </c>
      <c r="D48" t="s">
        <v>17</v>
      </c>
      <c r="I48" t="s">
        <v>36</v>
      </c>
      <c r="J48" t="s">
        <v>17</v>
      </c>
    </row>
    <row r="50" spans="2:15" x14ac:dyDescent="0.25">
      <c r="B50" t="s">
        <v>37</v>
      </c>
      <c r="D50" t="s">
        <v>2</v>
      </c>
      <c r="E50" t="s">
        <v>7</v>
      </c>
      <c r="F50" t="s">
        <v>12</v>
      </c>
      <c r="H50" t="s">
        <v>37</v>
      </c>
      <c r="J50" t="s">
        <v>2</v>
      </c>
      <c r="K50" t="s">
        <v>7</v>
      </c>
      <c r="L50" t="s">
        <v>12</v>
      </c>
      <c r="O50" t="s">
        <v>39</v>
      </c>
    </row>
    <row r="51" spans="2:15" x14ac:dyDescent="0.25">
      <c r="C51" t="s">
        <v>23</v>
      </c>
      <c r="D51">
        <v>42</v>
      </c>
      <c r="E51">
        <v>47</v>
      </c>
      <c r="F51">
        <v>41</v>
      </c>
      <c r="I51" t="s">
        <v>23</v>
      </c>
      <c r="J51">
        <v>44022</v>
      </c>
      <c r="K51">
        <v>44045</v>
      </c>
      <c r="L51">
        <v>44018</v>
      </c>
    </row>
    <row r="52" spans="2:15" x14ac:dyDescent="0.25">
      <c r="C52" t="s">
        <v>24</v>
      </c>
      <c r="D52">
        <v>34</v>
      </c>
      <c r="E52">
        <v>35</v>
      </c>
      <c r="F52">
        <v>35</v>
      </c>
      <c r="I52" t="s">
        <v>24</v>
      </c>
      <c r="J52">
        <v>28694</v>
      </c>
      <c r="K52">
        <v>32680</v>
      </c>
      <c r="L52">
        <v>24555</v>
      </c>
    </row>
    <row r="53" spans="2:15" x14ac:dyDescent="0.25">
      <c r="C53" t="s">
        <v>25</v>
      </c>
      <c r="D53">
        <v>29</v>
      </c>
      <c r="E53">
        <v>30</v>
      </c>
      <c r="F53">
        <v>29</v>
      </c>
      <c r="I53" t="s">
        <v>25</v>
      </c>
      <c r="J53">
        <v>21659</v>
      </c>
      <c r="K53">
        <v>20921</v>
      </c>
      <c r="L53">
        <v>21621</v>
      </c>
    </row>
    <row r="54" spans="2:15" x14ac:dyDescent="0.25">
      <c r="C54" t="s">
        <v>26</v>
      </c>
      <c r="D54">
        <v>26</v>
      </c>
      <c r="E54">
        <v>28</v>
      </c>
      <c r="F54">
        <v>25</v>
      </c>
      <c r="I54" t="s">
        <v>26</v>
      </c>
      <c r="J54">
        <v>16638</v>
      </c>
      <c r="K54">
        <v>16753</v>
      </c>
      <c r="L54">
        <v>18074</v>
      </c>
    </row>
    <row r="55" spans="2:15" x14ac:dyDescent="0.25">
      <c r="C55" t="s">
        <v>27</v>
      </c>
      <c r="D55">
        <v>25</v>
      </c>
      <c r="E55">
        <v>26</v>
      </c>
      <c r="F55">
        <v>26</v>
      </c>
      <c r="I55" t="s">
        <v>27</v>
      </c>
      <c r="J55">
        <v>15875</v>
      </c>
      <c r="K55">
        <v>15952</v>
      </c>
      <c r="L55">
        <v>15569</v>
      </c>
    </row>
    <row r="56" spans="2:15" x14ac:dyDescent="0.25">
      <c r="C56" t="s">
        <v>28</v>
      </c>
      <c r="D56">
        <v>24</v>
      </c>
      <c r="E56">
        <v>26</v>
      </c>
      <c r="F56">
        <v>26</v>
      </c>
      <c r="I56" t="s">
        <v>28</v>
      </c>
      <c r="J56">
        <v>14669</v>
      </c>
      <c r="K56">
        <v>13922</v>
      </c>
      <c r="L56">
        <v>14451</v>
      </c>
    </row>
    <row r="57" spans="2:15" x14ac:dyDescent="0.25">
      <c r="C57" t="s">
        <v>29</v>
      </c>
      <c r="D57">
        <v>28</v>
      </c>
      <c r="E57">
        <v>24</v>
      </c>
      <c r="F57">
        <v>27</v>
      </c>
      <c r="I57" t="s">
        <v>29</v>
      </c>
      <c r="J57">
        <v>14380</v>
      </c>
      <c r="K57">
        <v>13639</v>
      </c>
      <c r="L57">
        <v>13305</v>
      </c>
    </row>
    <row r="58" spans="2:15" x14ac:dyDescent="0.25">
      <c r="C58" t="s">
        <v>30</v>
      </c>
      <c r="D58">
        <v>28</v>
      </c>
      <c r="E58">
        <v>26</v>
      </c>
      <c r="F58">
        <v>28</v>
      </c>
      <c r="I58" t="s">
        <v>30</v>
      </c>
      <c r="J58">
        <v>13718</v>
      </c>
      <c r="K58">
        <v>13516</v>
      </c>
      <c r="L58">
        <v>16089</v>
      </c>
    </row>
    <row r="59" spans="2:15" x14ac:dyDescent="0.25">
      <c r="C59" t="s">
        <v>31</v>
      </c>
      <c r="D59">
        <v>28</v>
      </c>
      <c r="E59">
        <v>27</v>
      </c>
      <c r="F59">
        <v>29</v>
      </c>
      <c r="I59" t="s">
        <v>31</v>
      </c>
      <c r="J59">
        <v>14956</v>
      </c>
      <c r="K59">
        <v>12467</v>
      </c>
      <c r="L59">
        <v>14731</v>
      </c>
    </row>
    <row r="60" spans="2:15" x14ac:dyDescent="0.25">
      <c r="C60" t="s">
        <v>32</v>
      </c>
      <c r="D60">
        <v>30</v>
      </c>
      <c r="E60">
        <v>26</v>
      </c>
      <c r="F60">
        <v>32</v>
      </c>
      <c r="I60" t="s">
        <v>32</v>
      </c>
      <c r="J60">
        <v>14896</v>
      </c>
      <c r="K60">
        <v>11985</v>
      </c>
      <c r="L60">
        <v>15160</v>
      </c>
    </row>
    <row r="61" spans="2:15" x14ac:dyDescent="0.25">
      <c r="C61" t="s">
        <v>33</v>
      </c>
      <c r="D61">
        <v>32</v>
      </c>
      <c r="E61">
        <v>30</v>
      </c>
      <c r="F61">
        <v>32</v>
      </c>
      <c r="I61" t="s">
        <v>33</v>
      </c>
      <c r="J61">
        <v>13499</v>
      </c>
      <c r="K61">
        <v>12551</v>
      </c>
      <c r="L61">
        <v>13998</v>
      </c>
    </row>
    <row r="62" spans="2:15" x14ac:dyDescent="0.25">
      <c r="C62" t="s">
        <v>34</v>
      </c>
      <c r="D62">
        <v>31</v>
      </c>
      <c r="E62">
        <v>31</v>
      </c>
      <c r="F62">
        <v>34</v>
      </c>
      <c r="I62" t="s">
        <v>34</v>
      </c>
      <c r="J62">
        <v>14614</v>
      </c>
      <c r="K62">
        <v>11480</v>
      </c>
      <c r="L62">
        <v>14094</v>
      </c>
    </row>
    <row r="64" spans="2:15" x14ac:dyDescent="0.25">
      <c r="B64" t="s">
        <v>21</v>
      </c>
      <c r="D64" t="s">
        <v>2</v>
      </c>
      <c r="E64" t="s">
        <v>7</v>
      </c>
      <c r="F64" t="s">
        <v>12</v>
      </c>
      <c r="H64" t="s">
        <v>21</v>
      </c>
      <c r="J64" t="s">
        <v>2</v>
      </c>
      <c r="K64" t="s">
        <v>7</v>
      </c>
      <c r="L64" t="s">
        <v>12</v>
      </c>
    </row>
    <row r="65" spans="3:12" x14ac:dyDescent="0.25">
      <c r="C65" t="s">
        <v>23</v>
      </c>
      <c r="D65">
        <f xml:space="preserve"> D51 / D51</f>
        <v>1</v>
      </c>
      <c r="E65">
        <f xml:space="preserve"> E51 / E51</f>
        <v>1</v>
      </c>
      <c r="F65">
        <f xml:space="preserve"> F51 / F51</f>
        <v>1</v>
      </c>
      <c r="I65" t="s">
        <v>23</v>
      </c>
      <c r="J65">
        <f xml:space="preserve"> J51 / J51</f>
        <v>1</v>
      </c>
      <c r="K65">
        <f xml:space="preserve"> K51 / K51</f>
        <v>1</v>
      </c>
      <c r="L65">
        <f xml:space="preserve"> L51 / L51</f>
        <v>1</v>
      </c>
    </row>
    <row r="66" spans="3:12" x14ac:dyDescent="0.25">
      <c r="C66" t="s">
        <v>24</v>
      </c>
      <c r="D66">
        <f xml:space="preserve"> D51 / D52</f>
        <v>1.2352941176470589</v>
      </c>
      <c r="E66">
        <f xml:space="preserve"> E51 / E52</f>
        <v>1.3428571428571427</v>
      </c>
      <c r="F66">
        <f xml:space="preserve"> F51 / F52</f>
        <v>1.1714285714285715</v>
      </c>
      <c r="I66" t="s">
        <v>24</v>
      </c>
      <c r="J66">
        <f xml:space="preserve"> J51 / J52</f>
        <v>1.5341883320554819</v>
      </c>
      <c r="K66">
        <f xml:space="preserve"> K51 / K52</f>
        <v>1.347766217870257</v>
      </c>
      <c r="L66">
        <f xml:space="preserve"> L51 / L52</f>
        <v>1.7926287925066178</v>
      </c>
    </row>
    <row r="67" spans="3:12" x14ac:dyDescent="0.25">
      <c r="C67" t="s">
        <v>25</v>
      </c>
      <c r="D67">
        <f xml:space="preserve"> D51 / D53</f>
        <v>1.4482758620689655</v>
      </c>
      <c r="E67">
        <f xml:space="preserve"> E51 / E53</f>
        <v>1.5666666666666667</v>
      </c>
      <c r="F67">
        <f xml:space="preserve"> F51 / F53</f>
        <v>1.4137931034482758</v>
      </c>
      <c r="I67" t="s">
        <v>25</v>
      </c>
      <c r="J67">
        <f xml:space="preserve"> J51 / J53</f>
        <v>2.0325038090401217</v>
      </c>
      <c r="K67">
        <f xml:space="preserve"> K51 / K53</f>
        <v>2.1053008938387268</v>
      </c>
      <c r="L67">
        <f xml:space="preserve"> L51 / L53</f>
        <v>2.0358910318671661</v>
      </c>
    </row>
    <row r="68" spans="3:12" x14ac:dyDescent="0.25">
      <c r="C68" t="s">
        <v>26</v>
      </c>
      <c r="D68">
        <f xml:space="preserve"> D51 / D54</f>
        <v>1.6153846153846154</v>
      </c>
      <c r="E68">
        <f xml:space="preserve"> E51 / E54</f>
        <v>1.6785714285714286</v>
      </c>
      <c r="F68">
        <f xml:space="preserve"> F51 / F54</f>
        <v>1.64</v>
      </c>
      <c r="I68" t="s">
        <v>26</v>
      </c>
      <c r="J68">
        <f xml:space="preserve"> J51 / J54</f>
        <v>2.6458708979444645</v>
      </c>
      <c r="K68">
        <f xml:space="preserve"> K51 / K54</f>
        <v>2.6290813585626456</v>
      </c>
      <c r="L68">
        <f xml:space="preserve"> L51 / L54</f>
        <v>2.4354321124266902</v>
      </c>
    </row>
    <row r="69" spans="3:12" x14ac:dyDescent="0.25">
      <c r="C69" t="s">
        <v>27</v>
      </c>
      <c r="D69">
        <f xml:space="preserve"> D51 / D55</f>
        <v>1.68</v>
      </c>
      <c r="E69">
        <f xml:space="preserve"> E51 / E55</f>
        <v>1.8076923076923077</v>
      </c>
      <c r="F69">
        <f xml:space="preserve"> F51 / F55</f>
        <v>1.5769230769230769</v>
      </c>
      <c r="I69" t="s">
        <v>27</v>
      </c>
      <c r="J69">
        <f xml:space="preserve"> J51 / J55</f>
        <v>2.7730393700787404</v>
      </c>
      <c r="K69">
        <f xml:space="preserve"> K51 / K55</f>
        <v>2.7610957873620863</v>
      </c>
      <c r="L69">
        <f xml:space="preserve"> L51 / L55</f>
        <v>2.8272849894020169</v>
      </c>
    </row>
    <row r="70" spans="3:12" x14ac:dyDescent="0.25">
      <c r="C70" t="s">
        <v>28</v>
      </c>
      <c r="D70">
        <f xml:space="preserve"> D51 / D56</f>
        <v>1.75</v>
      </c>
      <c r="E70">
        <f xml:space="preserve"> E51 / E56</f>
        <v>1.8076923076923077</v>
      </c>
      <c r="F70">
        <f xml:space="preserve"> F51 / F56</f>
        <v>1.5769230769230769</v>
      </c>
      <c r="I70" t="s">
        <v>28</v>
      </c>
      <c r="J70">
        <f xml:space="preserve"> J51 / J56</f>
        <v>3.0010225645919966</v>
      </c>
      <c r="K70">
        <f xml:space="preserve"> K51 / K56</f>
        <v>3.1636977445769285</v>
      </c>
      <c r="L70">
        <f xml:space="preserve"> L51 / L56</f>
        <v>3.0460175766382949</v>
      </c>
    </row>
    <row r="71" spans="3:12" x14ac:dyDescent="0.25">
      <c r="C71" t="s">
        <v>29</v>
      </c>
      <c r="D71">
        <f xml:space="preserve"> D51 / D57</f>
        <v>1.5</v>
      </c>
      <c r="E71">
        <f xml:space="preserve"> E51 / E57</f>
        <v>1.9583333333333333</v>
      </c>
      <c r="F71">
        <f xml:space="preserve"> F51 / F57</f>
        <v>1.5185185185185186</v>
      </c>
      <c r="I71" t="s">
        <v>29</v>
      </c>
      <c r="J71">
        <f xml:space="preserve"> J51 / J57</f>
        <v>3.0613351877607791</v>
      </c>
      <c r="K71">
        <f xml:space="preserve"> K51 / K57</f>
        <v>3.2293423271500843</v>
      </c>
      <c r="L71">
        <f xml:space="preserve"> L51 / L57</f>
        <v>3.3083803081548289</v>
      </c>
    </row>
    <row r="72" spans="3:12" x14ac:dyDescent="0.25">
      <c r="C72" t="s">
        <v>30</v>
      </c>
      <c r="D72">
        <f xml:space="preserve"> D51 / D58</f>
        <v>1.5</v>
      </c>
      <c r="E72">
        <f xml:space="preserve"> E51 / E58</f>
        <v>1.8076923076923077</v>
      </c>
      <c r="F72">
        <f xml:space="preserve"> F51 / F58</f>
        <v>1.4642857142857142</v>
      </c>
      <c r="I72" t="s">
        <v>30</v>
      </c>
      <c r="J72">
        <f xml:space="preserve"> J51 / J58</f>
        <v>3.2090683773144772</v>
      </c>
      <c r="K72">
        <f xml:space="preserve"> K51 / K58</f>
        <v>3.2587303936075762</v>
      </c>
      <c r="L72">
        <f xml:space="preserve"> L51 / L58</f>
        <v>2.7359065199825969</v>
      </c>
    </row>
    <row r="73" spans="3:12" x14ac:dyDescent="0.25">
      <c r="C73" t="s">
        <v>31</v>
      </c>
      <c r="D73">
        <f xml:space="preserve"> D51 / D59</f>
        <v>1.5</v>
      </c>
      <c r="E73">
        <f xml:space="preserve"> E51 / E59</f>
        <v>1.7407407407407407</v>
      </c>
      <c r="F73">
        <f xml:space="preserve"> F51 / F59</f>
        <v>1.4137931034482758</v>
      </c>
      <c r="I73" t="s">
        <v>31</v>
      </c>
      <c r="J73">
        <f xml:space="preserve"> J51 / J59</f>
        <v>2.943434073281626</v>
      </c>
      <c r="K73">
        <f xml:space="preserve"> K51 / K59</f>
        <v>3.532926927087511</v>
      </c>
      <c r="L73">
        <f xml:space="preserve"> L51 / L59</f>
        <v>2.9881202905437512</v>
      </c>
    </row>
    <row r="74" spans="3:12" x14ac:dyDescent="0.25">
      <c r="C74" t="s">
        <v>32</v>
      </c>
      <c r="D74">
        <f xml:space="preserve"> D51 / D60</f>
        <v>1.4</v>
      </c>
      <c r="E74">
        <f xml:space="preserve"> E51 / E60</f>
        <v>1.8076923076923077</v>
      </c>
      <c r="F74">
        <f xml:space="preserve"> F51 / F60</f>
        <v>1.28125</v>
      </c>
      <c r="I74" t="s">
        <v>32</v>
      </c>
      <c r="J74">
        <f xml:space="preserve"> J51 / J60</f>
        <v>2.9552900107411384</v>
      </c>
      <c r="K74">
        <f xml:space="preserve"> K51 / K60</f>
        <v>3.6750104297037964</v>
      </c>
      <c r="L74">
        <f xml:space="preserve"> L51 / L60</f>
        <v>2.903562005277045</v>
      </c>
    </row>
    <row r="75" spans="3:12" x14ac:dyDescent="0.25">
      <c r="C75" t="s">
        <v>33</v>
      </c>
      <c r="D75">
        <f xml:space="preserve"> D51 / D61</f>
        <v>1.3125</v>
      </c>
      <c r="E75">
        <f xml:space="preserve"> E51 / E61</f>
        <v>1.5666666666666667</v>
      </c>
      <c r="F75">
        <f xml:space="preserve"> F51 / F61</f>
        <v>1.28125</v>
      </c>
      <c r="I75" t="s">
        <v>33</v>
      </c>
      <c r="J75">
        <f xml:space="preserve"> J51 / J61</f>
        <v>3.2611304541077115</v>
      </c>
      <c r="K75">
        <f xml:space="preserve"> K51 / K61</f>
        <v>3.5092821289140308</v>
      </c>
      <c r="L75">
        <f xml:space="preserve"> L51 / L61</f>
        <v>3.144592084583512</v>
      </c>
    </row>
    <row r="76" spans="3:12" x14ac:dyDescent="0.25">
      <c r="C76" t="s">
        <v>34</v>
      </c>
      <c r="D76">
        <f xml:space="preserve"> D51 / D62</f>
        <v>1.3548387096774193</v>
      </c>
      <c r="E76">
        <f xml:space="preserve"> E51 / E62</f>
        <v>1.5161290322580645</v>
      </c>
      <c r="F76">
        <f xml:space="preserve"> F51 / F62</f>
        <v>1.2058823529411764</v>
      </c>
      <c r="I76" t="s">
        <v>34</v>
      </c>
      <c r="J76">
        <f xml:space="preserve"> J51 / J62</f>
        <v>3.0123169563432324</v>
      </c>
      <c r="K76">
        <f xml:space="preserve"> K51 / K62</f>
        <v>3.8366724738675959</v>
      </c>
      <c r="L76">
        <f xml:space="preserve"> L51 / L62</f>
        <v>3.1231729814105291</v>
      </c>
    </row>
  </sheetData>
  <mergeCells count="3">
    <mergeCell ref="D2:K2"/>
    <mergeCell ref="D3:K3"/>
    <mergeCell ref="B20:O2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9:R76"/>
  <sheetViews>
    <sheetView tabSelected="1" topLeftCell="A16" workbookViewId="0">
      <selection activeCell="J17" sqref="J17"/>
    </sheetView>
  </sheetViews>
  <sheetFormatPr baseColWidth="10" defaultRowHeight="15" x14ac:dyDescent="0.25"/>
  <sheetData>
    <row r="49" spans="2:18" x14ac:dyDescent="0.25">
      <c r="C49" t="s">
        <v>41</v>
      </c>
      <c r="O49" t="s">
        <v>17</v>
      </c>
      <c r="P49" t="s">
        <v>42</v>
      </c>
    </row>
    <row r="50" spans="2:18" x14ac:dyDescent="0.25">
      <c r="B50" t="s">
        <v>37</v>
      </c>
      <c r="D50" t="s">
        <v>2</v>
      </c>
      <c r="E50" t="s">
        <v>7</v>
      </c>
      <c r="F50" t="s">
        <v>12</v>
      </c>
      <c r="H50" t="s">
        <v>37</v>
      </c>
      <c r="J50" t="s">
        <v>2</v>
      </c>
      <c r="K50" t="s">
        <v>7</v>
      </c>
      <c r="L50" t="s">
        <v>12</v>
      </c>
      <c r="N50" t="s">
        <v>37</v>
      </c>
      <c r="P50" t="s">
        <v>2</v>
      </c>
      <c r="Q50" t="s">
        <v>7</v>
      </c>
      <c r="R50" t="s">
        <v>12</v>
      </c>
    </row>
    <row r="51" spans="2:18" x14ac:dyDescent="0.25">
      <c r="C51" t="s">
        <v>23</v>
      </c>
      <c r="D51">
        <v>230</v>
      </c>
      <c r="E51">
        <v>258</v>
      </c>
      <c r="F51">
        <v>230</v>
      </c>
      <c r="I51" t="s">
        <v>23</v>
      </c>
      <c r="J51">
        <v>696835</v>
      </c>
      <c r="K51">
        <v>697537</v>
      </c>
      <c r="L51">
        <v>696685</v>
      </c>
      <c r="O51" t="s">
        <v>23</v>
      </c>
      <c r="P51">
        <v>59746</v>
      </c>
      <c r="Q51">
        <v>59954</v>
      </c>
      <c r="R51">
        <v>60331</v>
      </c>
    </row>
    <row r="52" spans="2:18" x14ac:dyDescent="0.25">
      <c r="C52" t="s">
        <v>24</v>
      </c>
      <c r="D52">
        <v>144</v>
      </c>
      <c r="E52">
        <v>164</v>
      </c>
      <c r="F52">
        <v>143</v>
      </c>
      <c r="I52" t="s">
        <v>24</v>
      </c>
      <c r="J52">
        <v>359094</v>
      </c>
      <c r="K52">
        <v>381347</v>
      </c>
      <c r="L52">
        <v>359461</v>
      </c>
      <c r="O52" t="s">
        <v>24</v>
      </c>
      <c r="P52">
        <v>30042</v>
      </c>
      <c r="Q52">
        <v>30376</v>
      </c>
      <c r="R52">
        <v>30182</v>
      </c>
    </row>
    <row r="53" spans="2:18" x14ac:dyDescent="0.25">
      <c r="C53" t="s">
        <v>25</v>
      </c>
      <c r="D53">
        <v>109</v>
      </c>
      <c r="E53">
        <v>122</v>
      </c>
      <c r="F53">
        <v>106</v>
      </c>
      <c r="I53" t="s">
        <v>25</v>
      </c>
      <c r="J53">
        <v>245522</v>
      </c>
      <c r="K53">
        <v>298377</v>
      </c>
      <c r="L53">
        <v>247496</v>
      </c>
      <c r="O53" t="s">
        <v>25</v>
      </c>
      <c r="P53">
        <v>20130</v>
      </c>
      <c r="Q53">
        <v>22939</v>
      </c>
      <c r="R53">
        <v>20377</v>
      </c>
    </row>
    <row r="54" spans="2:18" x14ac:dyDescent="0.25">
      <c r="C54" t="s">
        <v>26</v>
      </c>
      <c r="D54">
        <v>89</v>
      </c>
      <c r="E54">
        <v>101</v>
      </c>
      <c r="F54">
        <v>88</v>
      </c>
      <c r="I54" t="s">
        <v>26</v>
      </c>
      <c r="J54">
        <v>189694</v>
      </c>
      <c r="K54">
        <v>191175</v>
      </c>
      <c r="L54">
        <v>189178</v>
      </c>
      <c r="O54" t="s">
        <v>26</v>
      </c>
      <c r="P54">
        <v>15164</v>
      </c>
      <c r="Q54">
        <v>15850</v>
      </c>
      <c r="R54">
        <v>15182</v>
      </c>
    </row>
    <row r="55" spans="2:18" x14ac:dyDescent="0.25">
      <c r="C55" t="s">
        <v>27</v>
      </c>
      <c r="D55">
        <v>78</v>
      </c>
      <c r="E55">
        <v>86</v>
      </c>
      <c r="F55">
        <v>80</v>
      </c>
      <c r="I55" t="s">
        <v>27</v>
      </c>
      <c r="J55">
        <v>154493</v>
      </c>
      <c r="K55">
        <v>153460</v>
      </c>
      <c r="L55">
        <v>154526</v>
      </c>
      <c r="O55" t="s">
        <v>27</v>
      </c>
      <c r="P55">
        <v>12013</v>
      </c>
      <c r="Q55">
        <v>12361</v>
      </c>
      <c r="R55">
        <v>12236</v>
      </c>
    </row>
    <row r="56" spans="2:18" x14ac:dyDescent="0.25">
      <c r="C56" t="s">
        <v>28</v>
      </c>
      <c r="D56">
        <v>74</v>
      </c>
      <c r="E56">
        <v>82</v>
      </c>
      <c r="F56">
        <v>73</v>
      </c>
      <c r="I56" t="s">
        <v>28</v>
      </c>
      <c r="J56">
        <v>131466</v>
      </c>
      <c r="K56">
        <v>132243</v>
      </c>
      <c r="L56">
        <v>132545</v>
      </c>
      <c r="O56" t="s">
        <v>28</v>
      </c>
      <c r="P56">
        <v>10222</v>
      </c>
      <c r="Q56">
        <v>10322</v>
      </c>
      <c r="R56">
        <v>10192</v>
      </c>
    </row>
    <row r="57" spans="2:18" x14ac:dyDescent="0.25">
      <c r="C57" t="s">
        <v>29</v>
      </c>
      <c r="D57">
        <v>93</v>
      </c>
      <c r="E57">
        <v>78</v>
      </c>
      <c r="F57">
        <v>91</v>
      </c>
      <c r="I57" t="s">
        <v>29</v>
      </c>
      <c r="J57">
        <v>161867</v>
      </c>
      <c r="K57">
        <v>139257</v>
      </c>
      <c r="L57">
        <v>166730</v>
      </c>
      <c r="O57" t="s">
        <v>29</v>
      </c>
      <c r="P57">
        <v>14566</v>
      </c>
      <c r="Q57">
        <v>10636</v>
      </c>
      <c r="R57">
        <v>10050</v>
      </c>
    </row>
    <row r="58" spans="2:18" x14ac:dyDescent="0.25">
      <c r="C58" t="s">
        <v>30</v>
      </c>
      <c r="D58">
        <v>90</v>
      </c>
      <c r="E58">
        <v>77</v>
      </c>
      <c r="F58">
        <v>89</v>
      </c>
      <c r="I58" t="s">
        <v>30</v>
      </c>
      <c r="J58">
        <v>164141</v>
      </c>
      <c r="K58">
        <v>128328</v>
      </c>
      <c r="L58">
        <v>160222</v>
      </c>
      <c r="O58" t="s">
        <v>30</v>
      </c>
      <c r="P58">
        <v>13332</v>
      </c>
      <c r="Q58">
        <v>10934</v>
      </c>
      <c r="R58">
        <v>10149</v>
      </c>
    </row>
    <row r="59" spans="2:18" x14ac:dyDescent="0.25">
      <c r="C59" t="s">
        <v>31</v>
      </c>
      <c r="D59">
        <v>87</v>
      </c>
      <c r="E59">
        <v>75</v>
      </c>
      <c r="F59">
        <v>86</v>
      </c>
      <c r="I59" t="s">
        <v>31</v>
      </c>
      <c r="J59">
        <v>153197</v>
      </c>
      <c r="K59">
        <v>128318</v>
      </c>
      <c r="L59">
        <v>153101</v>
      </c>
      <c r="O59" t="s">
        <v>31</v>
      </c>
      <c r="P59">
        <v>12787</v>
      </c>
      <c r="Q59">
        <v>10979</v>
      </c>
      <c r="R59">
        <v>10077</v>
      </c>
    </row>
    <row r="60" spans="2:18" x14ac:dyDescent="0.25">
      <c r="C60" t="s">
        <v>32</v>
      </c>
      <c r="D60">
        <v>83</v>
      </c>
      <c r="E60">
        <v>74</v>
      </c>
      <c r="F60">
        <v>83</v>
      </c>
      <c r="I60" t="s">
        <v>32</v>
      </c>
      <c r="J60">
        <v>146109</v>
      </c>
      <c r="K60">
        <v>126877</v>
      </c>
      <c r="L60">
        <v>147872</v>
      </c>
      <c r="O60" t="s">
        <v>32</v>
      </c>
      <c r="P60">
        <v>11997</v>
      </c>
      <c r="Q60">
        <v>10632</v>
      </c>
      <c r="R60">
        <v>10256</v>
      </c>
    </row>
    <row r="61" spans="2:18" x14ac:dyDescent="0.25">
      <c r="C61" t="s">
        <v>33</v>
      </c>
      <c r="D61">
        <v>81</v>
      </c>
      <c r="E61">
        <v>75</v>
      </c>
      <c r="F61">
        <v>80</v>
      </c>
      <c r="I61" t="s">
        <v>33</v>
      </c>
      <c r="J61">
        <v>141142</v>
      </c>
      <c r="K61">
        <v>124786</v>
      </c>
      <c r="L61">
        <v>140806</v>
      </c>
      <c r="O61" t="s">
        <v>33</v>
      </c>
      <c r="P61">
        <v>11356</v>
      </c>
      <c r="Q61">
        <v>10147</v>
      </c>
      <c r="R61">
        <v>9804</v>
      </c>
    </row>
    <row r="62" spans="2:18" x14ac:dyDescent="0.25">
      <c r="C62" t="s">
        <v>34</v>
      </c>
      <c r="D62">
        <v>77</v>
      </c>
      <c r="E62">
        <v>78</v>
      </c>
      <c r="F62">
        <v>75</v>
      </c>
      <c r="I62" t="s">
        <v>34</v>
      </c>
      <c r="J62">
        <v>131149</v>
      </c>
      <c r="K62">
        <v>121688</v>
      </c>
      <c r="L62">
        <v>130643</v>
      </c>
      <c r="O62" t="s">
        <v>34</v>
      </c>
      <c r="P62">
        <v>10834</v>
      </c>
      <c r="Q62">
        <v>9728</v>
      </c>
      <c r="R62">
        <v>9748</v>
      </c>
    </row>
    <row r="64" spans="2:18" x14ac:dyDescent="0.25">
      <c r="B64" t="s">
        <v>21</v>
      </c>
      <c r="D64" t="s">
        <v>2</v>
      </c>
      <c r="E64" t="s">
        <v>7</v>
      </c>
      <c r="F64" t="s">
        <v>12</v>
      </c>
      <c r="H64" t="s">
        <v>21</v>
      </c>
      <c r="J64" t="s">
        <v>2</v>
      </c>
      <c r="K64" t="s">
        <v>7</v>
      </c>
      <c r="L64" t="s">
        <v>12</v>
      </c>
      <c r="N64" t="s">
        <v>21</v>
      </c>
      <c r="P64" t="s">
        <v>2</v>
      </c>
      <c r="Q64" t="s">
        <v>7</v>
      </c>
      <c r="R64" t="s">
        <v>12</v>
      </c>
    </row>
    <row r="65" spans="3:18" x14ac:dyDescent="0.25">
      <c r="C65" t="s">
        <v>23</v>
      </c>
      <c r="D65">
        <f xml:space="preserve"> D51 / D51</f>
        <v>1</v>
      </c>
      <c r="E65">
        <f xml:space="preserve"> E51 / E51</f>
        <v>1</v>
      </c>
      <c r="F65">
        <f xml:space="preserve"> F51 / F51</f>
        <v>1</v>
      </c>
      <c r="I65" t="s">
        <v>23</v>
      </c>
      <c r="J65">
        <f xml:space="preserve"> J51 / J51</f>
        <v>1</v>
      </c>
      <c r="K65">
        <f xml:space="preserve"> K51 / K51</f>
        <v>1</v>
      </c>
      <c r="L65">
        <f xml:space="preserve"> L51 / L51</f>
        <v>1</v>
      </c>
      <c r="O65" t="s">
        <v>23</v>
      </c>
      <c r="P65">
        <f xml:space="preserve"> P51 / P51</f>
        <v>1</v>
      </c>
      <c r="Q65">
        <f xml:space="preserve"> Q51 / Q51</f>
        <v>1</v>
      </c>
      <c r="R65">
        <f xml:space="preserve"> R51 / R51</f>
        <v>1</v>
      </c>
    </row>
    <row r="66" spans="3:18" x14ac:dyDescent="0.25">
      <c r="C66" t="s">
        <v>24</v>
      </c>
      <c r="D66">
        <f xml:space="preserve"> D51 / D52</f>
        <v>1.5972222222222223</v>
      </c>
      <c r="E66">
        <f xml:space="preserve"> E51 / E52</f>
        <v>1.5731707317073171</v>
      </c>
      <c r="F66">
        <f xml:space="preserve"> F51 / F52</f>
        <v>1.6083916083916083</v>
      </c>
      <c r="I66" t="s">
        <v>24</v>
      </c>
      <c r="J66">
        <f xml:space="preserve"> J51 / J52</f>
        <v>1.9405364612051441</v>
      </c>
      <c r="K66">
        <f xml:space="preserve"> K51 / K52</f>
        <v>1.8291398647426098</v>
      </c>
      <c r="L66">
        <f xml:space="preserve"> L51 / L52</f>
        <v>1.938137934296071</v>
      </c>
      <c r="O66" t="s">
        <v>24</v>
      </c>
      <c r="P66">
        <f xml:space="preserve"> P51 / P52</f>
        <v>1.9887490846148725</v>
      </c>
      <c r="Q66">
        <f xml:space="preserve"> Q51 / Q52</f>
        <v>1.9737292599420595</v>
      </c>
      <c r="R66">
        <f xml:space="preserve"> R51 / R52</f>
        <v>1.9989066330925718</v>
      </c>
    </row>
    <row r="67" spans="3:18" x14ac:dyDescent="0.25">
      <c r="C67" t="s">
        <v>25</v>
      </c>
      <c r="D67">
        <f xml:space="preserve"> D51 / D53</f>
        <v>2.1100917431192658</v>
      </c>
      <c r="E67">
        <f xml:space="preserve"> E51 / E53</f>
        <v>2.1147540983606556</v>
      </c>
      <c r="F67">
        <f xml:space="preserve"> F51 / F53</f>
        <v>2.1698113207547172</v>
      </c>
      <c r="I67" t="s">
        <v>25</v>
      </c>
      <c r="J67">
        <f xml:space="preserve"> J51 / J53</f>
        <v>2.8381774342014157</v>
      </c>
      <c r="K67">
        <f xml:space="preserve"> K51 / K53</f>
        <v>2.3377706726724914</v>
      </c>
      <c r="L67">
        <f xml:space="preserve"> L51 / L53</f>
        <v>2.8149343827779036</v>
      </c>
      <c r="O67" t="s">
        <v>25</v>
      </c>
      <c r="P67">
        <f xml:space="preserve"> P51 / P53</f>
        <v>2.968007948335817</v>
      </c>
      <c r="Q67">
        <f xml:space="preserve"> Q51 / Q53</f>
        <v>2.6136274467064826</v>
      </c>
      <c r="R67">
        <f xml:space="preserve"> R51 / R53</f>
        <v>2.9607400500564363</v>
      </c>
    </row>
    <row r="68" spans="3:18" x14ac:dyDescent="0.25">
      <c r="C68" t="s">
        <v>26</v>
      </c>
      <c r="D68">
        <f xml:space="preserve"> D51 / D54</f>
        <v>2.5842696629213484</v>
      </c>
      <c r="E68">
        <f xml:space="preserve"> E51 / E54</f>
        <v>2.5544554455445545</v>
      </c>
      <c r="F68">
        <f xml:space="preserve"> F51 / F54</f>
        <v>2.6136363636363638</v>
      </c>
      <c r="I68" t="s">
        <v>26</v>
      </c>
      <c r="J68">
        <f xml:space="preserve"> J51 / J54</f>
        <v>3.6734688498318344</v>
      </c>
      <c r="K68">
        <f xml:space="preserve"> K51 / K54</f>
        <v>3.6486831437164899</v>
      </c>
      <c r="L68">
        <f xml:space="preserve"> L51 / L54</f>
        <v>3.6826956622863123</v>
      </c>
      <c r="O68" t="s">
        <v>26</v>
      </c>
      <c r="P68">
        <f xml:space="preserve"> P51 / P54</f>
        <v>3.9399894486942757</v>
      </c>
      <c r="Q68">
        <f xml:space="preserve"> Q51 / Q54</f>
        <v>3.7825867507886435</v>
      </c>
      <c r="R68">
        <f xml:space="preserve"> R51 / R54</f>
        <v>3.9738506125675142</v>
      </c>
    </row>
    <row r="69" spans="3:18" x14ac:dyDescent="0.25">
      <c r="C69" t="s">
        <v>27</v>
      </c>
      <c r="D69">
        <f xml:space="preserve"> D51 / D55</f>
        <v>2.9487179487179489</v>
      </c>
      <c r="E69">
        <f xml:space="preserve"> E51 / E55</f>
        <v>3</v>
      </c>
      <c r="F69">
        <f xml:space="preserve"> F51 / F55</f>
        <v>2.875</v>
      </c>
      <c r="I69" t="s">
        <v>27</v>
      </c>
      <c r="J69">
        <f xml:space="preserve"> J51 / J55</f>
        <v>4.5104632572349557</v>
      </c>
      <c r="K69">
        <f xml:space="preserve"> K51 / K55</f>
        <v>4.5453994526260919</v>
      </c>
      <c r="L69">
        <f xml:space="preserve"> L51 / L55</f>
        <v>4.5085293089836016</v>
      </c>
      <c r="O69" t="s">
        <v>27</v>
      </c>
      <c r="P69">
        <f xml:space="preserve"> P51 / P55</f>
        <v>4.9734454341130441</v>
      </c>
      <c r="Q69">
        <f xml:space="preserve"> Q51 / Q55</f>
        <v>4.8502548337513147</v>
      </c>
      <c r="R69">
        <f xml:space="preserve"> R51 / R55</f>
        <v>4.9306145799280809</v>
      </c>
    </row>
    <row r="70" spans="3:18" x14ac:dyDescent="0.25">
      <c r="C70" t="s">
        <v>28</v>
      </c>
      <c r="D70">
        <f xml:space="preserve"> D51 / D56</f>
        <v>3.1081081081081079</v>
      </c>
      <c r="E70">
        <f xml:space="preserve"> E51 / E56</f>
        <v>3.1463414634146343</v>
      </c>
      <c r="F70">
        <f xml:space="preserve"> F51 / F56</f>
        <v>3.1506849315068495</v>
      </c>
      <c r="I70" t="s">
        <v>28</v>
      </c>
      <c r="J70">
        <f xml:space="preserve"> J51 / J56</f>
        <v>5.3004959457198062</v>
      </c>
      <c r="K70">
        <f xml:space="preserve"> K51 / K56</f>
        <v>5.2746610406599972</v>
      </c>
      <c r="L70">
        <f xml:space="preserve"> L51 / L56</f>
        <v>5.256214870421366</v>
      </c>
      <c r="O70" t="s">
        <v>28</v>
      </c>
      <c r="P70">
        <f xml:space="preserve"> P51 / P56</f>
        <v>5.8448444531402854</v>
      </c>
      <c r="Q70">
        <f xml:space="preserve"> Q51 / Q56</f>
        <v>5.8083704708389847</v>
      </c>
      <c r="R70">
        <f xml:space="preserve"> R51 / R56</f>
        <v>5.9194466248037676</v>
      </c>
    </row>
    <row r="71" spans="3:18" x14ac:dyDescent="0.25">
      <c r="C71" t="s">
        <v>29</v>
      </c>
      <c r="D71">
        <f xml:space="preserve"> D51 / D57</f>
        <v>2.4731182795698925</v>
      </c>
      <c r="E71">
        <f xml:space="preserve"> E51 / E57</f>
        <v>3.3076923076923075</v>
      </c>
      <c r="F71">
        <f xml:space="preserve"> F51 / F57</f>
        <v>2.5274725274725274</v>
      </c>
      <c r="I71" t="s">
        <v>29</v>
      </c>
      <c r="J71">
        <f xml:space="preserve"> J51 / J57</f>
        <v>4.3049849567855087</v>
      </c>
      <c r="K71">
        <f xml:space="preserve"> K51 / K57</f>
        <v>5.0089905713895888</v>
      </c>
      <c r="L71">
        <f xml:space="preserve"> L51 / L57</f>
        <v>4.1785221615786003</v>
      </c>
      <c r="O71" t="s">
        <v>29</v>
      </c>
      <c r="P71">
        <f xml:space="preserve"> P51 / P57</f>
        <v>4.1017437869010021</v>
      </c>
      <c r="Q71">
        <f xml:space="preserve"> Q51 / Q57</f>
        <v>5.6368935690109065</v>
      </c>
      <c r="R71">
        <f xml:space="preserve"> R51 / R57</f>
        <v>6.0030845771144277</v>
      </c>
    </row>
    <row r="72" spans="3:18" x14ac:dyDescent="0.25">
      <c r="C72" t="s">
        <v>30</v>
      </c>
      <c r="D72">
        <f xml:space="preserve"> D51 / D58</f>
        <v>2.5555555555555554</v>
      </c>
      <c r="E72">
        <f xml:space="preserve"> E51 / E58</f>
        <v>3.3506493506493507</v>
      </c>
      <c r="F72">
        <f xml:space="preserve"> F51 / F58</f>
        <v>2.5842696629213484</v>
      </c>
      <c r="I72" t="s">
        <v>30</v>
      </c>
      <c r="J72">
        <f xml:space="preserve"> J51 / J58</f>
        <v>4.2453439420985619</v>
      </c>
      <c r="K72">
        <f xml:space="preserve"> K51 / K58</f>
        <v>5.4355791409513126</v>
      </c>
      <c r="L72">
        <f xml:space="preserve"> L51 / L58</f>
        <v>4.3482480558225465</v>
      </c>
      <c r="O72" t="s">
        <v>30</v>
      </c>
      <c r="P72">
        <f xml:space="preserve"> P51 / P58</f>
        <v>4.4813981398139813</v>
      </c>
      <c r="Q72">
        <f xml:space="preserve"> Q51 / Q58</f>
        <v>5.4832632156575816</v>
      </c>
      <c r="R72">
        <f xml:space="preserve"> R51 / R58</f>
        <v>5.9445265543403289</v>
      </c>
    </row>
    <row r="73" spans="3:18" x14ac:dyDescent="0.25">
      <c r="C73" t="s">
        <v>31</v>
      </c>
      <c r="D73">
        <f xml:space="preserve"> D51 / D59</f>
        <v>2.6436781609195403</v>
      </c>
      <c r="E73">
        <f xml:space="preserve"> E51 / E59</f>
        <v>3.44</v>
      </c>
      <c r="F73">
        <f xml:space="preserve"> F51 / F59</f>
        <v>2.6744186046511627</v>
      </c>
      <c r="I73" t="s">
        <v>31</v>
      </c>
      <c r="J73">
        <f xml:space="preserve"> J51 / J59</f>
        <v>4.5486204037938078</v>
      </c>
      <c r="K73">
        <f xml:space="preserve"> K51 / K59</f>
        <v>5.4360027431848996</v>
      </c>
      <c r="L73">
        <f xml:space="preserve"> L51 / L59</f>
        <v>4.5504928119346051</v>
      </c>
      <c r="O73" t="s">
        <v>31</v>
      </c>
      <c r="P73">
        <f xml:space="preserve"> P51 / P59</f>
        <v>4.6724016579338388</v>
      </c>
      <c r="Q73">
        <f xml:space="preserve"> Q51 / Q59</f>
        <v>5.4607887785772835</v>
      </c>
      <c r="R73">
        <f xml:space="preserve"> R51 / R59</f>
        <v>5.9870000992358836</v>
      </c>
    </row>
    <row r="74" spans="3:18" x14ac:dyDescent="0.25">
      <c r="C74" t="s">
        <v>32</v>
      </c>
      <c r="D74">
        <f xml:space="preserve"> D51 / D60</f>
        <v>2.7710843373493974</v>
      </c>
      <c r="E74">
        <f xml:space="preserve"> E51 / E60</f>
        <v>3.4864864864864864</v>
      </c>
      <c r="F74">
        <f xml:space="preserve"> F51 / F60</f>
        <v>2.7710843373493974</v>
      </c>
      <c r="I74" t="s">
        <v>32</v>
      </c>
      <c r="J74">
        <f xml:space="preserve"> J51 / J60</f>
        <v>4.7692818375322537</v>
      </c>
      <c r="K74">
        <f xml:space="preserve"> K51 / K60</f>
        <v>5.4977419075167289</v>
      </c>
      <c r="L74">
        <f xml:space="preserve"> L51 / L60</f>
        <v>4.7114058104306427</v>
      </c>
      <c r="O74" t="s">
        <v>32</v>
      </c>
      <c r="P74">
        <f xml:space="preserve"> P51 / P60</f>
        <v>4.9800783529215638</v>
      </c>
      <c r="Q74">
        <f xml:space="preserve"> Q51 / Q60</f>
        <v>5.6390142964635066</v>
      </c>
      <c r="R74">
        <f xml:space="preserve"> R51 / R60</f>
        <v>5.8825078003120126</v>
      </c>
    </row>
    <row r="75" spans="3:18" x14ac:dyDescent="0.25">
      <c r="C75" t="s">
        <v>33</v>
      </c>
      <c r="D75">
        <f xml:space="preserve"> D51 / D61</f>
        <v>2.8395061728395063</v>
      </c>
      <c r="E75">
        <f xml:space="preserve"> E51 / E61</f>
        <v>3.44</v>
      </c>
      <c r="F75">
        <f xml:space="preserve"> F51 / F61</f>
        <v>2.875</v>
      </c>
      <c r="I75" t="s">
        <v>33</v>
      </c>
      <c r="J75">
        <f xml:space="preserve"> J51 / J61</f>
        <v>4.9371200634821673</v>
      </c>
      <c r="K75">
        <f xml:space="preserve"> K51 / K61</f>
        <v>5.5898658503357748</v>
      </c>
      <c r="L75">
        <f xml:space="preserve"> L51 / L61</f>
        <v>4.9478360297146429</v>
      </c>
      <c r="O75" t="s">
        <v>33</v>
      </c>
      <c r="P75">
        <f xml:space="preserve"> P51 / P61</f>
        <v>5.2611835153222968</v>
      </c>
      <c r="Q75">
        <f xml:space="preserve"> Q51 / Q61</f>
        <v>5.908544397358825</v>
      </c>
      <c r="R75">
        <f xml:space="preserve"> R51 / R61</f>
        <v>6.1537127702978376</v>
      </c>
    </row>
    <row r="76" spans="3:18" x14ac:dyDescent="0.25">
      <c r="C76" t="s">
        <v>34</v>
      </c>
      <c r="D76">
        <f xml:space="preserve"> D51 / D62</f>
        <v>2.9870129870129869</v>
      </c>
      <c r="E76">
        <f xml:space="preserve"> E51 / E62</f>
        <v>3.3076923076923075</v>
      </c>
      <c r="F76">
        <f xml:space="preserve"> F51 / F62</f>
        <v>3.0666666666666669</v>
      </c>
      <c r="I76" t="s">
        <v>34</v>
      </c>
      <c r="J76">
        <f xml:space="preserve"> J51 / J62</f>
        <v>5.3133077644511202</v>
      </c>
      <c r="K76">
        <f xml:space="preserve"> K51 / K62</f>
        <v>5.7321757280915131</v>
      </c>
      <c r="L76">
        <f xml:space="preserve"> L51 / L62</f>
        <v>5.3327388379017631</v>
      </c>
      <c r="O76" t="s">
        <v>34</v>
      </c>
      <c r="P76">
        <f xml:space="preserve"> P51 / P62</f>
        <v>5.5146760199372347</v>
      </c>
      <c r="Q76">
        <f xml:space="preserve"> Q51 / Q62</f>
        <v>6.1630345394736841</v>
      </c>
      <c r="R76">
        <f xml:space="preserve"> R51 / R62</f>
        <v>6.1890644234714811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Laufzeitbestimmungen 1 &amp; 2</vt:lpstr>
      <vt:lpstr>Laufzeitbestimmungen 3</vt:lpstr>
      <vt:lpstr>Skalierungsstudie</vt:lpstr>
      <vt:lpstr>Skalierungsstudie_Quertest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2020-08-16T08:47:03Z</dcterms:modified>
</cp:coreProperties>
</file>