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Philip\Google Drive\Capstone -- EFS\Analysis\"/>
    </mc:Choice>
  </mc:AlternateContent>
  <xr:revisionPtr revIDLastSave="0" documentId="13_ncr:1_{82419968-5D55-4A07-869A-1A5A101C91CF}" xr6:coauthVersionLast="41" xr6:coauthVersionMax="41" xr10:uidLastSave="{00000000-0000-0000-0000-000000000000}"/>
  <bookViews>
    <workbookView xWindow="2868" yWindow="1740" windowWidth="17280" windowHeight="8964" firstSheet="1" activeTab="1" xr2:uid="{00000000-000D-0000-FFFF-FFFF00000000}"/>
  </bookViews>
  <sheets>
    <sheet name="Instructions" sheetId="1" state="hidden" r:id="rId1"/>
    <sheet name="Calculations" sheetId="2" r:id="rId2"/>
    <sheet name="General Data" sheetId="3" r:id="rId3"/>
  </sheets>
  <definedNames>
    <definedName name="chamber_pressure">Calculations!$G$43</definedName>
    <definedName name="chamber_pressure_SI">Calculations!#REF!</definedName>
    <definedName name="Cp_SS">'General Data'!$D$14</definedName>
    <definedName name="Delta_P_SI">Calculations!#REF!</definedName>
    <definedName name="Delta_P_US">Calculations!$G$12</definedName>
    <definedName name="Density_H2O">'General Data'!$D$10</definedName>
    <definedName name="density_IPA">'General Data'!$D$9</definedName>
    <definedName name="density_LOX">'General Data'!$D$8</definedName>
    <definedName name="Fluid">Calculations!#REF!</definedName>
    <definedName name="Fluid_Type">'General Data'!$B$3:$B$4</definedName>
    <definedName name="g">'General Data'!$G$2</definedName>
    <definedName name="g_US">'General Data'!$G$3</definedName>
    <definedName name="Gas_Constant">'General Data'!$G$4</definedName>
    <definedName name="Hi_IPA">Calculations!$H$52</definedName>
    <definedName name="Hi_LOX">Calculations!$G$52</definedName>
    <definedName name="Hp_IPA">Calculations!$H$51</definedName>
    <definedName name="Hp_LOX">Calculations!$G$51</definedName>
    <definedName name="Hv_IPA">Calculations!$H$53</definedName>
    <definedName name="Hv_LOX">Calculations!$G$53</definedName>
    <definedName name="inlet_pressure">Calculations!$G$10</definedName>
    <definedName name="L">Calculations!$G$15</definedName>
    <definedName name="Loss_Factor">Calculations!#REF!</definedName>
    <definedName name="mass_flow_IPA">Calculations!$G$37</definedName>
    <definedName name="mass_flow_IPA_US">Calculations!$G$40</definedName>
    <definedName name="mass_flow_LOX">Calculations!$G$36</definedName>
    <definedName name="mass_flow_LOX_US">Calculations!$G$39</definedName>
    <definedName name="mass_flow_tot">Calculations!$G$35</definedName>
    <definedName name="mass_LOX">'General Data'!$D$15</definedName>
    <definedName name="mixture_ratio">Calculations!$G$8</definedName>
    <definedName name="MMOI_LOX">'General Data'!$D$16</definedName>
    <definedName name="n_IPA">Calculations!$H$76</definedName>
    <definedName name="n_LOX">Calculations!$G$76</definedName>
    <definedName name="n_rad_IPA">Calculations!$H$58</definedName>
    <definedName name="n_rad_LOX">Calculations!$G$58</definedName>
    <definedName name="NPSH_IPA">Calculations!$H$56</definedName>
    <definedName name="NPSH_LOX">Calculations!$G$56</definedName>
    <definedName name="NPSHa_IPA">Calculations!$H$55</definedName>
    <definedName name="NPSHa_LOX">Calculations!$G$55</definedName>
    <definedName name="Num_Stages">Calculations!$G$45</definedName>
    <definedName name="phi">Calculations!$G$46</definedName>
    <definedName name="pintle_pressure">Calculations!$G$11</definedName>
    <definedName name="_xlnm.Print_Area" localSheetId="1">Calculations!$B:$I</definedName>
    <definedName name="pump_eff">Calculations!$G$14</definedName>
    <definedName name="Pv_IPA">'General Data'!$E$9</definedName>
    <definedName name="Pv_LOX">'General Data'!$E$8</definedName>
    <definedName name="Q_IPA">Calculations!$H$50</definedName>
    <definedName name="Q_LOX">Calculations!$G$50</definedName>
    <definedName name="Spec_Impulse">Calculations!$G$18</definedName>
    <definedName name="spec_speed_IPA">Calculations!$H$60</definedName>
    <definedName name="spec_speed_LOX">Calculations!$G$60</definedName>
    <definedName name="stf_coeff">Calculations!$G$16</definedName>
    <definedName name="T_LOX">'General Data'!$G$16</definedName>
    <definedName name="T_Motor">'General Data'!$G$15</definedName>
    <definedName name="T_Room">'General Data'!$G$14</definedName>
    <definedName name="tau">Calculations!$G$47</definedName>
    <definedName name="Thrust">Calculations!$G$17</definedName>
    <definedName name="U_ss">Calculations!$G$13</definedName>
    <definedName name="Uss">'General Data'!$J$2</definedName>
    <definedName name="ut_IPA">Calculations!$H$54</definedName>
    <definedName name="ut_LOX">Calculations!$G$54</definedName>
    <definedName name="vapor_pressur_IPA">'General Data'!$F$9</definedName>
    <definedName name="vapor_pressure_LOX">'General Data'!$F$8</definedName>
    <definedName name="Volume_LOX">'General Data'!$D$17</definedName>
    <definedName name="Yes_or_No">'General Data'!$D$3:$D$4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3" l="1"/>
  <c r="G43" i="2"/>
  <c r="G46" i="2" l="1"/>
  <c r="L9" i="3" l="1"/>
  <c r="L8" i="3"/>
  <c r="G44" i="2" l="1"/>
  <c r="G35" i="2"/>
  <c r="D9" i="3"/>
  <c r="D8" i="3"/>
  <c r="G3" i="3"/>
  <c r="K9" i="3"/>
  <c r="K8" i="3"/>
  <c r="G52" i="2" l="1"/>
  <c r="G53" i="2"/>
  <c r="G51" i="2"/>
  <c r="F8" i="3"/>
  <c r="H52" i="2"/>
  <c r="H53" i="2"/>
  <c r="F9" i="3"/>
  <c r="G37" i="2"/>
  <c r="G40" i="2" s="1"/>
  <c r="G38" i="2"/>
  <c r="G45" i="2"/>
  <c r="G54" i="2" s="1"/>
  <c r="G36" i="2"/>
  <c r="G39" i="2" s="1"/>
  <c r="G74" i="2" s="1"/>
  <c r="H55" i="2" l="1"/>
  <c r="H56" i="2" s="1"/>
  <c r="G55" i="2"/>
  <c r="G56" i="2" s="1"/>
  <c r="G50" i="2"/>
  <c r="H51" i="2"/>
  <c r="H54" i="2" s="1"/>
  <c r="H50" i="2"/>
  <c r="H49" i="2" l="1"/>
  <c r="G76" i="2"/>
  <c r="G49" i="2"/>
  <c r="H57" i="2"/>
  <c r="H74" i="2"/>
  <c r="H76" i="2"/>
  <c r="H77" i="2" l="1"/>
  <c r="H75" i="2"/>
  <c r="H60" i="2"/>
  <c r="H59" i="2" s="1"/>
  <c r="H58" i="2"/>
  <c r="H68" i="2" l="1"/>
  <c r="H70" i="2" s="1"/>
  <c r="H64" i="2"/>
  <c r="H65" i="2"/>
  <c r="H69" i="2"/>
  <c r="G57" i="2"/>
  <c r="G58" i="2" s="1"/>
  <c r="G77" i="2"/>
  <c r="G78" i="2" s="1"/>
  <c r="G80" i="2" s="1"/>
  <c r="H71" i="2" l="1"/>
  <c r="G75" i="2"/>
  <c r="G60" i="2"/>
  <c r="G65" i="2"/>
  <c r="G69" i="2"/>
  <c r="G64" i="2" l="1"/>
  <c r="G68" i="2"/>
  <c r="G59" i="2"/>
  <c r="G71" i="2" l="1"/>
  <c r="G7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Philip</author>
    <author>tc={ED195F1D-9ACC-4B92-BD4E-7A96189BA295}</author>
  </authors>
  <commentList>
    <comment ref="G52" authorId="0" shapeId="0" xr:uid="{00000000-0006-0000-0100-000001000000}">
      <text>
        <r>
          <rPr>
            <b/>
            <sz val="9"/>
            <color indexed="81"/>
            <rFont val="Tahoma"/>
            <family val="2"/>
          </rPr>
          <t>Philip:</t>
        </r>
        <r>
          <rPr>
            <sz val="9"/>
            <color indexed="81"/>
            <rFont val="Tahoma"/>
            <family val="2"/>
          </rPr>
          <t xml:space="preserve">
1 atm for LOX but 2 atm for IPA?
</t>
        </r>
      </text>
    </comment>
    <comment ref="G54"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Dropping stage head flow coefficient (for now)</t>
      </text>
    </comment>
  </commentList>
</comments>
</file>

<file path=xl/sharedStrings.xml><?xml version="1.0" encoding="utf-8"?>
<sst xmlns="http://schemas.openxmlformats.org/spreadsheetml/2006/main" count="199" uniqueCount="144">
  <si>
    <t>Electric Feed System</t>
  </si>
  <si>
    <t>Portland State Aerospace Society</t>
  </si>
  <si>
    <t>Author: Philip Wahl</t>
  </si>
  <si>
    <t>Design Calculation Tool</t>
  </si>
  <si>
    <t>Fluid_Type</t>
  </si>
  <si>
    <t>Liquid Oxygen</t>
  </si>
  <si>
    <t>Ethanol</t>
  </si>
  <si>
    <t>INSTRUCTIONS</t>
  </si>
  <si>
    <t>White cells with blue text are calculated outputs</t>
  </si>
  <si>
    <t>Gold cells are user inputs</t>
  </si>
  <si>
    <t>THEORY</t>
  </si>
  <si>
    <t>The following tool can be used to calculated design parameters for the PSAS Flight Ready Electric Feed System. Inputs to be provided include inlet pressure, desired pressure gain, and mass flow rate.</t>
  </si>
  <si>
    <t>Fluid</t>
  </si>
  <si>
    <r>
      <t>Density 
[kg/m</t>
    </r>
    <r>
      <rPr>
        <sz val="11"/>
        <color theme="1"/>
        <rFont val="Calibri"/>
        <family val="2"/>
      </rPr>
      <t>³</t>
    </r>
    <r>
      <rPr>
        <sz val="11"/>
        <color theme="1"/>
        <rFont val="Calibri"/>
        <family val="2"/>
        <scheme val="minor"/>
      </rPr>
      <t>]</t>
    </r>
  </si>
  <si>
    <t>Temperature 
[K]</t>
  </si>
  <si>
    <t>Specific Heat
(Liquid)</t>
  </si>
  <si>
    <t>Specific Heat
(Vapor)</t>
  </si>
  <si>
    <t>Vaporization T
[K]</t>
  </si>
  <si>
    <t>Specific Gas 
Constant</t>
  </si>
  <si>
    <r>
      <t>Operating P</t>
    </r>
    <r>
      <rPr>
        <vertAlign val="subscript"/>
        <sz val="11"/>
        <color theme="1"/>
        <rFont val="Calibri"/>
        <family val="2"/>
        <scheme val="minor"/>
      </rPr>
      <t>v</t>
    </r>
    <r>
      <rPr>
        <sz val="11"/>
        <color theme="1"/>
        <rFont val="Calibri"/>
        <family val="2"/>
        <scheme val="minor"/>
      </rPr>
      <t xml:space="preserve">
[Pa]</t>
    </r>
  </si>
  <si>
    <t>Rocket Model</t>
  </si>
  <si>
    <t>Specific Impulse</t>
  </si>
  <si>
    <t>[s]</t>
  </si>
  <si>
    <t>Thrust</t>
  </si>
  <si>
    <t>[N]</t>
  </si>
  <si>
    <t>Total Mass Flow</t>
  </si>
  <si>
    <t>Chamber Pressure</t>
  </si>
  <si>
    <t>[-]</t>
  </si>
  <si>
    <t>LOX Mass Flow</t>
  </si>
  <si>
    <t>IPA Mass Flow</t>
  </si>
  <si>
    <t>[kg/s]</t>
  </si>
  <si>
    <t>ΔP</t>
  </si>
  <si>
    <t>Inlet Pressure</t>
  </si>
  <si>
    <t>Gas Constant</t>
  </si>
  <si>
    <t>Grav Constant</t>
  </si>
  <si>
    <t>US Grav Const</t>
  </si>
  <si>
    <t>[psi]</t>
  </si>
  <si>
    <r>
      <t>Density 
[lb/ft</t>
    </r>
    <r>
      <rPr>
        <sz val="11"/>
        <color theme="1"/>
        <rFont val="Calibri"/>
        <family val="2"/>
      </rPr>
      <t>³</t>
    </r>
    <r>
      <rPr>
        <sz val="11"/>
        <color theme="1"/>
        <rFont val="Calibri"/>
        <family val="2"/>
        <scheme val="minor"/>
      </rPr>
      <t>]</t>
    </r>
  </si>
  <si>
    <t>INPUTS</t>
  </si>
  <si>
    <t>OUTPUTS</t>
  </si>
  <si>
    <t>Mixture Ratio (for mass flow)</t>
  </si>
  <si>
    <t>Infuser</t>
  </si>
  <si>
    <t>Yes_or_No</t>
  </si>
  <si>
    <t>No</t>
  </si>
  <si>
    <t>Yes</t>
  </si>
  <si>
    <r>
      <t>[ft</t>
    </r>
    <r>
      <rPr>
        <sz val="11"/>
        <color theme="1"/>
        <rFont val="Calibri"/>
        <family val="2"/>
      </rPr>
      <t>³</t>
    </r>
    <r>
      <rPr>
        <sz val="11"/>
        <color theme="1"/>
        <rFont val="Calibri"/>
        <family val="2"/>
        <scheme val="minor"/>
      </rPr>
      <t>/s]</t>
    </r>
  </si>
  <si>
    <t>[ft]</t>
  </si>
  <si>
    <t>Required Head Rise</t>
  </si>
  <si>
    <t>Inlet Head</t>
  </si>
  <si>
    <r>
      <t>Operating P</t>
    </r>
    <r>
      <rPr>
        <vertAlign val="subscript"/>
        <sz val="11"/>
        <color theme="1"/>
        <rFont val="Calibri"/>
        <family val="2"/>
        <scheme val="minor"/>
      </rPr>
      <t>v</t>
    </r>
    <r>
      <rPr>
        <sz val="11"/>
        <color theme="1"/>
        <rFont val="Calibri"/>
        <family val="2"/>
        <scheme val="minor"/>
      </rPr>
      <t xml:space="preserve">
[psi]</t>
    </r>
  </si>
  <si>
    <t>Volumentric Flow</t>
  </si>
  <si>
    <t>LOX</t>
  </si>
  <si>
    <t>IPA</t>
  </si>
  <si>
    <r>
      <t>P</t>
    </r>
    <r>
      <rPr>
        <vertAlign val="subscript"/>
        <sz val="11"/>
        <color theme="1"/>
        <rFont val="Calibri"/>
        <family val="2"/>
        <scheme val="minor"/>
      </rPr>
      <t>p</t>
    </r>
  </si>
  <si>
    <r>
      <t>P</t>
    </r>
    <r>
      <rPr>
        <vertAlign val="subscript"/>
        <sz val="11"/>
        <color theme="1"/>
        <rFont val="Calibri"/>
        <family val="2"/>
        <scheme val="minor"/>
      </rPr>
      <t>i</t>
    </r>
  </si>
  <si>
    <t>f</t>
  </si>
  <si>
    <r>
      <t>ṁ</t>
    </r>
    <r>
      <rPr>
        <vertAlign val="subscript"/>
        <sz val="11"/>
        <color theme="1"/>
        <rFont val="Calibri"/>
        <family val="2"/>
        <scheme val="minor"/>
      </rPr>
      <t>total</t>
    </r>
  </si>
  <si>
    <r>
      <t>ṁ</t>
    </r>
    <r>
      <rPr>
        <vertAlign val="subscript"/>
        <sz val="11"/>
        <color theme="1"/>
        <rFont val="Calibri"/>
        <family val="2"/>
        <scheme val="minor"/>
      </rPr>
      <t>LOX</t>
    </r>
  </si>
  <si>
    <r>
      <t>ṁ</t>
    </r>
    <r>
      <rPr>
        <vertAlign val="subscript"/>
        <sz val="11"/>
        <color theme="1"/>
        <rFont val="Calibri"/>
        <family val="2"/>
        <scheme val="minor"/>
      </rPr>
      <t>IPA</t>
    </r>
  </si>
  <si>
    <t>Pressure Gain</t>
  </si>
  <si>
    <t>Q</t>
  </si>
  <si>
    <r>
      <t>H</t>
    </r>
    <r>
      <rPr>
        <vertAlign val="subscript"/>
        <sz val="11"/>
        <color theme="1"/>
        <rFont val="Calibri"/>
        <family val="2"/>
        <scheme val="minor"/>
      </rPr>
      <t>p</t>
    </r>
  </si>
  <si>
    <r>
      <t>H</t>
    </r>
    <r>
      <rPr>
        <vertAlign val="subscript"/>
        <sz val="11"/>
        <color theme="1"/>
        <rFont val="Calibri"/>
        <family val="2"/>
        <scheme val="minor"/>
      </rPr>
      <t>i</t>
    </r>
  </si>
  <si>
    <t>Pressure Rise Per Stage</t>
  </si>
  <si>
    <r>
      <t>ΔP</t>
    </r>
    <r>
      <rPr>
        <vertAlign val="subscript"/>
        <sz val="11"/>
        <color theme="1"/>
        <rFont val="Calibri"/>
        <family val="2"/>
        <scheme val="minor"/>
      </rPr>
      <t>s</t>
    </r>
  </si>
  <si>
    <t>Number of Stages</t>
  </si>
  <si>
    <t>N</t>
  </si>
  <si>
    <t>Stage Head Coefficient</t>
  </si>
  <si>
    <t>Ψ</t>
  </si>
  <si>
    <t>Impeller Tip Speed</t>
  </si>
  <si>
    <r>
      <t>u</t>
    </r>
    <r>
      <rPr>
        <vertAlign val="subscript"/>
        <sz val="11"/>
        <color theme="1"/>
        <rFont val="Calibri"/>
        <family val="2"/>
        <scheme val="minor"/>
      </rPr>
      <t>t</t>
    </r>
  </si>
  <si>
    <t>[ft/s]</t>
  </si>
  <si>
    <r>
      <t>U</t>
    </r>
    <r>
      <rPr>
        <vertAlign val="subscript"/>
        <sz val="11"/>
        <color theme="1"/>
        <rFont val="Calibri"/>
        <family val="2"/>
        <scheme val="minor"/>
      </rPr>
      <t>ss</t>
    </r>
  </si>
  <si>
    <r>
      <t>NPSH</t>
    </r>
    <r>
      <rPr>
        <vertAlign val="subscript"/>
        <sz val="11"/>
        <color theme="1"/>
        <rFont val="Calibri"/>
        <family val="2"/>
        <scheme val="minor"/>
      </rPr>
      <t>a</t>
    </r>
  </si>
  <si>
    <t>Available NPSH</t>
  </si>
  <si>
    <t>Rotational NPSH</t>
  </si>
  <si>
    <r>
      <t>NPSH</t>
    </r>
    <r>
      <rPr>
        <vertAlign val="subscript"/>
        <sz val="11"/>
        <color theme="1"/>
        <rFont val="Calibri"/>
        <family val="2"/>
        <scheme val="minor"/>
      </rPr>
      <t>r</t>
    </r>
  </si>
  <si>
    <t>Rotational Speed</t>
  </si>
  <si>
    <t>[RPM]</t>
  </si>
  <si>
    <t>[rad/s]</t>
  </si>
  <si>
    <r>
      <t>n</t>
    </r>
    <r>
      <rPr>
        <vertAlign val="subscript"/>
        <sz val="11"/>
        <color theme="1"/>
        <rFont val="Calibri"/>
        <family val="2"/>
        <scheme val="minor"/>
      </rPr>
      <t>RPM</t>
    </r>
  </si>
  <si>
    <t>Pump Design</t>
  </si>
  <si>
    <t>Impeller Design</t>
  </si>
  <si>
    <t>Motor Requirements</t>
  </si>
  <si>
    <t>Impeller Hub to Tip Ratio</t>
  </si>
  <si>
    <t>L</t>
  </si>
  <si>
    <t>Discharge Diameter</t>
  </si>
  <si>
    <r>
      <t>D</t>
    </r>
    <r>
      <rPr>
        <vertAlign val="subscript"/>
        <sz val="11"/>
        <color theme="1"/>
        <rFont val="Calibri"/>
        <family val="2"/>
        <scheme val="minor"/>
      </rPr>
      <t>o</t>
    </r>
  </si>
  <si>
    <t>[in]</t>
  </si>
  <si>
    <t>Inlet Diameter</t>
  </si>
  <si>
    <r>
      <t>D</t>
    </r>
    <r>
      <rPr>
        <vertAlign val="subscript"/>
        <sz val="11"/>
        <color theme="1"/>
        <rFont val="Calibri"/>
        <family val="2"/>
        <scheme val="minor"/>
      </rPr>
      <t>i</t>
    </r>
  </si>
  <si>
    <t>Pump Efficiency</t>
  </si>
  <si>
    <t>η</t>
  </si>
  <si>
    <t>[%]</t>
  </si>
  <si>
    <t>Pump Specific Speed</t>
  </si>
  <si>
    <r>
      <t>n</t>
    </r>
    <r>
      <rPr>
        <vertAlign val="subscript"/>
        <sz val="11"/>
        <color theme="1"/>
        <rFont val="Calibri"/>
        <family val="2"/>
        <scheme val="minor"/>
      </rPr>
      <t>s</t>
    </r>
  </si>
  <si>
    <t>Inducer Inlet Flow Coefficient</t>
  </si>
  <si>
    <t>φ</t>
  </si>
  <si>
    <r>
      <t>H</t>
    </r>
    <r>
      <rPr>
        <vertAlign val="subscript"/>
        <sz val="11"/>
        <color theme="1"/>
        <rFont val="Calibri"/>
        <family val="2"/>
        <scheme val="minor"/>
      </rPr>
      <t>v</t>
    </r>
  </si>
  <si>
    <r>
      <t>I</t>
    </r>
    <r>
      <rPr>
        <vertAlign val="subscript"/>
        <sz val="11"/>
        <color theme="1"/>
        <rFont val="Calibri"/>
        <family val="2"/>
        <scheme val="minor"/>
      </rPr>
      <t>sp</t>
    </r>
  </si>
  <si>
    <t>Required Power</t>
  </si>
  <si>
    <r>
      <t>P</t>
    </r>
    <r>
      <rPr>
        <vertAlign val="subscript"/>
        <sz val="11"/>
        <color theme="1"/>
        <rFont val="Calibri"/>
        <family val="2"/>
        <scheme val="minor"/>
      </rPr>
      <t>req</t>
    </r>
  </si>
  <si>
    <t>[kW]</t>
  </si>
  <si>
    <t>Load Torque</t>
  </si>
  <si>
    <t>T</t>
  </si>
  <si>
    <t>τ</t>
  </si>
  <si>
    <t>Thoma Parameter
(τ ≥2 to avoid caviation)</t>
  </si>
  <si>
    <t>Impeller Housing Diameter</t>
  </si>
  <si>
    <r>
      <t>D</t>
    </r>
    <r>
      <rPr>
        <vertAlign val="subscript"/>
        <sz val="11"/>
        <color theme="1"/>
        <rFont val="Calibri"/>
        <family val="2"/>
        <scheme val="minor"/>
      </rPr>
      <t>p</t>
    </r>
  </si>
  <si>
    <t>Impeller Hub Diameter</t>
  </si>
  <si>
    <r>
      <t>D</t>
    </r>
    <r>
      <rPr>
        <vertAlign val="subscript"/>
        <sz val="11"/>
        <color theme="1"/>
        <rFont val="Calibri"/>
        <family val="2"/>
        <scheme val="minor"/>
      </rPr>
      <t>H</t>
    </r>
  </si>
  <si>
    <t>Vapor Pressure Head</t>
  </si>
  <si>
    <r>
      <t>m</t>
    </r>
    <r>
      <rPr>
        <vertAlign val="subscript"/>
        <sz val="11"/>
        <color theme="1"/>
        <rFont val="Calibri"/>
        <family val="2"/>
        <scheme val="minor"/>
      </rPr>
      <t>mix</t>
    </r>
  </si>
  <si>
    <t>Suction Sp. Speed</t>
  </si>
  <si>
    <t>[lbm/s]</t>
  </si>
  <si>
    <t>SI</t>
  </si>
  <si>
    <t>US</t>
  </si>
  <si>
    <t>Pressure Loss (From Pintle)</t>
  </si>
  <si>
    <r>
      <t>P</t>
    </r>
    <r>
      <rPr>
        <vertAlign val="subscript"/>
        <sz val="11"/>
        <color theme="1"/>
        <rFont val="Calibri"/>
        <family val="2"/>
        <scheme val="minor"/>
      </rPr>
      <t>L</t>
    </r>
  </si>
  <si>
    <t>[GPM]</t>
  </si>
  <si>
    <t>Water</t>
  </si>
  <si>
    <r>
      <t>H</t>
    </r>
    <r>
      <rPr>
        <vertAlign val="subscript"/>
        <sz val="11"/>
        <color theme="1"/>
        <rFont val="Calibri"/>
        <family val="2"/>
        <scheme val="minor"/>
      </rPr>
      <t>i</t>
    </r>
    <r>
      <rPr>
        <sz val="11"/>
        <color theme="1"/>
        <rFont val="Calibri"/>
        <family val="2"/>
        <scheme val="minor"/>
      </rPr>
      <t xml:space="preserve"> for LOX is cut in half but not for IPA…if it were as well, required RPM would drop significantly. Need to find theory for this calculation </t>
    </r>
  </si>
  <si>
    <r>
      <t>[N</t>
    </r>
    <r>
      <rPr>
        <sz val="11"/>
        <color theme="1"/>
        <rFont val="Calibri"/>
        <family val="2"/>
      </rPr>
      <t>٠</t>
    </r>
    <r>
      <rPr>
        <sz val="11"/>
        <color theme="1"/>
        <rFont val="Calibri"/>
        <family val="2"/>
        <scheme val="minor"/>
      </rPr>
      <t>m]</t>
    </r>
  </si>
  <si>
    <t>Rotational Kinetic 
Energy</t>
  </si>
  <si>
    <r>
      <t>E</t>
    </r>
    <r>
      <rPr>
        <vertAlign val="subscript"/>
        <sz val="11"/>
        <color theme="1"/>
        <rFont val="Calibri"/>
        <family val="2"/>
        <scheme val="minor"/>
      </rPr>
      <t>Rot</t>
    </r>
  </si>
  <si>
    <t>Impeller Properties</t>
  </si>
  <si>
    <t>Specific Heat</t>
  </si>
  <si>
    <t>[J/kg-K]</t>
  </si>
  <si>
    <t xml:space="preserve">Mass </t>
  </si>
  <si>
    <t>[kg]</t>
  </si>
  <si>
    <t>Room T [C]</t>
  </si>
  <si>
    <t>Motor T [C]</t>
  </si>
  <si>
    <t>LOX T [C]</t>
  </si>
  <si>
    <t>Temperatures</t>
  </si>
  <si>
    <t>MMOI</t>
  </si>
  <si>
    <t>[in³]</t>
  </si>
  <si>
    <t>Volume</t>
  </si>
  <si>
    <t>Vap. Heat
[J/kg]</t>
  </si>
  <si>
    <t>[kg/m²]</t>
  </si>
  <si>
    <t>-</t>
  </si>
  <si>
    <t>Impeller Temperature Gain</t>
  </si>
  <si>
    <t>ΔT</t>
  </si>
  <si>
    <t>[C]</t>
  </si>
  <si>
    <t>[kJ]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</si>
</sst>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0"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sz val="11"/>
      <color rgb="FF0000FF"/>
      <name val="Calibri"/>
      <family val="2"/>
      <scheme val="minor"/>
    </font>
    <font>
      <sz val="11"/>
      <color rgb="FF0000CC"/>
      <name val="Calibri"/>
      <family val="2"/>
      <scheme val="minor"/>
    </font>
    <font>
      <sz val="11"/>
      <color theme="1"/>
      <name val="Calibri"/>
      <family val="2"/>
    </font>
    <font>
      <vertAlign val="subscript"/>
      <sz val="11"/>
      <color theme="1"/>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6" tint="0.79998168889431442"/>
        <bgColor indexed="64"/>
      </patternFill>
    </fill>
  </fills>
  <borders count="21">
    <border>
      <left/>
      <right/>
      <top/>
      <bottom/>
      <diagonal/>
    </border>
    <border>
      <left style="thin">
        <color indexed="64"/>
      </left>
      <right/>
      <top/>
      <bottom/>
      <diagonal/>
    </border>
    <border>
      <left/>
      <right style="thin">
        <color indexed="64"/>
      </right>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91">
    <xf numFmtId="0" fontId="0" fillId="0" borderId="0" xfId="0"/>
    <xf numFmtId="0" fontId="0" fillId="2" borderId="0" xfId="0" applyFill="1"/>
    <xf numFmtId="0" fontId="0" fillId="2" borderId="0" xfId="0" applyFill="1" applyAlignment="1">
      <alignment vertical="center"/>
    </xf>
    <xf numFmtId="0" fontId="0" fillId="2" borderId="0" xfId="0" applyFill="1" applyAlignment="1">
      <alignment horizontal="center"/>
    </xf>
    <xf numFmtId="0" fontId="0" fillId="2" borderId="1" xfId="0" applyFill="1" applyBorder="1"/>
    <xf numFmtId="0" fontId="0" fillId="2" borderId="2" xfId="0" applyFill="1" applyBorder="1"/>
    <xf numFmtId="0" fontId="0" fillId="2" borderId="4" xfId="0" applyFill="1" applyBorder="1" applyAlignment="1">
      <alignment vertical="center"/>
    </xf>
    <xf numFmtId="0" fontId="2" fillId="2" borderId="1" xfId="0" applyFont="1" applyFill="1" applyBorder="1"/>
    <xf numFmtId="0" fontId="3" fillId="2" borderId="1" xfId="0" applyFont="1" applyFill="1" applyBorder="1"/>
    <xf numFmtId="0" fontId="1" fillId="2" borderId="3" xfId="0" applyFont="1" applyFill="1" applyBorder="1" applyAlignment="1">
      <alignment vertical="center"/>
    </xf>
    <xf numFmtId="0" fontId="0" fillId="2" borderId="6" xfId="0" applyFill="1" applyBorder="1"/>
    <xf numFmtId="0" fontId="0" fillId="2" borderId="7" xfId="0" applyFill="1" applyBorder="1"/>
    <xf numFmtId="0" fontId="0" fillId="2" borderId="8" xfId="0" applyFill="1" applyBorder="1"/>
    <xf numFmtId="0" fontId="0" fillId="2" borderId="6" xfId="0" applyFill="1" applyBorder="1" applyAlignment="1">
      <alignment horizontal="center" vertical="center"/>
    </xf>
    <xf numFmtId="0" fontId="0" fillId="2" borderId="6" xfId="0" applyFill="1" applyBorder="1" applyAlignment="1">
      <alignment horizontal="center" vertical="center" wrapText="1"/>
    </xf>
    <xf numFmtId="0" fontId="0" fillId="2" borderId="6" xfId="0" applyFill="1" applyBorder="1" applyAlignment="1">
      <alignment horizontal="center" wrapText="1"/>
    </xf>
    <xf numFmtId="0" fontId="0" fillId="2" borderId="6" xfId="0" applyFill="1" applyBorder="1" applyAlignment="1">
      <alignment horizontal="center"/>
    </xf>
    <xf numFmtId="2" fontId="0" fillId="2" borderId="6" xfId="0" applyNumberFormat="1" applyFill="1" applyBorder="1" applyAlignment="1">
      <alignment horizontal="center"/>
    </xf>
    <xf numFmtId="1" fontId="0" fillId="2" borderId="6" xfId="0" applyNumberFormat="1" applyFill="1" applyBorder="1" applyAlignment="1">
      <alignment horizontal="center"/>
    </xf>
    <xf numFmtId="164" fontId="0" fillId="2" borderId="6" xfId="0" applyNumberFormat="1" applyFill="1" applyBorder="1" applyAlignment="1">
      <alignment horizontal="center"/>
    </xf>
    <xf numFmtId="0" fontId="1" fillId="2" borderId="6" xfId="0" applyFont="1" applyFill="1" applyBorder="1" applyAlignment="1">
      <alignment horizontal="center" vertical="center"/>
    </xf>
    <xf numFmtId="0" fontId="6" fillId="2" borderId="6" xfId="0" applyFont="1" applyFill="1" applyBorder="1" applyAlignment="1">
      <alignment horizontal="center"/>
    </xf>
    <xf numFmtId="164" fontId="5" fillId="2" borderId="6" xfId="0" applyNumberFormat="1" applyFont="1" applyFill="1" applyBorder="1" applyAlignment="1">
      <alignment horizontal="center"/>
    </xf>
    <xf numFmtId="2" fontId="5" fillId="2" borderId="6" xfId="0" applyNumberFormat="1" applyFont="1" applyFill="1" applyBorder="1" applyAlignment="1">
      <alignment horizontal="center"/>
    </xf>
    <xf numFmtId="0" fontId="6" fillId="2" borderId="0" xfId="0" applyFont="1" applyFill="1" applyAlignment="1">
      <alignment horizontal="center"/>
    </xf>
    <xf numFmtId="2" fontId="5" fillId="2" borderId="0" xfId="0" applyNumberFormat="1" applyFont="1" applyFill="1" applyAlignment="1">
      <alignment horizontal="center"/>
    </xf>
    <xf numFmtId="2" fontId="5" fillId="2" borderId="2" xfId="0" applyNumberFormat="1" applyFont="1" applyFill="1" applyBorder="1" applyAlignment="1">
      <alignment horizontal="center"/>
    </xf>
    <xf numFmtId="1" fontId="5" fillId="2" borderId="0" xfId="0" applyNumberFormat="1" applyFont="1" applyFill="1" applyAlignment="1">
      <alignment horizontal="center"/>
    </xf>
    <xf numFmtId="1" fontId="5" fillId="2" borderId="2" xfId="0" applyNumberFormat="1" applyFont="1" applyFill="1" applyBorder="1" applyAlignment="1">
      <alignment horizontal="center"/>
    </xf>
    <xf numFmtId="0" fontId="0" fillId="2" borderId="17" xfId="0" applyFill="1" applyBorder="1"/>
    <xf numFmtId="0" fontId="0" fillId="2" borderId="20" xfId="0" applyFill="1" applyBorder="1"/>
    <xf numFmtId="0" fontId="0" fillId="2" borderId="18" xfId="0" applyFill="1" applyBorder="1"/>
    <xf numFmtId="0" fontId="6" fillId="2" borderId="7" xfId="0" applyFont="1" applyFill="1" applyBorder="1" applyAlignment="1">
      <alignment horizontal="center"/>
    </xf>
    <xf numFmtId="0" fontId="0" fillId="2" borderId="12" xfId="0" applyFill="1" applyBorder="1" applyAlignment="1">
      <alignment horizontal="center" vertical="center"/>
    </xf>
    <xf numFmtId="0" fontId="0" fillId="2" borderId="0" xfId="0" applyFill="1" applyAlignment="1">
      <alignment vertical="top" wrapText="1"/>
    </xf>
    <xf numFmtId="0" fontId="1" fillId="2" borderId="4" xfId="0" applyFont="1" applyFill="1" applyBorder="1" applyAlignment="1">
      <alignment horizontal="center" vertic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4" fillId="3" borderId="12" xfId="0" applyFont="1" applyFill="1" applyBorder="1" applyAlignment="1">
      <alignment horizontal="center"/>
    </xf>
    <xf numFmtId="0" fontId="4" fillId="3" borderId="13" xfId="0" applyFont="1" applyFill="1" applyBorder="1" applyAlignment="1">
      <alignment horizontal="center"/>
    </xf>
    <xf numFmtId="0" fontId="4" fillId="3" borderId="14" xfId="0" applyFont="1" applyFill="1" applyBorder="1" applyAlignment="1">
      <alignment horizontal="center"/>
    </xf>
    <xf numFmtId="0" fontId="4" fillId="2" borderId="12" xfId="0" applyFont="1" applyFill="1" applyBorder="1" applyAlignment="1">
      <alignment horizontal="center"/>
    </xf>
    <xf numFmtId="0" fontId="4" fillId="2" borderId="13" xfId="0" applyFont="1" applyFill="1" applyBorder="1" applyAlignment="1">
      <alignment horizontal="center"/>
    </xf>
    <xf numFmtId="0" fontId="4" fillId="2" borderId="14" xfId="0" applyFont="1" applyFill="1" applyBorder="1" applyAlignment="1">
      <alignment horizontal="center"/>
    </xf>
    <xf numFmtId="0" fontId="0" fillId="2" borderId="6" xfId="0" applyFill="1" applyBorder="1" applyAlignment="1">
      <alignment horizontal="center" vertical="center" textRotation="90"/>
    </xf>
    <xf numFmtId="1" fontId="5" fillId="2" borderId="12" xfId="0" applyNumberFormat="1" applyFont="1" applyFill="1" applyBorder="1" applyAlignment="1">
      <alignment horizontal="center"/>
    </xf>
    <xf numFmtId="1" fontId="5" fillId="2" borderId="14" xfId="0" applyNumberFormat="1" applyFont="1" applyFill="1" applyBorder="1" applyAlignment="1">
      <alignment horizontal="center"/>
    </xf>
    <xf numFmtId="0" fontId="0" fillId="2" borderId="6" xfId="0" applyFill="1" applyBorder="1" applyAlignment="1">
      <alignment horizontal="center"/>
    </xf>
    <xf numFmtId="1" fontId="5" fillId="3" borderId="6" xfId="0" applyNumberFormat="1" applyFont="1" applyFill="1" applyBorder="1" applyAlignment="1">
      <alignment horizontal="center"/>
    </xf>
    <xf numFmtId="2" fontId="5" fillId="2" borderId="6" xfId="0" applyNumberFormat="1" applyFont="1" applyFill="1" applyBorder="1" applyAlignment="1">
      <alignment horizontal="center"/>
    </xf>
    <xf numFmtId="0" fontId="6" fillId="2" borderId="6" xfId="0" applyFont="1" applyFill="1" applyBorder="1" applyAlignment="1">
      <alignment horizontal="center"/>
    </xf>
    <xf numFmtId="0" fontId="1" fillId="2" borderId="6" xfId="0" applyFont="1" applyFill="1" applyBorder="1" applyAlignment="1">
      <alignment horizontal="center"/>
    </xf>
    <xf numFmtId="0" fontId="1" fillId="2" borderId="6" xfId="0" applyFont="1" applyFill="1" applyBorder="1" applyAlignment="1">
      <alignment horizontal="left" vertical="center"/>
    </xf>
    <xf numFmtId="0" fontId="0" fillId="2" borderId="12" xfId="0" applyFill="1" applyBorder="1" applyAlignment="1">
      <alignment horizontal="center"/>
    </xf>
    <xf numFmtId="0" fontId="0" fillId="2" borderId="14" xfId="0" applyFill="1" applyBorder="1" applyAlignment="1">
      <alignment horizontal="center"/>
    </xf>
    <xf numFmtId="0" fontId="6" fillId="2" borderId="15" xfId="0" applyFont="1" applyFill="1" applyBorder="1" applyAlignment="1">
      <alignment horizontal="center" vertical="center"/>
    </xf>
    <xf numFmtId="0" fontId="6" fillId="2" borderId="16" xfId="0" applyFont="1" applyFill="1" applyBorder="1" applyAlignment="1">
      <alignment horizontal="center" vertical="center"/>
    </xf>
    <xf numFmtId="0" fontId="6" fillId="2" borderId="17" xfId="0" applyFont="1" applyFill="1" applyBorder="1" applyAlignment="1">
      <alignment horizontal="center" vertical="center"/>
    </xf>
    <xf numFmtId="0" fontId="6" fillId="2" borderId="18" xfId="0" applyFont="1" applyFill="1" applyBorder="1" applyAlignment="1">
      <alignment horizontal="center" vertical="center"/>
    </xf>
    <xf numFmtId="0" fontId="0" fillId="2" borderId="7" xfId="0" applyFill="1" applyBorder="1" applyAlignment="1">
      <alignment horizontal="center" vertical="center"/>
    </xf>
    <xf numFmtId="0" fontId="0" fillId="2" borderId="19" xfId="0" applyFill="1" applyBorder="1" applyAlignment="1">
      <alignment horizontal="center" vertical="center"/>
    </xf>
    <xf numFmtId="0" fontId="0" fillId="4" borderId="6" xfId="0" applyFill="1" applyBorder="1" applyAlignment="1">
      <alignment horizontal="center"/>
    </xf>
    <xf numFmtId="0" fontId="0" fillId="4" borderId="12" xfId="0" applyFill="1" applyBorder="1" applyAlignment="1">
      <alignment horizontal="center"/>
    </xf>
    <xf numFmtId="0" fontId="0" fillId="4" borderId="13" xfId="0" applyFill="1" applyBorder="1" applyAlignment="1">
      <alignment horizontal="center"/>
    </xf>
    <xf numFmtId="0" fontId="0" fillId="4" borderId="14" xfId="0" applyFill="1" applyBorder="1" applyAlignment="1">
      <alignment horizontal="center"/>
    </xf>
    <xf numFmtId="0" fontId="1" fillId="2" borderId="12" xfId="0" applyFont="1" applyFill="1" applyBorder="1" applyAlignment="1">
      <alignment horizontal="left" vertical="center"/>
    </xf>
    <xf numFmtId="0" fontId="1" fillId="2" borderId="13" xfId="0" applyFont="1" applyFill="1" applyBorder="1" applyAlignment="1">
      <alignment horizontal="left" vertical="center"/>
    </xf>
    <xf numFmtId="0" fontId="1" fillId="2" borderId="14" xfId="0" applyFont="1" applyFill="1" applyBorder="1" applyAlignment="1">
      <alignment horizontal="left" vertical="center"/>
    </xf>
    <xf numFmtId="1" fontId="5" fillId="2" borderId="6" xfId="0" applyNumberFormat="1" applyFont="1" applyFill="1" applyBorder="1" applyAlignment="1">
      <alignment horizontal="center"/>
    </xf>
    <xf numFmtId="0" fontId="0" fillId="2" borderId="15" xfId="0" applyFill="1"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165" fontId="5" fillId="3" borderId="6" xfId="0" applyNumberFormat="1" applyFont="1" applyFill="1" applyBorder="1" applyAlignment="1">
      <alignment horizontal="center"/>
    </xf>
    <xf numFmtId="2" fontId="5" fillId="3" borderId="12" xfId="0" applyNumberFormat="1" applyFont="1" applyFill="1" applyBorder="1" applyAlignment="1">
      <alignment horizontal="center"/>
    </xf>
    <xf numFmtId="2" fontId="5" fillId="3" borderId="14" xfId="0" applyNumberFormat="1" applyFont="1" applyFill="1" applyBorder="1" applyAlignment="1">
      <alignment horizontal="center"/>
    </xf>
    <xf numFmtId="165" fontId="5" fillId="2" borderId="6" xfId="0" applyNumberFormat="1" applyFont="1" applyFill="1" applyBorder="1" applyAlignment="1">
      <alignment horizontal="center"/>
    </xf>
    <xf numFmtId="0" fontId="6" fillId="2" borderId="12" xfId="0" applyFont="1" applyFill="1" applyBorder="1" applyAlignment="1">
      <alignment horizontal="center" wrapText="1"/>
    </xf>
    <xf numFmtId="0" fontId="6" fillId="2" borderId="14" xfId="0" applyFont="1" applyFill="1" applyBorder="1" applyAlignment="1">
      <alignment horizontal="center"/>
    </xf>
    <xf numFmtId="0" fontId="0" fillId="2" borderId="1" xfId="0" applyFill="1" applyBorder="1" applyAlignment="1">
      <alignment horizontal="left" vertical="top" wrapText="1" indent="2"/>
    </xf>
    <xf numFmtId="0" fontId="0" fillId="2" borderId="0" xfId="0" applyFill="1" applyAlignment="1">
      <alignment horizontal="left" vertical="top" wrapText="1" indent="2"/>
    </xf>
    <xf numFmtId="0" fontId="5" fillId="2" borderId="6" xfId="0" applyFont="1" applyFill="1" applyBorder="1" applyAlignment="1">
      <alignment horizontal="center"/>
    </xf>
    <xf numFmtId="0" fontId="5" fillId="3" borderId="6" xfId="0" applyFont="1" applyFill="1" applyBorder="1" applyAlignment="1">
      <alignment horizontal="center"/>
    </xf>
    <xf numFmtId="2" fontId="5" fillId="2" borderId="7" xfId="0" applyNumberFormat="1" applyFont="1" applyFill="1" applyBorder="1" applyAlignment="1">
      <alignment horizontal="center" vertical="center"/>
    </xf>
    <xf numFmtId="2" fontId="5" fillId="2" borderId="19" xfId="0" applyNumberFormat="1" applyFont="1" applyFill="1" applyBorder="1" applyAlignment="1">
      <alignment horizontal="center" vertical="center"/>
    </xf>
    <xf numFmtId="2" fontId="5" fillId="2" borderId="6" xfId="0" applyNumberFormat="1" applyFont="1" applyFill="1" applyBorder="1" applyAlignment="1">
      <alignment horizontal="center" vertical="center"/>
    </xf>
    <xf numFmtId="0" fontId="0" fillId="2" borderId="6" xfId="0" applyFill="1" applyBorder="1" applyAlignment="1">
      <alignment horizontal="center" vertical="center" wrapText="1"/>
    </xf>
    <xf numFmtId="0" fontId="0" fillId="2" borderId="6" xfId="0"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000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739140</xdr:colOff>
      <xdr:row>0</xdr:row>
      <xdr:rowOff>53341</xdr:rowOff>
    </xdr:from>
    <xdr:to>
      <xdr:col>7</xdr:col>
      <xdr:colOff>769620</xdr:colOff>
      <xdr:row>4</xdr:row>
      <xdr:rowOff>32991</xdr:rowOff>
    </xdr:to>
    <xdr:pic>
      <xdr:nvPicPr>
        <xdr:cNvPr id="3" name="Picture 2">
          <a:extLst>
            <a:ext uri="{FF2B5EF4-FFF2-40B4-BE49-F238E27FC236}">
              <a16:creationId xmlns:a16="http://schemas.microsoft.com/office/drawing/2014/main" id="{8D7835C9-7A84-4C5D-B86B-1ACE43762F0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1487" r="21966"/>
        <a:stretch/>
      </xdr:blipFill>
      <xdr:spPr>
        <a:xfrm>
          <a:off x="5646420" y="53341"/>
          <a:ext cx="975360" cy="970250"/>
        </a:xfrm>
        <a:prstGeom prst="rect">
          <a:avLst/>
        </a:prstGeom>
      </xdr:spPr>
    </xdr:pic>
    <xdr:clientData/>
  </xdr:twoCellAnchor>
  <xdr:twoCellAnchor editAs="oneCell">
    <xdr:from>
      <xdr:col>2</xdr:col>
      <xdr:colOff>167640</xdr:colOff>
      <xdr:row>16</xdr:row>
      <xdr:rowOff>167640</xdr:rowOff>
    </xdr:from>
    <xdr:to>
      <xdr:col>7</xdr:col>
      <xdr:colOff>443865</xdr:colOff>
      <xdr:row>46</xdr:row>
      <xdr:rowOff>139065</xdr:rowOff>
    </xdr:to>
    <xdr:pic>
      <xdr:nvPicPr>
        <xdr:cNvPr id="4" name="Picture 3">
          <a:extLst>
            <a:ext uri="{FF2B5EF4-FFF2-40B4-BE49-F238E27FC236}">
              <a16:creationId xmlns:a16="http://schemas.microsoft.com/office/drawing/2014/main" id="{AE995C2B-DE15-456D-8935-9F84F3B7572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95400" y="3596640"/>
          <a:ext cx="5000625" cy="5686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556260</xdr:colOff>
      <xdr:row>0</xdr:row>
      <xdr:rowOff>38100</xdr:rowOff>
    </xdr:from>
    <xdr:to>
      <xdr:col>7</xdr:col>
      <xdr:colOff>586740</xdr:colOff>
      <xdr:row>4</xdr:row>
      <xdr:rowOff>116810</xdr:rowOff>
    </xdr:to>
    <xdr:pic>
      <xdr:nvPicPr>
        <xdr:cNvPr id="5" name="Picture 4">
          <a:extLst>
            <a:ext uri="{FF2B5EF4-FFF2-40B4-BE49-F238E27FC236}">
              <a16:creationId xmlns:a16="http://schemas.microsoft.com/office/drawing/2014/main" id="{CC311EBB-22A2-4E5F-AAE0-B1EDF7BB9EC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1487" r="21966"/>
        <a:stretch/>
      </xdr:blipFill>
      <xdr:spPr>
        <a:xfrm>
          <a:off x="4777740" y="38100"/>
          <a:ext cx="975360" cy="970250"/>
        </a:xfrm>
        <a:prstGeom prst="rect">
          <a:avLst/>
        </a:prstGeom>
      </xdr:spPr>
    </xdr:pic>
    <xdr:clientData/>
  </xdr:twoCellAnchor>
  <xdr:twoCellAnchor>
    <xdr:from>
      <xdr:col>2</xdr:col>
      <xdr:colOff>152401</xdr:colOff>
      <xdr:row>18</xdr:row>
      <xdr:rowOff>53340</xdr:rowOff>
    </xdr:from>
    <xdr:to>
      <xdr:col>7</xdr:col>
      <xdr:colOff>411481</xdr:colOff>
      <xdr:row>31</xdr:row>
      <xdr:rowOff>83820</xdr:rowOff>
    </xdr:to>
    <xdr:grpSp>
      <xdr:nvGrpSpPr>
        <xdr:cNvPr id="3" name="Group 2">
          <a:extLst>
            <a:ext uri="{FF2B5EF4-FFF2-40B4-BE49-F238E27FC236}">
              <a16:creationId xmlns:a16="http://schemas.microsoft.com/office/drawing/2014/main" id="{06AEF881-E70F-4FEF-BE12-294CDD639066}"/>
            </a:ext>
          </a:extLst>
        </xdr:cNvPr>
        <xdr:cNvGrpSpPr/>
      </xdr:nvGrpSpPr>
      <xdr:grpSpPr>
        <a:xfrm>
          <a:off x="586741" y="3703320"/>
          <a:ext cx="4945380" cy="2407920"/>
          <a:chOff x="594361" y="3124200"/>
          <a:chExt cx="4983480" cy="2407920"/>
        </a:xfrm>
      </xdr:grpSpPr>
      <xdr:pic>
        <xdr:nvPicPr>
          <xdr:cNvPr id="9" name="Picture 8">
            <a:extLst>
              <a:ext uri="{FF2B5EF4-FFF2-40B4-BE49-F238E27FC236}">
                <a16:creationId xmlns:a16="http://schemas.microsoft.com/office/drawing/2014/main" id="{086D912F-9802-4D04-8337-D6752BE4EB89}"/>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10480"/>
          <a:stretch/>
        </xdr:blipFill>
        <xdr:spPr>
          <a:xfrm>
            <a:off x="594361" y="3124200"/>
            <a:ext cx="4983480" cy="2407920"/>
          </a:xfrm>
          <a:prstGeom prst="rect">
            <a:avLst/>
          </a:prstGeom>
        </xdr:spPr>
      </xdr:pic>
      <xdr:sp macro="" textlink="">
        <xdr:nvSpPr>
          <xdr:cNvPr id="2" name="Rectangle 1">
            <a:extLst>
              <a:ext uri="{FF2B5EF4-FFF2-40B4-BE49-F238E27FC236}">
                <a16:creationId xmlns:a16="http://schemas.microsoft.com/office/drawing/2014/main" id="{9B972FA3-41E3-4BB7-9FC3-329BFC3CEA3E}"/>
              </a:ext>
            </a:extLst>
          </xdr:cNvPr>
          <xdr:cNvSpPr/>
        </xdr:nvSpPr>
        <xdr:spPr>
          <a:xfrm>
            <a:off x="1531620" y="3223260"/>
            <a:ext cx="708660" cy="20574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VI" sz="1100"/>
          </a:p>
        </xdr:txBody>
      </xdr:sp>
    </xdr:grpSp>
    <xdr:clientData/>
  </xdr:twoCellAnchor>
  <xdr:twoCellAnchor editAs="oneCell">
    <xdr:from>
      <xdr:col>9</xdr:col>
      <xdr:colOff>99060</xdr:colOff>
      <xdr:row>59</xdr:row>
      <xdr:rowOff>107158</xdr:rowOff>
    </xdr:from>
    <xdr:to>
      <xdr:col>11</xdr:col>
      <xdr:colOff>536682</xdr:colOff>
      <xdr:row>73</xdr:row>
      <xdr:rowOff>122433</xdr:rowOff>
    </xdr:to>
    <xdr:grpSp>
      <xdr:nvGrpSpPr>
        <xdr:cNvPr id="20" name="Group 19">
          <a:extLst>
            <a:ext uri="{FF2B5EF4-FFF2-40B4-BE49-F238E27FC236}">
              <a16:creationId xmlns:a16="http://schemas.microsoft.com/office/drawing/2014/main" id="{C0406DFA-C77A-4955-85AD-6C9C9045B38F}"/>
            </a:ext>
          </a:extLst>
        </xdr:cNvPr>
        <xdr:cNvGrpSpPr/>
      </xdr:nvGrpSpPr>
      <xdr:grpSpPr>
        <a:xfrm>
          <a:off x="6408420" y="11118058"/>
          <a:ext cx="1656822" cy="1905035"/>
          <a:chOff x="6469380" y="11514298"/>
          <a:chExt cx="1656822" cy="1905035"/>
        </a:xfrm>
      </xdr:grpSpPr>
      <xdr:pic>
        <xdr:nvPicPr>
          <xdr:cNvPr id="6" name="Picture 5">
            <a:extLst>
              <a:ext uri="{FF2B5EF4-FFF2-40B4-BE49-F238E27FC236}">
                <a16:creationId xmlns:a16="http://schemas.microsoft.com/office/drawing/2014/main" id="{35CD7C53-935A-4F85-A41C-4D7A1AB1791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903720" y="11514298"/>
            <a:ext cx="1051560" cy="1905035"/>
          </a:xfrm>
          <a:prstGeom prst="rect">
            <a:avLst/>
          </a:prstGeom>
        </xdr:spPr>
      </xdr:pic>
      <xdr:cxnSp macro="">
        <xdr:nvCxnSpPr>
          <xdr:cNvPr id="8" name="Straight Arrow Connector 7">
            <a:extLst>
              <a:ext uri="{FF2B5EF4-FFF2-40B4-BE49-F238E27FC236}">
                <a16:creationId xmlns:a16="http://schemas.microsoft.com/office/drawing/2014/main" id="{E18E57DB-BE1C-45EA-89FF-2CD421CBBED3}"/>
              </a:ext>
            </a:extLst>
          </xdr:cNvPr>
          <xdr:cNvCxnSpPr/>
        </xdr:nvCxnSpPr>
        <xdr:spPr>
          <a:xfrm>
            <a:off x="6667500" y="11514298"/>
            <a:ext cx="0" cy="1905035"/>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xnSp macro="">
        <xdr:nvCxnSpPr>
          <xdr:cNvPr id="12" name="Straight Arrow Connector 11">
            <a:extLst>
              <a:ext uri="{FF2B5EF4-FFF2-40B4-BE49-F238E27FC236}">
                <a16:creationId xmlns:a16="http://schemas.microsoft.com/office/drawing/2014/main" id="{A0D526C7-2063-4E72-BF57-1B796FD02706}"/>
              </a:ext>
            </a:extLst>
          </xdr:cNvPr>
          <xdr:cNvCxnSpPr/>
        </xdr:nvCxnSpPr>
        <xdr:spPr>
          <a:xfrm flipH="1">
            <a:off x="6949440" y="12260580"/>
            <a:ext cx="7620" cy="342900"/>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xnSp macro="">
        <xdr:nvCxnSpPr>
          <xdr:cNvPr id="15" name="Straight Arrow Connector 14">
            <a:extLst>
              <a:ext uri="{FF2B5EF4-FFF2-40B4-BE49-F238E27FC236}">
                <a16:creationId xmlns:a16="http://schemas.microsoft.com/office/drawing/2014/main" id="{154DF7C5-9D94-4A4A-BCE6-9BD59BC96249}"/>
              </a:ext>
            </a:extLst>
          </xdr:cNvPr>
          <xdr:cNvCxnSpPr/>
        </xdr:nvCxnSpPr>
        <xdr:spPr>
          <a:xfrm flipH="1">
            <a:off x="7985760" y="12176760"/>
            <a:ext cx="7620" cy="571500"/>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9A34C302-ECFC-45B4-AB40-2B5482815EAD}"/>
                  </a:ext>
                </a:extLst>
              </xdr:cNvPr>
              <xdr:cNvSpPr txBox="1"/>
            </xdr:nvSpPr>
            <xdr:spPr>
              <a:xfrm>
                <a:off x="7863840" y="12336780"/>
                <a:ext cx="262362" cy="256940"/>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14:m>
                  <m:oMathPara xmlns:m="http://schemas.openxmlformats.org/officeDocument/2006/math">
                    <m:oMathParaPr>
                      <m:jc m:val="centerGroup"/>
                    </m:oMathParaPr>
                    <m:oMath xmlns:m="http://schemas.openxmlformats.org/officeDocument/2006/math">
                      <m:sSub>
                        <m:sSubPr>
                          <m:ctrlPr>
                            <a:rPr lang="en-VI" sz="110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𝐻</m:t>
                          </m:r>
                        </m:sub>
                      </m:sSub>
                    </m:oMath>
                  </m:oMathPara>
                </a14:m>
                <a:endParaRPr lang="en-VI" sz="1100"/>
              </a:p>
            </xdr:txBody>
          </xdr:sp>
        </mc:Choice>
        <mc:Fallback xmlns="">
          <xdr:sp macro="" textlink="">
            <xdr:nvSpPr>
              <xdr:cNvPr id="17" name="TextBox 16">
                <a:extLst>
                  <a:ext uri="{FF2B5EF4-FFF2-40B4-BE49-F238E27FC236}">
                    <a16:creationId xmlns:a16="http://schemas.microsoft.com/office/drawing/2014/main" id="{9A34C302-ECFC-45B4-AB40-2B5482815EAD}"/>
                  </a:ext>
                </a:extLst>
              </xdr:cNvPr>
              <xdr:cNvSpPr txBox="1"/>
            </xdr:nvSpPr>
            <xdr:spPr>
              <a:xfrm>
                <a:off x="7863840" y="12336780"/>
                <a:ext cx="262362" cy="256940"/>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0" i="0">
                    <a:latin typeface="Cambria Math" panose="02040503050406030204" pitchFamily="18" charset="0"/>
                  </a:rPr>
                  <a:t>𝐷</a:t>
                </a:r>
                <a:r>
                  <a:rPr lang="en-VI" sz="1100" b="0" i="0">
                    <a:latin typeface="Cambria Math" panose="02040503050406030204" pitchFamily="18" charset="0"/>
                  </a:rPr>
                  <a:t>_</a:t>
                </a:r>
                <a:r>
                  <a:rPr lang="en-US" sz="1100" b="0" i="0">
                    <a:latin typeface="Cambria Math" panose="02040503050406030204" pitchFamily="18" charset="0"/>
                  </a:rPr>
                  <a:t>𝐻</a:t>
                </a:r>
                <a:endParaRPr lang="en-VI" sz="1100"/>
              </a:p>
            </xdr:txBody>
          </xdr:sp>
        </mc:Fallback>
      </mc:AlternateContent>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1B2D3F3F-5FBE-41CF-9CCE-52BD36A032D1}"/>
                  </a:ext>
                </a:extLst>
              </xdr:cNvPr>
              <xdr:cNvSpPr txBox="1"/>
            </xdr:nvSpPr>
            <xdr:spPr>
              <a:xfrm>
                <a:off x="6469380" y="12702540"/>
                <a:ext cx="449580" cy="256940"/>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14:m>
                  <m:oMathPara xmlns:m="http://schemas.openxmlformats.org/officeDocument/2006/math">
                    <m:oMathParaPr>
                      <m:jc m:val="centerGroup"/>
                    </m:oMathParaPr>
                    <m:oMath xmlns:m="http://schemas.openxmlformats.org/officeDocument/2006/math">
                      <m:sSub>
                        <m:sSubPr>
                          <m:ctrlPr>
                            <a:rPr lang="en-VI" sz="110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𝑜</m:t>
                          </m:r>
                        </m:sub>
                      </m:sSub>
                    </m:oMath>
                  </m:oMathPara>
                </a14:m>
                <a:endParaRPr lang="en-VI" sz="1100"/>
              </a:p>
            </xdr:txBody>
          </xdr:sp>
        </mc:Choice>
        <mc:Fallback xmlns="">
          <xdr:sp macro="" textlink="">
            <xdr:nvSpPr>
              <xdr:cNvPr id="18" name="TextBox 17">
                <a:extLst>
                  <a:ext uri="{FF2B5EF4-FFF2-40B4-BE49-F238E27FC236}">
                    <a16:creationId xmlns:a16="http://schemas.microsoft.com/office/drawing/2014/main" id="{1B2D3F3F-5FBE-41CF-9CCE-52BD36A032D1}"/>
                  </a:ext>
                </a:extLst>
              </xdr:cNvPr>
              <xdr:cNvSpPr txBox="1"/>
            </xdr:nvSpPr>
            <xdr:spPr>
              <a:xfrm>
                <a:off x="6469380" y="12702540"/>
                <a:ext cx="449580" cy="256940"/>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0" i="0">
                    <a:latin typeface="Cambria Math" panose="02040503050406030204" pitchFamily="18" charset="0"/>
                  </a:rPr>
                  <a:t>𝐷</a:t>
                </a:r>
                <a:r>
                  <a:rPr lang="en-VI" sz="1100" b="0" i="0">
                    <a:latin typeface="Cambria Math" panose="02040503050406030204" pitchFamily="18" charset="0"/>
                  </a:rPr>
                  <a:t>_</a:t>
                </a:r>
                <a:r>
                  <a:rPr lang="en-US" sz="1100" b="0" i="0">
                    <a:latin typeface="Cambria Math" panose="02040503050406030204" pitchFamily="18" charset="0"/>
                  </a:rPr>
                  <a:t>𝑜</a:t>
                </a:r>
                <a:endParaRPr lang="en-VI" sz="1100"/>
              </a:p>
            </xdr:txBody>
          </xdr:sp>
        </mc:Fallback>
      </mc:AlternateContent>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E9C7440C-AA1B-485B-8D44-7EB105E67B77}"/>
                  </a:ext>
                </a:extLst>
              </xdr:cNvPr>
              <xdr:cNvSpPr txBox="1"/>
            </xdr:nvSpPr>
            <xdr:spPr>
              <a:xfrm>
                <a:off x="6713220" y="12298680"/>
                <a:ext cx="262362" cy="25694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14:m>
                  <m:oMathPara xmlns:m="http://schemas.openxmlformats.org/officeDocument/2006/math">
                    <m:oMathParaPr>
                      <m:jc m:val="centerGroup"/>
                    </m:oMathParaPr>
                    <m:oMath xmlns:m="http://schemas.openxmlformats.org/officeDocument/2006/math">
                      <m:sSub>
                        <m:sSubPr>
                          <m:ctrlPr>
                            <a:rPr lang="en-VI" sz="110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𝑖</m:t>
                          </m:r>
                        </m:sub>
                      </m:sSub>
                    </m:oMath>
                  </m:oMathPara>
                </a14:m>
                <a:endParaRPr lang="en-VI" sz="1100"/>
              </a:p>
            </xdr:txBody>
          </xdr:sp>
        </mc:Choice>
        <mc:Fallback xmlns="">
          <xdr:sp macro="" textlink="">
            <xdr:nvSpPr>
              <xdr:cNvPr id="19" name="TextBox 18">
                <a:extLst>
                  <a:ext uri="{FF2B5EF4-FFF2-40B4-BE49-F238E27FC236}">
                    <a16:creationId xmlns:a16="http://schemas.microsoft.com/office/drawing/2014/main" id="{E9C7440C-AA1B-485B-8D44-7EB105E67B77}"/>
                  </a:ext>
                </a:extLst>
              </xdr:cNvPr>
              <xdr:cNvSpPr txBox="1"/>
            </xdr:nvSpPr>
            <xdr:spPr>
              <a:xfrm>
                <a:off x="6713220" y="12298680"/>
                <a:ext cx="262362" cy="25694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0" i="0">
                    <a:latin typeface="Cambria Math" panose="02040503050406030204" pitchFamily="18" charset="0"/>
                  </a:rPr>
                  <a:t>𝐷</a:t>
                </a:r>
                <a:r>
                  <a:rPr lang="en-VI" sz="1100" b="0" i="0">
                    <a:latin typeface="Cambria Math" panose="02040503050406030204" pitchFamily="18" charset="0"/>
                  </a:rPr>
                  <a:t>_</a:t>
                </a:r>
                <a:r>
                  <a:rPr lang="en-US" sz="1100" b="0" i="0">
                    <a:latin typeface="Cambria Math" panose="02040503050406030204" pitchFamily="18" charset="0"/>
                  </a:rPr>
                  <a:t>𝑖</a:t>
                </a:r>
                <a:endParaRPr lang="en-VI" sz="1100"/>
              </a:p>
            </xdr:txBody>
          </xdr:sp>
        </mc:Fallback>
      </mc:AlternateContent>
    </xdr:grpSp>
    <xdr:clientData/>
  </xdr:twoCellAnchor>
  <xdr:twoCellAnchor>
    <xdr:from>
      <xdr:col>8</xdr:col>
      <xdr:colOff>83820</xdr:colOff>
      <xdr:row>51</xdr:row>
      <xdr:rowOff>114300</xdr:rowOff>
    </xdr:from>
    <xdr:to>
      <xdr:col>9</xdr:col>
      <xdr:colOff>160020</xdr:colOff>
      <xdr:row>51</xdr:row>
      <xdr:rowOff>121920</xdr:rowOff>
    </xdr:to>
    <xdr:cxnSp macro="">
      <xdr:nvCxnSpPr>
        <xdr:cNvPr id="7" name="Straight Arrow Connector 6">
          <a:extLst>
            <a:ext uri="{FF2B5EF4-FFF2-40B4-BE49-F238E27FC236}">
              <a16:creationId xmlns:a16="http://schemas.microsoft.com/office/drawing/2014/main" id="{AF9D1464-C9CC-4C46-8395-6488ADA127C6}"/>
            </a:ext>
          </a:extLst>
        </xdr:cNvPr>
        <xdr:cNvCxnSpPr/>
      </xdr:nvCxnSpPr>
      <xdr:spPr>
        <a:xfrm flipH="1" flipV="1">
          <a:off x="6195060" y="9936480"/>
          <a:ext cx="335280" cy="762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Philip Wahl" id="{E48B8D1F-75C8-4E42-A2A2-C4AF24144283}" userId="8872e056ca8fbb8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54" dT="2019-01-30T04:58:17.51" personId="{E48B8D1F-75C8-4E42-A2A2-C4AF24144283}" id="{ED195F1D-9ACC-4B92-BD4E-7A96189BA295}">
    <text>Dropping stage head flow coefficient (for now)</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63"/>
  <sheetViews>
    <sheetView topLeftCell="B41" workbookViewId="0">
      <selection activeCell="D8" sqref="D8:F9"/>
    </sheetView>
  </sheetViews>
  <sheetFormatPr defaultColWidth="8.88671875" defaultRowHeight="15.45" customHeight="1" x14ac:dyDescent="0.3"/>
  <cols>
    <col min="1" max="1" width="2.6640625" style="1" customWidth="1"/>
    <col min="2" max="9" width="13.6640625" style="1" customWidth="1"/>
    <col min="10" max="16384" width="8.88671875" style="1"/>
  </cols>
  <sheetData>
    <row r="1" spans="2:9" ht="15.45" customHeight="1" x14ac:dyDescent="0.3">
      <c r="B1" s="4"/>
      <c r="I1" s="5"/>
    </row>
    <row r="2" spans="2:9" ht="15.45" customHeight="1" x14ac:dyDescent="0.3">
      <c r="B2" s="4"/>
      <c r="I2" s="5"/>
    </row>
    <row r="3" spans="2:9" ht="33" customHeight="1" x14ac:dyDescent="0.45">
      <c r="B3" s="8" t="s">
        <v>0</v>
      </c>
      <c r="I3" s="5"/>
    </row>
    <row r="4" spans="2:9" ht="15.45" customHeight="1" x14ac:dyDescent="0.35">
      <c r="B4" s="7" t="s">
        <v>3</v>
      </c>
      <c r="I4" s="5"/>
    </row>
    <row r="5" spans="2:9" s="2" customFormat="1" ht="27" customHeight="1" thickBot="1" x14ac:dyDescent="0.35">
      <c r="B5" s="9" t="s">
        <v>2</v>
      </c>
      <c r="C5" s="6"/>
      <c r="D5" s="6"/>
      <c r="E5" s="6"/>
      <c r="F5" s="6"/>
      <c r="G5" s="35" t="s">
        <v>1</v>
      </c>
      <c r="H5" s="35"/>
    </row>
    <row r="6" spans="2:9" ht="15.45" customHeight="1" thickTop="1" thickBot="1" x14ac:dyDescent="0.35">
      <c r="B6" s="36" t="s">
        <v>7</v>
      </c>
      <c r="C6" s="37"/>
      <c r="D6" s="37"/>
      <c r="E6" s="37"/>
      <c r="F6" s="37"/>
      <c r="G6" s="37"/>
      <c r="H6" s="37"/>
      <c r="I6" s="38"/>
    </row>
    <row r="7" spans="2:9" ht="15.45" customHeight="1" thickTop="1" x14ac:dyDescent="0.3">
      <c r="B7" s="4"/>
      <c r="I7" s="5"/>
    </row>
    <row r="8" spans="2:9" ht="15.45" customHeight="1" x14ac:dyDescent="0.3">
      <c r="B8" s="4"/>
      <c r="D8" s="39" t="s">
        <v>9</v>
      </c>
      <c r="E8" s="40"/>
      <c r="F8" s="41"/>
      <c r="I8" s="5"/>
    </row>
    <row r="9" spans="2:9" ht="15.45" customHeight="1" x14ac:dyDescent="0.3">
      <c r="B9" s="4"/>
      <c r="D9" s="42" t="s">
        <v>8</v>
      </c>
      <c r="E9" s="43"/>
      <c r="F9" s="44"/>
      <c r="I9" s="5"/>
    </row>
    <row r="10" spans="2:9" ht="15.45" customHeight="1" thickBot="1" x14ac:dyDescent="0.35">
      <c r="B10" s="4"/>
      <c r="I10" s="5"/>
    </row>
    <row r="11" spans="2:9" ht="15.45" customHeight="1" thickTop="1" thickBot="1" x14ac:dyDescent="0.35">
      <c r="B11" s="36" t="s">
        <v>10</v>
      </c>
      <c r="C11" s="37"/>
      <c r="D11" s="37"/>
      <c r="E11" s="37"/>
      <c r="F11" s="37"/>
      <c r="G11" s="37"/>
      <c r="H11" s="37"/>
      <c r="I11" s="38"/>
    </row>
    <row r="12" spans="2:9" ht="15.45" customHeight="1" thickTop="1" x14ac:dyDescent="0.3">
      <c r="B12" s="4"/>
      <c r="I12" s="5"/>
    </row>
    <row r="13" spans="2:9" ht="15.45" customHeight="1" x14ac:dyDescent="0.3">
      <c r="B13" s="4"/>
      <c r="I13" s="5"/>
    </row>
    <row r="14" spans="2:9" ht="15.45" customHeight="1" x14ac:dyDescent="0.3">
      <c r="B14" s="4"/>
      <c r="C14" s="34" t="s">
        <v>11</v>
      </c>
      <c r="D14" s="34"/>
      <c r="E14" s="34"/>
      <c r="F14" s="34"/>
      <c r="G14" s="34"/>
      <c r="H14" s="34"/>
      <c r="I14" s="5"/>
    </row>
    <row r="15" spans="2:9" ht="15.45" customHeight="1" x14ac:dyDescent="0.3">
      <c r="B15" s="4"/>
      <c r="C15" s="34"/>
      <c r="D15" s="34"/>
      <c r="E15" s="34"/>
      <c r="F15" s="34"/>
      <c r="G15" s="34"/>
      <c r="H15" s="34"/>
      <c r="I15" s="5"/>
    </row>
    <row r="16" spans="2:9" ht="15.45" customHeight="1" x14ac:dyDescent="0.3">
      <c r="B16" s="4"/>
      <c r="I16" s="5"/>
    </row>
    <row r="17" spans="2:9" ht="15.45" customHeight="1" x14ac:dyDescent="0.3">
      <c r="B17" s="4"/>
      <c r="I17" s="5"/>
    </row>
    <row r="18" spans="2:9" ht="15.45" customHeight="1" x14ac:dyDescent="0.3">
      <c r="B18" s="4"/>
      <c r="I18" s="5"/>
    </row>
    <row r="19" spans="2:9" ht="15.45" customHeight="1" x14ac:dyDescent="0.3">
      <c r="B19" s="4"/>
      <c r="I19" s="5"/>
    </row>
    <row r="20" spans="2:9" ht="15.45" customHeight="1" x14ac:dyDescent="0.3">
      <c r="B20" s="4"/>
      <c r="I20" s="5"/>
    </row>
    <row r="21" spans="2:9" ht="15.45" customHeight="1" x14ac:dyDescent="0.3">
      <c r="B21" s="4"/>
      <c r="I21" s="5"/>
    </row>
    <row r="22" spans="2:9" ht="15.45" customHeight="1" x14ac:dyDescent="0.3">
      <c r="B22" s="4"/>
      <c r="I22" s="5"/>
    </row>
    <row r="23" spans="2:9" ht="15.45" customHeight="1" x14ac:dyDescent="0.3">
      <c r="B23" s="4"/>
      <c r="I23" s="5"/>
    </row>
    <row r="24" spans="2:9" ht="15.45" customHeight="1" x14ac:dyDescent="0.3">
      <c r="B24" s="4"/>
      <c r="I24" s="5"/>
    </row>
    <row r="25" spans="2:9" ht="15.45" customHeight="1" x14ac:dyDescent="0.3">
      <c r="B25" s="4"/>
      <c r="I25" s="5"/>
    </row>
    <row r="26" spans="2:9" ht="15.45" customHeight="1" x14ac:dyDescent="0.3">
      <c r="B26" s="4"/>
      <c r="I26" s="5"/>
    </row>
    <row r="27" spans="2:9" ht="15.45" customHeight="1" x14ac:dyDescent="0.3">
      <c r="B27" s="4"/>
      <c r="I27" s="5"/>
    </row>
    <row r="28" spans="2:9" ht="15.45" customHeight="1" x14ac:dyDescent="0.3">
      <c r="B28" s="4"/>
      <c r="I28" s="5"/>
    </row>
    <row r="29" spans="2:9" ht="15.45" customHeight="1" x14ac:dyDescent="0.3">
      <c r="B29" s="4"/>
      <c r="I29" s="5"/>
    </row>
    <row r="30" spans="2:9" ht="15.45" customHeight="1" x14ac:dyDescent="0.3">
      <c r="B30" s="4"/>
      <c r="I30" s="5"/>
    </row>
    <row r="31" spans="2:9" ht="15.45" customHeight="1" x14ac:dyDescent="0.3">
      <c r="B31" s="4"/>
      <c r="I31" s="5"/>
    </row>
    <row r="32" spans="2:9" ht="15.45" customHeight="1" x14ac:dyDescent="0.3">
      <c r="B32" s="4"/>
      <c r="I32" s="5"/>
    </row>
    <row r="33" spans="2:9" ht="15.45" customHeight="1" x14ac:dyDescent="0.3">
      <c r="B33" s="4"/>
      <c r="I33" s="5"/>
    </row>
    <row r="34" spans="2:9" ht="15.45" customHeight="1" x14ac:dyDescent="0.3">
      <c r="B34" s="4"/>
      <c r="I34" s="5"/>
    </row>
    <row r="35" spans="2:9" ht="15.45" customHeight="1" x14ac:dyDescent="0.3">
      <c r="B35" s="4"/>
      <c r="I35" s="5"/>
    </row>
    <row r="36" spans="2:9" ht="15.45" customHeight="1" x14ac:dyDescent="0.3">
      <c r="B36" s="4"/>
      <c r="I36" s="5"/>
    </row>
    <row r="37" spans="2:9" ht="15.45" customHeight="1" x14ac:dyDescent="0.3">
      <c r="B37" s="4"/>
      <c r="I37" s="5"/>
    </row>
    <row r="38" spans="2:9" ht="15.45" customHeight="1" x14ac:dyDescent="0.3">
      <c r="B38" s="4"/>
      <c r="I38" s="5"/>
    </row>
    <row r="39" spans="2:9" ht="15.45" customHeight="1" x14ac:dyDescent="0.3">
      <c r="B39" s="4"/>
      <c r="I39" s="5"/>
    </row>
    <row r="40" spans="2:9" ht="15.45" customHeight="1" x14ac:dyDescent="0.3">
      <c r="B40" s="4"/>
      <c r="I40" s="5"/>
    </row>
    <row r="41" spans="2:9" ht="15.45" customHeight="1" x14ac:dyDescent="0.3">
      <c r="B41" s="4"/>
      <c r="I41" s="5"/>
    </row>
    <row r="42" spans="2:9" ht="15.45" customHeight="1" x14ac:dyDescent="0.3">
      <c r="B42" s="4"/>
      <c r="I42" s="5"/>
    </row>
    <row r="43" spans="2:9" ht="15.45" customHeight="1" x14ac:dyDescent="0.3">
      <c r="B43" s="4"/>
      <c r="I43" s="5"/>
    </row>
    <row r="44" spans="2:9" ht="15.45" customHeight="1" x14ac:dyDescent="0.3">
      <c r="B44" s="4"/>
      <c r="I44" s="5"/>
    </row>
    <row r="45" spans="2:9" ht="15.45" customHeight="1" x14ac:dyDescent="0.3">
      <c r="B45" s="4"/>
      <c r="I45" s="5"/>
    </row>
    <row r="46" spans="2:9" ht="15.45" customHeight="1" x14ac:dyDescent="0.3">
      <c r="B46" s="4"/>
      <c r="I46" s="5"/>
    </row>
    <row r="47" spans="2:9" ht="15.45" customHeight="1" x14ac:dyDescent="0.3">
      <c r="B47" s="4"/>
      <c r="I47" s="5"/>
    </row>
    <row r="48" spans="2:9" ht="15.45" customHeight="1" x14ac:dyDescent="0.3">
      <c r="B48" s="4"/>
      <c r="I48" s="5"/>
    </row>
    <row r="49" spans="2:9" ht="15.45" customHeight="1" x14ac:dyDescent="0.3">
      <c r="B49" s="4"/>
      <c r="I49" s="5"/>
    </row>
    <row r="50" spans="2:9" ht="15.45" customHeight="1" x14ac:dyDescent="0.3">
      <c r="B50" s="4"/>
      <c r="I50" s="5"/>
    </row>
    <row r="51" spans="2:9" ht="15.45" customHeight="1" x14ac:dyDescent="0.3">
      <c r="B51" s="4"/>
      <c r="I51" s="5"/>
    </row>
    <row r="52" spans="2:9" ht="15.45" customHeight="1" x14ac:dyDescent="0.3">
      <c r="B52" s="4"/>
      <c r="I52" s="5"/>
    </row>
    <row r="53" spans="2:9" ht="15.45" customHeight="1" x14ac:dyDescent="0.3">
      <c r="B53" s="4"/>
      <c r="I53" s="5"/>
    </row>
    <row r="54" spans="2:9" ht="15.45" customHeight="1" x14ac:dyDescent="0.3">
      <c r="B54" s="4"/>
      <c r="I54" s="5"/>
    </row>
    <row r="55" spans="2:9" ht="15.45" customHeight="1" x14ac:dyDescent="0.3">
      <c r="B55" s="4"/>
      <c r="I55" s="5"/>
    </row>
    <row r="56" spans="2:9" ht="15.45" customHeight="1" x14ac:dyDescent="0.3">
      <c r="B56" s="4"/>
      <c r="I56" s="5"/>
    </row>
    <row r="57" spans="2:9" ht="15.45" customHeight="1" x14ac:dyDescent="0.3">
      <c r="B57" s="4"/>
      <c r="I57" s="5"/>
    </row>
    <row r="58" spans="2:9" ht="15.45" customHeight="1" x14ac:dyDescent="0.3">
      <c r="B58" s="4"/>
      <c r="I58" s="5"/>
    </row>
    <row r="59" spans="2:9" ht="15.45" customHeight="1" x14ac:dyDescent="0.3">
      <c r="B59" s="4"/>
    </row>
    <row r="60" spans="2:9" ht="15.45" customHeight="1" x14ac:dyDescent="0.3">
      <c r="B60" s="4"/>
    </row>
    <row r="61" spans="2:9" ht="15.45" customHeight="1" x14ac:dyDescent="0.3">
      <c r="B61" s="4"/>
    </row>
    <row r="62" spans="2:9" ht="15.45" customHeight="1" x14ac:dyDescent="0.3">
      <c r="B62" s="4"/>
    </row>
    <row r="63" spans="2:9" ht="15.45" customHeight="1" x14ac:dyDescent="0.3">
      <c r="B63" s="4"/>
    </row>
  </sheetData>
  <mergeCells count="6">
    <mergeCell ref="C14:H15"/>
    <mergeCell ref="G5:H5"/>
    <mergeCell ref="B6:I6"/>
    <mergeCell ref="D8:F8"/>
    <mergeCell ref="D9:F9"/>
    <mergeCell ref="B11:I11"/>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81"/>
  <sheetViews>
    <sheetView tabSelected="1" topLeftCell="A41" zoomScaleNormal="100" workbookViewId="0">
      <selection activeCell="G11" sqref="G11:H11"/>
    </sheetView>
  </sheetViews>
  <sheetFormatPr defaultColWidth="8.88671875" defaultRowHeight="14.4" x14ac:dyDescent="0.3"/>
  <cols>
    <col min="1" max="1" width="2.6640625" style="1" customWidth="1"/>
    <col min="2" max="2" width="3.6640625" style="1" customWidth="1"/>
    <col min="3" max="8" width="13.6640625" style="1" customWidth="1"/>
    <col min="9" max="9" width="3.6640625" style="1" customWidth="1"/>
    <col min="10" max="16384" width="8.88671875" style="1"/>
  </cols>
  <sheetData>
    <row r="1" spans="1:9" x14ac:dyDescent="0.3">
      <c r="B1" s="4"/>
      <c r="I1" s="5"/>
    </row>
    <row r="2" spans="1:9" x14ac:dyDescent="0.3">
      <c r="B2" s="4"/>
      <c r="I2" s="5"/>
    </row>
    <row r="3" spans="1:9" ht="23.4" x14ac:dyDescent="0.45">
      <c r="B3" s="8" t="s">
        <v>0</v>
      </c>
      <c r="I3" s="5"/>
    </row>
    <row r="4" spans="1:9" ht="18" x14ac:dyDescent="0.35">
      <c r="B4" s="7" t="s">
        <v>3</v>
      </c>
      <c r="I4" s="5"/>
    </row>
    <row r="5" spans="1:9" ht="23.4" customHeight="1" thickBot="1" x14ac:dyDescent="0.35">
      <c r="A5" s="2"/>
      <c r="B5" s="9"/>
      <c r="C5" s="6"/>
      <c r="D5" s="6"/>
      <c r="E5" s="6"/>
      <c r="F5" s="6"/>
      <c r="G5" s="74" t="s">
        <v>1</v>
      </c>
      <c r="H5" s="74"/>
      <c r="I5" s="75"/>
    </row>
    <row r="6" spans="1:9" ht="15" thickTop="1" x14ac:dyDescent="0.3">
      <c r="B6" s="4"/>
      <c r="I6" s="5"/>
    </row>
    <row r="7" spans="1:9" x14ac:dyDescent="0.3">
      <c r="B7" s="4"/>
      <c r="C7" s="52" t="s">
        <v>38</v>
      </c>
      <c r="D7" s="52"/>
      <c r="E7" s="52"/>
      <c r="F7" s="52"/>
      <c r="G7" s="52"/>
      <c r="H7" s="52"/>
      <c r="I7" s="5"/>
    </row>
    <row r="8" spans="1:9" ht="15.6" x14ac:dyDescent="0.3">
      <c r="B8" s="4"/>
      <c r="C8" s="48" t="s">
        <v>40</v>
      </c>
      <c r="D8" s="48"/>
      <c r="E8" s="33" t="s">
        <v>112</v>
      </c>
      <c r="F8" s="33" t="s">
        <v>27</v>
      </c>
      <c r="G8" s="85">
        <v>1.8</v>
      </c>
      <c r="H8" s="85"/>
      <c r="I8" s="12"/>
    </row>
    <row r="9" spans="1:9" x14ac:dyDescent="0.3">
      <c r="B9" s="4"/>
      <c r="C9" s="48" t="s">
        <v>41</v>
      </c>
      <c r="D9" s="48"/>
      <c r="E9" s="33" t="s">
        <v>27</v>
      </c>
      <c r="F9" s="33" t="s">
        <v>27</v>
      </c>
      <c r="G9" s="85" t="s">
        <v>43</v>
      </c>
      <c r="H9" s="85"/>
      <c r="I9" s="5"/>
    </row>
    <row r="10" spans="1:9" ht="15.6" x14ac:dyDescent="0.35">
      <c r="B10" s="4"/>
      <c r="C10" s="48" t="s">
        <v>32</v>
      </c>
      <c r="D10" s="48"/>
      <c r="E10" s="16" t="s">
        <v>54</v>
      </c>
      <c r="F10" s="16" t="s">
        <v>36</v>
      </c>
      <c r="G10" s="49">
        <v>45</v>
      </c>
      <c r="H10" s="49"/>
      <c r="I10" s="5"/>
    </row>
    <row r="11" spans="1:9" ht="15.6" x14ac:dyDescent="0.35">
      <c r="B11" s="4"/>
      <c r="C11" s="48" t="s">
        <v>117</v>
      </c>
      <c r="D11" s="48"/>
      <c r="E11" s="16" t="s">
        <v>118</v>
      </c>
      <c r="F11" s="16" t="s">
        <v>36</v>
      </c>
      <c r="G11" s="49">
        <v>53</v>
      </c>
      <c r="H11" s="49"/>
      <c r="I11" s="5"/>
    </row>
    <row r="12" spans="1:9" x14ac:dyDescent="0.3">
      <c r="B12" s="4"/>
      <c r="C12" s="51" t="s">
        <v>59</v>
      </c>
      <c r="D12" s="51"/>
      <c r="E12" s="16" t="s">
        <v>31</v>
      </c>
      <c r="F12" s="16" t="s">
        <v>36</v>
      </c>
      <c r="G12" s="49">
        <v>343</v>
      </c>
      <c r="H12" s="49"/>
      <c r="I12" s="5"/>
    </row>
    <row r="13" spans="1:9" ht="15.6" x14ac:dyDescent="0.35">
      <c r="B13" s="4"/>
      <c r="C13" s="48" t="s">
        <v>113</v>
      </c>
      <c r="D13" s="48"/>
      <c r="E13" s="16" t="s">
        <v>72</v>
      </c>
      <c r="F13" s="16" t="s">
        <v>27</v>
      </c>
      <c r="G13" s="49">
        <v>7000</v>
      </c>
      <c r="H13" s="49"/>
      <c r="I13" s="5"/>
    </row>
    <row r="14" spans="1:9" x14ac:dyDescent="0.3">
      <c r="B14" s="4"/>
      <c r="C14" s="54" t="s">
        <v>91</v>
      </c>
      <c r="D14" s="55"/>
      <c r="E14" s="21" t="s">
        <v>92</v>
      </c>
      <c r="F14" s="16" t="s">
        <v>93</v>
      </c>
      <c r="G14" s="77">
        <v>0.6</v>
      </c>
      <c r="H14" s="78"/>
      <c r="I14" s="5"/>
    </row>
    <row r="15" spans="1:9" x14ac:dyDescent="0.3">
      <c r="B15" s="4"/>
      <c r="C15" s="48" t="s">
        <v>84</v>
      </c>
      <c r="D15" s="48"/>
      <c r="E15" s="16" t="s">
        <v>85</v>
      </c>
      <c r="F15" s="16" t="s">
        <v>27</v>
      </c>
      <c r="G15" s="76">
        <v>0.3</v>
      </c>
      <c r="H15" s="76"/>
      <c r="I15" s="5"/>
    </row>
    <row r="16" spans="1:9" x14ac:dyDescent="0.3">
      <c r="B16" s="4"/>
      <c r="C16" s="51" t="s">
        <v>67</v>
      </c>
      <c r="D16" s="51"/>
      <c r="E16" s="16" t="s">
        <v>68</v>
      </c>
      <c r="F16" s="16" t="s">
        <v>27</v>
      </c>
      <c r="G16" s="76">
        <v>0.8</v>
      </c>
      <c r="H16" s="76"/>
      <c r="I16" s="5"/>
    </row>
    <row r="17" spans="2:9" x14ac:dyDescent="0.3">
      <c r="B17" s="4"/>
      <c r="C17" s="48" t="s">
        <v>23</v>
      </c>
      <c r="D17" s="48"/>
      <c r="E17" s="16" t="s">
        <v>55</v>
      </c>
      <c r="F17" s="16" t="s">
        <v>24</v>
      </c>
      <c r="G17" s="49">
        <v>2200</v>
      </c>
      <c r="H17" s="49"/>
      <c r="I17" s="5"/>
    </row>
    <row r="18" spans="2:9" ht="15.6" x14ac:dyDescent="0.35">
      <c r="B18" s="12"/>
      <c r="C18" s="55" t="s">
        <v>21</v>
      </c>
      <c r="D18" s="48"/>
      <c r="E18" s="16" t="s">
        <v>99</v>
      </c>
      <c r="F18" s="13" t="s">
        <v>22</v>
      </c>
      <c r="G18" s="76">
        <v>242.4</v>
      </c>
      <c r="H18" s="76"/>
      <c r="I18" s="5"/>
    </row>
    <row r="19" spans="2:9" x14ac:dyDescent="0.3">
      <c r="B19" s="12"/>
      <c r="C19" s="3"/>
      <c r="D19" s="3"/>
      <c r="E19" s="3"/>
      <c r="F19" s="3"/>
      <c r="G19" s="27"/>
      <c r="H19" s="28"/>
      <c r="I19" s="5"/>
    </row>
    <row r="20" spans="2:9" x14ac:dyDescent="0.3">
      <c r="B20" s="12"/>
      <c r="C20" s="3"/>
      <c r="D20" s="3"/>
      <c r="E20" s="3"/>
      <c r="F20" s="3"/>
      <c r="G20" s="27"/>
      <c r="H20" s="28"/>
      <c r="I20" s="5"/>
    </row>
    <row r="21" spans="2:9" x14ac:dyDescent="0.3">
      <c r="B21" s="12"/>
      <c r="C21" s="3"/>
      <c r="D21" s="3"/>
      <c r="E21" s="3"/>
      <c r="F21" s="3"/>
      <c r="G21" s="27"/>
      <c r="H21" s="28"/>
      <c r="I21" s="5"/>
    </row>
    <row r="22" spans="2:9" x14ac:dyDescent="0.3">
      <c r="B22" s="12"/>
      <c r="C22" s="3"/>
      <c r="D22" s="3"/>
      <c r="E22" s="3"/>
      <c r="F22" s="3"/>
      <c r="G22" s="27"/>
      <c r="H22" s="28"/>
      <c r="I22" s="5"/>
    </row>
    <row r="23" spans="2:9" x14ac:dyDescent="0.3">
      <c r="B23" s="12"/>
      <c r="C23" s="3"/>
      <c r="D23" s="3"/>
      <c r="E23" s="3"/>
      <c r="F23" s="3"/>
      <c r="G23" s="27"/>
      <c r="H23" s="28"/>
      <c r="I23" s="5"/>
    </row>
    <row r="24" spans="2:9" x14ac:dyDescent="0.3">
      <c r="B24" s="12"/>
      <c r="C24" s="3"/>
      <c r="D24" s="3"/>
      <c r="E24" s="3"/>
      <c r="F24" s="3"/>
      <c r="G24" s="27"/>
      <c r="H24" s="28"/>
      <c r="I24" s="5"/>
    </row>
    <row r="25" spans="2:9" x14ac:dyDescent="0.3">
      <c r="B25" s="12"/>
      <c r="C25" s="3"/>
      <c r="D25" s="3"/>
      <c r="E25" s="3"/>
      <c r="F25" s="3"/>
      <c r="G25" s="27"/>
      <c r="H25" s="28"/>
      <c r="I25" s="5"/>
    </row>
    <row r="26" spans="2:9" x14ac:dyDescent="0.3">
      <c r="B26" s="12"/>
      <c r="C26" s="3"/>
      <c r="D26" s="3"/>
      <c r="E26" s="3"/>
      <c r="F26" s="3"/>
      <c r="G26" s="27"/>
      <c r="H26" s="28"/>
      <c r="I26" s="5"/>
    </row>
    <row r="27" spans="2:9" x14ac:dyDescent="0.3">
      <c r="B27" s="12"/>
      <c r="C27" s="3"/>
      <c r="D27" s="3"/>
      <c r="E27" s="3"/>
      <c r="F27" s="3"/>
      <c r="G27" s="27"/>
      <c r="H27" s="28"/>
      <c r="I27" s="5"/>
    </row>
    <row r="28" spans="2:9" x14ac:dyDescent="0.3">
      <c r="B28" s="12"/>
      <c r="C28" s="3"/>
      <c r="D28" s="3"/>
      <c r="E28" s="3"/>
      <c r="F28" s="3"/>
      <c r="G28" s="27"/>
      <c r="H28" s="28"/>
      <c r="I28" s="5"/>
    </row>
    <row r="29" spans="2:9" x14ac:dyDescent="0.3">
      <c r="B29" s="12"/>
      <c r="C29" s="3"/>
      <c r="D29" s="3"/>
      <c r="E29" s="3"/>
      <c r="F29" s="3"/>
      <c r="G29" s="27"/>
      <c r="H29" s="28"/>
      <c r="I29" s="5"/>
    </row>
    <row r="30" spans="2:9" x14ac:dyDescent="0.3">
      <c r="B30" s="12"/>
      <c r="C30" s="3"/>
      <c r="D30" s="3"/>
      <c r="E30" s="3"/>
      <c r="F30" s="3"/>
      <c r="G30" s="27"/>
      <c r="H30" s="28"/>
      <c r="I30" s="5"/>
    </row>
    <row r="31" spans="2:9" x14ac:dyDescent="0.3">
      <c r="B31" s="12"/>
      <c r="C31" s="3"/>
      <c r="D31" s="3"/>
      <c r="E31" s="3"/>
      <c r="F31" s="3"/>
      <c r="G31" s="27"/>
      <c r="H31" s="28"/>
      <c r="I31" s="5"/>
    </row>
    <row r="32" spans="2:9" x14ac:dyDescent="0.3">
      <c r="B32" s="12"/>
      <c r="C32" s="3"/>
      <c r="D32" s="3"/>
      <c r="E32" s="3"/>
      <c r="F32" s="3"/>
      <c r="G32" s="27"/>
      <c r="H32" s="28"/>
      <c r="I32" s="5"/>
    </row>
    <row r="33" spans="2:9" x14ac:dyDescent="0.3">
      <c r="B33" s="4"/>
      <c r="C33" s="52" t="s">
        <v>39</v>
      </c>
      <c r="D33" s="52"/>
      <c r="E33" s="52"/>
      <c r="F33" s="52"/>
      <c r="G33" s="52"/>
      <c r="H33" s="52"/>
      <c r="I33" s="5"/>
    </row>
    <row r="34" spans="2:9" x14ac:dyDescent="0.3">
      <c r="B34" s="4"/>
      <c r="C34" s="53" t="s">
        <v>20</v>
      </c>
      <c r="D34" s="53"/>
      <c r="E34" s="53"/>
      <c r="F34" s="53"/>
      <c r="G34" s="53"/>
      <c r="H34" s="53"/>
      <c r="I34" s="5"/>
    </row>
    <row r="35" spans="2:9" ht="15.6" x14ac:dyDescent="0.35">
      <c r="B35" s="45" t="s">
        <v>115</v>
      </c>
      <c r="C35" s="54" t="s">
        <v>25</v>
      </c>
      <c r="D35" s="55"/>
      <c r="E35" s="16" t="s">
        <v>56</v>
      </c>
      <c r="F35" s="16" t="s">
        <v>30</v>
      </c>
      <c r="G35" s="50">
        <f>Thrust/(g*Spec_Impulse)</f>
        <v>0.92516896949633798</v>
      </c>
      <c r="H35" s="50"/>
      <c r="I35" s="5"/>
    </row>
    <row r="36" spans="2:9" ht="15.6" x14ac:dyDescent="0.35">
      <c r="B36" s="45"/>
      <c r="C36" s="54" t="s">
        <v>28</v>
      </c>
      <c r="D36" s="55"/>
      <c r="E36" s="16" t="s">
        <v>57</v>
      </c>
      <c r="F36" s="16" t="s">
        <v>30</v>
      </c>
      <c r="G36" s="50">
        <f>mass_flow_tot/(1+(1/mixture_ratio))</f>
        <v>0.59475148039050296</v>
      </c>
      <c r="H36" s="50"/>
      <c r="I36" s="5"/>
    </row>
    <row r="37" spans="2:9" ht="15.6" x14ac:dyDescent="0.35">
      <c r="B37" s="45"/>
      <c r="C37" s="54" t="s">
        <v>29</v>
      </c>
      <c r="D37" s="55"/>
      <c r="E37" s="16" t="s">
        <v>58</v>
      </c>
      <c r="F37" s="16" t="s">
        <v>30</v>
      </c>
      <c r="G37" s="50">
        <f>mass_flow_tot/(1+mixture_ratio)</f>
        <v>0.33041748910583502</v>
      </c>
      <c r="H37" s="50"/>
      <c r="I37" s="5"/>
    </row>
    <row r="38" spans="2:9" ht="15.6" x14ac:dyDescent="0.35">
      <c r="B38" s="45" t="s">
        <v>116</v>
      </c>
      <c r="C38" s="54" t="s">
        <v>25</v>
      </c>
      <c r="D38" s="55"/>
      <c r="E38" s="16" t="s">
        <v>56</v>
      </c>
      <c r="F38" s="16" t="s">
        <v>114</v>
      </c>
      <c r="G38" s="50">
        <f>mass_flow_tot*2.20462</f>
        <v>2.0396460135310166</v>
      </c>
      <c r="H38" s="50"/>
      <c r="I38" s="5"/>
    </row>
    <row r="39" spans="2:9" ht="15.6" x14ac:dyDescent="0.35">
      <c r="B39" s="45"/>
      <c r="C39" s="54" t="s">
        <v>28</v>
      </c>
      <c r="D39" s="55"/>
      <c r="E39" s="16" t="s">
        <v>57</v>
      </c>
      <c r="F39" s="16" t="s">
        <v>114</v>
      </c>
      <c r="G39" s="50">
        <f>mass_flow_LOX*2.20462</f>
        <v>1.3112010086985104</v>
      </c>
      <c r="H39" s="50"/>
      <c r="I39" s="5"/>
    </row>
    <row r="40" spans="2:9" ht="15.6" x14ac:dyDescent="0.35">
      <c r="B40" s="45"/>
      <c r="C40" s="54" t="s">
        <v>29</v>
      </c>
      <c r="D40" s="55"/>
      <c r="E40" s="16" t="s">
        <v>58</v>
      </c>
      <c r="F40" s="16" t="s">
        <v>114</v>
      </c>
      <c r="G40" s="50">
        <f>mass_flow_IPA*2.20462</f>
        <v>0.72844500483250596</v>
      </c>
      <c r="H40" s="50"/>
      <c r="I40" s="5"/>
    </row>
    <row r="41" spans="2:9" x14ac:dyDescent="0.3">
      <c r="B41" s="4"/>
      <c r="C41" s="24"/>
      <c r="D41" s="24"/>
      <c r="E41" s="3"/>
      <c r="F41" s="3"/>
      <c r="G41" s="25"/>
      <c r="H41" s="26"/>
      <c r="I41" s="5"/>
    </row>
    <row r="42" spans="2:9" x14ac:dyDescent="0.3">
      <c r="B42" s="4"/>
      <c r="C42" s="53" t="s">
        <v>81</v>
      </c>
      <c r="D42" s="53"/>
      <c r="E42" s="53"/>
      <c r="F42" s="53"/>
      <c r="G42" s="53"/>
      <c r="H42" s="53"/>
      <c r="I42" s="5"/>
    </row>
    <row r="43" spans="2:9" ht="15.6" x14ac:dyDescent="0.35">
      <c r="B43" s="4"/>
      <c r="C43" s="48" t="s">
        <v>26</v>
      </c>
      <c r="D43" s="48"/>
      <c r="E43" s="16" t="s">
        <v>53</v>
      </c>
      <c r="F43" s="16" t="s">
        <v>36</v>
      </c>
      <c r="G43" s="84">
        <f>inlet_pressure+pintle_pressure+Delta_P_US</f>
        <v>441</v>
      </c>
      <c r="H43" s="84"/>
      <c r="I43" s="5"/>
    </row>
    <row r="44" spans="2:9" ht="15.6" x14ac:dyDescent="0.35">
      <c r="B44" s="4"/>
      <c r="C44" s="51" t="s">
        <v>63</v>
      </c>
      <c r="D44" s="51"/>
      <c r="E44" s="16" t="s">
        <v>64</v>
      </c>
      <c r="F44" s="16" t="s">
        <v>36</v>
      </c>
      <c r="G44" s="46">
        <f>47000000*0.000145038</f>
        <v>6816.7860000000001</v>
      </c>
      <c r="H44" s="47"/>
      <c r="I44" s="5"/>
    </row>
    <row r="45" spans="2:9" x14ac:dyDescent="0.3">
      <c r="B45" s="4"/>
      <c r="C45" s="51" t="s">
        <v>65</v>
      </c>
      <c r="D45" s="51"/>
      <c r="E45" s="16" t="s">
        <v>66</v>
      </c>
      <c r="F45" s="16" t="s">
        <v>27</v>
      </c>
      <c r="G45" s="69">
        <f>CEILING(Delta_P_US/G44,1)</f>
        <v>1</v>
      </c>
      <c r="H45" s="69"/>
      <c r="I45" s="5"/>
    </row>
    <row r="46" spans="2:9" x14ac:dyDescent="0.3">
      <c r="B46" s="4"/>
      <c r="C46" s="48" t="s">
        <v>96</v>
      </c>
      <c r="D46" s="48"/>
      <c r="E46" s="16" t="s">
        <v>97</v>
      </c>
      <c r="F46" s="16" t="s">
        <v>27</v>
      </c>
      <c r="G46" s="79">
        <f>IF(G9="No",1,0.1)</f>
        <v>1</v>
      </c>
      <c r="H46" s="79"/>
      <c r="I46" s="5"/>
    </row>
    <row r="47" spans="2:9" x14ac:dyDescent="0.3">
      <c r="B47" s="4"/>
      <c r="C47" s="80" t="s">
        <v>106</v>
      </c>
      <c r="D47" s="81"/>
      <c r="E47" s="32" t="s">
        <v>105</v>
      </c>
      <c r="F47" s="16" t="s">
        <v>27</v>
      </c>
      <c r="G47" s="46">
        <v>2</v>
      </c>
      <c r="H47" s="47"/>
      <c r="I47" s="5"/>
    </row>
    <row r="48" spans="2:9" x14ac:dyDescent="0.3">
      <c r="B48" s="4"/>
      <c r="C48" s="62"/>
      <c r="D48" s="62"/>
      <c r="E48" s="62"/>
      <c r="F48" s="62"/>
      <c r="G48" s="20" t="s">
        <v>51</v>
      </c>
      <c r="H48" s="20" t="s">
        <v>52</v>
      </c>
      <c r="I48" s="5"/>
    </row>
    <row r="49" spans="2:14" x14ac:dyDescent="0.3">
      <c r="B49" s="4"/>
      <c r="C49" s="70" t="s">
        <v>50</v>
      </c>
      <c r="D49" s="71"/>
      <c r="E49" s="60" t="s">
        <v>60</v>
      </c>
      <c r="F49" s="16" t="s">
        <v>119</v>
      </c>
      <c r="G49" s="22">
        <f>Q_LOX*448.831</f>
        <v>8.2620354449926481</v>
      </c>
      <c r="H49" s="22">
        <f>Q_IPA*448.831</f>
        <v>6.6377851307820119</v>
      </c>
      <c r="I49" s="5"/>
    </row>
    <row r="50" spans="2:14" x14ac:dyDescent="0.3">
      <c r="B50" s="4"/>
      <c r="C50" s="72"/>
      <c r="D50" s="73"/>
      <c r="E50" s="61"/>
      <c r="F50" s="16" t="s">
        <v>45</v>
      </c>
      <c r="G50" s="22">
        <f>mass_flow_LOX_US/density_LOX</f>
        <v>1.8407898396039152E-2</v>
      </c>
      <c r="H50" s="22">
        <f>mass_flow_IPA_US/density_IPA</f>
        <v>1.4789052295367325E-2</v>
      </c>
      <c r="I50" s="5"/>
    </row>
    <row r="51" spans="2:14" ht="15.6" x14ac:dyDescent="0.35">
      <c r="B51" s="4"/>
      <c r="C51" s="48" t="s">
        <v>47</v>
      </c>
      <c r="D51" s="48"/>
      <c r="E51" s="16" t="s">
        <v>61</v>
      </c>
      <c r="F51" s="16" t="s">
        <v>46</v>
      </c>
      <c r="G51" s="23">
        <f>144*Delta_P_US/density_LOX</f>
        <v>693.41230791122916</v>
      </c>
      <c r="H51" s="23">
        <f>144*Delta_P_US/density_IPA</f>
        <v>1002.7673552936786</v>
      </c>
      <c r="I51" s="5"/>
    </row>
    <row r="52" spans="2:14" ht="15.6" x14ac:dyDescent="0.35">
      <c r="B52" s="4"/>
      <c r="C52" s="48" t="s">
        <v>48</v>
      </c>
      <c r="D52" s="48"/>
      <c r="E52" s="16" t="s">
        <v>62</v>
      </c>
      <c r="F52" s="16" t="s">
        <v>46</v>
      </c>
      <c r="G52" s="23">
        <f>inlet_pressure/((density_LOX/Density_H2O)*0.433)/2</f>
        <v>45.541672654553253</v>
      </c>
      <c r="H52" s="23">
        <f>inlet_pressure/((density_IPA/Density_H2O)*0.433)/2</f>
        <v>65.859377058105537</v>
      </c>
      <c r="I52" s="5"/>
      <c r="J52" s="82" t="s">
        <v>121</v>
      </c>
      <c r="K52" s="83"/>
      <c r="L52" s="83"/>
      <c r="M52" s="83"/>
      <c r="N52" s="83"/>
    </row>
    <row r="53" spans="2:14" ht="15.6" x14ac:dyDescent="0.35">
      <c r="B53" s="4"/>
      <c r="C53" s="54" t="s">
        <v>111</v>
      </c>
      <c r="D53" s="55"/>
      <c r="E53" s="16" t="s">
        <v>98</v>
      </c>
      <c r="F53" s="16" t="s">
        <v>46</v>
      </c>
      <c r="G53" s="23">
        <f>Pv_LOX*0.000145038*144/density_LOX</f>
        <v>2.3456824329989239</v>
      </c>
      <c r="H53" s="23">
        <f>Pv_IPA*0.000145038*144/density_IPA</f>
        <v>3.7483499872461441</v>
      </c>
      <c r="I53" s="5"/>
      <c r="J53" s="82"/>
      <c r="K53" s="83"/>
      <c r="L53" s="83"/>
      <c r="M53" s="83"/>
      <c r="N53" s="83"/>
    </row>
    <row r="54" spans="2:14" ht="15.6" x14ac:dyDescent="0.35">
      <c r="B54" s="4"/>
      <c r="C54" s="51" t="s">
        <v>69</v>
      </c>
      <c r="D54" s="51"/>
      <c r="E54" s="16" t="s">
        <v>70</v>
      </c>
      <c r="F54" s="16" t="s">
        <v>71</v>
      </c>
      <c r="G54" s="23">
        <f>SQRT(2*g_US*Hp_LOX/Num_Stages)</f>
        <v>211.31907776981038</v>
      </c>
      <c r="H54" s="23">
        <f>SQRT(2*g_US*Hp_IPA/Num_Stages)</f>
        <v>254.12244623589021</v>
      </c>
      <c r="I54" s="5"/>
      <c r="J54" s="82"/>
      <c r="K54" s="83"/>
      <c r="L54" s="83"/>
      <c r="M54" s="83"/>
      <c r="N54" s="83"/>
    </row>
    <row r="55" spans="2:14" ht="15.6" x14ac:dyDescent="0.35">
      <c r="B55" s="4"/>
      <c r="C55" s="51" t="s">
        <v>74</v>
      </c>
      <c r="D55" s="51"/>
      <c r="E55" s="16" t="s">
        <v>73</v>
      </c>
      <c r="F55" s="16" t="s">
        <v>27</v>
      </c>
      <c r="G55" s="23">
        <f>Hi_LOX-Hv_LOX</f>
        <v>43.195990221554325</v>
      </c>
      <c r="H55" s="23">
        <f>Hi_IPA-Hv_IPA</f>
        <v>62.111027070859393</v>
      </c>
      <c r="I55" s="5"/>
      <c r="J55" s="82"/>
      <c r="K55" s="83"/>
      <c r="L55" s="83"/>
      <c r="M55" s="83"/>
      <c r="N55" s="83"/>
    </row>
    <row r="56" spans="2:14" ht="15.6" x14ac:dyDescent="0.35">
      <c r="B56" s="4"/>
      <c r="C56" s="51" t="s">
        <v>75</v>
      </c>
      <c r="D56" s="51"/>
      <c r="E56" s="16" t="s">
        <v>76</v>
      </c>
      <c r="F56" s="16" t="s">
        <v>27</v>
      </c>
      <c r="G56" s="23">
        <f>NPSHa_LOX/tau</f>
        <v>21.597995110777163</v>
      </c>
      <c r="H56" s="23">
        <f>NPSHa_IPA/tau</f>
        <v>31.055513535429697</v>
      </c>
      <c r="I56" s="5"/>
      <c r="J56" s="82"/>
      <c r="K56" s="83"/>
      <c r="L56" s="83"/>
      <c r="M56" s="83"/>
      <c r="N56" s="83"/>
    </row>
    <row r="57" spans="2:14" ht="15.6" hidden="1" customHeight="1" x14ac:dyDescent="0.3">
      <c r="B57" s="4"/>
      <c r="C57" s="56" t="s">
        <v>77</v>
      </c>
      <c r="D57" s="57"/>
      <c r="E57" s="60" t="s">
        <v>80</v>
      </c>
      <c r="F57" s="16" t="s">
        <v>78</v>
      </c>
      <c r="G57" s="23">
        <f>(U_ss*NPSH_LOX^0.75)/(21.2*SQRT(Q_LOX))</f>
        <v>24382.04641657797</v>
      </c>
      <c r="H57" s="23">
        <f>(U_ss*NPSH_IPA^0.75)/(21.2*SQRT(Q_IPA))</f>
        <v>35718.732815030096</v>
      </c>
      <c r="I57" s="5"/>
      <c r="J57" s="82"/>
      <c r="K57" s="83"/>
      <c r="L57" s="83"/>
      <c r="M57" s="83"/>
      <c r="N57" s="83"/>
    </row>
    <row r="58" spans="2:14" ht="14.4" hidden="1" customHeight="1" x14ac:dyDescent="0.3">
      <c r="B58" s="4"/>
      <c r="C58" s="58"/>
      <c r="D58" s="59"/>
      <c r="E58" s="61"/>
      <c r="F58" s="16" t="s">
        <v>79</v>
      </c>
      <c r="G58" s="23">
        <f>n_LOX*2*PI()/60</f>
        <v>2553.2819300602227</v>
      </c>
      <c r="H58" s="23">
        <f>n_IPA*2*PI()/60</f>
        <v>3740.4569535745077</v>
      </c>
      <c r="I58" s="5"/>
      <c r="J58" s="82"/>
      <c r="K58" s="83"/>
      <c r="L58" s="83"/>
      <c r="M58" s="83"/>
      <c r="N58" s="83"/>
    </row>
    <row r="59" spans="2:14" ht="15.6" customHeight="1" x14ac:dyDescent="0.3">
      <c r="B59" s="4"/>
      <c r="C59" s="56" t="s">
        <v>94</v>
      </c>
      <c r="D59" s="57"/>
      <c r="E59" s="60" t="s">
        <v>95</v>
      </c>
      <c r="F59" s="16" t="s">
        <v>78</v>
      </c>
      <c r="G59" s="23">
        <f>spec_speed_LOX*60/(2*PI())</f>
        <v>4956.0518513924071</v>
      </c>
      <c r="H59" s="23">
        <f>spec_speed_IPA*60/(2*PI())</f>
        <v>4934.8427461662786</v>
      </c>
      <c r="I59" s="5"/>
      <c r="J59" s="82"/>
      <c r="K59" s="83"/>
      <c r="L59" s="83"/>
      <c r="M59" s="83"/>
      <c r="N59" s="83"/>
    </row>
    <row r="60" spans="2:14" x14ac:dyDescent="0.3">
      <c r="B60" s="4"/>
      <c r="C60" s="58"/>
      <c r="D60" s="59"/>
      <c r="E60" s="61"/>
      <c r="F60" s="16" t="s">
        <v>79</v>
      </c>
      <c r="G60" s="23">
        <f>(21.2*n_LOX*SQRT(Q_LOX))/(Hp_LOX/Num_Stages)^0.75</f>
        <v>518.99653623814925</v>
      </c>
      <c r="H60" s="23">
        <f>21.2*n_IPA*SQRT(Q_IPA)/(Hp_IPA/Num_Stages)^0.75</f>
        <v>516.77552393256201</v>
      </c>
      <c r="I60" s="5"/>
    </row>
    <row r="61" spans="2:14" x14ac:dyDescent="0.3">
      <c r="B61" s="4"/>
      <c r="I61" s="5"/>
    </row>
    <row r="62" spans="2:14" hidden="1" x14ac:dyDescent="0.3">
      <c r="B62" s="4"/>
      <c r="C62" s="53" t="s">
        <v>82</v>
      </c>
      <c r="D62" s="53"/>
      <c r="E62" s="53"/>
      <c r="F62" s="53"/>
      <c r="G62" s="53"/>
      <c r="H62" s="53"/>
      <c r="I62" s="5"/>
    </row>
    <row r="63" spans="2:14" hidden="1" x14ac:dyDescent="0.3">
      <c r="B63" s="4"/>
      <c r="C63" s="62"/>
      <c r="D63" s="62"/>
      <c r="E63" s="62"/>
      <c r="F63" s="62"/>
      <c r="G63" s="20" t="s">
        <v>51</v>
      </c>
      <c r="H63" s="20" t="s">
        <v>52</v>
      </c>
      <c r="I63" s="5"/>
    </row>
    <row r="64" spans="2:14" ht="15.6" hidden="1" x14ac:dyDescent="0.35">
      <c r="B64" s="4"/>
      <c r="C64" s="48" t="s">
        <v>86</v>
      </c>
      <c r="D64" s="48"/>
      <c r="E64" s="16" t="s">
        <v>87</v>
      </c>
      <c r="F64" s="16" t="s">
        <v>88</v>
      </c>
      <c r="G64" s="22">
        <f>ut_LOX/(2*spec_speed_LOX)*12</f>
        <v>2.4430114231765527</v>
      </c>
      <c r="H64" s="22">
        <f>ut_IPA/(2*spec_speed_IPA)*12</f>
        <v>2.9504777351148612</v>
      </c>
      <c r="I64" s="5"/>
    </row>
    <row r="65" spans="1:9" ht="15.6" hidden="1" x14ac:dyDescent="0.35">
      <c r="B65" s="4"/>
      <c r="C65" s="48" t="s">
        <v>89</v>
      </c>
      <c r="D65" s="48"/>
      <c r="E65" s="16" t="s">
        <v>90</v>
      </c>
      <c r="F65" s="16" t="s">
        <v>88</v>
      </c>
      <c r="G65" s="22">
        <f>((4*Q_LOX)/(PI()*phi*n_rad_LOX*(1-L^2)))^(1/3)*12</f>
        <v>0.2592821586618852</v>
      </c>
      <c r="H65" s="22">
        <f>((4*Q_IPA)/(PI()*phi*n_rad_IPA*(1-L^2)))^(1/3)*12</f>
        <v>0.21223127476752224</v>
      </c>
      <c r="I65" s="5"/>
    </row>
    <row r="66" spans="1:9" x14ac:dyDescent="0.3">
      <c r="A66" s="5"/>
      <c r="C66" s="53" t="s">
        <v>82</v>
      </c>
      <c r="D66" s="53"/>
      <c r="E66" s="53"/>
      <c r="F66" s="53"/>
      <c r="G66" s="53"/>
      <c r="H66" s="53"/>
      <c r="I66" s="12"/>
    </row>
    <row r="67" spans="1:9" x14ac:dyDescent="0.3">
      <c r="A67" s="5"/>
      <c r="C67" s="62"/>
      <c r="D67" s="62"/>
      <c r="E67" s="62"/>
      <c r="F67" s="62"/>
      <c r="G67" s="20" t="s">
        <v>51</v>
      </c>
      <c r="H67" s="20" t="s">
        <v>52</v>
      </c>
      <c r="I67" s="12"/>
    </row>
    <row r="68" spans="1:9" ht="15.6" x14ac:dyDescent="0.35">
      <c r="A68" s="5"/>
      <c r="C68" s="48" t="s">
        <v>86</v>
      </c>
      <c r="D68" s="48"/>
      <c r="E68" s="16" t="s">
        <v>87</v>
      </c>
      <c r="F68" s="16" t="s">
        <v>88</v>
      </c>
      <c r="G68" s="22">
        <f>ut_LOX/(2*spec_speed_LOX)*12</f>
        <v>2.4430114231765527</v>
      </c>
      <c r="H68" s="22">
        <f>ut_IPA/(2*spec_speed_IPA)*12</f>
        <v>2.9504777351148612</v>
      </c>
      <c r="I68" s="12"/>
    </row>
    <row r="69" spans="1:9" ht="15.6" x14ac:dyDescent="0.35">
      <c r="A69" s="5"/>
      <c r="C69" s="48" t="s">
        <v>89</v>
      </c>
      <c r="D69" s="48"/>
      <c r="E69" s="16" t="s">
        <v>90</v>
      </c>
      <c r="F69" s="16" t="s">
        <v>88</v>
      </c>
      <c r="G69" s="22">
        <f>((4*Q_LOX)/(PI()*phi*n_rad_LOX*(1-L^2)))^(1/3)*12</f>
        <v>0.2592821586618852</v>
      </c>
      <c r="H69" s="22">
        <f>((4*Q_IPA)/(PI()*phi*n_rad_IPA*(1-L^2)))^(1/3)*12</f>
        <v>0.21223127476752224</v>
      </c>
      <c r="I69" s="12"/>
    </row>
    <row r="70" spans="1:9" ht="15.6" x14ac:dyDescent="0.35">
      <c r="A70" s="5"/>
      <c r="C70" s="54" t="s">
        <v>109</v>
      </c>
      <c r="D70" s="55"/>
      <c r="E70" s="16" t="s">
        <v>110</v>
      </c>
      <c r="F70" s="16" t="s">
        <v>88</v>
      </c>
      <c r="G70" s="22">
        <f>G68*L</f>
        <v>0.73290342695296584</v>
      </c>
      <c r="H70" s="22">
        <f>H68*L</f>
        <v>0.88514332053445832</v>
      </c>
      <c r="I70" s="12"/>
    </row>
    <row r="71" spans="1:9" ht="15.6" x14ac:dyDescent="0.35">
      <c r="A71" s="5"/>
      <c r="C71" s="48" t="s">
        <v>107</v>
      </c>
      <c r="D71" s="48"/>
      <c r="E71" s="16" t="s">
        <v>108</v>
      </c>
      <c r="F71" s="16" t="s">
        <v>88</v>
      </c>
      <c r="G71" s="22">
        <f>G68*1.15238095238095</f>
        <v>2.8152798305177362</v>
      </c>
      <c r="H71" s="22">
        <f>H68*1.15238095238095</f>
        <v>3.4000743423704525</v>
      </c>
      <c r="I71" s="12"/>
    </row>
    <row r="72" spans="1:9" x14ac:dyDescent="0.3">
      <c r="A72" s="5"/>
      <c r="C72" s="66" t="s">
        <v>83</v>
      </c>
      <c r="D72" s="67"/>
      <c r="E72" s="67"/>
      <c r="F72" s="67"/>
      <c r="G72" s="67"/>
      <c r="H72" s="68"/>
      <c r="I72" s="12"/>
    </row>
    <row r="73" spans="1:9" x14ac:dyDescent="0.3">
      <c r="A73" s="5"/>
      <c r="C73" s="63"/>
      <c r="D73" s="64"/>
      <c r="E73" s="64"/>
      <c r="F73" s="65"/>
      <c r="G73" s="20" t="s">
        <v>51</v>
      </c>
      <c r="H73" s="20" t="s">
        <v>52</v>
      </c>
      <c r="I73" s="12"/>
    </row>
    <row r="74" spans="1:9" ht="15.6" x14ac:dyDescent="0.35">
      <c r="A74" s="5"/>
      <c r="C74" s="54" t="s">
        <v>100</v>
      </c>
      <c r="D74" s="55"/>
      <c r="E74" s="16" t="s">
        <v>101</v>
      </c>
      <c r="F74" s="16" t="s">
        <v>102</v>
      </c>
      <c r="G74" s="22">
        <f>(mass_flow_LOX_US*Hp_LOX)/(pump_eff*0.738)/1000</f>
        <v>2.0533037885663186</v>
      </c>
      <c r="H74" s="22">
        <f>(mass_flow_IPA_US*Hp_IPA)/(pump_eff*0.738)/1000</f>
        <v>1.649640630019835</v>
      </c>
      <c r="I74" s="12"/>
    </row>
    <row r="75" spans="1:9" x14ac:dyDescent="0.3">
      <c r="A75" s="5"/>
      <c r="C75" s="54" t="s">
        <v>103</v>
      </c>
      <c r="D75" s="55"/>
      <c r="E75" s="16" t="s">
        <v>104</v>
      </c>
      <c r="F75" s="16" t="s">
        <v>122</v>
      </c>
      <c r="G75" s="23">
        <f>9.5488*G74/n_LOX*1000</f>
        <v>0.80414034496017728</v>
      </c>
      <c r="H75" s="23">
        <f>9.5488*G74/n_IPA*1000</f>
        <v>0.54891609167086131</v>
      </c>
      <c r="I75" s="12"/>
    </row>
    <row r="76" spans="1:9" x14ac:dyDescent="0.3">
      <c r="A76" s="5"/>
      <c r="C76" s="56" t="s">
        <v>77</v>
      </c>
      <c r="D76" s="57"/>
      <c r="E76" s="60" t="s">
        <v>80</v>
      </c>
      <c r="F76" s="16" t="s">
        <v>78</v>
      </c>
      <c r="G76" s="23">
        <f>(U_ss*NPSH_LOX^0.75)/(21.2*SQRT(Q_LOX))</f>
        <v>24382.04641657797</v>
      </c>
      <c r="H76" s="23">
        <f>(U_ss*NPSH_IPA^0.75)/(21.2*SQRT(Q_IPA))</f>
        <v>35718.732815030096</v>
      </c>
      <c r="I76" s="12"/>
    </row>
    <row r="77" spans="1:9" ht="14.4" customHeight="1" x14ac:dyDescent="0.3">
      <c r="A77" s="5"/>
      <c r="C77" s="58"/>
      <c r="D77" s="59"/>
      <c r="E77" s="61"/>
      <c r="F77" s="16" t="s">
        <v>79</v>
      </c>
      <c r="G77" s="23">
        <f>G76*2*PI()/60</f>
        <v>2553.2819300602227</v>
      </c>
      <c r="H77" s="23">
        <f>H76*2*PI()/60</f>
        <v>3740.4569535745077</v>
      </c>
      <c r="I77" s="12"/>
    </row>
    <row r="78" spans="1:9" ht="14.4" customHeight="1" x14ac:dyDescent="0.3">
      <c r="A78" s="5"/>
      <c r="C78" s="89" t="s">
        <v>123</v>
      </c>
      <c r="D78" s="89"/>
      <c r="E78" s="90" t="s">
        <v>124</v>
      </c>
      <c r="F78" s="90" t="s">
        <v>143</v>
      </c>
      <c r="G78" s="86">
        <f>0.5*0.24662*G77^2/1000</f>
        <v>803.88854663821826</v>
      </c>
      <c r="H78" s="88" t="s">
        <v>139</v>
      </c>
      <c r="I78" s="5"/>
    </row>
    <row r="79" spans="1:9" x14ac:dyDescent="0.3">
      <c r="A79" s="5"/>
      <c r="B79" s="4"/>
      <c r="C79" s="89"/>
      <c r="D79" s="89"/>
      <c r="E79" s="90"/>
      <c r="F79" s="90"/>
      <c r="G79" s="87"/>
      <c r="H79" s="88"/>
      <c r="I79" s="5"/>
    </row>
    <row r="80" spans="1:9" hidden="1" x14ac:dyDescent="0.3">
      <c r="A80" s="5"/>
      <c r="B80" s="4"/>
      <c r="C80" s="54" t="s">
        <v>140</v>
      </c>
      <c r="D80" s="55"/>
      <c r="E80" s="21" t="s">
        <v>141</v>
      </c>
      <c r="F80" s="16" t="s">
        <v>142</v>
      </c>
      <c r="G80" s="23">
        <f>T_Room+G78/(Cp_SS*mass_LOX)</f>
        <v>80.791742543961831</v>
      </c>
      <c r="H80" s="23"/>
      <c r="I80" s="5"/>
    </row>
    <row r="81" spans="1:9" x14ac:dyDescent="0.3">
      <c r="A81" s="5"/>
      <c r="B81" s="29"/>
      <c r="C81" s="30"/>
      <c r="D81" s="30"/>
      <c r="E81" s="30"/>
      <c r="F81" s="30"/>
      <c r="G81" s="30"/>
      <c r="H81" s="30"/>
      <c r="I81" s="31"/>
    </row>
  </sheetData>
  <mergeCells count="87">
    <mergeCell ref="G78:G79"/>
    <mergeCell ref="H78:H79"/>
    <mergeCell ref="C80:D80"/>
    <mergeCell ref="C78:D79"/>
    <mergeCell ref="E78:E79"/>
    <mergeCell ref="F78:F79"/>
    <mergeCell ref="J52:N59"/>
    <mergeCell ref="C7:H7"/>
    <mergeCell ref="G43:H43"/>
    <mergeCell ref="G10:H10"/>
    <mergeCell ref="G16:H16"/>
    <mergeCell ref="C43:D43"/>
    <mergeCell ref="C10:D10"/>
    <mergeCell ref="G8:H8"/>
    <mergeCell ref="G9:H9"/>
    <mergeCell ref="G18:H18"/>
    <mergeCell ref="G17:H17"/>
    <mergeCell ref="G39:H39"/>
    <mergeCell ref="C8:D8"/>
    <mergeCell ref="C9:D9"/>
    <mergeCell ref="C18:D18"/>
    <mergeCell ref="C13:D13"/>
    <mergeCell ref="G5:I5"/>
    <mergeCell ref="C62:H62"/>
    <mergeCell ref="C63:F63"/>
    <mergeCell ref="C64:D64"/>
    <mergeCell ref="C15:D15"/>
    <mergeCell ref="G15:H15"/>
    <mergeCell ref="C14:D14"/>
    <mergeCell ref="G14:H14"/>
    <mergeCell ref="C46:D46"/>
    <mergeCell ref="G46:H46"/>
    <mergeCell ref="C57:D58"/>
    <mergeCell ref="E57:E58"/>
    <mergeCell ref="C47:D47"/>
    <mergeCell ref="G12:H12"/>
    <mergeCell ref="G37:H37"/>
    <mergeCell ref="C37:D37"/>
    <mergeCell ref="E59:E60"/>
    <mergeCell ref="C65:D65"/>
    <mergeCell ref="C59:D60"/>
    <mergeCell ref="C69:D69"/>
    <mergeCell ref="G45:H45"/>
    <mergeCell ref="C49:D50"/>
    <mergeCell ref="E49:E50"/>
    <mergeCell ref="C51:D51"/>
    <mergeCell ref="C52:D52"/>
    <mergeCell ref="C45:D45"/>
    <mergeCell ref="C48:F48"/>
    <mergeCell ref="C56:D56"/>
    <mergeCell ref="C53:D53"/>
    <mergeCell ref="C55:D55"/>
    <mergeCell ref="C54:D54"/>
    <mergeCell ref="C76:D77"/>
    <mergeCell ref="E76:E77"/>
    <mergeCell ref="C66:H66"/>
    <mergeCell ref="C67:F67"/>
    <mergeCell ref="C68:D68"/>
    <mergeCell ref="C75:D75"/>
    <mergeCell ref="C74:D74"/>
    <mergeCell ref="C73:F73"/>
    <mergeCell ref="C72:H72"/>
    <mergeCell ref="C71:D71"/>
    <mergeCell ref="C70:D70"/>
    <mergeCell ref="C44:D44"/>
    <mergeCell ref="G44:H44"/>
    <mergeCell ref="C40:D40"/>
    <mergeCell ref="C38:D38"/>
    <mergeCell ref="G38:H38"/>
    <mergeCell ref="C39:D39"/>
    <mergeCell ref="C42:H42"/>
    <mergeCell ref="B35:B37"/>
    <mergeCell ref="B38:B40"/>
    <mergeCell ref="G47:H47"/>
    <mergeCell ref="C11:D11"/>
    <mergeCell ref="G11:H11"/>
    <mergeCell ref="G36:H36"/>
    <mergeCell ref="G13:H13"/>
    <mergeCell ref="C12:D12"/>
    <mergeCell ref="C33:H33"/>
    <mergeCell ref="C34:H34"/>
    <mergeCell ref="G40:H40"/>
    <mergeCell ref="G35:H35"/>
    <mergeCell ref="C16:D16"/>
    <mergeCell ref="C17:D17"/>
    <mergeCell ref="C35:D35"/>
    <mergeCell ref="C36:D36"/>
  </mergeCells>
  <dataValidations disablePrompts="1" count="2">
    <dataValidation type="list" allowBlank="1" showInputMessage="1" showErrorMessage="1" sqref="G9" xr:uid="{00000000-0002-0000-0100-000000000000}">
      <formula1>Yes_or_No</formula1>
    </dataValidation>
    <dataValidation type="list" allowBlank="1" showInputMessage="1" showErrorMessage="1" sqref="G13:H13" xr:uid="{00000000-0002-0000-0100-000001000000}">
      <formula1>"7000,8000,9000,10000,11000,12000"</formula1>
    </dataValidation>
  </dataValidations>
  <pageMargins left="0.70866141732283472" right="0.70866141732283472" top="0.74803149606299213" bottom="0.74803149606299213" header="0.31496062992125984" footer="0.31496062992125984"/>
  <pageSetup fitToHeight="0" orientation="portrait" r:id="rId1"/>
  <headerFooter>
    <oddFooter xml:space="preserve">&amp;LPSAS&amp;CEFS Design Calculation Tool&amp;R&amp;P/&amp;N
</oddFooter>
  </headerFooter>
  <rowBreaks count="2" manualBreakCount="2">
    <brk id="40" max="16383" man="1"/>
    <brk id="83" max="16383" man="1"/>
  </row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M17"/>
  <sheetViews>
    <sheetView topLeftCell="B1" workbookViewId="0">
      <selection activeCell="D16" sqref="D16"/>
    </sheetView>
  </sheetViews>
  <sheetFormatPr defaultColWidth="8.88671875" defaultRowHeight="14.4" x14ac:dyDescent="0.3"/>
  <cols>
    <col min="1" max="1" width="3.109375" style="1" customWidth="1"/>
    <col min="2" max="2" width="13.88671875" style="1" customWidth="1"/>
    <col min="3" max="8" width="13.6640625" style="1" customWidth="1"/>
    <col min="9" max="9" width="14.109375" style="1" customWidth="1"/>
    <col min="10" max="11" width="13.6640625" style="1" customWidth="1"/>
    <col min="12" max="12" width="14.6640625" style="1" customWidth="1"/>
    <col min="13" max="16384" width="8.88671875" style="1"/>
  </cols>
  <sheetData>
    <row r="2" spans="2:13" ht="15.6" x14ac:dyDescent="0.35">
      <c r="B2" s="10" t="s">
        <v>4</v>
      </c>
      <c r="D2" s="10" t="s">
        <v>42</v>
      </c>
      <c r="F2" s="16" t="s">
        <v>34</v>
      </c>
      <c r="G2" s="16">
        <v>9.81</v>
      </c>
      <c r="I2" s="16" t="s">
        <v>72</v>
      </c>
      <c r="J2" s="16">
        <v>7000</v>
      </c>
    </row>
    <row r="3" spans="2:13" x14ac:dyDescent="0.3">
      <c r="B3" s="11" t="s">
        <v>5</v>
      </c>
      <c r="D3" s="10" t="s">
        <v>43</v>
      </c>
      <c r="F3" s="16" t="s">
        <v>35</v>
      </c>
      <c r="G3" s="16">
        <f>32.2</f>
        <v>32.200000000000003</v>
      </c>
    </row>
    <row r="4" spans="2:13" x14ac:dyDescent="0.3">
      <c r="B4" s="10" t="s">
        <v>6</v>
      </c>
      <c r="D4" s="10" t="s">
        <v>44</v>
      </c>
      <c r="F4" s="16" t="s">
        <v>33</v>
      </c>
      <c r="G4" s="16">
        <v>8.3145000000000007</v>
      </c>
    </row>
    <row r="7" spans="2:13" s="3" customFormat="1" ht="40.200000000000003" customHeight="1" x14ac:dyDescent="0.3">
      <c r="B7" s="13" t="s">
        <v>12</v>
      </c>
      <c r="C7" s="14" t="s">
        <v>13</v>
      </c>
      <c r="D7" s="14" t="s">
        <v>37</v>
      </c>
      <c r="E7" s="15" t="s">
        <v>19</v>
      </c>
      <c r="F7" s="15" t="s">
        <v>49</v>
      </c>
      <c r="G7" s="15" t="s">
        <v>14</v>
      </c>
      <c r="H7" s="15" t="s">
        <v>15</v>
      </c>
      <c r="I7" s="15" t="s">
        <v>16</v>
      </c>
      <c r="J7" s="15" t="s">
        <v>17</v>
      </c>
      <c r="K7" s="15" t="s">
        <v>18</v>
      </c>
      <c r="L7" s="15" t="s">
        <v>137</v>
      </c>
    </row>
    <row r="8" spans="2:13" s="3" customFormat="1" x14ac:dyDescent="0.3">
      <c r="B8" s="16" t="s">
        <v>5</v>
      </c>
      <c r="C8" s="16">
        <v>1141</v>
      </c>
      <c r="D8" s="19">
        <f>C8*0.062428</f>
        <v>71.230347999999992</v>
      </c>
      <c r="E8" s="16">
        <v>8000</v>
      </c>
      <c r="F8" s="19">
        <f>E8*0.000145038*144/density_LOX</f>
        <v>2.3456824329989239</v>
      </c>
      <c r="G8" s="16">
        <v>90.2</v>
      </c>
      <c r="H8" s="16">
        <v>1700</v>
      </c>
      <c r="I8" s="16">
        <v>910</v>
      </c>
      <c r="J8" s="16">
        <v>90.2</v>
      </c>
      <c r="K8" s="17">
        <f>Gas_Constant/(31.999/1000)</f>
        <v>259.83624488265258</v>
      </c>
      <c r="L8" s="16">
        <f>213.05*1000</f>
        <v>213050</v>
      </c>
    </row>
    <row r="9" spans="2:13" s="3" customFormat="1" x14ac:dyDescent="0.3">
      <c r="B9" s="16" t="s">
        <v>6</v>
      </c>
      <c r="C9" s="16">
        <v>789</v>
      </c>
      <c r="D9" s="19">
        <f>C9*0.062428</f>
        <v>49.255691999999996</v>
      </c>
      <c r="E9" s="16">
        <v>8840</v>
      </c>
      <c r="F9" s="19">
        <f>E9*0.000145038*144/density_IPA</f>
        <v>3.7483499872461441</v>
      </c>
      <c r="G9" s="16">
        <v>293</v>
      </c>
      <c r="H9" s="18">
        <v>435.72500000000002</v>
      </c>
      <c r="I9" s="16">
        <v>1750</v>
      </c>
      <c r="J9" s="16">
        <v>355.8</v>
      </c>
      <c r="K9" s="17">
        <f>Gas_Constant/(60.1/1000)</f>
        <v>138.34442595673877</v>
      </c>
      <c r="L9" s="16">
        <f>36800*(60.1/1000)</f>
        <v>2211.6799999999998</v>
      </c>
    </row>
    <row r="10" spans="2:13" x14ac:dyDescent="0.3">
      <c r="B10" s="16" t="s">
        <v>120</v>
      </c>
      <c r="C10" s="16">
        <v>1000</v>
      </c>
      <c r="D10" s="19">
        <f>C10*0.062428</f>
        <v>62.427999999999997</v>
      </c>
      <c r="E10" s="16"/>
      <c r="F10" s="19"/>
      <c r="G10" s="16"/>
      <c r="H10" s="18"/>
      <c r="I10" s="16"/>
      <c r="J10" s="16"/>
      <c r="K10" s="17"/>
      <c r="L10" s="16"/>
    </row>
    <row r="11" spans="2:13" x14ac:dyDescent="0.3">
      <c r="M11" s="3"/>
    </row>
    <row r="13" spans="2:13" x14ac:dyDescent="0.3">
      <c r="B13" s="1" t="s">
        <v>125</v>
      </c>
      <c r="F13" s="1" t="s">
        <v>133</v>
      </c>
    </row>
    <row r="14" spans="2:13" x14ac:dyDescent="0.3">
      <c r="B14" s="16" t="s">
        <v>126</v>
      </c>
      <c r="C14" s="16" t="s">
        <v>127</v>
      </c>
      <c r="D14" s="16">
        <v>502.416</v>
      </c>
      <c r="F14" s="16" t="s">
        <v>130</v>
      </c>
      <c r="G14" s="16">
        <v>70</v>
      </c>
    </row>
    <row r="15" spans="2:13" x14ac:dyDescent="0.3">
      <c r="B15" s="16" t="s">
        <v>128</v>
      </c>
      <c r="C15" s="16" t="s">
        <v>129</v>
      </c>
      <c r="D15" s="16">
        <v>0.14826573800000001</v>
      </c>
      <c r="F15" s="16" t="s">
        <v>131</v>
      </c>
      <c r="G15" s="16">
        <v>100</v>
      </c>
    </row>
    <row r="16" spans="2:13" x14ac:dyDescent="0.3">
      <c r="B16" s="16" t="s">
        <v>134</v>
      </c>
      <c r="C16" s="16" t="s">
        <v>138</v>
      </c>
      <c r="D16" s="16">
        <v>7.2170791000000006E-5</v>
      </c>
      <c r="F16" s="16" t="s">
        <v>132</v>
      </c>
      <c r="G16" s="16">
        <v>-190</v>
      </c>
    </row>
    <row r="17" spans="2:4" x14ac:dyDescent="0.3">
      <c r="B17" s="16" t="s">
        <v>136</v>
      </c>
      <c r="C17" s="16" t="s">
        <v>135</v>
      </c>
      <c r="D17" s="16">
        <v>1.1675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60</vt:i4>
      </vt:variant>
    </vt:vector>
  </HeadingPairs>
  <TitlesOfParts>
    <vt:vector size="63" baseType="lpstr">
      <vt:lpstr>Instructions</vt:lpstr>
      <vt:lpstr>Calculations</vt:lpstr>
      <vt:lpstr>General Data</vt:lpstr>
      <vt:lpstr>chamber_pressure</vt:lpstr>
      <vt:lpstr>Cp_SS</vt:lpstr>
      <vt:lpstr>Delta_P_US</vt:lpstr>
      <vt:lpstr>Density_H2O</vt:lpstr>
      <vt:lpstr>density_IPA</vt:lpstr>
      <vt:lpstr>density_LOX</vt:lpstr>
      <vt:lpstr>Fluid_Type</vt:lpstr>
      <vt:lpstr>g</vt:lpstr>
      <vt:lpstr>g_US</vt:lpstr>
      <vt:lpstr>Gas_Constant</vt:lpstr>
      <vt:lpstr>Hi_IPA</vt:lpstr>
      <vt:lpstr>Hi_LOX</vt:lpstr>
      <vt:lpstr>Hp_IPA</vt:lpstr>
      <vt:lpstr>Hp_LOX</vt:lpstr>
      <vt:lpstr>Hv_IPA</vt:lpstr>
      <vt:lpstr>Hv_LOX</vt:lpstr>
      <vt:lpstr>inlet_pressure</vt:lpstr>
      <vt:lpstr>L</vt:lpstr>
      <vt:lpstr>mass_flow_IPA</vt:lpstr>
      <vt:lpstr>mass_flow_IPA_US</vt:lpstr>
      <vt:lpstr>mass_flow_LOX</vt:lpstr>
      <vt:lpstr>mass_flow_LOX_US</vt:lpstr>
      <vt:lpstr>mass_flow_tot</vt:lpstr>
      <vt:lpstr>mass_LOX</vt:lpstr>
      <vt:lpstr>mixture_ratio</vt:lpstr>
      <vt:lpstr>MMOI_LOX</vt:lpstr>
      <vt:lpstr>n_IPA</vt:lpstr>
      <vt:lpstr>n_LOX</vt:lpstr>
      <vt:lpstr>n_rad_IPA</vt:lpstr>
      <vt:lpstr>n_rad_LOX</vt:lpstr>
      <vt:lpstr>NPSH_IPA</vt:lpstr>
      <vt:lpstr>NPSH_LOX</vt:lpstr>
      <vt:lpstr>NPSHa_IPA</vt:lpstr>
      <vt:lpstr>NPSHa_LOX</vt:lpstr>
      <vt:lpstr>Num_Stages</vt:lpstr>
      <vt:lpstr>phi</vt:lpstr>
      <vt:lpstr>pintle_pressure</vt:lpstr>
      <vt:lpstr>Calculations!Print_Area</vt:lpstr>
      <vt:lpstr>pump_eff</vt:lpstr>
      <vt:lpstr>Pv_IPA</vt:lpstr>
      <vt:lpstr>Pv_LOX</vt:lpstr>
      <vt:lpstr>Q_IPA</vt:lpstr>
      <vt:lpstr>Q_LOX</vt:lpstr>
      <vt:lpstr>Spec_Impulse</vt:lpstr>
      <vt:lpstr>spec_speed_IPA</vt:lpstr>
      <vt:lpstr>spec_speed_LOX</vt:lpstr>
      <vt:lpstr>stf_coeff</vt:lpstr>
      <vt:lpstr>T_LOX</vt:lpstr>
      <vt:lpstr>T_Motor</vt:lpstr>
      <vt:lpstr>T_Room</vt:lpstr>
      <vt:lpstr>tau</vt:lpstr>
      <vt:lpstr>Thrust</vt:lpstr>
      <vt:lpstr>U_ss</vt:lpstr>
      <vt:lpstr>Uss</vt:lpstr>
      <vt:lpstr>ut_IPA</vt:lpstr>
      <vt:lpstr>ut_LOX</vt:lpstr>
      <vt:lpstr>vapor_pressur_IPA</vt:lpstr>
      <vt:lpstr>vapor_pressure_LOX</vt:lpstr>
      <vt:lpstr>Volume_LOX</vt:lpstr>
      <vt:lpstr>Yes_or_No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dc:creator>
  <cp:lastModifiedBy>Philip</cp:lastModifiedBy>
  <cp:lastPrinted>2019-03-19T18:52:59Z</cp:lastPrinted>
  <dcterms:created xsi:type="dcterms:W3CDTF">2018-11-25T18:50:51Z</dcterms:created>
  <dcterms:modified xsi:type="dcterms:W3CDTF">2019-03-19T18:54:14Z</dcterms:modified>
</cp:coreProperties>
</file>