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a9881f77f5e4853d/Desktop/Bildung/CFI Ausbildung/FMVA/FP^0A Modeling/"/>
    </mc:Choice>
  </mc:AlternateContent>
  <xr:revisionPtr revIDLastSave="17" documentId="8_{E8C5DE64-0D87-4794-9840-B9FF692A0CEF}" xr6:coauthVersionLast="47" xr6:coauthVersionMax="47" xr10:uidLastSave="{C41BEF07-7C2B-4339-80FD-BFFAC55E8D82}"/>
  <bookViews>
    <workbookView xWindow="-120" yWindow="-120" windowWidth="38640" windowHeight="21840" xr2:uid="{00000000-000D-0000-FFFF-FFFF00000000}"/>
  </bookViews>
  <sheets>
    <sheet name="Cover" sheetId="2" r:id="rId1"/>
    <sheet name="Model" sheetId="3" r:id="rId2"/>
    <sheet name="Totals" sheetId="4" r:id="rId3"/>
    <sheet name="Graphs" sheetId="5" r:id="rId4"/>
  </sheets>
  <definedNames>
    <definedName name="CIQWBGuid" hidden="1">"2cd8126d-26c3-430c-b7fa-a069e3a1fc62"</definedName>
    <definedName name="_xlnm.Print_Area" localSheetId="0">Cover!$B$2:$O$23</definedName>
    <definedName name="_xlnm.Print_Area" localSheetId="3">Graphs!$B$3:$L$57,Graphs!$P$3:$Y$57,Graphs!$B$60:$L$114,Graphs!$P$60:$Y$114</definedName>
    <definedName name="_xlnm.Print_Area" localSheetId="1">Model!$B$3:$AE$35,Model!$B$38:$AE$71,Model!$B$74:$AE$119,Model!$B$122:$AE$164,Model!$B$167:$AE$198,Model!$B$201:$AE$249,Model!$B$252:$AE$285,Model!$B$288:$AE$314,Model!$B$317:$AE$363,Model!$B$366:$AE$409,Model!$B$412:$AE$436,Model!$B$439:$AE$480,Model!$B$483:$AE$515</definedName>
    <definedName name="_xlnm.Print_Area" localSheetId="2">Totals!$B$3:$P$40,Totals!$B$43:$P$75,Totals!$B$78:$P$111,Totals!$B$114:$P$147,Totals!$B$150:$P$187,Totals!$B$190:$P$224,Totals!$B$227:$P$259,Totals!$B$262:$P$290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Z_1C4DBEA1_0999_4E6E_BF43_5562A72906F8_.wvu.PrintArea" localSheetId="3" hidden="1">Graphs!#REF!,Graphs!#REF!,Graphs!#REF!,Graphs!#REF!,Graphs!#REF!</definedName>
    <definedName name="Z_1C4DBEA1_0999_4E6E_BF43_5562A72906F8_.wvu.PrintArea" localSheetId="1" hidden="1">Model!$B$74:$AD$119,Model!$B$122:$AD$198,Model!#REF!,Model!$B$201:$AD$285,Model!#REF!,Model!$B$288:$AD$305</definedName>
    <definedName name="Z_1C4DBEA1_0999_4E6E_BF43_5562A72906F8_.wvu.PrintArea" localSheetId="2" hidden="1">Totals!$B$3:$O$213,Totals!#REF!,Totals!#REF!,Totals!#REF!,Totals!#REF!</definedName>
    <definedName name="Z_1C4DBEA1_0999_4E6E_BF43_5562A72906F8_.wvu.PrintTitles" localSheetId="1" hidden="1">Model!$B:$F</definedName>
    <definedName name="Z_B79072BA_9BF4_431F_AC27_C90C7754F36E_.wvu.PrintArea" localSheetId="3" hidden="1">Graphs!#REF!,Graphs!#REF!,Graphs!#REF!,Graphs!#REF!,Graphs!#REF!</definedName>
    <definedName name="Z_B79072BA_9BF4_431F_AC27_C90C7754F36E_.wvu.PrintArea" localSheetId="1" hidden="1">Model!$B$74:$AD$119,Model!$B$122:$AD$198,Model!#REF!,Model!$B$201:$AD$285,Model!#REF!,Model!$B$288:$AD$305</definedName>
    <definedName name="Z_B79072BA_9BF4_431F_AC27_C90C7754F36E_.wvu.PrintArea" localSheetId="2" hidden="1">Totals!$B$3:$O$213,Totals!#REF!,Totals!#REF!,Totals!#REF!,Totals!#REF!</definedName>
    <definedName name="Z_B79072BA_9BF4_431F_AC27_C90C7754F36E_.wvu.PrintTitles" localSheetId="1" hidden="1">Model!$B:$F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24" i="5" l="1"/>
  <c r="X123" i="5"/>
  <c r="S124" i="5"/>
  <c r="S123" i="5"/>
  <c r="V124" i="5"/>
  <c r="U124" i="5"/>
  <c r="T124" i="5"/>
  <c r="V123" i="5"/>
  <c r="U123" i="5"/>
  <c r="T123" i="5"/>
  <c r="N274" i="4"/>
  <c r="O274" i="4"/>
  <c r="L274" i="4"/>
  <c r="K274" i="4"/>
  <c r="J274" i="4"/>
  <c r="I274" i="4"/>
  <c r="H274" i="4"/>
  <c r="G274" i="4"/>
  <c r="F274" i="4"/>
  <c r="E274" i="4"/>
  <c r="O9" i="4"/>
  <c r="N9" i="4"/>
  <c r="L9" i="4"/>
  <c r="K9" i="4"/>
  <c r="J9" i="4"/>
  <c r="I9" i="4"/>
  <c r="H9" i="4"/>
  <c r="G9" i="4"/>
  <c r="F9" i="4"/>
  <c r="E9" i="4"/>
  <c r="G385" i="3"/>
  <c r="AD303" i="3"/>
  <c r="AC303" i="3"/>
  <c r="AB303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AD301" i="3"/>
  <c r="AC301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Y298" i="3"/>
  <c r="Y302" i="3" s="1"/>
  <c r="Y304" i="3" s="1"/>
  <c r="X298" i="3"/>
  <c r="X302" i="3" s="1"/>
  <c r="X304" i="3" s="1"/>
  <c r="W298" i="3"/>
  <c r="W302" i="3" s="1"/>
  <c r="W304" i="3" s="1"/>
  <c r="AD297" i="3"/>
  <c r="AC297" i="3"/>
  <c r="AB297" i="3"/>
  <c r="AB298" i="3" s="1"/>
  <c r="AB302" i="3" s="1"/>
  <c r="AB304" i="3" s="1"/>
  <c r="AA297" i="3"/>
  <c r="AA298" i="3" s="1"/>
  <c r="AA302" i="3" s="1"/>
  <c r="AA304" i="3" s="1"/>
  <c r="Z297" i="3"/>
  <c r="Z298" i="3" s="1"/>
  <c r="Z302" i="3" s="1"/>
  <c r="Z304" i="3" s="1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H298" i="3" s="1"/>
  <c r="H302" i="3" s="1"/>
  <c r="H304" i="3" s="1"/>
  <c r="AD296" i="3"/>
  <c r="AD298" i="3" s="1"/>
  <c r="AD302" i="3" s="1"/>
  <c r="AD304" i="3" s="1"/>
  <c r="AC296" i="3"/>
  <c r="AC298" i="3" s="1"/>
  <c r="AC302" i="3" s="1"/>
  <c r="AC304" i="3" s="1"/>
  <c r="AB296" i="3"/>
  <c r="AA296" i="3"/>
  <c r="Z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K298" i="3" s="1"/>
  <c r="K302" i="3" s="1"/>
  <c r="K304" i="3" s="1"/>
  <c r="J296" i="3"/>
  <c r="J298" i="3" s="1"/>
  <c r="J302" i="3" s="1"/>
  <c r="J304" i="3" s="1"/>
  <c r="I296" i="3"/>
  <c r="I298" i="3" s="1"/>
  <c r="I302" i="3" s="1"/>
  <c r="I304" i="3" s="1"/>
  <c r="H296" i="3"/>
  <c r="AD295" i="3"/>
  <c r="AC295" i="3"/>
  <c r="AB295" i="3"/>
  <c r="AA295" i="3"/>
  <c r="Z295" i="3"/>
  <c r="Y295" i="3"/>
  <c r="X295" i="3"/>
  <c r="W295" i="3"/>
  <c r="V295" i="3"/>
  <c r="V298" i="3" s="1"/>
  <c r="V302" i="3" s="1"/>
  <c r="V304" i="3" s="1"/>
  <c r="U295" i="3"/>
  <c r="U298" i="3" s="1"/>
  <c r="U302" i="3" s="1"/>
  <c r="U304" i="3" s="1"/>
  <c r="T295" i="3"/>
  <c r="T298" i="3" s="1"/>
  <c r="T302" i="3" s="1"/>
  <c r="T304" i="3" s="1"/>
  <c r="S295" i="3"/>
  <c r="S298" i="3" s="1"/>
  <c r="S302" i="3" s="1"/>
  <c r="S304" i="3" s="1"/>
  <c r="R295" i="3"/>
  <c r="R298" i="3" s="1"/>
  <c r="R302" i="3" s="1"/>
  <c r="R304" i="3" s="1"/>
  <c r="Q295" i="3"/>
  <c r="Q298" i="3" s="1"/>
  <c r="Q302" i="3" s="1"/>
  <c r="Q304" i="3" s="1"/>
  <c r="P295" i="3"/>
  <c r="P298" i="3" s="1"/>
  <c r="P302" i="3" s="1"/>
  <c r="P304" i="3" s="1"/>
  <c r="O295" i="3"/>
  <c r="O298" i="3" s="1"/>
  <c r="O302" i="3" s="1"/>
  <c r="O304" i="3" s="1"/>
  <c r="N295" i="3"/>
  <c r="N298" i="3" s="1"/>
  <c r="N302" i="3" s="1"/>
  <c r="N304" i="3" s="1"/>
  <c r="M295" i="3"/>
  <c r="M298" i="3" s="1"/>
  <c r="M302" i="3" s="1"/>
  <c r="M304" i="3" s="1"/>
  <c r="L295" i="3"/>
  <c r="L298" i="3" s="1"/>
  <c r="L302" i="3" s="1"/>
  <c r="L304" i="3" s="1"/>
  <c r="K295" i="3"/>
  <c r="J295" i="3"/>
  <c r="I295" i="3"/>
  <c r="H295" i="3"/>
  <c r="AD294" i="3"/>
  <c r="AC294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303" i="3"/>
  <c r="G297" i="3"/>
  <c r="G296" i="3"/>
  <c r="G295" i="3"/>
  <c r="Q124" i="5"/>
  <c r="P124" i="5"/>
  <c r="O124" i="5"/>
  <c r="N124" i="5"/>
  <c r="M124" i="5"/>
  <c r="L124" i="5"/>
  <c r="K124" i="5"/>
  <c r="J124" i="5"/>
  <c r="I124" i="5"/>
  <c r="H124" i="5"/>
  <c r="G124" i="5"/>
  <c r="F124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Y141" i="5"/>
  <c r="Y172" i="5"/>
  <c r="X172" i="5"/>
  <c r="F220" i="5"/>
  <c r="F214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F189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F195" i="5"/>
  <c r="F197" i="5" s="1"/>
  <c r="F164" i="5"/>
  <c r="F169" i="5" s="1"/>
  <c r="G164" i="5"/>
  <c r="F141" i="5"/>
  <c r="S131" i="5"/>
  <c r="E241" i="4"/>
  <c r="N241" i="4" s="1"/>
  <c r="E217" i="4"/>
  <c r="N217" i="4" s="1"/>
  <c r="E207" i="4"/>
  <c r="N207" i="4" s="1"/>
  <c r="E5" i="4"/>
  <c r="G511" i="3"/>
  <c r="G422" i="3"/>
  <c r="G397" i="3"/>
  <c r="G398" i="3" s="1"/>
  <c r="G406" i="3" s="1"/>
  <c r="F222" i="5" l="1"/>
  <c r="G378" i="3"/>
  <c r="G358" i="3"/>
  <c r="G352" i="3"/>
  <c r="G351" i="3"/>
  <c r="H345" i="3"/>
  <c r="I345" i="3" s="1"/>
  <c r="J345" i="3" s="1"/>
  <c r="K345" i="3" s="1"/>
  <c r="L345" i="3" s="1"/>
  <c r="M345" i="3" s="1"/>
  <c r="N345" i="3" s="1"/>
  <c r="O345" i="3" s="1"/>
  <c r="P345" i="3" s="1"/>
  <c r="Q345" i="3" s="1"/>
  <c r="R345" i="3" s="1"/>
  <c r="S345" i="3" s="1"/>
  <c r="T345" i="3" s="1"/>
  <c r="U345" i="3" s="1"/>
  <c r="V345" i="3" s="1"/>
  <c r="W345" i="3" s="1"/>
  <c r="X345" i="3" s="1"/>
  <c r="Y345" i="3" s="1"/>
  <c r="Z345" i="3" s="1"/>
  <c r="AA345" i="3" s="1"/>
  <c r="AB345" i="3" s="1"/>
  <c r="AC345" i="3" s="1"/>
  <c r="AD345" i="3" s="1"/>
  <c r="G344" i="3"/>
  <c r="G329" i="3"/>
  <c r="G333" i="3" s="1"/>
  <c r="H328" i="3"/>
  <c r="G312" i="3"/>
  <c r="G270" i="3"/>
  <c r="G277" i="3" s="1"/>
  <c r="H235" i="3"/>
  <c r="G335" i="3" l="1"/>
  <c r="H332" i="3" s="1"/>
  <c r="G353" i="3"/>
  <c r="G357" i="3"/>
  <c r="G346" i="3"/>
  <c r="H343" i="3" s="1"/>
  <c r="G379" i="3"/>
  <c r="G407" i="3" s="1"/>
  <c r="G408" i="3" s="1"/>
  <c r="Q220" i="5"/>
  <c r="P220" i="5"/>
  <c r="O220" i="5"/>
  <c r="O222" i="5" s="1"/>
  <c r="N220" i="5"/>
  <c r="M220" i="5"/>
  <c r="L220" i="5"/>
  <c r="L222" i="5" s="1"/>
  <c r="K220" i="5"/>
  <c r="K222" i="5" s="1"/>
  <c r="J220" i="5"/>
  <c r="J222" i="5" s="1"/>
  <c r="I220" i="5"/>
  <c r="I222" i="5" s="1"/>
  <c r="H220" i="5"/>
  <c r="G220" i="5"/>
  <c r="Y214" i="5"/>
  <c r="Q214" i="5"/>
  <c r="P214" i="5"/>
  <c r="O214" i="5"/>
  <c r="N214" i="5"/>
  <c r="M214" i="5"/>
  <c r="L214" i="5"/>
  <c r="K214" i="5"/>
  <c r="J214" i="5"/>
  <c r="I214" i="5"/>
  <c r="H214" i="5"/>
  <c r="G214" i="5"/>
  <c r="S204" i="5"/>
  <c r="Q195" i="5"/>
  <c r="Q197" i="5" s="1"/>
  <c r="P195" i="5"/>
  <c r="P197" i="5" s="1"/>
  <c r="O195" i="5"/>
  <c r="O197" i="5" s="1"/>
  <c r="N195" i="5"/>
  <c r="N197" i="5" s="1"/>
  <c r="M195" i="5"/>
  <c r="M197" i="5" s="1"/>
  <c r="L195" i="5"/>
  <c r="L197" i="5" s="1"/>
  <c r="K195" i="5"/>
  <c r="K197" i="5" s="1"/>
  <c r="J195" i="5"/>
  <c r="J197" i="5" s="1"/>
  <c r="I195" i="5"/>
  <c r="I197" i="5" s="1"/>
  <c r="H195" i="5"/>
  <c r="H197" i="5" s="1"/>
  <c r="G195" i="5"/>
  <c r="G197" i="5" s="1"/>
  <c r="Y189" i="5"/>
  <c r="Q189" i="5"/>
  <c r="P189" i="5"/>
  <c r="O189" i="5"/>
  <c r="N189" i="5"/>
  <c r="M189" i="5"/>
  <c r="L189" i="5"/>
  <c r="K189" i="5"/>
  <c r="J189" i="5"/>
  <c r="I189" i="5"/>
  <c r="H189" i="5"/>
  <c r="G189" i="5"/>
  <c r="S179" i="5"/>
  <c r="Y169" i="5"/>
  <c r="Q164" i="5"/>
  <c r="P164" i="5"/>
  <c r="P169" i="5" s="1"/>
  <c r="O164" i="5"/>
  <c r="O169" i="5" s="1"/>
  <c r="N164" i="5"/>
  <c r="M164" i="5"/>
  <c r="M169" i="5" s="1"/>
  <c r="L164" i="5"/>
  <c r="L169" i="5" s="1"/>
  <c r="K164" i="5"/>
  <c r="T164" i="5" s="1"/>
  <c r="J164" i="5"/>
  <c r="J169" i="5" s="1"/>
  <c r="I164" i="5"/>
  <c r="I169" i="5" s="1"/>
  <c r="H164" i="5"/>
  <c r="S164" i="5" s="1"/>
  <c r="G169" i="5"/>
  <c r="S151" i="5"/>
  <c r="Q141" i="5"/>
  <c r="P141" i="5"/>
  <c r="O141" i="5"/>
  <c r="N141" i="5"/>
  <c r="M141" i="5"/>
  <c r="L141" i="5"/>
  <c r="K141" i="5"/>
  <c r="J141" i="5"/>
  <c r="I141" i="5"/>
  <c r="H141" i="5"/>
  <c r="G141" i="5"/>
  <c r="T120" i="5"/>
  <c r="U120" i="5" s="1"/>
  <c r="F120" i="5"/>
  <c r="C274" i="4"/>
  <c r="E269" i="4"/>
  <c r="N269" i="4" s="1"/>
  <c r="E265" i="4"/>
  <c r="E234" i="4"/>
  <c r="N234" i="4" s="1"/>
  <c r="E230" i="4"/>
  <c r="E197" i="4"/>
  <c r="E193" i="4"/>
  <c r="B178" i="4"/>
  <c r="B177" i="4"/>
  <c r="B176" i="4"/>
  <c r="B175" i="4"/>
  <c r="B174" i="4"/>
  <c r="B173" i="4"/>
  <c r="B172" i="4"/>
  <c r="B171" i="4"/>
  <c r="B170" i="4"/>
  <c r="B169" i="4"/>
  <c r="E153" i="4"/>
  <c r="B143" i="4"/>
  <c r="B142" i="4"/>
  <c r="B141" i="4"/>
  <c r="B140" i="4"/>
  <c r="B139" i="4"/>
  <c r="B138" i="4"/>
  <c r="B137" i="4"/>
  <c r="B136" i="4"/>
  <c r="B135" i="4"/>
  <c r="B134" i="4"/>
  <c r="B128" i="4"/>
  <c r="B164" i="4" s="1"/>
  <c r="B127" i="4"/>
  <c r="B163" i="4" s="1"/>
  <c r="B126" i="4"/>
  <c r="B162" i="4" s="1"/>
  <c r="B125" i="4"/>
  <c r="B161" i="4" s="1"/>
  <c r="B124" i="4"/>
  <c r="B160" i="4" s="1"/>
  <c r="B123" i="4"/>
  <c r="B159" i="4" s="1"/>
  <c r="B122" i="4"/>
  <c r="B158" i="4" s="1"/>
  <c r="B121" i="4"/>
  <c r="B157" i="4" s="1"/>
  <c r="E117" i="4"/>
  <c r="B94" i="4"/>
  <c r="B93" i="4"/>
  <c r="B92" i="4"/>
  <c r="B91" i="4"/>
  <c r="B90" i="4"/>
  <c r="B89" i="4"/>
  <c r="B88" i="4"/>
  <c r="B87" i="4"/>
  <c r="B86" i="4"/>
  <c r="B85" i="4"/>
  <c r="E81" i="4"/>
  <c r="E70" i="4"/>
  <c r="N70" i="4" s="1"/>
  <c r="E46" i="4"/>
  <c r="I6" i="4"/>
  <c r="F6" i="4"/>
  <c r="E229" i="4"/>
  <c r="AD405" i="3"/>
  <c r="AC405" i="3"/>
  <c r="AB405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AD384" i="3"/>
  <c r="AC384" i="3"/>
  <c r="AB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AD378" i="3"/>
  <c r="AC378" i="3"/>
  <c r="AB378" i="3"/>
  <c r="AA378" i="3"/>
  <c r="Z378" i="3"/>
  <c r="Y378" i="3"/>
  <c r="X378" i="3"/>
  <c r="W378" i="3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AD373" i="3"/>
  <c r="AC373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G370" i="3"/>
  <c r="AD358" i="3"/>
  <c r="AC358" i="3"/>
  <c r="AB358" i="3"/>
  <c r="AA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AD352" i="3"/>
  <c r="AC352" i="3"/>
  <c r="AB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AD350" i="3"/>
  <c r="AC350" i="3"/>
  <c r="AB350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AD344" i="3"/>
  <c r="AC344" i="3"/>
  <c r="AB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AD339" i="3"/>
  <c r="AC339" i="3"/>
  <c r="AB339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H334" i="3"/>
  <c r="H351" i="3" s="1"/>
  <c r="I328" i="3"/>
  <c r="J328" i="3" s="1"/>
  <c r="K328" i="3" s="1"/>
  <c r="L328" i="3" s="1"/>
  <c r="M328" i="3" s="1"/>
  <c r="N328" i="3" s="1"/>
  <c r="O328" i="3" s="1"/>
  <c r="P328" i="3" s="1"/>
  <c r="Q328" i="3" s="1"/>
  <c r="R328" i="3" s="1"/>
  <c r="S328" i="3" s="1"/>
  <c r="T328" i="3" s="1"/>
  <c r="U328" i="3" s="1"/>
  <c r="V328" i="3" s="1"/>
  <c r="W328" i="3" s="1"/>
  <c r="X328" i="3" s="1"/>
  <c r="Y328" i="3" s="1"/>
  <c r="Z328" i="3" s="1"/>
  <c r="AA328" i="3" s="1"/>
  <c r="AB328" i="3" s="1"/>
  <c r="AC328" i="3" s="1"/>
  <c r="AD328" i="3" s="1"/>
  <c r="AD326" i="3"/>
  <c r="AC326" i="3"/>
  <c r="AB326" i="3"/>
  <c r="AA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G321" i="3"/>
  <c r="AD490" i="3"/>
  <c r="AC490" i="3"/>
  <c r="AB490" i="3"/>
  <c r="AA490" i="3"/>
  <c r="Z490" i="3"/>
  <c r="Y490" i="3"/>
  <c r="X490" i="3"/>
  <c r="W490" i="3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G487" i="3"/>
  <c r="AD445" i="3"/>
  <c r="AC445" i="3"/>
  <c r="AB445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G443" i="3"/>
  <c r="AD425" i="3"/>
  <c r="AC425" i="3"/>
  <c r="AB425" i="3"/>
  <c r="AA425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G416" i="3"/>
  <c r="AD312" i="3"/>
  <c r="AD451" i="3" s="1"/>
  <c r="AC312" i="3"/>
  <c r="AC451" i="3" s="1"/>
  <c r="AB312" i="3"/>
  <c r="AB451" i="3" s="1"/>
  <c r="AA312" i="3"/>
  <c r="AA451" i="3" s="1"/>
  <c r="Z312" i="3"/>
  <c r="Z451" i="3" s="1"/>
  <c r="Y312" i="3"/>
  <c r="Y451" i="3" s="1"/>
  <c r="X312" i="3"/>
  <c r="X451" i="3" s="1"/>
  <c r="W312" i="3"/>
  <c r="W451" i="3" s="1"/>
  <c r="V312" i="3"/>
  <c r="V451" i="3" s="1"/>
  <c r="U312" i="3"/>
  <c r="U451" i="3" s="1"/>
  <c r="T312" i="3"/>
  <c r="T451" i="3" s="1"/>
  <c r="S312" i="3"/>
  <c r="S451" i="3" s="1"/>
  <c r="R312" i="3"/>
  <c r="R451" i="3" s="1"/>
  <c r="Q312" i="3"/>
  <c r="Q451" i="3" s="1"/>
  <c r="P312" i="3"/>
  <c r="P451" i="3" s="1"/>
  <c r="O312" i="3"/>
  <c r="O451" i="3" s="1"/>
  <c r="N312" i="3"/>
  <c r="N451" i="3" s="1"/>
  <c r="M312" i="3"/>
  <c r="M451" i="3" s="1"/>
  <c r="L312" i="3"/>
  <c r="L451" i="3" s="1"/>
  <c r="K312" i="3"/>
  <c r="K451" i="3" s="1"/>
  <c r="J312" i="3"/>
  <c r="J451" i="3" s="1"/>
  <c r="I312" i="3"/>
  <c r="I451" i="3" s="1"/>
  <c r="H312" i="3"/>
  <c r="H451" i="3" s="1"/>
  <c r="G451" i="3"/>
  <c r="AD308" i="3"/>
  <c r="AC308" i="3"/>
  <c r="AB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G301" i="3"/>
  <c r="G294" i="3"/>
  <c r="G292" i="3"/>
  <c r="B269" i="3"/>
  <c r="B268" i="3"/>
  <c r="B267" i="3"/>
  <c r="B266" i="3"/>
  <c r="B265" i="3"/>
  <c r="AC264" i="3"/>
  <c r="B264" i="3"/>
  <c r="B263" i="3"/>
  <c r="B262" i="3"/>
  <c r="B261" i="3"/>
  <c r="B260" i="3"/>
  <c r="AD259" i="3"/>
  <c r="AC259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G256" i="3"/>
  <c r="AD244" i="3"/>
  <c r="AC244" i="3"/>
  <c r="AD269" i="3" s="1"/>
  <c r="AB244" i="3"/>
  <c r="AC269" i="3" s="1"/>
  <c r="AA244" i="3"/>
  <c r="AB269" i="3" s="1"/>
  <c r="Z244" i="3"/>
  <c r="AA269" i="3" s="1"/>
  <c r="Y244" i="3"/>
  <c r="Z269" i="3" s="1"/>
  <c r="X244" i="3"/>
  <c r="Y269" i="3" s="1"/>
  <c r="W244" i="3"/>
  <c r="X269" i="3" s="1"/>
  <c r="V244" i="3"/>
  <c r="W269" i="3" s="1"/>
  <c r="U244" i="3"/>
  <c r="V269" i="3" s="1"/>
  <c r="T244" i="3"/>
  <c r="U269" i="3" s="1"/>
  <c r="S244" i="3"/>
  <c r="T269" i="3" s="1"/>
  <c r="R244" i="3"/>
  <c r="S269" i="3" s="1"/>
  <c r="Q244" i="3"/>
  <c r="R269" i="3" s="1"/>
  <c r="P244" i="3"/>
  <c r="Q269" i="3" s="1"/>
  <c r="O244" i="3"/>
  <c r="P269" i="3" s="1"/>
  <c r="N244" i="3"/>
  <c r="O269" i="3" s="1"/>
  <c r="M244" i="3"/>
  <c r="N269" i="3" s="1"/>
  <c r="L244" i="3"/>
  <c r="M269" i="3" s="1"/>
  <c r="K244" i="3"/>
  <c r="L269" i="3" s="1"/>
  <c r="J244" i="3"/>
  <c r="K269" i="3" s="1"/>
  <c r="I244" i="3"/>
  <c r="J269" i="3" s="1"/>
  <c r="H244" i="3"/>
  <c r="I269" i="3" s="1"/>
  <c r="G244" i="3"/>
  <c r="H269" i="3" s="1"/>
  <c r="B244" i="3"/>
  <c r="AD243" i="3"/>
  <c r="AC243" i="3"/>
  <c r="AD268" i="3" s="1"/>
  <c r="AB243" i="3"/>
  <c r="AC268" i="3" s="1"/>
  <c r="AA243" i="3"/>
  <c r="AB268" i="3" s="1"/>
  <c r="Z243" i="3"/>
  <c r="AA268" i="3" s="1"/>
  <c r="Y243" i="3"/>
  <c r="Z268" i="3" s="1"/>
  <c r="X243" i="3"/>
  <c r="Y268" i="3" s="1"/>
  <c r="W243" i="3"/>
  <c r="X268" i="3" s="1"/>
  <c r="V243" i="3"/>
  <c r="W268" i="3" s="1"/>
  <c r="U243" i="3"/>
  <c r="V268" i="3" s="1"/>
  <c r="T243" i="3"/>
  <c r="U268" i="3" s="1"/>
  <c r="S243" i="3"/>
  <c r="T268" i="3" s="1"/>
  <c r="R243" i="3"/>
  <c r="S268" i="3" s="1"/>
  <c r="Q243" i="3"/>
  <c r="R268" i="3" s="1"/>
  <c r="P243" i="3"/>
  <c r="Q268" i="3" s="1"/>
  <c r="O243" i="3"/>
  <c r="P268" i="3" s="1"/>
  <c r="N243" i="3"/>
  <c r="O268" i="3" s="1"/>
  <c r="M243" i="3"/>
  <c r="N268" i="3" s="1"/>
  <c r="L243" i="3"/>
  <c r="M268" i="3" s="1"/>
  <c r="K243" i="3"/>
  <c r="L268" i="3" s="1"/>
  <c r="J243" i="3"/>
  <c r="K268" i="3" s="1"/>
  <c r="I243" i="3"/>
  <c r="J268" i="3" s="1"/>
  <c r="H243" i="3"/>
  <c r="I268" i="3" s="1"/>
  <c r="G243" i="3"/>
  <c r="H268" i="3" s="1"/>
  <c r="B243" i="3"/>
  <c r="AD242" i="3"/>
  <c r="AC242" i="3"/>
  <c r="AD267" i="3" s="1"/>
  <c r="AB242" i="3"/>
  <c r="AC267" i="3" s="1"/>
  <c r="AA242" i="3"/>
  <c r="AB267" i="3" s="1"/>
  <c r="Z242" i="3"/>
  <c r="AA267" i="3" s="1"/>
  <c r="Y242" i="3"/>
  <c r="Z267" i="3" s="1"/>
  <c r="X242" i="3"/>
  <c r="Y267" i="3" s="1"/>
  <c r="W242" i="3"/>
  <c r="X267" i="3" s="1"/>
  <c r="V242" i="3"/>
  <c r="W267" i="3" s="1"/>
  <c r="U242" i="3"/>
  <c r="V267" i="3" s="1"/>
  <c r="T242" i="3"/>
  <c r="U267" i="3" s="1"/>
  <c r="S242" i="3"/>
  <c r="T267" i="3" s="1"/>
  <c r="R242" i="3"/>
  <c r="S267" i="3" s="1"/>
  <c r="Q242" i="3"/>
  <c r="R267" i="3" s="1"/>
  <c r="P242" i="3"/>
  <c r="Q267" i="3" s="1"/>
  <c r="O242" i="3"/>
  <c r="P267" i="3" s="1"/>
  <c r="N242" i="3"/>
  <c r="O267" i="3" s="1"/>
  <c r="M242" i="3"/>
  <c r="N267" i="3" s="1"/>
  <c r="L242" i="3"/>
  <c r="M267" i="3" s="1"/>
  <c r="K242" i="3"/>
  <c r="L267" i="3" s="1"/>
  <c r="J242" i="3"/>
  <c r="K267" i="3" s="1"/>
  <c r="I242" i="3"/>
  <c r="J267" i="3" s="1"/>
  <c r="H242" i="3"/>
  <c r="I267" i="3" s="1"/>
  <c r="G242" i="3"/>
  <c r="H267" i="3" s="1"/>
  <c r="B242" i="3"/>
  <c r="AD241" i="3"/>
  <c r="AC241" i="3"/>
  <c r="AD266" i="3" s="1"/>
  <c r="AB241" i="3"/>
  <c r="AC266" i="3" s="1"/>
  <c r="AA241" i="3"/>
  <c r="AB266" i="3" s="1"/>
  <c r="Z241" i="3"/>
  <c r="AA266" i="3" s="1"/>
  <c r="Y241" i="3"/>
  <c r="Z266" i="3" s="1"/>
  <c r="X241" i="3"/>
  <c r="Y266" i="3" s="1"/>
  <c r="W241" i="3"/>
  <c r="X266" i="3" s="1"/>
  <c r="V241" i="3"/>
  <c r="W266" i="3" s="1"/>
  <c r="U241" i="3"/>
  <c r="V266" i="3" s="1"/>
  <c r="T241" i="3"/>
  <c r="U266" i="3" s="1"/>
  <c r="S241" i="3"/>
  <c r="T266" i="3" s="1"/>
  <c r="R241" i="3"/>
  <c r="S266" i="3" s="1"/>
  <c r="Q241" i="3"/>
  <c r="R266" i="3" s="1"/>
  <c r="P241" i="3"/>
  <c r="Q266" i="3" s="1"/>
  <c r="O241" i="3"/>
  <c r="P266" i="3" s="1"/>
  <c r="N241" i="3"/>
  <c r="O266" i="3" s="1"/>
  <c r="M241" i="3"/>
  <c r="N266" i="3" s="1"/>
  <c r="L241" i="3"/>
  <c r="M266" i="3" s="1"/>
  <c r="K241" i="3"/>
  <c r="L266" i="3" s="1"/>
  <c r="J241" i="3"/>
  <c r="K266" i="3" s="1"/>
  <c r="I241" i="3"/>
  <c r="J266" i="3" s="1"/>
  <c r="H241" i="3"/>
  <c r="I266" i="3" s="1"/>
  <c r="G241" i="3"/>
  <c r="H266" i="3" s="1"/>
  <c r="B241" i="3"/>
  <c r="AD240" i="3"/>
  <c r="AC240" i="3"/>
  <c r="AD265" i="3" s="1"/>
  <c r="AB240" i="3"/>
  <c r="AC265" i="3" s="1"/>
  <c r="AA240" i="3"/>
  <c r="AB265" i="3" s="1"/>
  <c r="Z240" i="3"/>
  <c r="AA265" i="3" s="1"/>
  <c r="Y240" i="3"/>
  <c r="Z265" i="3" s="1"/>
  <c r="X240" i="3"/>
  <c r="Y265" i="3" s="1"/>
  <c r="W240" i="3"/>
  <c r="X265" i="3" s="1"/>
  <c r="V240" i="3"/>
  <c r="W265" i="3" s="1"/>
  <c r="U240" i="3"/>
  <c r="V265" i="3" s="1"/>
  <c r="T240" i="3"/>
  <c r="U265" i="3" s="1"/>
  <c r="S240" i="3"/>
  <c r="T265" i="3" s="1"/>
  <c r="R240" i="3"/>
  <c r="S265" i="3" s="1"/>
  <c r="Q240" i="3"/>
  <c r="R265" i="3" s="1"/>
  <c r="P240" i="3"/>
  <c r="Q265" i="3" s="1"/>
  <c r="O240" i="3"/>
  <c r="P265" i="3" s="1"/>
  <c r="N240" i="3"/>
  <c r="O265" i="3" s="1"/>
  <c r="M240" i="3"/>
  <c r="N265" i="3" s="1"/>
  <c r="L240" i="3"/>
  <c r="M265" i="3" s="1"/>
  <c r="K240" i="3"/>
  <c r="L265" i="3" s="1"/>
  <c r="J240" i="3"/>
  <c r="K265" i="3" s="1"/>
  <c r="I240" i="3"/>
  <c r="J265" i="3" s="1"/>
  <c r="H240" i="3"/>
  <c r="I265" i="3" s="1"/>
  <c r="G240" i="3"/>
  <c r="H265" i="3" s="1"/>
  <c r="B240" i="3"/>
  <c r="AD239" i="3"/>
  <c r="AC239" i="3"/>
  <c r="AD264" i="3" s="1"/>
  <c r="AB239" i="3"/>
  <c r="AA239" i="3"/>
  <c r="AB264" i="3" s="1"/>
  <c r="Z239" i="3"/>
  <c r="AA264" i="3" s="1"/>
  <c r="Y239" i="3"/>
  <c r="Z264" i="3" s="1"/>
  <c r="X239" i="3"/>
  <c r="Y264" i="3" s="1"/>
  <c r="W239" i="3"/>
  <c r="X264" i="3" s="1"/>
  <c r="V239" i="3"/>
  <c r="W264" i="3" s="1"/>
  <c r="U239" i="3"/>
  <c r="V264" i="3" s="1"/>
  <c r="T239" i="3"/>
  <c r="U264" i="3" s="1"/>
  <c r="S239" i="3"/>
  <c r="T264" i="3" s="1"/>
  <c r="R239" i="3"/>
  <c r="S264" i="3" s="1"/>
  <c r="Q239" i="3"/>
  <c r="R264" i="3" s="1"/>
  <c r="P239" i="3"/>
  <c r="Q264" i="3" s="1"/>
  <c r="O239" i="3"/>
  <c r="P264" i="3" s="1"/>
  <c r="N239" i="3"/>
  <c r="O264" i="3" s="1"/>
  <c r="M239" i="3"/>
  <c r="N264" i="3" s="1"/>
  <c r="L239" i="3"/>
  <c r="M264" i="3" s="1"/>
  <c r="K239" i="3"/>
  <c r="L264" i="3" s="1"/>
  <c r="J239" i="3"/>
  <c r="K264" i="3" s="1"/>
  <c r="I239" i="3"/>
  <c r="J264" i="3" s="1"/>
  <c r="H239" i="3"/>
  <c r="I264" i="3" s="1"/>
  <c r="G239" i="3"/>
  <c r="B239" i="3"/>
  <c r="AD238" i="3"/>
  <c r="AC238" i="3"/>
  <c r="AD263" i="3" s="1"/>
  <c r="AB238" i="3"/>
  <c r="AC263" i="3" s="1"/>
  <c r="AA238" i="3"/>
  <c r="AB263" i="3" s="1"/>
  <c r="Z238" i="3"/>
  <c r="AA263" i="3" s="1"/>
  <c r="Y238" i="3"/>
  <c r="Z263" i="3" s="1"/>
  <c r="X238" i="3"/>
  <c r="Y263" i="3" s="1"/>
  <c r="W238" i="3"/>
  <c r="X263" i="3" s="1"/>
  <c r="V238" i="3"/>
  <c r="W263" i="3" s="1"/>
  <c r="U238" i="3"/>
  <c r="V263" i="3" s="1"/>
  <c r="T238" i="3"/>
  <c r="U263" i="3" s="1"/>
  <c r="S238" i="3"/>
  <c r="T263" i="3" s="1"/>
  <c r="R238" i="3"/>
  <c r="S263" i="3" s="1"/>
  <c r="Q238" i="3"/>
  <c r="R263" i="3" s="1"/>
  <c r="P238" i="3"/>
  <c r="Q263" i="3" s="1"/>
  <c r="O238" i="3"/>
  <c r="P263" i="3" s="1"/>
  <c r="N238" i="3"/>
  <c r="O263" i="3" s="1"/>
  <c r="M238" i="3"/>
  <c r="N263" i="3" s="1"/>
  <c r="L238" i="3"/>
  <c r="M263" i="3" s="1"/>
  <c r="K238" i="3"/>
  <c r="L263" i="3" s="1"/>
  <c r="J238" i="3"/>
  <c r="I238" i="3"/>
  <c r="J263" i="3" s="1"/>
  <c r="H238" i="3"/>
  <c r="I263" i="3" s="1"/>
  <c r="G238" i="3"/>
  <c r="H263" i="3" s="1"/>
  <c r="B238" i="3"/>
  <c r="AD237" i="3"/>
  <c r="AC237" i="3"/>
  <c r="AD262" i="3" s="1"/>
  <c r="AB237" i="3"/>
  <c r="AA237" i="3"/>
  <c r="AB262" i="3" s="1"/>
  <c r="Z237" i="3"/>
  <c r="AA262" i="3" s="1"/>
  <c r="Y237" i="3"/>
  <c r="Z262" i="3" s="1"/>
  <c r="X237" i="3"/>
  <c r="Y262" i="3" s="1"/>
  <c r="W237" i="3"/>
  <c r="X262" i="3" s="1"/>
  <c r="V237" i="3"/>
  <c r="W262" i="3" s="1"/>
  <c r="U237" i="3"/>
  <c r="T237" i="3"/>
  <c r="U262" i="3" s="1"/>
  <c r="S237" i="3"/>
  <c r="T262" i="3" s="1"/>
  <c r="R237" i="3"/>
  <c r="S262" i="3" s="1"/>
  <c r="Q237" i="3"/>
  <c r="R262" i="3" s="1"/>
  <c r="P237" i="3"/>
  <c r="Q262" i="3" s="1"/>
  <c r="O237" i="3"/>
  <c r="N237" i="3"/>
  <c r="O262" i="3" s="1"/>
  <c r="M237" i="3"/>
  <c r="N262" i="3" s="1"/>
  <c r="L237" i="3"/>
  <c r="M262" i="3" s="1"/>
  <c r="K237" i="3"/>
  <c r="L262" i="3" s="1"/>
  <c r="J237" i="3"/>
  <c r="K262" i="3" s="1"/>
  <c r="I237" i="3"/>
  <c r="J262" i="3" s="1"/>
  <c r="H237" i="3"/>
  <c r="I262" i="3" s="1"/>
  <c r="G237" i="3"/>
  <c r="H262" i="3" s="1"/>
  <c r="B237" i="3"/>
  <c r="AD236" i="3"/>
  <c r="AC236" i="3"/>
  <c r="AD261" i="3" s="1"/>
  <c r="AB236" i="3"/>
  <c r="AC261" i="3" s="1"/>
  <c r="AA236" i="3"/>
  <c r="Z236" i="3"/>
  <c r="AA261" i="3" s="1"/>
  <c r="Y236" i="3"/>
  <c r="Z261" i="3" s="1"/>
  <c r="X236" i="3"/>
  <c r="Y261" i="3" s="1"/>
  <c r="W236" i="3"/>
  <c r="X261" i="3" s="1"/>
  <c r="V236" i="3"/>
  <c r="W261" i="3" s="1"/>
  <c r="U236" i="3"/>
  <c r="V261" i="3" s="1"/>
  <c r="T236" i="3"/>
  <c r="U261" i="3" s="1"/>
  <c r="S236" i="3"/>
  <c r="T261" i="3" s="1"/>
  <c r="R236" i="3"/>
  <c r="S261" i="3" s="1"/>
  <c r="Q236" i="3"/>
  <c r="R261" i="3" s="1"/>
  <c r="P236" i="3"/>
  <c r="Q261" i="3" s="1"/>
  <c r="O236" i="3"/>
  <c r="P261" i="3" s="1"/>
  <c r="N236" i="3"/>
  <c r="M236" i="3"/>
  <c r="N261" i="3" s="1"/>
  <c r="L236" i="3"/>
  <c r="M261" i="3" s="1"/>
  <c r="K236" i="3"/>
  <c r="L261" i="3" s="1"/>
  <c r="J236" i="3"/>
  <c r="K261" i="3" s="1"/>
  <c r="I236" i="3"/>
  <c r="J261" i="3" s="1"/>
  <c r="H236" i="3"/>
  <c r="G236" i="3"/>
  <c r="B236" i="3"/>
  <c r="AD235" i="3"/>
  <c r="AC235" i="3"/>
  <c r="AD260" i="3" s="1"/>
  <c r="AB235" i="3"/>
  <c r="AC260" i="3" s="1"/>
  <c r="AA235" i="3"/>
  <c r="AB260" i="3" s="1"/>
  <c r="Z235" i="3"/>
  <c r="Y235" i="3"/>
  <c r="X235" i="3"/>
  <c r="W235" i="3"/>
  <c r="V235" i="3"/>
  <c r="U235" i="3"/>
  <c r="V260" i="3" s="1"/>
  <c r="T235" i="3"/>
  <c r="S235" i="3"/>
  <c r="R235" i="3"/>
  <c r="Q235" i="3"/>
  <c r="R260" i="3" s="1"/>
  <c r="P235" i="3"/>
  <c r="Q260" i="3" s="1"/>
  <c r="O235" i="3"/>
  <c r="P260" i="3" s="1"/>
  <c r="N235" i="3"/>
  <c r="O260" i="3" s="1"/>
  <c r="M235" i="3"/>
  <c r="L235" i="3"/>
  <c r="M260" i="3" s="1"/>
  <c r="K235" i="3"/>
  <c r="L260" i="3" s="1"/>
  <c r="J235" i="3"/>
  <c r="K260" i="3" s="1"/>
  <c r="I235" i="3"/>
  <c r="J260" i="3" s="1"/>
  <c r="I260" i="3"/>
  <c r="G235" i="3"/>
  <c r="H260" i="3" s="1"/>
  <c r="B235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B231" i="3"/>
  <c r="B230" i="3"/>
  <c r="B229" i="3"/>
  <c r="B228" i="3"/>
  <c r="B227" i="3"/>
  <c r="B226" i="3"/>
  <c r="B225" i="3"/>
  <c r="B224" i="3"/>
  <c r="B223" i="3"/>
  <c r="B222" i="3"/>
  <c r="AD221" i="3"/>
  <c r="AC221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AD207" i="3"/>
  <c r="AC207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G205" i="3"/>
  <c r="G218" i="3" s="1"/>
  <c r="G247" i="3" s="1"/>
  <c r="E182" i="3"/>
  <c r="C182" i="3"/>
  <c r="B182" i="3"/>
  <c r="E181" i="3"/>
  <c r="C181" i="3"/>
  <c r="B181" i="3"/>
  <c r="E180" i="3"/>
  <c r="C180" i="3"/>
  <c r="B180" i="3"/>
  <c r="E179" i="3"/>
  <c r="C179" i="3"/>
  <c r="B179" i="3"/>
  <c r="E178" i="3"/>
  <c r="C178" i="3"/>
  <c r="B178" i="3"/>
  <c r="E177" i="3"/>
  <c r="C177" i="3"/>
  <c r="B177" i="3"/>
  <c r="E176" i="3"/>
  <c r="C176" i="3"/>
  <c r="B176" i="3"/>
  <c r="E175" i="3"/>
  <c r="C175" i="3"/>
  <c r="B175" i="3"/>
  <c r="AD174" i="3"/>
  <c r="AC174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E173" i="3"/>
  <c r="C173" i="3"/>
  <c r="G171" i="3"/>
  <c r="B160" i="3"/>
  <c r="B159" i="3"/>
  <c r="B158" i="3"/>
  <c r="B157" i="3"/>
  <c r="B156" i="3"/>
  <c r="B155" i="3"/>
  <c r="B154" i="3"/>
  <c r="B153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B148" i="3"/>
  <c r="B147" i="3"/>
  <c r="B146" i="3"/>
  <c r="B145" i="3"/>
  <c r="B144" i="3"/>
  <c r="B143" i="3"/>
  <c r="B142" i="3"/>
  <c r="B141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B136" i="3"/>
  <c r="B135" i="3"/>
  <c r="B134" i="3"/>
  <c r="B133" i="3"/>
  <c r="B132" i="3"/>
  <c r="B131" i="3"/>
  <c r="B130" i="3"/>
  <c r="B129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G126" i="3"/>
  <c r="AD115" i="3"/>
  <c r="AD323" i="3" s="1"/>
  <c r="AC115" i="3"/>
  <c r="AC323" i="3" s="1"/>
  <c r="AB115" i="3"/>
  <c r="AB323" i="3" s="1"/>
  <c r="AA115" i="3"/>
  <c r="AA323" i="3" s="1"/>
  <c r="Z115" i="3"/>
  <c r="Z323" i="3" s="1"/>
  <c r="Y115" i="3"/>
  <c r="Y323" i="3" s="1"/>
  <c r="X115" i="3"/>
  <c r="X323" i="3" s="1"/>
  <c r="W115" i="3"/>
  <c r="W323" i="3" s="1"/>
  <c r="V115" i="3"/>
  <c r="V323" i="3" s="1"/>
  <c r="U115" i="3"/>
  <c r="U323" i="3" s="1"/>
  <c r="T115" i="3"/>
  <c r="T323" i="3" s="1"/>
  <c r="S115" i="3"/>
  <c r="S323" i="3" s="1"/>
  <c r="R115" i="3"/>
  <c r="R323" i="3" s="1"/>
  <c r="Q115" i="3"/>
  <c r="Q323" i="3" s="1"/>
  <c r="P115" i="3"/>
  <c r="P323" i="3" s="1"/>
  <c r="O115" i="3"/>
  <c r="O323" i="3" s="1"/>
  <c r="N115" i="3"/>
  <c r="N323" i="3" s="1"/>
  <c r="M115" i="3"/>
  <c r="M323" i="3" s="1"/>
  <c r="L115" i="3"/>
  <c r="L323" i="3" s="1"/>
  <c r="K115" i="3"/>
  <c r="K323" i="3" s="1"/>
  <c r="J115" i="3"/>
  <c r="J323" i="3" s="1"/>
  <c r="I115" i="3"/>
  <c r="I323" i="3" s="1"/>
  <c r="H115" i="3"/>
  <c r="H323" i="3" s="1"/>
  <c r="G115" i="3"/>
  <c r="G323" i="3" s="1"/>
  <c r="B111" i="3"/>
  <c r="B110" i="3"/>
  <c r="B109" i="3"/>
  <c r="B108" i="3"/>
  <c r="B107" i="3"/>
  <c r="B106" i="3"/>
  <c r="B105" i="3"/>
  <c r="B104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B100" i="3"/>
  <c r="B99" i="3"/>
  <c r="B98" i="3"/>
  <c r="B97" i="3"/>
  <c r="B96" i="3"/>
  <c r="B95" i="3"/>
  <c r="B94" i="3"/>
  <c r="B93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G78" i="3"/>
  <c r="G89" i="3" s="1"/>
  <c r="G117" i="3" s="1"/>
  <c r="G56" i="3"/>
  <c r="G63" i="3" s="1"/>
  <c r="E55" i="3"/>
  <c r="B55" i="3"/>
  <c r="E54" i="3"/>
  <c r="B54" i="3"/>
  <c r="E53" i="3"/>
  <c r="B53" i="3"/>
  <c r="E52" i="3"/>
  <c r="B52" i="3"/>
  <c r="E51" i="3"/>
  <c r="B51" i="3"/>
  <c r="E50" i="3"/>
  <c r="B50" i="3"/>
  <c r="E49" i="3"/>
  <c r="B49" i="3"/>
  <c r="E48" i="3"/>
  <c r="B48" i="3"/>
  <c r="E47" i="3"/>
  <c r="B47" i="3"/>
  <c r="E46" i="3"/>
  <c r="B46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G42" i="3"/>
  <c r="B33" i="3"/>
  <c r="B108" i="4" s="1"/>
  <c r="X32" i="3"/>
  <c r="B32" i="3"/>
  <c r="B107" i="4" s="1"/>
  <c r="B31" i="3"/>
  <c r="B106" i="4" s="1"/>
  <c r="B30" i="3"/>
  <c r="B105" i="4" s="1"/>
  <c r="B29" i="3"/>
  <c r="B104" i="4" s="1"/>
  <c r="B28" i="3"/>
  <c r="B103" i="4" s="1"/>
  <c r="B27" i="3"/>
  <c r="B102" i="4" s="1"/>
  <c r="B26" i="3"/>
  <c r="B101" i="4" s="1"/>
  <c r="B25" i="3"/>
  <c r="B100" i="4" s="1"/>
  <c r="B24" i="3"/>
  <c r="B99" i="4" s="1"/>
  <c r="E20" i="3"/>
  <c r="U33" i="3" s="1"/>
  <c r="E19" i="3"/>
  <c r="V32" i="3" s="1"/>
  <c r="E18" i="3"/>
  <c r="AD31" i="3" s="1"/>
  <c r="E17" i="3"/>
  <c r="J30" i="3" s="1"/>
  <c r="E16" i="3"/>
  <c r="Q29" i="3" s="1"/>
  <c r="E15" i="3"/>
  <c r="X28" i="3" s="1"/>
  <c r="E14" i="3"/>
  <c r="E13" i="3"/>
  <c r="AB26" i="3" s="1"/>
  <c r="E12" i="3"/>
  <c r="AC25" i="3" s="1"/>
  <c r="E11" i="3"/>
  <c r="H7" i="3"/>
  <c r="G6" i="3"/>
  <c r="G5" i="3"/>
  <c r="G441" i="3" s="1"/>
  <c r="Q169" i="5" l="1"/>
  <c r="V164" i="5"/>
  <c r="X164" i="5" s="1"/>
  <c r="F204" i="5"/>
  <c r="F131" i="5"/>
  <c r="U164" i="5"/>
  <c r="U169" i="5" s="1"/>
  <c r="T179" i="5"/>
  <c r="U204" i="5"/>
  <c r="U131" i="5"/>
  <c r="U179" i="5"/>
  <c r="Q222" i="5"/>
  <c r="H327" i="3"/>
  <c r="AA25" i="3"/>
  <c r="AB25" i="3"/>
  <c r="G291" i="3"/>
  <c r="N197" i="4"/>
  <c r="G359" i="3"/>
  <c r="I46" i="4"/>
  <c r="F46" i="4"/>
  <c r="J327" i="3"/>
  <c r="J329" i="3" s="1"/>
  <c r="Y32" i="3"/>
  <c r="Z32" i="3"/>
  <c r="AA32" i="3"/>
  <c r="G76" i="3"/>
  <c r="X31" i="3"/>
  <c r="Y31" i="3"/>
  <c r="Z31" i="3"/>
  <c r="AA31" i="3"/>
  <c r="W32" i="3"/>
  <c r="V262" i="3"/>
  <c r="V270" i="3" s="1"/>
  <c r="V277" i="3" s="1"/>
  <c r="U245" i="3"/>
  <c r="H443" i="3"/>
  <c r="H292" i="3"/>
  <c r="G175" i="3"/>
  <c r="G182" i="3"/>
  <c r="G181" i="3"/>
  <c r="AB261" i="3"/>
  <c r="AB270" i="3" s="1"/>
  <c r="AB277" i="3" s="1"/>
  <c r="AA245" i="3"/>
  <c r="U24" i="3"/>
  <c r="M24" i="3"/>
  <c r="L24" i="3"/>
  <c r="K24" i="3"/>
  <c r="J24" i="3"/>
  <c r="I24" i="3"/>
  <c r="H24" i="3"/>
  <c r="G24" i="3"/>
  <c r="I46" i="3" s="1"/>
  <c r="G125" i="3"/>
  <c r="M25" i="3"/>
  <c r="Z25" i="3"/>
  <c r="Y25" i="3"/>
  <c r="X25" i="3"/>
  <c r="W25" i="3"/>
  <c r="R25" i="3"/>
  <c r="Q25" i="3"/>
  <c r="P25" i="3"/>
  <c r="O25" i="3"/>
  <c r="N25" i="3"/>
  <c r="K25" i="3"/>
  <c r="J25" i="3"/>
  <c r="I25" i="3"/>
  <c r="H25" i="3"/>
  <c r="AD25" i="3"/>
  <c r="H126" i="3"/>
  <c r="X27" i="3"/>
  <c r="Y27" i="3"/>
  <c r="T26" i="3"/>
  <c r="P245" i="3"/>
  <c r="V24" i="3"/>
  <c r="W24" i="3"/>
  <c r="AB24" i="3"/>
  <c r="AC24" i="3"/>
  <c r="AD24" i="3"/>
  <c r="G25" i="3"/>
  <c r="AD327" i="3"/>
  <c r="AD329" i="3" s="1"/>
  <c r="S327" i="3"/>
  <c r="S329" i="3" s="1"/>
  <c r="AB245" i="3"/>
  <c r="AB276" i="3" s="1"/>
  <c r="N245" i="3"/>
  <c r="N276" i="3" s="1"/>
  <c r="R29" i="3"/>
  <c r="AD32" i="3"/>
  <c r="S29" i="3"/>
  <c r="V327" i="3"/>
  <c r="V329" i="3" s="1"/>
  <c r="T29" i="3"/>
  <c r="V33" i="3"/>
  <c r="W33" i="3"/>
  <c r="T30" i="3"/>
  <c r="X33" i="3"/>
  <c r="U30" i="3"/>
  <c r="Y33" i="3"/>
  <c r="V30" i="3"/>
  <c r="AB33" i="3"/>
  <c r="W30" i="3"/>
  <c r="AC33" i="3"/>
  <c r="AD33" i="3"/>
  <c r="U31" i="3"/>
  <c r="G169" i="3"/>
  <c r="X26" i="3"/>
  <c r="AC26" i="3"/>
  <c r="AA29" i="3"/>
  <c r="AC30" i="3"/>
  <c r="AD26" i="3"/>
  <c r="AB29" i="3"/>
  <c r="H32" i="3"/>
  <c r="L327" i="3"/>
  <c r="L329" i="3" s="1"/>
  <c r="L333" i="3" s="1"/>
  <c r="K26" i="3"/>
  <c r="L32" i="3"/>
  <c r="L31" i="3"/>
  <c r="N32" i="3"/>
  <c r="AA28" i="3"/>
  <c r="O32" i="3"/>
  <c r="O26" i="3"/>
  <c r="O30" i="3"/>
  <c r="N24" i="3"/>
  <c r="S25" i="3"/>
  <c r="P26" i="3"/>
  <c r="S27" i="3"/>
  <c r="AC28" i="3"/>
  <c r="P30" i="3"/>
  <c r="Q31" i="3"/>
  <c r="S32" i="3"/>
  <c r="R33" i="3"/>
  <c r="X29" i="3"/>
  <c r="J28" i="3"/>
  <c r="AC262" i="3"/>
  <c r="AC270" i="3" s="1"/>
  <c r="AC277" i="3" s="1"/>
  <c r="Z30" i="3"/>
  <c r="G33" i="3"/>
  <c r="H55" i="3" s="1"/>
  <c r="O261" i="3"/>
  <c r="O270" i="3" s="1"/>
  <c r="O277" i="3" s="1"/>
  <c r="I26" i="3"/>
  <c r="G27" i="3"/>
  <c r="H27" i="3"/>
  <c r="I49" i="3" s="1"/>
  <c r="M31" i="3"/>
  <c r="K27" i="3"/>
  <c r="L27" i="3"/>
  <c r="AB28" i="3"/>
  <c r="P32" i="3"/>
  <c r="O24" i="3"/>
  <c r="T25" i="3"/>
  <c r="Q26" i="3"/>
  <c r="T27" i="3"/>
  <c r="Q30" i="3"/>
  <c r="R31" i="3"/>
  <c r="T32" i="3"/>
  <c r="S33" i="3"/>
  <c r="I28" i="3"/>
  <c r="X30" i="3"/>
  <c r="Z327" i="3"/>
  <c r="Z329" i="3" s="1"/>
  <c r="AC245" i="3"/>
  <c r="AC276" i="3" s="1"/>
  <c r="Y29" i="3"/>
  <c r="Y30" i="3"/>
  <c r="AB31" i="3"/>
  <c r="Z26" i="3"/>
  <c r="K28" i="3"/>
  <c r="Z29" i="3"/>
  <c r="X245" i="3"/>
  <c r="U276" i="3"/>
  <c r="P28" i="3"/>
  <c r="G32" i="3"/>
  <c r="W28" i="3"/>
  <c r="AD29" i="3"/>
  <c r="J31" i="3"/>
  <c r="J32" i="3"/>
  <c r="K31" i="3"/>
  <c r="K33" i="3"/>
  <c r="Y28" i="3"/>
  <c r="M26" i="3"/>
  <c r="Z28" i="3"/>
  <c r="O33" i="3"/>
  <c r="G179" i="3"/>
  <c r="P33" i="3"/>
  <c r="P327" i="3"/>
  <c r="P329" i="3" s="1"/>
  <c r="O31" i="3"/>
  <c r="T24" i="3"/>
  <c r="U25" i="3"/>
  <c r="R26" i="3"/>
  <c r="U27" i="3"/>
  <c r="P29" i="3"/>
  <c r="R30" i="3"/>
  <c r="S31" i="3"/>
  <c r="U32" i="3"/>
  <c r="T33" i="3"/>
  <c r="I245" i="3"/>
  <c r="Y260" i="3"/>
  <c r="Y270" i="3" s="1"/>
  <c r="Y277" i="3" s="1"/>
  <c r="U26" i="3"/>
  <c r="V26" i="3"/>
  <c r="G28" i="3"/>
  <c r="X327" i="3"/>
  <c r="X329" i="3" s="1"/>
  <c r="W26" i="3"/>
  <c r="H28" i="3"/>
  <c r="I50" i="3" s="1"/>
  <c r="W29" i="3"/>
  <c r="Y26" i="3"/>
  <c r="S28" i="3"/>
  <c r="H33" i="3"/>
  <c r="V28" i="3"/>
  <c r="AC29" i="3"/>
  <c r="I31" i="3"/>
  <c r="I32" i="3"/>
  <c r="I33" i="3"/>
  <c r="G178" i="3"/>
  <c r="G245" i="3"/>
  <c r="J26" i="3"/>
  <c r="J33" i="3"/>
  <c r="L26" i="3"/>
  <c r="I27" i="3"/>
  <c r="L30" i="3"/>
  <c r="M32" i="3"/>
  <c r="N33" i="3"/>
  <c r="J27" i="3"/>
  <c r="M30" i="3"/>
  <c r="N26" i="3"/>
  <c r="N30" i="3"/>
  <c r="N31" i="3"/>
  <c r="Q33" i="3"/>
  <c r="V25" i="3"/>
  <c r="S26" i="3"/>
  <c r="S30" i="3"/>
  <c r="T31" i="3"/>
  <c r="I117" i="4"/>
  <c r="G459" i="3"/>
  <c r="G455" i="3"/>
  <c r="G492" i="3" s="1"/>
  <c r="I334" i="3"/>
  <c r="J334" i="3" s="1"/>
  <c r="G501" i="3"/>
  <c r="H346" i="3"/>
  <c r="I343" i="3" s="1"/>
  <c r="I346" i="3" s="1"/>
  <c r="J343" i="3" s="1"/>
  <c r="J346" i="3" s="1"/>
  <c r="K343" i="3" s="1"/>
  <c r="K346" i="3" s="1"/>
  <c r="L343" i="3" s="1"/>
  <c r="L346" i="3" s="1"/>
  <c r="M343" i="3" s="1"/>
  <c r="M346" i="3" s="1"/>
  <c r="N343" i="3" s="1"/>
  <c r="N346" i="3" s="1"/>
  <c r="O343" i="3" s="1"/>
  <c r="O346" i="3" s="1"/>
  <c r="P343" i="3" s="1"/>
  <c r="P346" i="3" s="1"/>
  <c r="Q343" i="3" s="1"/>
  <c r="Q346" i="3" s="1"/>
  <c r="R343" i="3" s="1"/>
  <c r="R346" i="3" s="1"/>
  <c r="S343" i="3" s="1"/>
  <c r="S346" i="3" s="1"/>
  <c r="T343" i="3" s="1"/>
  <c r="T346" i="3" s="1"/>
  <c r="U343" i="3" s="1"/>
  <c r="U346" i="3" s="1"/>
  <c r="V343" i="3" s="1"/>
  <c r="V346" i="3" s="1"/>
  <c r="W343" i="3" s="1"/>
  <c r="W346" i="3" s="1"/>
  <c r="X343" i="3" s="1"/>
  <c r="X346" i="3" s="1"/>
  <c r="Y343" i="3" s="1"/>
  <c r="Y346" i="3" s="1"/>
  <c r="Z343" i="3" s="1"/>
  <c r="Z346" i="3" s="1"/>
  <c r="AA343" i="3" s="1"/>
  <c r="AA346" i="3" s="1"/>
  <c r="AB343" i="3" s="1"/>
  <c r="AB346" i="3" s="1"/>
  <c r="AC343" i="3" s="1"/>
  <c r="AC346" i="3" s="1"/>
  <c r="AD343" i="3" s="1"/>
  <c r="AD346" i="3" s="1"/>
  <c r="H264" i="3"/>
  <c r="E45" i="4"/>
  <c r="E80" i="4"/>
  <c r="E152" i="4"/>
  <c r="N169" i="5"/>
  <c r="E192" i="4"/>
  <c r="F151" i="5"/>
  <c r="F5" i="4"/>
  <c r="F45" i="4" s="1"/>
  <c r="F179" i="5"/>
  <c r="H169" i="5"/>
  <c r="T327" i="3"/>
  <c r="T329" i="3" s="1"/>
  <c r="O327" i="3"/>
  <c r="O329" i="3" s="1"/>
  <c r="N327" i="3"/>
  <c r="N329" i="3" s="1"/>
  <c r="W260" i="3"/>
  <c r="W270" i="3" s="1"/>
  <c r="W277" i="3" s="1"/>
  <c r="V245" i="3"/>
  <c r="R270" i="3"/>
  <c r="R277" i="3" s="1"/>
  <c r="W245" i="3"/>
  <c r="X260" i="3"/>
  <c r="X270" i="3" s="1"/>
  <c r="X277" i="3" s="1"/>
  <c r="Q327" i="3"/>
  <c r="Q329" i="3" s="1"/>
  <c r="R327" i="3"/>
  <c r="R329" i="3" s="1"/>
  <c r="Y245" i="3"/>
  <c r="Z260" i="3"/>
  <c r="Z270" i="3" s="1"/>
  <c r="Z277" i="3" s="1"/>
  <c r="P262" i="3"/>
  <c r="P270" i="3" s="1"/>
  <c r="P277" i="3" s="1"/>
  <c r="O245" i="3"/>
  <c r="K263" i="3"/>
  <c r="K270" i="3" s="1"/>
  <c r="K277" i="3" s="1"/>
  <c r="J245" i="3"/>
  <c r="AD245" i="3"/>
  <c r="W327" i="3"/>
  <c r="W329" i="3" s="1"/>
  <c r="L270" i="3"/>
  <c r="L277" i="3" s="1"/>
  <c r="M270" i="3"/>
  <c r="M277" i="3" s="1"/>
  <c r="U327" i="3"/>
  <c r="U329" i="3" s="1"/>
  <c r="G120" i="5"/>
  <c r="H321" i="3"/>
  <c r="H256" i="3"/>
  <c r="H487" i="3"/>
  <c r="H370" i="3"/>
  <c r="H205" i="3"/>
  <c r="H218" i="3" s="1"/>
  <c r="H247" i="3" s="1"/>
  <c r="H171" i="3"/>
  <c r="H78" i="3"/>
  <c r="H89" i="3" s="1"/>
  <c r="W27" i="3"/>
  <c r="V27" i="3"/>
  <c r="R27" i="3"/>
  <c r="O27" i="3"/>
  <c r="Q27" i="3"/>
  <c r="P27" i="3"/>
  <c r="N27" i="3"/>
  <c r="M27" i="3"/>
  <c r="Z27" i="3"/>
  <c r="L245" i="3"/>
  <c r="H261" i="3"/>
  <c r="H416" i="3"/>
  <c r="I7" i="3"/>
  <c r="R28" i="3"/>
  <c r="Q28" i="3"/>
  <c r="O28" i="3"/>
  <c r="L28" i="3"/>
  <c r="N28" i="3"/>
  <c r="M28" i="3"/>
  <c r="U28" i="3"/>
  <c r="T28" i="3"/>
  <c r="AA27" i="3"/>
  <c r="AD28" i="3"/>
  <c r="H42" i="3"/>
  <c r="M245" i="3"/>
  <c r="N260" i="3"/>
  <c r="N270" i="3" s="1"/>
  <c r="N277" i="3" s="1"/>
  <c r="H245" i="3"/>
  <c r="I261" i="3"/>
  <c r="I270" i="3" s="1"/>
  <c r="I277" i="3" s="1"/>
  <c r="I327" i="3"/>
  <c r="I329" i="3" s="1"/>
  <c r="F119" i="5"/>
  <c r="G415" i="3"/>
  <c r="G170" i="3"/>
  <c r="G486" i="3"/>
  <c r="G369" i="3"/>
  <c r="G204" i="3"/>
  <c r="G320" i="3"/>
  <c r="G442" i="3"/>
  <c r="G77" i="3"/>
  <c r="G255" i="3"/>
  <c r="M29" i="3"/>
  <c r="L29" i="3"/>
  <c r="N29" i="3"/>
  <c r="I29" i="3"/>
  <c r="K29" i="3"/>
  <c r="J29" i="3"/>
  <c r="V29" i="3"/>
  <c r="U29" i="3"/>
  <c r="AB27" i="3"/>
  <c r="H6" i="3"/>
  <c r="AC27" i="3"/>
  <c r="G29" i="3"/>
  <c r="V169" i="5"/>
  <c r="G485" i="3"/>
  <c r="G368" i="3"/>
  <c r="G290" i="3"/>
  <c r="G319" i="3"/>
  <c r="G203" i="3"/>
  <c r="G124" i="3"/>
  <c r="G414" i="3"/>
  <c r="G40" i="3"/>
  <c r="G254" i="3"/>
  <c r="AD27" i="3"/>
  <c r="H29" i="3"/>
  <c r="H5" i="3"/>
  <c r="O29" i="3"/>
  <c r="G41" i="3"/>
  <c r="AD270" i="3"/>
  <c r="AD277" i="3" s="1"/>
  <c r="R245" i="3"/>
  <c r="S260" i="3"/>
  <c r="S270" i="3" s="1"/>
  <c r="S277" i="3" s="1"/>
  <c r="R24" i="3"/>
  <c r="Q24" i="3"/>
  <c r="AA24" i="3"/>
  <c r="X24" i="3"/>
  <c r="Z24" i="3"/>
  <c r="Y24" i="3"/>
  <c r="P24" i="3"/>
  <c r="S24" i="3"/>
  <c r="M327" i="3"/>
  <c r="M329" i="3" s="1"/>
  <c r="U260" i="3"/>
  <c r="U270" i="3" s="1"/>
  <c r="U277" i="3" s="1"/>
  <c r="T245" i="3"/>
  <c r="I30" i="3"/>
  <c r="AC31" i="3"/>
  <c r="G177" i="3"/>
  <c r="G180" i="3"/>
  <c r="R32" i="3"/>
  <c r="Q32" i="3"/>
  <c r="K32" i="3"/>
  <c r="G31" i="3"/>
  <c r="I53" i="3" s="1"/>
  <c r="AB32" i="3"/>
  <c r="AB30" i="3"/>
  <c r="H30" i="3"/>
  <c r="AA30" i="3"/>
  <c r="G30" i="3"/>
  <c r="AD30" i="3"/>
  <c r="H329" i="3"/>
  <c r="Q270" i="3"/>
  <c r="Q277" i="3" s="1"/>
  <c r="W31" i="3"/>
  <c r="V31" i="3"/>
  <c r="P31" i="3"/>
  <c r="M33" i="3"/>
  <c r="L33" i="3"/>
  <c r="Z33" i="3"/>
  <c r="K30" i="3"/>
  <c r="H31" i="3"/>
  <c r="AC32" i="3"/>
  <c r="AA33" i="3"/>
  <c r="K327" i="3"/>
  <c r="K329" i="3" s="1"/>
  <c r="G176" i="3"/>
  <c r="L25" i="3"/>
  <c r="G26" i="3"/>
  <c r="AA26" i="3"/>
  <c r="AA327" i="3"/>
  <c r="AA329" i="3" s="1"/>
  <c r="H26" i="3"/>
  <c r="I48" i="3" s="1"/>
  <c r="AC327" i="3"/>
  <c r="AC329" i="3" s="1"/>
  <c r="AB327" i="3"/>
  <c r="AB329" i="3" s="1"/>
  <c r="K245" i="3"/>
  <c r="H353" i="3"/>
  <c r="H455" i="3" s="1"/>
  <c r="H492" i="3" s="1"/>
  <c r="T260" i="3"/>
  <c r="T270" i="3" s="1"/>
  <c r="T277" i="3" s="1"/>
  <c r="S245" i="3"/>
  <c r="F230" i="4"/>
  <c r="F265" i="4"/>
  <c r="F81" i="4"/>
  <c r="F153" i="4"/>
  <c r="J6" i="4"/>
  <c r="F193" i="4"/>
  <c r="F117" i="4"/>
  <c r="G6" i="4"/>
  <c r="Y327" i="3"/>
  <c r="Y329" i="3" s="1"/>
  <c r="J270" i="3"/>
  <c r="J277" i="3" s="1"/>
  <c r="U151" i="5"/>
  <c r="V120" i="5"/>
  <c r="Q245" i="3"/>
  <c r="S169" i="5"/>
  <c r="I265" i="4"/>
  <c r="I153" i="4"/>
  <c r="I81" i="4"/>
  <c r="I230" i="4"/>
  <c r="I193" i="4"/>
  <c r="T151" i="5"/>
  <c r="T204" i="5"/>
  <c r="T131" i="5"/>
  <c r="P222" i="5"/>
  <c r="Z245" i="3"/>
  <c r="AA260" i="3"/>
  <c r="AA270" i="3" s="1"/>
  <c r="AA277" i="3" s="1"/>
  <c r="K169" i="5"/>
  <c r="T169" i="5"/>
  <c r="E116" i="4"/>
  <c r="E264" i="4"/>
  <c r="I5" i="4"/>
  <c r="M222" i="5"/>
  <c r="N222" i="5"/>
  <c r="G222" i="5"/>
  <c r="H222" i="5"/>
  <c r="F130" i="5" l="1"/>
  <c r="P47" i="3"/>
  <c r="J46" i="3"/>
  <c r="L47" i="3"/>
  <c r="L54" i="3"/>
  <c r="Q46" i="3"/>
  <c r="J47" i="3"/>
  <c r="S47" i="3"/>
  <c r="S54" i="3"/>
  <c r="K49" i="3"/>
  <c r="K46" i="3"/>
  <c r="M54" i="3"/>
  <c r="L46" i="3"/>
  <c r="M46" i="3"/>
  <c r="L49" i="3"/>
  <c r="K47" i="3"/>
  <c r="L53" i="3"/>
  <c r="Q47" i="3"/>
  <c r="AA50" i="3"/>
  <c r="T47" i="3"/>
  <c r="N54" i="3"/>
  <c r="V50" i="3"/>
  <c r="N46" i="3"/>
  <c r="J50" i="3"/>
  <c r="M52" i="3"/>
  <c r="H46" i="3"/>
  <c r="K50" i="3"/>
  <c r="Q54" i="3"/>
  <c r="X34" i="3"/>
  <c r="X446" i="3" s="1"/>
  <c r="M50" i="3"/>
  <c r="AD34" i="3"/>
  <c r="AD446" i="3" s="1"/>
  <c r="I276" i="3"/>
  <c r="AD52" i="3"/>
  <c r="R50" i="3"/>
  <c r="J55" i="3"/>
  <c r="M49" i="3"/>
  <c r="K55" i="3"/>
  <c r="R54" i="3"/>
  <c r="M53" i="3"/>
  <c r="H270" i="3"/>
  <c r="H277" i="3" s="1"/>
  <c r="I54" i="3"/>
  <c r="K53" i="3"/>
  <c r="H54" i="3"/>
  <c r="O53" i="3"/>
  <c r="AA276" i="3"/>
  <c r="V34" i="3"/>
  <c r="V446" i="3" s="1"/>
  <c r="Y47" i="3"/>
  <c r="P46" i="3"/>
  <c r="P276" i="3"/>
  <c r="I55" i="3"/>
  <c r="L50" i="3"/>
  <c r="H47" i="3"/>
  <c r="N53" i="3"/>
  <c r="O34" i="3"/>
  <c r="O446" i="3" s="1"/>
  <c r="O54" i="3"/>
  <c r="I47" i="3"/>
  <c r="S49" i="3"/>
  <c r="P54" i="3"/>
  <c r="Q53" i="3"/>
  <c r="Q49" i="3"/>
  <c r="P357" i="3"/>
  <c r="P359" i="3" s="1"/>
  <c r="P501" i="3" s="1"/>
  <c r="P502" i="3" s="1"/>
  <c r="P387" i="3" s="1"/>
  <c r="P333" i="3"/>
  <c r="Y46" i="3"/>
  <c r="L34" i="3"/>
  <c r="L62" i="3" s="1"/>
  <c r="T54" i="3"/>
  <c r="V49" i="3"/>
  <c r="U54" i="3"/>
  <c r="W46" i="3"/>
  <c r="AB34" i="3"/>
  <c r="AB446" i="3" s="1"/>
  <c r="AA49" i="3"/>
  <c r="AB54" i="3"/>
  <c r="AC54" i="3"/>
  <c r="W51" i="3"/>
  <c r="Z49" i="3"/>
  <c r="K54" i="3"/>
  <c r="Y54" i="3"/>
  <c r="R49" i="3"/>
  <c r="U34" i="3"/>
  <c r="U62" i="3" s="1"/>
  <c r="G276" i="3"/>
  <c r="AB51" i="3"/>
  <c r="O51" i="3"/>
  <c r="AD49" i="3"/>
  <c r="U50" i="3"/>
  <c r="W53" i="3"/>
  <c r="M55" i="3"/>
  <c r="L55" i="3"/>
  <c r="Y34" i="3"/>
  <c r="Y446" i="3" s="1"/>
  <c r="Q50" i="3"/>
  <c r="R46" i="3"/>
  <c r="Z46" i="3"/>
  <c r="H50" i="3"/>
  <c r="H49" i="3"/>
  <c r="J54" i="3"/>
  <c r="G183" i="3"/>
  <c r="G190" i="3" s="1"/>
  <c r="N51" i="3"/>
  <c r="T49" i="3"/>
  <c r="W55" i="3"/>
  <c r="L357" i="3"/>
  <c r="L359" i="3" s="1"/>
  <c r="L501" i="3" s="1"/>
  <c r="L502" i="3" s="1"/>
  <c r="L387" i="3" s="1"/>
  <c r="N50" i="3"/>
  <c r="I351" i="3"/>
  <c r="W47" i="3"/>
  <c r="P50" i="3"/>
  <c r="O46" i="3"/>
  <c r="X53" i="3"/>
  <c r="S34" i="3"/>
  <c r="S62" i="3" s="1"/>
  <c r="U46" i="3"/>
  <c r="J49" i="3"/>
  <c r="S46" i="3"/>
  <c r="AA48" i="3"/>
  <c r="P49" i="3"/>
  <c r="T46" i="3"/>
  <c r="U49" i="3"/>
  <c r="O49" i="3"/>
  <c r="K51" i="3"/>
  <c r="K34" i="3"/>
  <c r="K446" i="3" s="1"/>
  <c r="I34" i="3"/>
  <c r="I446" i="3" s="1"/>
  <c r="N55" i="3"/>
  <c r="J52" i="3"/>
  <c r="O50" i="3"/>
  <c r="R47" i="3"/>
  <c r="X276" i="3"/>
  <c r="J357" i="3"/>
  <c r="J359" i="3" s="1"/>
  <c r="J501" i="3" s="1"/>
  <c r="J502" i="3" s="1"/>
  <c r="J387" i="3" s="1"/>
  <c r="J333" i="3"/>
  <c r="G502" i="3"/>
  <c r="G387" i="3" s="1"/>
  <c r="F80" i="4"/>
  <c r="F264" i="4"/>
  <c r="G5" i="4"/>
  <c r="G45" i="4" s="1"/>
  <c r="J5" i="4"/>
  <c r="J264" i="4" s="1"/>
  <c r="F192" i="4"/>
  <c r="F116" i="4"/>
  <c r="F229" i="4"/>
  <c r="F152" i="4"/>
  <c r="AB357" i="3"/>
  <c r="AB359" i="3" s="1"/>
  <c r="AB501" i="3" s="1"/>
  <c r="AB502" i="3" s="1"/>
  <c r="AB387" i="3" s="1"/>
  <c r="AB333" i="3"/>
  <c r="H276" i="3"/>
  <c r="G179" i="5"/>
  <c r="G151" i="5"/>
  <c r="G204" i="5"/>
  <c r="G131" i="5"/>
  <c r="M51" i="3"/>
  <c r="R357" i="3"/>
  <c r="R359" i="3" s="1"/>
  <c r="R501" i="3" s="1"/>
  <c r="R502" i="3" s="1"/>
  <c r="R387" i="3" s="1"/>
  <c r="R333" i="3"/>
  <c r="Y357" i="3"/>
  <c r="Y359" i="3" s="1"/>
  <c r="Y501" i="3" s="1"/>
  <c r="Y502" i="3" s="1"/>
  <c r="Y387" i="3" s="1"/>
  <c r="Y333" i="3"/>
  <c r="M333" i="3"/>
  <c r="M357" i="3"/>
  <c r="M359" i="3" s="1"/>
  <c r="M501" i="3" s="1"/>
  <c r="M502" i="3" s="1"/>
  <c r="M387" i="3" s="1"/>
  <c r="L276" i="3"/>
  <c r="AD51" i="3"/>
  <c r="Q333" i="3"/>
  <c r="Q357" i="3"/>
  <c r="Q359" i="3" s="1"/>
  <c r="Q501" i="3" s="1"/>
  <c r="Q502" i="3" s="1"/>
  <c r="Q387" i="3" s="1"/>
  <c r="Y55" i="3"/>
  <c r="AD53" i="3"/>
  <c r="M276" i="3"/>
  <c r="AD48" i="3"/>
  <c r="H486" i="3"/>
  <c r="H369" i="3"/>
  <c r="H442" i="3"/>
  <c r="H170" i="3"/>
  <c r="H255" i="3"/>
  <c r="G119" i="5"/>
  <c r="H291" i="3"/>
  <c r="H204" i="3"/>
  <c r="H320" i="3"/>
  <c r="H77" i="3"/>
  <c r="H41" i="3"/>
  <c r="H125" i="3"/>
  <c r="H415" i="3"/>
  <c r="AA357" i="3"/>
  <c r="AA359" i="3" s="1"/>
  <c r="AA501" i="3" s="1"/>
  <c r="AA502" i="3" s="1"/>
  <c r="AA387" i="3" s="1"/>
  <c r="AA333" i="3"/>
  <c r="T48" i="3"/>
  <c r="W34" i="3"/>
  <c r="W276" i="3"/>
  <c r="AC55" i="3"/>
  <c r="O52" i="3"/>
  <c r="AD55" i="3"/>
  <c r="Y49" i="3"/>
  <c r="AB49" i="3"/>
  <c r="N34" i="3"/>
  <c r="V51" i="3"/>
  <c r="J351" i="3"/>
  <c r="J353" i="3" s="1"/>
  <c r="J455" i="3" s="1"/>
  <c r="J492" i="3" s="1"/>
  <c r="K334" i="3"/>
  <c r="V276" i="3"/>
  <c r="Q276" i="3"/>
  <c r="Y53" i="3"/>
  <c r="X51" i="3"/>
  <c r="S333" i="3"/>
  <c r="S357" i="3"/>
  <c r="S359" i="3" s="1"/>
  <c r="S501" i="3" s="1"/>
  <c r="S502" i="3" s="1"/>
  <c r="S387" i="3" s="1"/>
  <c r="G230" i="4"/>
  <c r="H6" i="4"/>
  <c r="G46" i="4"/>
  <c r="G193" i="4"/>
  <c r="G153" i="4"/>
  <c r="G81" i="4"/>
  <c r="G117" i="4"/>
  <c r="K6" i="4"/>
  <c r="G265" i="4"/>
  <c r="AB52" i="3"/>
  <c r="Y51" i="3"/>
  <c r="I52" i="3"/>
  <c r="Z51" i="3"/>
  <c r="K48" i="3"/>
  <c r="AC52" i="3"/>
  <c r="Q48" i="3"/>
  <c r="O48" i="3"/>
  <c r="O357" i="3"/>
  <c r="O359" i="3" s="1"/>
  <c r="O501" i="3" s="1"/>
  <c r="O502" i="3" s="1"/>
  <c r="O387" i="3" s="1"/>
  <c r="O333" i="3"/>
  <c r="W49" i="3"/>
  <c r="J51" i="3"/>
  <c r="T55" i="3"/>
  <c r="AB50" i="3"/>
  <c r="Z50" i="3"/>
  <c r="Y50" i="3"/>
  <c r="O47" i="3"/>
  <c r="N47" i="3"/>
  <c r="X50" i="3"/>
  <c r="V131" i="5"/>
  <c r="V151" i="5"/>
  <c r="V179" i="5"/>
  <c r="V204" i="5"/>
  <c r="K357" i="3"/>
  <c r="K359" i="3" s="1"/>
  <c r="K501" i="3" s="1"/>
  <c r="K502" i="3" s="1"/>
  <c r="K387" i="3" s="1"/>
  <c r="K333" i="3"/>
  <c r="AC53" i="3"/>
  <c r="AB53" i="3"/>
  <c r="AA53" i="3"/>
  <c r="R53" i="3"/>
  <c r="P53" i="3"/>
  <c r="Z53" i="3"/>
  <c r="S53" i="3"/>
  <c r="Z34" i="3"/>
  <c r="AA46" i="3"/>
  <c r="T53" i="3"/>
  <c r="H117" i="3"/>
  <c r="Z333" i="3"/>
  <c r="Z357" i="3"/>
  <c r="Z359" i="3" s="1"/>
  <c r="Z501" i="3" s="1"/>
  <c r="Z502" i="3" s="1"/>
  <c r="Z387" i="3" s="1"/>
  <c r="U53" i="3"/>
  <c r="H181" i="3"/>
  <c r="H177" i="3"/>
  <c r="H176" i="3"/>
  <c r="H182" i="3"/>
  <c r="H175" i="3"/>
  <c r="H180" i="3"/>
  <c r="H179" i="3"/>
  <c r="H178" i="3"/>
  <c r="S50" i="3"/>
  <c r="P51" i="3"/>
  <c r="J276" i="3"/>
  <c r="P55" i="3"/>
  <c r="M48" i="3"/>
  <c r="X47" i="3"/>
  <c r="S51" i="3"/>
  <c r="AA34" i="3"/>
  <c r="AB46" i="3"/>
  <c r="V54" i="3"/>
  <c r="Q55" i="3"/>
  <c r="L48" i="3"/>
  <c r="AA47" i="3"/>
  <c r="R51" i="3"/>
  <c r="I256" i="3"/>
  <c r="I487" i="3"/>
  <c r="H120" i="5"/>
  <c r="I292" i="3"/>
  <c r="I171" i="3"/>
  <c r="I205" i="3"/>
  <c r="I218" i="3" s="1"/>
  <c r="I247" i="3" s="1"/>
  <c r="I370" i="3"/>
  <c r="I443" i="3"/>
  <c r="I6" i="3"/>
  <c r="I42" i="3"/>
  <c r="J7" i="3"/>
  <c r="I416" i="3"/>
  <c r="I126" i="3"/>
  <c r="I5" i="3"/>
  <c r="I321" i="3"/>
  <c r="I78" i="3"/>
  <c r="I89" i="3" s="1"/>
  <c r="O276" i="3"/>
  <c r="R55" i="3"/>
  <c r="L52" i="3"/>
  <c r="R34" i="3"/>
  <c r="H53" i="3"/>
  <c r="X54" i="3"/>
  <c r="S55" i="3"/>
  <c r="AC47" i="3"/>
  <c r="AC50" i="3"/>
  <c r="H319" i="3"/>
  <c r="H368" i="3"/>
  <c r="H414" i="3"/>
  <c r="H124" i="3"/>
  <c r="H254" i="3"/>
  <c r="H485" i="3"/>
  <c r="H76" i="3"/>
  <c r="H441" i="3"/>
  <c r="H40" i="3"/>
  <c r="H203" i="3"/>
  <c r="H290" i="3"/>
  <c r="H169" i="3"/>
  <c r="I333" i="3"/>
  <c r="I357" i="3"/>
  <c r="I359" i="3" s="1"/>
  <c r="I501" i="3" s="1"/>
  <c r="I502" i="3" s="1"/>
  <c r="I387" i="3" s="1"/>
  <c r="Z54" i="3"/>
  <c r="H34" i="3"/>
  <c r="H51" i="3"/>
  <c r="V55" i="3"/>
  <c r="AD47" i="3"/>
  <c r="AD50" i="3"/>
  <c r="J34" i="3"/>
  <c r="Z276" i="3"/>
  <c r="I51" i="3"/>
  <c r="X55" i="3"/>
  <c r="AC357" i="3"/>
  <c r="AC359" i="3" s="1"/>
  <c r="AC501" i="3" s="1"/>
  <c r="AC502" i="3" s="1"/>
  <c r="AC387" i="3" s="1"/>
  <c r="AC333" i="3"/>
  <c r="L51" i="3"/>
  <c r="Z55" i="3"/>
  <c r="AC48" i="3"/>
  <c r="Q52" i="3"/>
  <c r="AD276" i="3"/>
  <c r="AB55" i="3"/>
  <c r="T333" i="3"/>
  <c r="T357" i="3"/>
  <c r="T359" i="3" s="1"/>
  <c r="T501" i="3" s="1"/>
  <c r="T502" i="3" s="1"/>
  <c r="T387" i="3" s="1"/>
  <c r="N52" i="3"/>
  <c r="T51" i="3"/>
  <c r="T52" i="3"/>
  <c r="AB48" i="3"/>
  <c r="H357" i="3"/>
  <c r="H333" i="3"/>
  <c r="R48" i="3"/>
  <c r="M34" i="3"/>
  <c r="U51" i="3"/>
  <c r="S48" i="3"/>
  <c r="H48" i="3"/>
  <c r="W48" i="3"/>
  <c r="V48" i="3"/>
  <c r="Y48" i="3"/>
  <c r="X48" i="3"/>
  <c r="Z48" i="3"/>
  <c r="AC49" i="3"/>
  <c r="AC46" i="3"/>
  <c r="K52" i="3"/>
  <c r="H52" i="3"/>
  <c r="Z52" i="3"/>
  <c r="W52" i="3"/>
  <c r="V52" i="3"/>
  <c r="AC34" i="3"/>
  <c r="U357" i="3"/>
  <c r="U359" i="3" s="1"/>
  <c r="U501" i="3" s="1"/>
  <c r="U502" i="3" s="1"/>
  <c r="U387" i="3" s="1"/>
  <c r="U333" i="3"/>
  <c r="Z47" i="3"/>
  <c r="AD46" i="3"/>
  <c r="U55" i="3"/>
  <c r="S52" i="3"/>
  <c r="X46" i="3"/>
  <c r="N357" i="3"/>
  <c r="N359" i="3" s="1"/>
  <c r="N501" i="3" s="1"/>
  <c r="N502" i="3" s="1"/>
  <c r="N387" i="3" s="1"/>
  <c r="N333" i="3"/>
  <c r="O55" i="3"/>
  <c r="T34" i="3"/>
  <c r="P48" i="3"/>
  <c r="AA51" i="3"/>
  <c r="Y52" i="3"/>
  <c r="AA55" i="3"/>
  <c r="J81" i="4"/>
  <c r="J46" i="4"/>
  <c r="J153" i="4"/>
  <c r="J230" i="4"/>
  <c r="J193" i="4"/>
  <c r="J117" i="4"/>
  <c r="J265" i="4"/>
  <c r="P34" i="3"/>
  <c r="N48" i="3"/>
  <c r="AD357" i="3"/>
  <c r="AD359" i="3" s="1"/>
  <c r="AD501" i="3" s="1"/>
  <c r="AD502" i="3" s="1"/>
  <c r="AD387" i="3" s="1"/>
  <c r="AD333" i="3"/>
  <c r="M47" i="3"/>
  <c r="J48" i="3"/>
  <c r="X49" i="3"/>
  <c r="G34" i="3"/>
  <c r="I152" i="4"/>
  <c r="I192" i="4"/>
  <c r="I45" i="4"/>
  <c r="I229" i="4"/>
  <c r="I80" i="4"/>
  <c r="I116" i="4"/>
  <c r="I264" i="4"/>
  <c r="J53" i="3"/>
  <c r="AA52" i="3"/>
  <c r="X52" i="3"/>
  <c r="U47" i="3"/>
  <c r="U52" i="3"/>
  <c r="U48" i="3"/>
  <c r="AD54" i="3"/>
  <c r="V53" i="3"/>
  <c r="F203" i="5"/>
  <c r="F178" i="5"/>
  <c r="F150" i="5"/>
  <c r="T50" i="3"/>
  <c r="X357" i="3"/>
  <c r="X359" i="3" s="1"/>
  <c r="X501" i="3" s="1"/>
  <c r="X502" i="3" s="1"/>
  <c r="X387" i="3" s="1"/>
  <c r="X333" i="3"/>
  <c r="S276" i="3"/>
  <c r="Q34" i="3"/>
  <c r="R52" i="3"/>
  <c r="W54" i="3"/>
  <c r="Q51" i="3"/>
  <c r="AB47" i="3"/>
  <c r="V46" i="3"/>
  <c r="W50" i="3"/>
  <c r="K276" i="3"/>
  <c r="T276" i="3"/>
  <c r="R276" i="3"/>
  <c r="P52" i="3"/>
  <c r="N49" i="3"/>
  <c r="AA54" i="3"/>
  <c r="W333" i="3"/>
  <c r="W357" i="3"/>
  <c r="W359" i="3" s="1"/>
  <c r="W501" i="3" s="1"/>
  <c r="W502" i="3" s="1"/>
  <c r="W387" i="3" s="1"/>
  <c r="AC51" i="3"/>
  <c r="Y276" i="3"/>
  <c r="V47" i="3"/>
  <c r="V333" i="3"/>
  <c r="V357" i="3"/>
  <c r="V359" i="3" s="1"/>
  <c r="V501" i="3" s="1"/>
  <c r="V502" i="3" s="1"/>
  <c r="V387" i="3" s="1"/>
  <c r="I62" i="3" l="1"/>
  <c r="S446" i="3"/>
  <c r="L446" i="3"/>
  <c r="K134" i="5" s="1"/>
  <c r="Y62" i="3"/>
  <c r="G278" i="3"/>
  <c r="G281" i="3" s="1"/>
  <c r="G496" i="3" s="1"/>
  <c r="I353" i="3"/>
  <c r="I455" i="3" s="1"/>
  <c r="I492" i="3" s="1"/>
  <c r="H359" i="3"/>
  <c r="H501" i="3" s="1"/>
  <c r="U446" i="3"/>
  <c r="H135" i="5" s="1"/>
  <c r="O62" i="3"/>
  <c r="AA56" i="3"/>
  <c r="AA63" i="3" s="1"/>
  <c r="P56" i="3"/>
  <c r="P63" i="3" s="1"/>
  <c r="K56" i="3"/>
  <c r="K63" i="3" s="1"/>
  <c r="V62" i="3"/>
  <c r="X62" i="3"/>
  <c r="AD62" i="3"/>
  <c r="W56" i="3"/>
  <c r="W63" i="3" s="1"/>
  <c r="M56" i="3"/>
  <c r="M63" i="3" s="1"/>
  <c r="R56" i="3"/>
  <c r="R63" i="3" s="1"/>
  <c r="U56" i="3"/>
  <c r="U63" i="3" s="1"/>
  <c r="T56" i="3"/>
  <c r="T63" i="3" s="1"/>
  <c r="AC56" i="3"/>
  <c r="AC63" i="3" s="1"/>
  <c r="O56" i="3"/>
  <c r="O63" i="3" s="1"/>
  <c r="K62" i="3"/>
  <c r="N56" i="3"/>
  <c r="N63" i="3" s="1"/>
  <c r="Z56" i="3"/>
  <c r="Z63" i="3" s="1"/>
  <c r="L56" i="3"/>
  <c r="L63" i="3" s="1"/>
  <c r="S56" i="3"/>
  <c r="S63" i="3" s="1"/>
  <c r="AB62" i="3"/>
  <c r="Q56" i="3"/>
  <c r="Q63" i="3" s="1"/>
  <c r="Y56" i="3"/>
  <c r="Y63" i="3" s="1"/>
  <c r="H56" i="3"/>
  <c r="H63" i="3" s="1"/>
  <c r="J56" i="3"/>
  <c r="J63" i="3" s="1"/>
  <c r="I56" i="3"/>
  <c r="I63" i="3" s="1"/>
  <c r="J229" i="4"/>
  <c r="J45" i="4"/>
  <c r="G264" i="4"/>
  <c r="G229" i="4"/>
  <c r="G80" i="4"/>
  <c r="H5" i="4"/>
  <c r="H45" i="4" s="1"/>
  <c r="K5" i="4"/>
  <c r="K264" i="4" s="1"/>
  <c r="G192" i="4"/>
  <c r="J80" i="4"/>
  <c r="J192" i="4"/>
  <c r="G152" i="4"/>
  <c r="J116" i="4"/>
  <c r="G116" i="4"/>
  <c r="J152" i="4"/>
  <c r="G446" i="3"/>
  <c r="G62" i="3"/>
  <c r="AB56" i="3"/>
  <c r="AB63" i="3" s="1"/>
  <c r="L135" i="5"/>
  <c r="V56" i="3"/>
  <c r="V63" i="3" s="1"/>
  <c r="Q135" i="5"/>
  <c r="R446" i="3"/>
  <c r="R62" i="3"/>
  <c r="N446" i="3"/>
  <c r="N62" i="3"/>
  <c r="I178" i="3"/>
  <c r="I182" i="3"/>
  <c r="I176" i="3"/>
  <c r="I177" i="3"/>
  <c r="I175" i="3"/>
  <c r="I181" i="3"/>
  <c r="I180" i="3"/>
  <c r="I179" i="3"/>
  <c r="AA62" i="3"/>
  <c r="AA446" i="3"/>
  <c r="H179" i="5"/>
  <c r="H131" i="5"/>
  <c r="H151" i="5"/>
  <c r="H204" i="5"/>
  <c r="L334" i="3"/>
  <c r="K351" i="3"/>
  <c r="K353" i="3" s="1"/>
  <c r="K455" i="3" s="1"/>
  <c r="K492" i="3" s="1"/>
  <c r="K46" i="4"/>
  <c r="K265" i="4"/>
  <c r="K153" i="4"/>
  <c r="K230" i="4"/>
  <c r="K117" i="4"/>
  <c r="K81" i="4"/>
  <c r="K193" i="4"/>
  <c r="Z62" i="3"/>
  <c r="Z446" i="3"/>
  <c r="AD56" i="3"/>
  <c r="AD63" i="3" s="1"/>
  <c r="N134" i="5"/>
  <c r="I135" i="5"/>
  <c r="K135" i="5"/>
  <c r="I117" i="3"/>
  <c r="W446" i="3"/>
  <c r="W62" i="3"/>
  <c r="F135" i="5"/>
  <c r="T62" i="3"/>
  <c r="T446" i="3"/>
  <c r="J446" i="3"/>
  <c r="J62" i="3"/>
  <c r="I368" i="3"/>
  <c r="I319" i="3"/>
  <c r="I254" i="3"/>
  <c r="I441" i="3"/>
  <c r="I76" i="3"/>
  <c r="I414" i="3"/>
  <c r="I124" i="3"/>
  <c r="I485" i="3"/>
  <c r="I40" i="3"/>
  <c r="I203" i="3"/>
  <c r="I169" i="3"/>
  <c r="I290" i="3"/>
  <c r="Q62" i="3"/>
  <c r="Q446" i="3"/>
  <c r="J134" i="5"/>
  <c r="H265" i="4"/>
  <c r="H117" i="4"/>
  <c r="H193" i="4"/>
  <c r="H230" i="4"/>
  <c r="H81" i="4"/>
  <c r="H46" i="4"/>
  <c r="L6" i="4"/>
  <c r="H153" i="4"/>
  <c r="P62" i="3"/>
  <c r="P446" i="3"/>
  <c r="AC446" i="3"/>
  <c r="AC62" i="3"/>
  <c r="J487" i="3"/>
  <c r="J171" i="3"/>
  <c r="J256" i="3"/>
  <c r="J370" i="3"/>
  <c r="J443" i="3"/>
  <c r="J42" i="3"/>
  <c r="J205" i="3"/>
  <c r="J218" i="3" s="1"/>
  <c r="J247" i="3" s="1"/>
  <c r="J6" i="3"/>
  <c r="K7" i="3"/>
  <c r="J416" i="3"/>
  <c r="I120" i="5"/>
  <c r="J126" i="3"/>
  <c r="J292" i="3"/>
  <c r="J321" i="3"/>
  <c r="J78" i="3"/>
  <c r="J89" i="3" s="1"/>
  <c r="J5" i="3"/>
  <c r="X56" i="3"/>
  <c r="X63" i="3" s="1"/>
  <c r="M62" i="3"/>
  <c r="M446" i="3"/>
  <c r="I486" i="3"/>
  <c r="H119" i="5"/>
  <c r="I369" i="3"/>
  <c r="I442" i="3"/>
  <c r="I170" i="3"/>
  <c r="I255" i="3"/>
  <c r="I41" i="3"/>
  <c r="I320" i="3"/>
  <c r="I291" i="3"/>
  <c r="I204" i="3"/>
  <c r="I77" i="3"/>
  <c r="I125" i="3"/>
  <c r="I415" i="3"/>
  <c r="H183" i="3"/>
  <c r="H190" i="3" s="1"/>
  <c r="G203" i="5"/>
  <c r="G150" i="5"/>
  <c r="G178" i="5"/>
  <c r="G130" i="5"/>
  <c r="H134" i="5"/>
  <c r="H446" i="3"/>
  <c r="H62" i="3"/>
  <c r="H335" i="3"/>
  <c r="I332" i="3" s="1"/>
  <c r="I335" i="3" s="1"/>
  <c r="J332" i="3" s="1"/>
  <c r="J335" i="3" s="1"/>
  <c r="K332" i="3" s="1"/>
  <c r="K335" i="3" s="1"/>
  <c r="L332" i="3" s="1"/>
  <c r="O135" i="5"/>
  <c r="L140" i="5" l="1"/>
  <c r="L143" i="5"/>
  <c r="J142" i="5"/>
  <c r="J139" i="5"/>
  <c r="H143" i="5"/>
  <c r="H140" i="5"/>
  <c r="Q143" i="5"/>
  <c r="Q140" i="5"/>
  <c r="I140" i="5"/>
  <c r="I143" i="5"/>
  <c r="O140" i="5"/>
  <c r="O143" i="5"/>
  <c r="K142" i="5"/>
  <c r="K139" i="5"/>
  <c r="H139" i="5"/>
  <c r="H142" i="5"/>
  <c r="F143" i="5"/>
  <c r="F140" i="5"/>
  <c r="K140" i="5"/>
  <c r="K143" i="5"/>
  <c r="N142" i="5"/>
  <c r="N139" i="5"/>
  <c r="H264" i="4"/>
  <c r="H80" i="4"/>
  <c r="K152" i="4"/>
  <c r="L5" i="4"/>
  <c r="O6" i="4" s="1"/>
  <c r="C124" i="5" s="1"/>
  <c r="C135" i="5" s="1"/>
  <c r="G64" i="3"/>
  <c r="G67" i="3" s="1"/>
  <c r="G494" i="3" s="1"/>
  <c r="K229" i="4"/>
  <c r="H192" i="4"/>
  <c r="H502" i="3"/>
  <c r="H387" i="3" s="1"/>
  <c r="H152" i="4"/>
  <c r="N6" i="4"/>
  <c r="K80" i="4"/>
  <c r="H116" i="4"/>
  <c r="K116" i="4"/>
  <c r="K45" i="4"/>
  <c r="K192" i="4"/>
  <c r="L335" i="3"/>
  <c r="M332" i="3" s="1"/>
  <c r="H229" i="4"/>
  <c r="L229" i="4"/>
  <c r="N135" i="5"/>
  <c r="H275" i="3"/>
  <c r="H278" i="3" s="1"/>
  <c r="Q134" i="5"/>
  <c r="H150" i="5"/>
  <c r="H178" i="5"/>
  <c r="H130" i="5"/>
  <c r="H203" i="5"/>
  <c r="J204" i="3"/>
  <c r="I119" i="5"/>
  <c r="J320" i="3"/>
  <c r="J255" i="3"/>
  <c r="J369" i="3"/>
  <c r="J442" i="3"/>
  <c r="J125" i="3"/>
  <c r="J41" i="3"/>
  <c r="J291" i="3"/>
  <c r="J170" i="3"/>
  <c r="J77" i="3"/>
  <c r="J486" i="3"/>
  <c r="J415" i="3"/>
  <c r="P135" i="5"/>
  <c r="M134" i="5"/>
  <c r="M334" i="3"/>
  <c r="L351" i="3"/>
  <c r="L353" i="3" s="1"/>
  <c r="L455" i="3" s="1"/>
  <c r="L492" i="3" s="1"/>
  <c r="J319" i="3"/>
  <c r="J485" i="3"/>
  <c r="J368" i="3"/>
  <c r="J290" i="3"/>
  <c r="J124" i="3"/>
  <c r="J254" i="3"/>
  <c r="J203" i="3"/>
  <c r="J414" i="3"/>
  <c r="J76" i="3"/>
  <c r="J441" i="3"/>
  <c r="J40" i="3"/>
  <c r="J169" i="3"/>
  <c r="J135" i="5"/>
  <c r="J117" i="3"/>
  <c r="M135" i="5"/>
  <c r="I204" i="5"/>
  <c r="I179" i="5"/>
  <c r="I151" i="5"/>
  <c r="I131" i="5"/>
  <c r="I183" i="3"/>
  <c r="I190" i="3" s="1"/>
  <c r="J120" i="5"/>
  <c r="K416" i="3"/>
  <c r="K171" i="3"/>
  <c r="K256" i="3"/>
  <c r="K443" i="3"/>
  <c r="K487" i="3"/>
  <c r="K78" i="3"/>
  <c r="K89" i="3" s="1"/>
  <c r="L7" i="3"/>
  <c r="K321" i="3"/>
  <c r="K205" i="3"/>
  <c r="K218" i="3" s="1"/>
  <c r="K247" i="3" s="1"/>
  <c r="K370" i="3"/>
  <c r="K42" i="3"/>
  <c r="K126" i="3"/>
  <c r="K6" i="3"/>
  <c r="K292" i="3"/>
  <c r="K5" i="3"/>
  <c r="O134" i="5"/>
  <c r="L81" i="4"/>
  <c r="L230" i="4"/>
  <c r="L265" i="4"/>
  <c r="L46" i="4"/>
  <c r="L153" i="4"/>
  <c r="L193" i="4"/>
  <c r="L117" i="4"/>
  <c r="L134" i="5"/>
  <c r="P134" i="5"/>
  <c r="I134" i="5"/>
  <c r="G134" i="5"/>
  <c r="J175" i="3"/>
  <c r="J180" i="3"/>
  <c r="J182" i="3"/>
  <c r="J176" i="3"/>
  <c r="J177" i="3"/>
  <c r="J178" i="3"/>
  <c r="J181" i="3"/>
  <c r="J179" i="3"/>
  <c r="G135" i="5"/>
  <c r="F134" i="5"/>
  <c r="L142" i="5" l="1"/>
  <c r="L139" i="5"/>
  <c r="G140" i="5"/>
  <c r="G143" i="5"/>
  <c r="Q142" i="5"/>
  <c r="Q139" i="5"/>
  <c r="F139" i="5"/>
  <c r="F142" i="5"/>
  <c r="N265" i="4"/>
  <c r="C123" i="5"/>
  <c r="C134" i="5" s="1"/>
  <c r="M142" i="5"/>
  <c r="M139" i="5"/>
  <c r="L192" i="4"/>
  <c r="N143" i="5"/>
  <c r="N140" i="5"/>
  <c r="M143" i="5"/>
  <c r="M140" i="5"/>
  <c r="L264" i="4"/>
  <c r="L45" i="4"/>
  <c r="J140" i="5"/>
  <c r="J143" i="5"/>
  <c r="I139" i="5"/>
  <c r="I142" i="5"/>
  <c r="P142" i="5"/>
  <c r="P139" i="5"/>
  <c r="O142" i="5"/>
  <c r="O139" i="5"/>
  <c r="P140" i="5"/>
  <c r="P143" i="5"/>
  <c r="G142" i="5"/>
  <c r="G139" i="5"/>
  <c r="L116" i="4"/>
  <c r="L80" i="4"/>
  <c r="L152" i="4"/>
  <c r="H61" i="3"/>
  <c r="H64" i="3" s="1"/>
  <c r="I61" i="3" s="1"/>
  <c r="C158" i="5"/>
  <c r="M335" i="3"/>
  <c r="N332" i="3" s="1"/>
  <c r="N46" i="4"/>
  <c r="N117" i="4"/>
  <c r="N230" i="4"/>
  <c r="N193" i="4"/>
  <c r="N81" i="4"/>
  <c r="N153" i="4"/>
  <c r="K117" i="3"/>
  <c r="J179" i="5"/>
  <c r="J204" i="5"/>
  <c r="J151" i="5"/>
  <c r="J131" i="5"/>
  <c r="I150" i="5"/>
  <c r="I130" i="5"/>
  <c r="I203" i="5"/>
  <c r="I178" i="5"/>
  <c r="J183" i="3"/>
  <c r="J190" i="3" s="1"/>
  <c r="O193" i="4"/>
  <c r="O117" i="4"/>
  <c r="O46" i="4"/>
  <c r="O230" i="4"/>
  <c r="O153" i="4"/>
  <c r="O265" i="4"/>
  <c r="O81" i="4"/>
  <c r="K120" i="5"/>
  <c r="L321" i="3"/>
  <c r="L443" i="3"/>
  <c r="L416" i="3"/>
  <c r="L256" i="3"/>
  <c r="L126" i="3"/>
  <c r="L78" i="3"/>
  <c r="L89" i="3" s="1"/>
  <c r="M7" i="3"/>
  <c r="L171" i="3"/>
  <c r="L205" i="3"/>
  <c r="L218" i="3" s="1"/>
  <c r="L247" i="3" s="1"/>
  <c r="L292" i="3"/>
  <c r="L370" i="3"/>
  <c r="L42" i="3"/>
  <c r="L6" i="3"/>
  <c r="L487" i="3"/>
  <c r="L5" i="3"/>
  <c r="K180" i="3"/>
  <c r="K179" i="3"/>
  <c r="K177" i="3"/>
  <c r="K178" i="3"/>
  <c r="K176" i="3"/>
  <c r="K182" i="3"/>
  <c r="K181" i="3"/>
  <c r="K175" i="3"/>
  <c r="M351" i="3"/>
  <c r="M353" i="3" s="1"/>
  <c r="M455" i="3" s="1"/>
  <c r="M492" i="3" s="1"/>
  <c r="N334" i="3"/>
  <c r="I275" i="3"/>
  <c r="I278" i="3" s="1"/>
  <c r="H281" i="3"/>
  <c r="H496" i="3" s="1"/>
  <c r="K485" i="3"/>
  <c r="K414" i="3"/>
  <c r="K169" i="3"/>
  <c r="K319" i="3"/>
  <c r="K441" i="3"/>
  <c r="K290" i="3"/>
  <c r="K254" i="3"/>
  <c r="K203" i="3"/>
  <c r="K76" i="3"/>
  <c r="K368" i="3"/>
  <c r="K124" i="3"/>
  <c r="K40" i="3"/>
  <c r="J119" i="5"/>
  <c r="K320" i="3"/>
  <c r="K255" i="3"/>
  <c r="K369" i="3"/>
  <c r="K442" i="3"/>
  <c r="K77" i="3"/>
  <c r="K415" i="3"/>
  <c r="K125" i="3"/>
  <c r="K291" i="3"/>
  <c r="K204" i="3"/>
  <c r="K170" i="3"/>
  <c r="K41" i="3"/>
  <c r="K486" i="3"/>
  <c r="D190" i="5" l="1"/>
  <c r="D215" i="5"/>
  <c r="C182" i="5"/>
  <c r="D170" i="5"/>
  <c r="D212" i="5"/>
  <c r="D167" i="5"/>
  <c r="D139" i="5"/>
  <c r="D187" i="5"/>
  <c r="C162" i="5"/>
  <c r="C154" i="5"/>
  <c r="C207" i="5"/>
  <c r="D142" i="5"/>
  <c r="O334" i="3"/>
  <c r="N351" i="3"/>
  <c r="N353" i="3" s="1"/>
  <c r="N455" i="3" s="1"/>
  <c r="N492" i="3" s="1"/>
  <c r="L117" i="3"/>
  <c r="K183" i="3"/>
  <c r="K190" i="3" s="1"/>
  <c r="I64" i="3"/>
  <c r="J61" i="3" s="1"/>
  <c r="H67" i="3"/>
  <c r="H494" i="3" s="1"/>
  <c r="N335" i="3"/>
  <c r="O332" i="3" s="1"/>
  <c r="L178" i="3"/>
  <c r="L182" i="3"/>
  <c r="L180" i="3"/>
  <c r="L177" i="3"/>
  <c r="L179" i="3"/>
  <c r="L176" i="3"/>
  <c r="L175" i="3"/>
  <c r="L181" i="3"/>
  <c r="M487" i="3"/>
  <c r="M443" i="3"/>
  <c r="M321" i="3"/>
  <c r="M292" i="3"/>
  <c r="M126" i="3"/>
  <c r="M370" i="3"/>
  <c r="M171" i="3"/>
  <c r="M416" i="3"/>
  <c r="M42" i="3"/>
  <c r="N7" i="3"/>
  <c r="M256" i="3"/>
  <c r="L120" i="5"/>
  <c r="M6" i="3"/>
  <c r="M205" i="3"/>
  <c r="M218" i="3" s="1"/>
  <c r="M247" i="3" s="1"/>
  <c r="M78" i="3"/>
  <c r="M89" i="3" s="1"/>
  <c r="M5" i="3"/>
  <c r="J150" i="5"/>
  <c r="J203" i="5"/>
  <c r="J130" i="5"/>
  <c r="J178" i="5"/>
  <c r="D191" i="5"/>
  <c r="D143" i="5"/>
  <c r="C183" i="5"/>
  <c r="D216" i="5"/>
  <c r="D168" i="5"/>
  <c r="D171" i="5"/>
  <c r="C155" i="5"/>
  <c r="D140" i="5"/>
  <c r="C208" i="5"/>
  <c r="D188" i="5"/>
  <c r="C159" i="5"/>
  <c r="C163" i="5"/>
  <c r="D213" i="5"/>
  <c r="K179" i="5"/>
  <c r="K204" i="5"/>
  <c r="K131" i="5"/>
  <c r="K151" i="5"/>
  <c r="I281" i="3"/>
  <c r="I496" i="3" s="1"/>
  <c r="J275" i="3"/>
  <c r="J278" i="3" s="1"/>
  <c r="L319" i="3"/>
  <c r="L441" i="3"/>
  <c r="L254" i="3"/>
  <c r="L290" i="3"/>
  <c r="L368" i="3"/>
  <c r="L485" i="3"/>
  <c r="L203" i="3"/>
  <c r="L414" i="3"/>
  <c r="L124" i="3"/>
  <c r="L76" i="3"/>
  <c r="L169" i="3"/>
  <c r="L40" i="3"/>
  <c r="L320" i="3"/>
  <c r="L255" i="3"/>
  <c r="L369" i="3"/>
  <c r="L442" i="3"/>
  <c r="L486" i="3"/>
  <c r="L415" i="3"/>
  <c r="L291" i="3"/>
  <c r="L125" i="3"/>
  <c r="K119" i="5"/>
  <c r="L170" i="3"/>
  <c r="L204" i="3"/>
  <c r="L77" i="3"/>
  <c r="L41" i="3"/>
  <c r="P334" i="3" l="1"/>
  <c r="O351" i="3"/>
  <c r="O353" i="3" s="1"/>
  <c r="O455" i="3" s="1"/>
  <c r="O492" i="3" s="1"/>
  <c r="M117" i="3"/>
  <c r="L119" i="5"/>
  <c r="M255" i="3"/>
  <c r="M415" i="3"/>
  <c r="M369" i="3"/>
  <c r="M442" i="3"/>
  <c r="M170" i="3"/>
  <c r="M291" i="3"/>
  <c r="M125" i="3"/>
  <c r="M320" i="3"/>
  <c r="M204" i="3"/>
  <c r="M486" i="3"/>
  <c r="M41" i="3"/>
  <c r="M77" i="3"/>
  <c r="J64" i="3"/>
  <c r="K61" i="3" s="1"/>
  <c r="O335" i="3"/>
  <c r="P332" i="3" s="1"/>
  <c r="M120" i="5"/>
  <c r="N321" i="3"/>
  <c r="N292" i="3"/>
  <c r="N443" i="3"/>
  <c r="N370" i="3"/>
  <c r="N205" i="3"/>
  <c r="N218" i="3" s="1"/>
  <c r="N247" i="3" s="1"/>
  <c r="N42" i="3"/>
  <c r="O7" i="3"/>
  <c r="N416" i="3"/>
  <c r="N256" i="3"/>
  <c r="N126" i="3"/>
  <c r="N6" i="3"/>
  <c r="N487" i="3"/>
  <c r="N78" i="3"/>
  <c r="N89" i="3" s="1"/>
  <c r="N5" i="3"/>
  <c r="N171" i="3"/>
  <c r="K150" i="5"/>
  <c r="K178" i="5"/>
  <c r="K203" i="5"/>
  <c r="K130" i="5"/>
  <c r="M441" i="3"/>
  <c r="M254" i="3"/>
  <c r="M290" i="3"/>
  <c r="M485" i="3"/>
  <c r="M368" i="3"/>
  <c r="M203" i="3"/>
  <c r="M414" i="3"/>
  <c r="M124" i="3"/>
  <c r="M76" i="3"/>
  <c r="M169" i="3"/>
  <c r="M319" i="3"/>
  <c r="M40" i="3"/>
  <c r="L204" i="5"/>
  <c r="L151" i="5"/>
  <c r="L179" i="5"/>
  <c r="L131" i="5"/>
  <c r="M176" i="3"/>
  <c r="M181" i="3"/>
  <c r="M175" i="3"/>
  <c r="M178" i="3"/>
  <c r="M179" i="3"/>
  <c r="M180" i="3"/>
  <c r="M177" i="3"/>
  <c r="M182" i="3"/>
  <c r="I67" i="3"/>
  <c r="I494" i="3" s="1"/>
  <c r="J281" i="3"/>
  <c r="J496" i="3" s="1"/>
  <c r="K275" i="3"/>
  <c r="K278" i="3" s="1"/>
  <c r="L183" i="3"/>
  <c r="L190" i="3" s="1"/>
  <c r="P335" i="3" l="1"/>
  <c r="Q332" i="3" s="1"/>
  <c r="M183" i="3"/>
  <c r="M190" i="3" s="1"/>
  <c r="N203" i="3"/>
  <c r="N254" i="3"/>
  <c r="N368" i="3"/>
  <c r="N319" i="3"/>
  <c r="N441" i="3"/>
  <c r="N124" i="3"/>
  <c r="N414" i="3"/>
  <c r="N169" i="3"/>
  <c r="N76" i="3"/>
  <c r="N40" i="3"/>
  <c r="N485" i="3"/>
  <c r="N290" i="3"/>
  <c r="O370" i="3"/>
  <c r="N120" i="5"/>
  <c r="O443" i="3"/>
  <c r="O205" i="3"/>
  <c r="O218" i="3" s="1"/>
  <c r="O247" i="3" s="1"/>
  <c r="O321" i="3"/>
  <c r="O171" i="3"/>
  <c r="O126" i="3"/>
  <c r="O292" i="3"/>
  <c r="O42" i="3"/>
  <c r="O416" i="3"/>
  <c r="O256" i="3"/>
  <c r="O6" i="3"/>
  <c r="P7" i="3"/>
  <c r="O487" i="3"/>
  <c r="O78" i="3"/>
  <c r="O89" i="3" s="1"/>
  <c r="O5" i="3"/>
  <c r="P351" i="3"/>
  <c r="P353" i="3" s="1"/>
  <c r="P455" i="3" s="1"/>
  <c r="P492" i="3" s="1"/>
  <c r="Q334" i="3"/>
  <c r="N117" i="3"/>
  <c r="L178" i="5"/>
  <c r="L130" i="5"/>
  <c r="L203" i="5"/>
  <c r="L150" i="5"/>
  <c r="M204" i="5"/>
  <c r="M131" i="5"/>
  <c r="M179" i="5"/>
  <c r="M151" i="5"/>
  <c r="K64" i="3"/>
  <c r="L61" i="3" s="1"/>
  <c r="J67" i="3"/>
  <c r="J494" i="3" s="1"/>
  <c r="N176" i="3"/>
  <c r="N181" i="3"/>
  <c r="N175" i="3"/>
  <c r="N179" i="3"/>
  <c r="N182" i="3"/>
  <c r="N180" i="3"/>
  <c r="N177" i="3"/>
  <c r="N178" i="3"/>
  <c r="M119" i="5"/>
  <c r="N320" i="3"/>
  <c r="N415" i="3"/>
  <c r="N255" i="3"/>
  <c r="N170" i="3"/>
  <c r="N291" i="3"/>
  <c r="N369" i="3"/>
  <c r="N486" i="3"/>
  <c r="N77" i="3"/>
  <c r="N41" i="3"/>
  <c r="N442" i="3"/>
  <c r="N204" i="3"/>
  <c r="N125" i="3"/>
  <c r="K281" i="3"/>
  <c r="K496" i="3" s="1"/>
  <c r="L275" i="3"/>
  <c r="L278" i="3" s="1"/>
  <c r="N204" i="5" l="1"/>
  <c r="N131" i="5"/>
  <c r="N151" i="5"/>
  <c r="N179" i="5"/>
  <c r="M130" i="5"/>
  <c r="M203" i="5"/>
  <c r="M150" i="5"/>
  <c r="M178" i="5"/>
  <c r="P205" i="3"/>
  <c r="P218" i="3" s="1"/>
  <c r="P247" i="3" s="1"/>
  <c r="P370" i="3"/>
  <c r="P321" i="3"/>
  <c r="P256" i="3"/>
  <c r="P126" i="3"/>
  <c r="P42" i="3"/>
  <c r="Q7" i="3"/>
  <c r="P292" i="3"/>
  <c r="P443" i="3"/>
  <c r="P416" i="3"/>
  <c r="O120" i="5"/>
  <c r="P6" i="3"/>
  <c r="P487" i="3"/>
  <c r="P78" i="3"/>
  <c r="P89" i="3" s="1"/>
  <c r="P117" i="3" s="1"/>
  <c r="P5" i="3"/>
  <c r="P171" i="3"/>
  <c r="N119" i="5"/>
  <c r="O320" i="3"/>
  <c r="O255" i="3"/>
  <c r="O486" i="3"/>
  <c r="O415" i="3"/>
  <c r="O369" i="3"/>
  <c r="O77" i="3"/>
  <c r="O442" i="3"/>
  <c r="O291" i="3"/>
  <c r="O170" i="3"/>
  <c r="O125" i="3"/>
  <c r="O41" i="3"/>
  <c r="O204" i="3"/>
  <c r="M275" i="3"/>
  <c r="M278" i="3" s="1"/>
  <c r="L281" i="3"/>
  <c r="L496" i="3" s="1"/>
  <c r="N183" i="3"/>
  <c r="N190" i="3" s="1"/>
  <c r="L64" i="3"/>
  <c r="M61" i="3" s="1"/>
  <c r="K67" i="3"/>
  <c r="K494" i="3" s="1"/>
  <c r="O180" i="3"/>
  <c r="O178" i="3"/>
  <c r="O179" i="3"/>
  <c r="O182" i="3"/>
  <c r="O177" i="3"/>
  <c r="O176" i="3"/>
  <c r="O175" i="3"/>
  <c r="O181" i="3"/>
  <c r="R334" i="3"/>
  <c r="Q351" i="3"/>
  <c r="Q353" i="3" s="1"/>
  <c r="Q455" i="3" s="1"/>
  <c r="Q492" i="3" s="1"/>
  <c r="O319" i="3"/>
  <c r="O368" i="3"/>
  <c r="O441" i="3"/>
  <c r="O169" i="3"/>
  <c r="O76" i="3"/>
  <c r="O254" i="3"/>
  <c r="O290" i="3"/>
  <c r="O485" i="3"/>
  <c r="O124" i="3"/>
  <c r="O203" i="3"/>
  <c r="O414" i="3"/>
  <c r="O40" i="3"/>
  <c r="O117" i="3"/>
  <c r="Q335" i="3"/>
  <c r="R332" i="3" s="1"/>
  <c r="L67" i="3" l="1"/>
  <c r="L494" i="3" s="1"/>
  <c r="P177" i="3"/>
  <c r="P179" i="3"/>
  <c r="P182" i="3"/>
  <c r="P180" i="3"/>
  <c r="P178" i="3"/>
  <c r="P176" i="3"/>
  <c r="P175" i="3"/>
  <c r="P181" i="3"/>
  <c r="R351" i="3"/>
  <c r="R353" i="3" s="1"/>
  <c r="R455" i="3" s="1"/>
  <c r="R492" i="3" s="1"/>
  <c r="S334" i="3"/>
  <c r="N275" i="3"/>
  <c r="N278" i="3" s="1"/>
  <c r="M281" i="3"/>
  <c r="M496" i="3" s="1"/>
  <c r="O204" i="5"/>
  <c r="O131" i="5"/>
  <c r="O151" i="5"/>
  <c r="O179" i="5"/>
  <c r="O183" i="3"/>
  <c r="O190" i="3" s="1"/>
  <c r="N178" i="5"/>
  <c r="N150" i="5"/>
  <c r="N130" i="5"/>
  <c r="N203" i="5"/>
  <c r="P319" i="3"/>
  <c r="P368" i="3"/>
  <c r="P414" i="3"/>
  <c r="P254" i="3"/>
  <c r="P169" i="3"/>
  <c r="P485" i="3"/>
  <c r="P441" i="3"/>
  <c r="P290" i="3"/>
  <c r="P76" i="3"/>
  <c r="P203" i="3"/>
  <c r="P124" i="3"/>
  <c r="P40" i="3"/>
  <c r="P442" i="3"/>
  <c r="P369" i="3"/>
  <c r="P291" i="3"/>
  <c r="P320" i="3"/>
  <c r="P125" i="3"/>
  <c r="O119" i="5"/>
  <c r="P486" i="3"/>
  <c r="P170" i="3"/>
  <c r="P77" i="3"/>
  <c r="P255" i="3"/>
  <c r="P41" i="3"/>
  <c r="P204" i="3"/>
  <c r="P415" i="3"/>
  <c r="R335" i="3"/>
  <c r="S332" i="3" s="1"/>
  <c r="P120" i="5"/>
  <c r="Q370" i="3"/>
  <c r="Q487" i="3"/>
  <c r="Q321" i="3"/>
  <c r="Q292" i="3"/>
  <c r="Q78" i="3"/>
  <c r="Q89" i="3" s="1"/>
  <c r="Q117" i="3" s="1"/>
  <c r="Q42" i="3"/>
  <c r="Q126" i="3"/>
  <c r="R7" i="3"/>
  <c r="Q443" i="3"/>
  <c r="Q256" i="3"/>
  <c r="Q416" i="3"/>
  <c r="Q5" i="3"/>
  <c r="Q6" i="3"/>
  <c r="Q205" i="3"/>
  <c r="Q218" i="3" s="1"/>
  <c r="Q247" i="3" s="1"/>
  <c r="Q171" i="3"/>
  <c r="M64" i="3"/>
  <c r="N61" i="3" s="1"/>
  <c r="M67" i="3" l="1"/>
  <c r="M494" i="3" s="1"/>
  <c r="S335" i="3"/>
  <c r="T332" i="3" s="1"/>
  <c r="R370" i="3"/>
  <c r="R487" i="3"/>
  <c r="R321" i="3"/>
  <c r="Q120" i="5"/>
  <c r="R292" i="3"/>
  <c r="R256" i="3"/>
  <c r="R6" i="3"/>
  <c r="R126" i="3"/>
  <c r="S7" i="3"/>
  <c r="R416" i="3"/>
  <c r="R443" i="3"/>
  <c r="R78" i="3"/>
  <c r="R89" i="3" s="1"/>
  <c r="R5" i="3"/>
  <c r="R205" i="3"/>
  <c r="R218" i="3" s="1"/>
  <c r="R247" i="3" s="1"/>
  <c r="R171" i="3"/>
  <c r="R42" i="3"/>
  <c r="N281" i="3"/>
  <c r="N496" i="3" s="1"/>
  <c r="O275" i="3"/>
  <c r="O278" i="3" s="1"/>
  <c r="N64" i="3"/>
  <c r="O61" i="3" s="1"/>
  <c r="P151" i="5"/>
  <c r="P179" i="5"/>
  <c r="P131" i="5"/>
  <c r="P204" i="5"/>
  <c r="P183" i="3"/>
  <c r="P190" i="3" s="1"/>
  <c r="T334" i="3"/>
  <c r="S351" i="3"/>
  <c r="S353" i="3" s="1"/>
  <c r="S455" i="3" s="1"/>
  <c r="S492" i="3" s="1"/>
  <c r="Q179" i="3"/>
  <c r="Q182" i="3"/>
  <c r="Q175" i="3"/>
  <c r="Q180" i="3"/>
  <c r="Q177" i="3"/>
  <c r="Q178" i="3"/>
  <c r="Q176" i="3"/>
  <c r="Q181" i="3"/>
  <c r="P119" i="5"/>
  <c r="Q486" i="3"/>
  <c r="Q442" i="3"/>
  <c r="Q369" i="3"/>
  <c r="Q291" i="3"/>
  <c r="Q320" i="3"/>
  <c r="Q125" i="3"/>
  <c r="Q204" i="3"/>
  <c r="Q170" i="3"/>
  <c r="Q77" i="3"/>
  <c r="Q255" i="3"/>
  <c r="Q41" i="3"/>
  <c r="Q415" i="3"/>
  <c r="O130" i="5"/>
  <c r="O150" i="5"/>
  <c r="O178" i="5"/>
  <c r="O203" i="5"/>
  <c r="Q414" i="3"/>
  <c r="Q254" i="3"/>
  <c r="Q169" i="3"/>
  <c r="Q368" i="3"/>
  <c r="Q76" i="3"/>
  <c r="Q124" i="3"/>
  <c r="Q319" i="3"/>
  <c r="Q485" i="3"/>
  <c r="Q441" i="3"/>
  <c r="Q290" i="3"/>
  <c r="Q40" i="3"/>
  <c r="Q203" i="3"/>
  <c r="T335" i="3" l="1"/>
  <c r="U332" i="3" s="1"/>
  <c r="O281" i="3"/>
  <c r="O496" i="3" s="1"/>
  <c r="P275" i="3"/>
  <c r="P278" i="3" s="1"/>
  <c r="R368" i="3"/>
  <c r="R485" i="3"/>
  <c r="R319" i="3"/>
  <c r="R124" i="3"/>
  <c r="C140" i="3" s="1"/>
  <c r="R203" i="3"/>
  <c r="R441" i="3"/>
  <c r="R40" i="3"/>
  <c r="R414" i="3"/>
  <c r="R254" i="3"/>
  <c r="R290" i="3"/>
  <c r="R76" i="3"/>
  <c r="R169" i="3"/>
  <c r="S487" i="3"/>
  <c r="S292" i="3"/>
  <c r="S370" i="3"/>
  <c r="S321" i="3"/>
  <c r="S416" i="3"/>
  <c r="S256" i="3"/>
  <c r="S126" i="3"/>
  <c r="T7" i="3"/>
  <c r="S6" i="3"/>
  <c r="S443" i="3"/>
  <c r="S205" i="3"/>
  <c r="S218" i="3" s="1"/>
  <c r="S247" i="3" s="1"/>
  <c r="S5" i="3"/>
  <c r="S171" i="3"/>
  <c r="S78" i="3"/>
  <c r="S89" i="3" s="1"/>
  <c r="S42" i="3"/>
  <c r="U334" i="3"/>
  <c r="T351" i="3"/>
  <c r="T353" i="3" s="1"/>
  <c r="T455" i="3" s="1"/>
  <c r="T492" i="3" s="1"/>
  <c r="R369" i="3"/>
  <c r="Q119" i="5"/>
  <c r="R204" i="3"/>
  <c r="R442" i="3"/>
  <c r="R125" i="3"/>
  <c r="R291" i="3"/>
  <c r="R486" i="3"/>
  <c r="R320" i="3"/>
  <c r="R170" i="3"/>
  <c r="R77" i="3"/>
  <c r="R255" i="3"/>
  <c r="R41" i="3"/>
  <c r="R415" i="3"/>
  <c r="P130" i="5"/>
  <c r="P150" i="5"/>
  <c r="P178" i="5"/>
  <c r="P203" i="5"/>
  <c r="Q204" i="5"/>
  <c r="Q151" i="5"/>
  <c r="Q131" i="5"/>
  <c r="Q179" i="5"/>
  <c r="O64" i="3"/>
  <c r="P61" i="3" s="1"/>
  <c r="R117" i="3"/>
  <c r="R110" i="3"/>
  <c r="K111" i="3"/>
  <c r="Q109" i="3"/>
  <c r="I107" i="3"/>
  <c r="P109" i="3"/>
  <c r="K104" i="3"/>
  <c r="H109" i="3"/>
  <c r="H106" i="3"/>
  <c r="L108" i="3"/>
  <c r="M108" i="3"/>
  <c r="K108" i="3"/>
  <c r="H108" i="3"/>
  <c r="K105" i="3"/>
  <c r="M109" i="3"/>
  <c r="N105" i="3"/>
  <c r="M105" i="3"/>
  <c r="I109" i="3"/>
  <c r="J111" i="3"/>
  <c r="M107" i="3"/>
  <c r="R106" i="3"/>
  <c r="G104" i="3"/>
  <c r="J107" i="3"/>
  <c r="O107" i="3"/>
  <c r="G106" i="3"/>
  <c r="K106" i="3"/>
  <c r="Q110" i="3"/>
  <c r="R107" i="3"/>
  <c r="J108" i="3"/>
  <c r="R104" i="3"/>
  <c r="J109" i="3"/>
  <c r="K107" i="3"/>
  <c r="P110" i="3"/>
  <c r="L105" i="3"/>
  <c r="I106" i="3"/>
  <c r="L107" i="3"/>
  <c r="P106" i="3"/>
  <c r="Q108" i="3"/>
  <c r="G107" i="3"/>
  <c r="O110" i="3"/>
  <c r="R108" i="3"/>
  <c r="J110" i="3"/>
  <c r="L106" i="3"/>
  <c r="J104" i="3"/>
  <c r="M106" i="3"/>
  <c r="G110" i="3"/>
  <c r="O109" i="3"/>
  <c r="H111" i="3"/>
  <c r="O108" i="3"/>
  <c r="H110" i="3"/>
  <c r="G111" i="3"/>
  <c r="O106" i="3"/>
  <c r="G109" i="3"/>
  <c r="N108" i="3"/>
  <c r="P111" i="3"/>
  <c r="N110" i="3"/>
  <c r="H104" i="3"/>
  <c r="P108" i="3"/>
  <c r="N111" i="3"/>
  <c r="J106" i="3"/>
  <c r="P105" i="3"/>
  <c r="N109" i="3"/>
  <c r="L110" i="3"/>
  <c r="M104" i="3"/>
  <c r="Q104" i="3"/>
  <c r="H107" i="3"/>
  <c r="P107" i="3"/>
  <c r="K109" i="3"/>
  <c r="R105" i="3"/>
  <c r="I108" i="3"/>
  <c r="N104" i="3"/>
  <c r="P104" i="3"/>
  <c r="I111" i="3"/>
  <c r="G108" i="3"/>
  <c r="H105" i="3"/>
  <c r="Q105" i="3"/>
  <c r="N107" i="3"/>
  <c r="Q106" i="3"/>
  <c r="R109" i="3"/>
  <c r="R111" i="3"/>
  <c r="Q111" i="3"/>
  <c r="N106" i="3"/>
  <c r="M110" i="3"/>
  <c r="O105" i="3"/>
  <c r="I104" i="3"/>
  <c r="M111" i="3"/>
  <c r="O104" i="3"/>
  <c r="I110" i="3"/>
  <c r="K110" i="3"/>
  <c r="L111" i="3"/>
  <c r="L109" i="3"/>
  <c r="Q107" i="3"/>
  <c r="I105" i="3"/>
  <c r="G105" i="3"/>
  <c r="O111" i="3"/>
  <c r="J105" i="3"/>
  <c r="L104" i="3"/>
  <c r="Q183" i="3"/>
  <c r="Q190" i="3" s="1"/>
  <c r="N67" i="3"/>
  <c r="N494" i="3" s="1"/>
  <c r="S196" i="5" l="1"/>
  <c r="S221" i="5"/>
  <c r="S136" i="5"/>
  <c r="S135" i="5"/>
  <c r="S143" i="5" s="1"/>
  <c r="S134" i="5"/>
  <c r="O148" i="3"/>
  <c r="O136" i="3"/>
  <c r="H142" i="3"/>
  <c r="H130" i="3"/>
  <c r="I131" i="3"/>
  <c r="I143" i="3"/>
  <c r="I155" i="3" s="1"/>
  <c r="M146" i="3"/>
  <c r="M134" i="3"/>
  <c r="N145" i="3"/>
  <c r="N133" i="3"/>
  <c r="I142" i="3"/>
  <c r="I130" i="3"/>
  <c r="Q132" i="3"/>
  <c r="Q144" i="3"/>
  <c r="O143" i="3"/>
  <c r="O131" i="3"/>
  <c r="K145" i="3"/>
  <c r="K133" i="3"/>
  <c r="G136" i="3"/>
  <c r="G148" i="3"/>
  <c r="L148" i="3"/>
  <c r="L136" i="3"/>
  <c r="R130" i="3"/>
  <c r="R142" i="3"/>
  <c r="J145" i="3"/>
  <c r="J133" i="3"/>
  <c r="Q203" i="5"/>
  <c r="Q178" i="5"/>
  <c r="Q130" i="5"/>
  <c r="Q150" i="5"/>
  <c r="T136" i="5"/>
  <c r="T141" i="5" s="1"/>
  <c r="U222" i="5"/>
  <c r="T196" i="5"/>
  <c r="V222" i="5"/>
  <c r="U197" i="5"/>
  <c r="U221" i="5"/>
  <c r="T197" i="5"/>
  <c r="V197" i="5"/>
  <c r="U196" i="5"/>
  <c r="V221" i="5"/>
  <c r="T222" i="5"/>
  <c r="T134" i="5"/>
  <c r="V135" i="5"/>
  <c r="V143" i="5" s="1"/>
  <c r="T221" i="5"/>
  <c r="V136" i="5"/>
  <c r="V141" i="5" s="1"/>
  <c r="U136" i="5"/>
  <c r="U141" i="5" s="1"/>
  <c r="U135" i="5"/>
  <c r="U143" i="5" s="1"/>
  <c r="U134" i="5"/>
  <c r="U142" i="5" s="1"/>
  <c r="T135" i="5"/>
  <c r="T143" i="5" s="1"/>
  <c r="S197" i="5"/>
  <c r="V134" i="5"/>
  <c r="V142" i="5" s="1"/>
  <c r="V196" i="5"/>
  <c r="S222" i="5"/>
  <c r="H136" i="3"/>
  <c r="H148" i="3"/>
  <c r="O141" i="3"/>
  <c r="O129" i="3"/>
  <c r="O112" i="3"/>
  <c r="O146" i="3"/>
  <c r="O134" i="3"/>
  <c r="Q147" i="3"/>
  <c r="Q135" i="3"/>
  <c r="M148" i="3"/>
  <c r="M136" i="3"/>
  <c r="H132" i="3"/>
  <c r="H144" i="3"/>
  <c r="G147" i="3"/>
  <c r="G135" i="3"/>
  <c r="K131" i="3"/>
  <c r="K143" i="3"/>
  <c r="K155" i="3" s="1"/>
  <c r="P134" i="3"/>
  <c r="P146" i="3"/>
  <c r="P158" i="3" s="1"/>
  <c r="V334" i="3"/>
  <c r="U351" i="3"/>
  <c r="U353" i="3" s="1"/>
  <c r="U455" i="3" s="1"/>
  <c r="U492" i="3" s="1"/>
  <c r="I112" i="3"/>
  <c r="I141" i="3"/>
  <c r="I129" i="3"/>
  <c r="Q129" i="3"/>
  <c r="Q141" i="3"/>
  <c r="Q112" i="3"/>
  <c r="M131" i="3"/>
  <c r="M143" i="3"/>
  <c r="M155" i="3" s="1"/>
  <c r="G131" i="3"/>
  <c r="G143" i="3"/>
  <c r="I132" i="3"/>
  <c r="I144" i="3"/>
  <c r="O142" i="3"/>
  <c r="O130" i="3"/>
  <c r="M141" i="3"/>
  <c r="M129" i="3"/>
  <c r="M112" i="3"/>
  <c r="J112" i="3"/>
  <c r="J129" i="3"/>
  <c r="J141" i="3"/>
  <c r="O144" i="3"/>
  <c r="O132" i="3"/>
  <c r="Q134" i="3"/>
  <c r="Q146" i="3"/>
  <c r="Q158" i="3" s="1"/>
  <c r="S117" i="3"/>
  <c r="M135" i="3"/>
  <c r="M147" i="3"/>
  <c r="M159" i="3" s="1"/>
  <c r="L147" i="3"/>
  <c r="L135" i="3"/>
  <c r="L143" i="3"/>
  <c r="L131" i="3"/>
  <c r="J132" i="3"/>
  <c r="J144" i="3"/>
  <c r="J156" i="3" s="1"/>
  <c r="K136" i="3"/>
  <c r="K148" i="3"/>
  <c r="K160" i="3" s="1"/>
  <c r="S182" i="3"/>
  <c r="S175" i="3"/>
  <c r="S180" i="3"/>
  <c r="S177" i="3"/>
  <c r="S179" i="3"/>
  <c r="S176" i="3"/>
  <c r="S178" i="3"/>
  <c r="S181" i="3"/>
  <c r="G130" i="3"/>
  <c r="G142" i="3"/>
  <c r="G133" i="3"/>
  <c r="G145" i="3"/>
  <c r="K130" i="3"/>
  <c r="K142" i="3"/>
  <c r="K154" i="3" s="1"/>
  <c r="I136" i="3"/>
  <c r="I148" i="3"/>
  <c r="P129" i="3"/>
  <c r="P141" i="3"/>
  <c r="P112" i="3"/>
  <c r="N141" i="3"/>
  <c r="N129" i="3"/>
  <c r="N112" i="3"/>
  <c r="M145" i="3"/>
  <c r="M133" i="3"/>
  <c r="I145" i="3"/>
  <c r="I133" i="3"/>
  <c r="L133" i="3"/>
  <c r="L145" i="3"/>
  <c r="O145" i="3"/>
  <c r="O133" i="3"/>
  <c r="H131" i="3"/>
  <c r="H143" i="3"/>
  <c r="J147" i="3"/>
  <c r="J135" i="3"/>
  <c r="S368" i="3"/>
  <c r="S485" i="3"/>
  <c r="S290" i="3"/>
  <c r="S441" i="3"/>
  <c r="S254" i="3"/>
  <c r="S76" i="3"/>
  <c r="S319" i="3"/>
  <c r="S124" i="3"/>
  <c r="S414" i="3"/>
  <c r="S40" i="3"/>
  <c r="S203" i="3"/>
  <c r="S169" i="3"/>
  <c r="P130" i="3"/>
  <c r="P142" i="3"/>
  <c r="R133" i="3"/>
  <c r="R145" i="3"/>
  <c r="J131" i="3"/>
  <c r="J143" i="3"/>
  <c r="J155" i="3" s="1"/>
  <c r="M132" i="3"/>
  <c r="M144" i="3"/>
  <c r="M156" i="3" s="1"/>
  <c r="N148" i="3"/>
  <c r="N136" i="3"/>
  <c r="S369" i="3"/>
  <c r="S486" i="3"/>
  <c r="S204" i="3"/>
  <c r="S291" i="3"/>
  <c r="S442" i="3"/>
  <c r="S415" i="3"/>
  <c r="S170" i="3"/>
  <c r="S77" i="3"/>
  <c r="S320" i="3"/>
  <c r="S255" i="3"/>
  <c r="S41" i="3"/>
  <c r="S125" i="3"/>
  <c r="Q143" i="3"/>
  <c r="Q131" i="3"/>
  <c r="T487" i="3"/>
  <c r="T370" i="3"/>
  <c r="T321" i="3"/>
  <c r="T443" i="3"/>
  <c r="T416" i="3"/>
  <c r="T126" i="3"/>
  <c r="T292" i="3"/>
  <c r="T6" i="3"/>
  <c r="T256" i="3"/>
  <c r="T205" i="3"/>
  <c r="T218" i="3" s="1"/>
  <c r="T247" i="3" s="1"/>
  <c r="T171" i="3"/>
  <c r="T42" i="3"/>
  <c r="U7" i="3"/>
  <c r="T5" i="3"/>
  <c r="T78" i="3"/>
  <c r="T89" i="3" s="1"/>
  <c r="T117" i="3" s="1"/>
  <c r="P143" i="3"/>
  <c r="P131" i="3"/>
  <c r="Q275" i="3"/>
  <c r="Q278" i="3" s="1"/>
  <c r="P281" i="3"/>
  <c r="P496" i="3" s="1"/>
  <c r="P148" i="3"/>
  <c r="P136" i="3"/>
  <c r="L142" i="3"/>
  <c r="L130" i="3"/>
  <c r="G134" i="3"/>
  <c r="G146" i="3"/>
  <c r="P147" i="3"/>
  <c r="P135" i="3"/>
  <c r="H133" i="3"/>
  <c r="H145" i="3"/>
  <c r="K144" i="3"/>
  <c r="K132" i="3"/>
  <c r="L134" i="3"/>
  <c r="L146" i="3"/>
  <c r="L158" i="3" s="1"/>
  <c r="J146" i="3"/>
  <c r="J134" i="3"/>
  <c r="H147" i="3"/>
  <c r="H135" i="3"/>
  <c r="R141" i="3"/>
  <c r="R129" i="3"/>
  <c r="R112" i="3"/>
  <c r="K135" i="3"/>
  <c r="K147" i="3"/>
  <c r="K159" i="3" s="1"/>
  <c r="I147" i="3"/>
  <c r="I135" i="3"/>
  <c r="K146" i="3"/>
  <c r="K134" i="3"/>
  <c r="R144" i="3"/>
  <c r="R132" i="3"/>
  <c r="H146" i="3"/>
  <c r="H134" i="3"/>
  <c r="P144" i="3"/>
  <c r="P132" i="3"/>
  <c r="K112" i="3"/>
  <c r="K129" i="3"/>
  <c r="K141" i="3"/>
  <c r="N131" i="3"/>
  <c r="N143" i="3"/>
  <c r="N134" i="3"/>
  <c r="N146" i="3"/>
  <c r="N158" i="3" s="1"/>
  <c r="G129" i="3"/>
  <c r="G112" i="3"/>
  <c r="G141" i="3"/>
  <c r="R147" i="3"/>
  <c r="R135" i="3"/>
  <c r="Q136" i="3"/>
  <c r="Q148" i="3"/>
  <c r="R131" i="3"/>
  <c r="R143" i="3"/>
  <c r="R155" i="3" s="1"/>
  <c r="R148" i="3"/>
  <c r="R136" i="3"/>
  <c r="O147" i="3"/>
  <c r="O135" i="3"/>
  <c r="P64" i="3"/>
  <c r="Q61" i="3" s="1"/>
  <c r="R134" i="3"/>
  <c r="R146" i="3"/>
  <c r="G132" i="3"/>
  <c r="G144" i="3"/>
  <c r="J136" i="3"/>
  <c r="J148" i="3"/>
  <c r="J160" i="3" s="1"/>
  <c r="O67" i="3"/>
  <c r="O494" i="3" s="1"/>
  <c r="U335" i="3"/>
  <c r="V332" i="3" s="1"/>
  <c r="P133" i="3"/>
  <c r="P145" i="3"/>
  <c r="Q133" i="3"/>
  <c r="Q145" i="3"/>
  <c r="Q157" i="3" s="1"/>
  <c r="I146" i="3"/>
  <c r="I134" i="3"/>
  <c r="L141" i="3"/>
  <c r="L112" i="3"/>
  <c r="L129" i="3"/>
  <c r="N144" i="3"/>
  <c r="N132" i="3"/>
  <c r="H112" i="3"/>
  <c r="H129" i="3"/>
  <c r="H141" i="3"/>
  <c r="M142" i="3"/>
  <c r="M130" i="3"/>
  <c r="J130" i="3"/>
  <c r="J142" i="3"/>
  <c r="J154" i="3" s="1"/>
  <c r="Q142" i="3"/>
  <c r="Q130" i="3"/>
  <c r="N135" i="3"/>
  <c r="N147" i="3"/>
  <c r="N159" i="3" s="1"/>
  <c r="L144" i="3"/>
  <c r="L132" i="3"/>
  <c r="N130" i="3"/>
  <c r="N142" i="3"/>
  <c r="S142" i="5" l="1"/>
  <c r="S139" i="5"/>
  <c r="V139" i="5"/>
  <c r="T142" i="5"/>
  <c r="X134" i="5"/>
  <c r="X139" i="5" s="1"/>
  <c r="Y142" i="5" s="1"/>
  <c r="S195" i="5"/>
  <c r="S184" i="5" s="1"/>
  <c r="S189" i="5" s="1"/>
  <c r="X197" i="5"/>
  <c r="X196" i="5"/>
  <c r="X222" i="5"/>
  <c r="S220" i="5"/>
  <c r="S209" i="5" s="1"/>
  <c r="S214" i="5" s="1"/>
  <c r="X221" i="5"/>
  <c r="U140" i="5"/>
  <c r="T139" i="5"/>
  <c r="V140" i="5"/>
  <c r="U139" i="5"/>
  <c r="S140" i="5"/>
  <c r="T140" i="5"/>
  <c r="V335" i="3"/>
  <c r="W332" i="3" s="1"/>
  <c r="R154" i="3"/>
  <c r="N154" i="3"/>
  <c r="I156" i="3"/>
  <c r="H156" i="3"/>
  <c r="L153" i="3"/>
  <c r="Q160" i="3"/>
  <c r="I160" i="3"/>
  <c r="V220" i="5"/>
  <c r="V209" i="5" s="1"/>
  <c r="V214" i="5" s="1"/>
  <c r="R157" i="3"/>
  <c r="H155" i="3"/>
  <c r="Q156" i="3"/>
  <c r="P157" i="3"/>
  <c r="R158" i="3"/>
  <c r="H159" i="3"/>
  <c r="P155" i="3"/>
  <c r="M158" i="3"/>
  <c r="R160" i="3"/>
  <c r="H158" i="3"/>
  <c r="H157" i="3"/>
  <c r="U195" i="5"/>
  <c r="U184" i="5" s="1"/>
  <c r="U189" i="5" s="1"/>
  <c r="L149" i="3"/>
  <c r="G159" i="3"/>
  <c r="R181" i="3"/>
  <c r="G160" i="3"/>
  <c r="R182" i="3"/>
  <c r="P149" i="3"/>
  <c r="P153" i="3"/>
  <c r="K158" i="3"/>
  <c r="I159" i="3"/>
  <c r="J159" i="3"/>
  <c r="Q153" i="3"/>
  <c r="Q149" i="3"/>
  <c r="O158" i="3"/>
  <c r="G137" i="3"/>
  <c r="P160" i="3"/>
  <c r="Q137" i="3"/>
  <c r="I154" i="3"/>
  <c r="R137" i="3"/>
  <c r="Q155" i="3"/>
  <c r="G154" i="3"/>
  <c r="R176" i="3"/>
  <c r="O156" i="3"/>
  <c r="I137" i="3"/>
  <c r="O137" i="3"/>
  <c r="G156" i="3"/>
  <c r="R178" i="3"/>
  <c r="R153" i="3"/>
  <c r="R149" i="3"/>
  <c r="R275" i="3"/>
  <c r="R278" i="3" s="1"/>
  <c r="Q281" i="3"/>
  <c r="Q496" i="3" s="1"/>
  <c r="O157" i="3"/>
  <c r="J153" i="3"/>
  <c r="J149" i="3"/>
  <c r="I149" i="3"/>
  <c r="I153" i="3"/>
  <c r="O149" i="3"/>
  <c r="O153" i="3"/>
  <c r="N157" i="3"/>
  <c r="M154" i="3"/>
  <c r="N155" i="3"/>
  <c r="P154" i="3"/>
  <c r="L157" i="3"/>
  <c r="J137" i="3"/>
  <c r="H160" i="3"/>
  <c r="T220" i="5"/>
  <c r="T209" i="5" s="1"/>
  <c r="T214" i="5" s="1"/>
  <c r="N153" i="3"/>
  <c r="N149" i="3"/>
  <c r="T369" i="3"/>
  <c r="T486" i="3"/>
  <c r="T320" i="3"/>
  <c r="T41" i="3"/>
  <c r="T125" i="3"/>
  <c r="T415" i="3"/>
  <c r="T77" i="3"/>
  <c r="T291" i="3"/>
  <c r="T170" i="3"/>
  <c r="T255" i="3"/>
  <c r="T442" i="3"/>
  <c r="T204" i="3"/>
  <c r="I158" i="3"/>
  <c r="R156" i="3"/>
  <c r="L155" i="3"/>
  <c r="O155" i="3"/>
  <c r="R159" i="3"/>
  <c r="Q154" i="3"/>
  <c r="H153" i="3"/>
  <c r="H149" i="3"/>
  <c r="W334" i="3"/>
  <c r="V351" i="3"/>
  <c r="V353" i="3" s="1"/>
  <c r="V455" i="3" s="1"/>
  <c r="V492" i="3" s="1"/>
  <c r="K137" i="3"/>
  <c r="T441" i="3"/>
  <c r="T290" i="3"/>
  <c r="T124" i="3"/>
  <c r="T203" i="3"/>
  <c r="T414" i="3"/>
  <c r="T368" i="3"/>
  <c r="T319" i="3"/>
  <c r="T485" i="3"/>
  <c r="T76" i="3"/>
  <c r="T254" i="3"/>
  <c r="T40" i="3"/>
  <c r="T169" i="3"/>
  <c r="M137" i="3"/>
  <c r="J157" i="3"/>
  <c r="P67" i="3"/>
  <c r="P494" i="3" s="1"/>
  <c r="U370" i="3"/>
  <c r="U205" i="3"/>
  <c r="U218" i="3" s="1"/>
  <c r="U247" i="3" s="1"/>
  <c r="U416" i="3"/>
  <c r="U6" i="3"/>
  <c r="U78" i="3"/>
  <c r="U89" i="3" s="1"/>
  <c r="U256" i="3"/>
  <c r="U126" i="3"/>
  <c r="U443" i="3"/>
  <c r="U321" i="3"/>
  <c r="U487" i="3"/>
  <c r="U171" i="3"/>
  <c r="U42" i="3"/>
  <c r="V7" i="3"/>
  <c r="U5" i="3"/>
  <c r="U292" i="3"/>
  <c r="V195" i="5"/>
  <c r="V184" i="5" s="1"/>
  <c r="V189" i="5" s="1"/>
  <c r="M157" i="3"/>
  <c r="O159" i="3"/>
  <c r="T182" i="3"/>
  <c r="T175" i="3"/>
  <c r="T180" i="3"/>
  <c r="T177" i="3"/>
  <c r="T179" i="3"/>
  <c r="T176" i="3"/>
  <c r="T178" i="3"/>
  <c r="T181" i="3"/>
  <c r="S183" i="3"/>
  <c r="S190" i="3" s="1"/>
  <c r="O154" i="3"/>
  <c r="X135" i="5"/>
  <c r="X140" i="5" s="1"/>
  <c r="Y143" i="5" s="1"/>
  <c r="P159" i="3"/>
  <c r="P137" i="3"/>
  <c r="G155" i="3"/>
  <c r="R177" i="3"/>
  <c r="K157" i="3"/>
  <c r="L156" i="3"/>
  <c r="G158" i="3"/>
  <c r="R180" i="3"/>
  <c r="M160" i="3"/>
  <c r="N160" i="3"/>
  <c r="Q159" i="3"/>
  <c r="G153" i="3"/>
  <c r="G149" i="3"/>
  <c r="R175" i="3"/>
  <c r="L154" i="3"/>
  <c r="L159" i="3"/>
  <c r="U220" i="5"/>
  <c r="U209" i="5" s="1"/>
  <c r="U214" i="5" s="1"/>
  <c r="G157" i="3"/>
  <c r="R179" i="3"/>
  <c r="H137" i="3"/>
  <c r="K149" i="3"/>
  <c r="K153" i="3"/>
  <c r="Q64" i="3"/>
  <c r="R61" i="3" s="1"/>
  <c r="J158" i="3"/>
  <c r="I157" i="3"/>
  <c r="M149" i="3"/>
  <c r="M153" i="3"/>
  <c r="X136" i="5"/>
  <c r="X141" i="5" s="1"/>
  <c r="Y144" i="5" s="1"/>
  <c r="X144" i="5" s="1"/>
  <c r="S141" i="5"/>
  <c r="N156" i="3"/>
  <c r="H154" i="3"/>
  <c r="L137" i="3"/>
  <c r="P156" i="3"/>
  <c r="K156" i="3"/>
  <c r="N137" i="3"/>
  <c r="T195" i="5"/>
  <c r="T184" i="5" s="1"/>
  <c r="T189" i="5" s="1"/>
  <c r="L160" i="3"/>
  <c r="O160" i="3"/>
  <c r="X195" i="5" l="1"/>
  <c r="X184" i="5" s="1"/>
  <c r="X220" i="5"/>
  <c r="X209" i="5" s="1"/>
  <c r="Y213" i="5"/>
  <c r="Y188" i="5"/>
  <c r="Y168" i="5"/>
  <c r="Y140" i="5"/>
  <c r="Y139" i="5"/>
  <c r="X143" i="5"/>
  <c r="X142" i="5"/>
  <c r="G161" i="3"/>
  <c r="R183" i="3"/>
  <c r="R190" i="3" s="1"/>
  <c r="G298" i="3"/>
  <c r="G302" i="3" s="1"/>
  <c r="Q161" i="3"/>
  <c r="Q189" i="3"/>
  <c r="W351" i="3"/>
  <c r="W353" i="3" s="1"/>
  <c r="W455" i="3" s="1"/>
  <c r="W492" i="3" s="1"/>
  <c r="X334" i="3"/>
  <c r="W335" i="3"/>
  <c r="X332" i="3" s="1"/>
  <c r="X335" i="3" s="1"/>
  <c r="Y332" i="3" s="1"/>
  <c r="R64" i="3"/>
  <c r="S61" i="3" s="1"/>
  <c r="Q67" i="3"/>
  <c r="Q494" i="3" s="1"/>
  <c r="U485" i="3"/>
  <c r="U441" i="3"/>
  <c r="U124" i="3"/>
  <c r="U203" i="3"/>
  <c r="U414" i="3"/>
  <c r="U319" i="3"/>
  <c r="U290" i="3"/>
  <c r="U169" i="3"/>
  <c r="U76" i="3"/>
  <c r="U368" i="3"/>
  <c r="U40" i="3"/>
  <c r="U254" i="3"/>
  <c r="V321" i="3"/>
  <c r="V370" i="3"/>
  <c r="V443" i="3"/>
  <c r="V416" i="3"/>
  <c r="V292" i="3"/>
  <c r="V487" i="3"/>
  <c r="V256" i="3"/>
  <c r="V42" i="3"/>
  <c r="V5" i="3"/>
  <c r="V78" i="3"/>
  <c r="V89" i="3" s="1"/>
  <c r="V126" i="3"/>
  <c r="V205" i="3"/>
  <c r="V218" i="3" s="1"/>
  <c r="V247" i="3" s="1"/>
  <c r="W7" i="3"/>
  <c r="V171" i="3"/>
  <c r="V6" i="3"/>
  <c r="S275" i="3"/>
  <c r="S278" i="3" s="1"/>
  <c r="R281" i="3"/>
  <c r="R496" i="3" s="1"/>
  <c r="R189" i="3"/>
  <c r="K161" i="3"/>
  <c r="U182" i="3"/>
  <c r="U180" i="3"/>
  <c r="U176" i="3"/>
  <c r="U181" i="3"/>
  <c r="U175" i="3"/>
  <c r="U179" i="3"/>
  <c r="U177" i="3"/>
  <c r="U178" i="3"/>
  <c r="H189" i="3"/>
  <c r="R161" i="3"/>
  <c r="K189" i="3"/>
  <c r="H161" i="3"/>
  <c r="P161" i="3"/>
  <c r="J189" i="3"/>
  <c r="O161" i="3"/>
  <c r="M161" i="3"/>
  <c r="U320" i="3"/>
  <c r="U77" i="3"/>
  <c r="U255" i="3"/>
  <c r="U204" i="3"/>
  <c r="U41" i="3"/>
  <c r="U415" i="3"/>
  <c r="U291" i="3"/>
  <c r="U170" i="3"/>
  <c r="U369" i="3"/>
  <c r="U486" i="3"/>
  <c r="U125" i="3"/>
  <c r="U442" i="3"/>
  <c r="N189" i="3"/>
  <c r="I161" i="3"/>
  <c r="L161" i="3"/>
  <c r="J161" i="3"/>
  <c r="G189" i="3"/>
  <c r="P189" i="3"/>
  <c r="T183" i="3"/>
  <c r="T190" i="3" s="1"/>
  <c r="U117" i="3"/>
  <c r="O189" i="3"/>
  <c r="M189" i="3"/>
  <c r="N161" i="3"/>
  <c r="I189" i="3"/>
  <c r="L189" i="3"/>
  <c r="G304" i="3" l="1"/>
  <c r="R447" i="3"/>
  <c r="R448" i="3" s="1"/>
  <c r="R473" i="3" s="1"/>
  <c r="P447" i="3"/>
  <c r="P448" i="3" s="1"/>
  <c r="P473" i="3" s="1"/>
  <c r="Q447" i="3"/>
  <c r="Q448" i="3" s="1"/>
  <c r="Q473" i="3" s="1"/>
  <c r="J447" i="3"/>
  <c r="N447" i="3"/>
  <c r="N448" i="3" s="1"/>
  <c r="K447" i="3"/>
  <c r="K448" i="3" s="1"/>
  <c r="K452" i="3" s="1"/>
  <c r="O447" i="3"/>
  <c r="O448" i="3" s="1"/>
  <c r="O473" i="3" s="1"/>
  <c r="L447" i="3"/>
  <c r="L448" i="3" s="1"/>
  <c r="L452" i="3" s="1"/>
  <c r="I447" i="3"/>
  <c r="I448" i="3" s="1"/>
  <c r="I452" i="3" s="1"/>
  <c r="H447" i="3"/>
  <c r="H448" i="3" s="1"/>
  <c r="H452" i="3" s="1"/>
  <c r="M447" i="3"/>
  <c r="M448" i="3" s="1"/>
  <c r="N473" i="3"/>
  <c r="N452" i="3"/>
  <c r="V203" i="3"/>
  <c r="V319" i="3"/>
  <c r="V485" i="3"/>
  <c r="V76" i="3"/>
  <c r="V368" i="3"/>
  <c r="V40" i="3"/>
  <c r="V290" i="3"/>
  <c r="V169" i="3"/>
  <c r="V414" i="3"/>
  <c r="V441" i="3"/>
  <c r="V124" i="3"/>
  <c r="V254" i="3"/>
  <c r="S64" i="3"/>
  <c r="T61" i="3" s="1"/>
  <c r="X189" i="5"/>
  <c r="Y192" i="5" s="1"/>
  <c r="X192" i="5" s="1"/>
  <c r="U183" i="3"/>
  <c r="U190" i="3" s="1"/>
  <c r="R67" i="3"/>
  <c r="R494" i="3" s="1"/>
  <c r="S281" i="3"/>
  <c r="S496" i="3" s="1"/>
  <c r="T275" i="3"/>
  <c r="T278" i="3" s="1"/>
  <c r="G191" i="3"/>
  <c r="V117" i="3"/>
  <c r="Y334" i="3"/>
  <c r="Y335" i="3" s="1"/>
  <c r="Z332" i="3" s="1"/>
  <c r="X351" i="3"/>
  <c r="X353" i="3" s="1"/>
  <c r="X455" i="3" s="1"/>
  <c r="X492" i="3" s="1"/>
  <c r="G447" i="3"/>
  <c r="G448" i="3" s="1"/>
  <c r="V415" i="3"/>
  <c r="V291" i="3"/>
  <c r="V320" i="3"/>
  <c r="V255" i="3"/>
  <c r="V77" i="3"/>
  <c r="V369" i="3"/>
  <c r="V486" i="3"/>
  <c r="V125" i="3"/>
  <c r="V41" i="3"/>
  <c r="V170" i="3"/>
  <c r="V442" i="3"/>
  <c r="V204" i="3"/>
  <c r="V179" i="3"/>
  <c r="V178" i="3"/>
  <c r="V176" i="3"/>
  <c r="V175" i="3"/>
  <c r="V181" i="3"/>
  <c r="V180" i="3"/>
  <c r="V177" i="3"/>
  <c r="V182" i="3"/>
  <c r="W416" i="3"/>
  <c r="W443" i="3"/>
  <c r="W171" i="3"/>
  <c r="W292" i="3"/>
  <c r="W370" i="3"/>
  <c r="W487" i="3"/>
  <c r="W321" i="3"/>
  <c r="W256" i="3"/>
  <c r="W78" i="3"/>
  <c r="W89" i="3" s="1"/>
  <c r="W42" i="3"/>
  <c r="W5" i="3"/>
  <c r="W126" i="3"/>
  <c r="W205" i="3"/>
  <c r="W218" i="3" s="1"/>
  <c r="W247" i="3" s="1"/>
  <c r="X7" i="3"/>
  <c r="W6" i="3"/>
  <c r="X214" i="5" l="1"/>
  <c r="Y217" i="5" s="1"/>
  <c r="X217" i="5" s="1"/>
  <c r="R452" i="3"/>
  <c r="I473" i="3"/>
  <c r="K473" i="3"/>
  <c r="P452" i="3"/>
  <c r="P474" i="3" s="1"/>
  <c r="O182" i="5" s="1"/>
  <c r="O190" i="5" s="1"/>
  <c r="G452" i="3"/>
  <c r="G473" i="3"/>
  <c r="Q452" i="3"/>
  <c r="Q474" i="3" s="1"/>
  <c r="P182" i="5" s="1"/>
  <c r="P190" i="5" s="1"/>
  <c r="H473" i="3"/>
  <c r="L473" i="3"/>
  <c r="O452" i="3"/>
  <c r="O474" i="3" s="1"/>
  <c r="N182" i="5" s="1"/>
  <c r="N190" i="5" s="1"/>
  <c r="R474" i="3"/>
  <c r="Q182" i="5" s="1"/>
  <c r="Q190" i="5" s="1"/>
  <c r="R456" i="3"/>
  <c r="V183" i="3"/>
  <c r="V190" i="3" s="1"/>
  <c r="G194" i="3"/>
  <c r="G495" i="3" s="1"/>
  <c r="H188" i="3"/>
  <c r="H191" i="3" s="1"/>
  <c r="W117" i="3"/>
  <c r="I474" i="3"/>
  <c r="H182" i="5" s="1"/>
  <c r="H190" i="5" s="1"/>
  <c r="I456" i="3"/>
  <c r="Z334" i="3"/>
  <c r="Z335" i="3" s="1"/>
  <c r="AA332" i="3" s="1"/>
  <c r="Y351" i="3"/>
  <c r="Y353" i="3" s="1"/>
  <c r="Y455" i="3" s="1"/>
  <c r="Y492" i="3" s="1"/>
  <c r="K456" i="3"/>
  <c r="K474" i="3"/>
  <c r="J182" i="5" s="1"/>
  <c r="J190" i="5" s="1"/>
  <c r="U275" i="3"/>
  <c r="U278" i="3" s="1"/>
  <c r="T281" i="3"/>
  <c r="T496" i="3" s="1"/>
  <c r="L456" i="3"/>
  <c r="L474" i="3"/>
  <c r="K182" i="5" s="1"/>
  <c r="K190" i="5" s="1"/>
  <c r="J448" i="3"/>
  <c r="S67" i="3"/>
  <c r="S494" i="3" s="1"/>
  <c r="H456" i="3"/>
  <c r="H474" i="3"/>
  <c r="G182" i="5" s="1"/>
  <c r="G190" i="5" s="1"/>
  <c r="M473" i="3"/>
  <c r="M452" i="3"/>
  <c r="W486" i="3"/>
  <c r="W291" i="3"/>
  <c r="W415" i="3"/>
  <c r="W255" i="3"/>
  <c r="W204" i="3"/>
  <c r="W41" i="3"/>
  <c r="W77" i="3"/>
  <c r="W369" i="3"/>
  <c r="W320" i="3"/>
  <c r="W125" i="3"/>
  <c r="W170" i="3"/>
  <c r="W442" i="3"/>
  <c r="X416" i="3"/>
  <c r="X292" i="3"/>
  <c r="X443" i="3"/>
  <c r="X487" i="3"/>
  <c r="X78" i="3"/>
  <c r="X89" i="3" s="1"/>
  <c r="X42" i="3"/>
  <c r="X5" i="3"/>
  <c r="X171" i="3"/>
  <c r="X205" i="3"/>
  <c r="X218" i="3" s="1"/>
  <c r="X247" i="3" s="1"/>
  <c r="Y7" i="3"/>
  <c r="X321" i="3"/>
  <c r="X370" i="3"/>
  <c r="X6" i="3"/>
  <c r="X256" i="3"/>
  <c r="X126" i="3"/>
  <c r="W368" i="3"/>
  <c r="W414" i="3"/>
  <c r="W290" i="3"/>
  <c r="W485" i="3"/>
  <c r="W169" i="3"/>
  <c r="W40" i="3"/>
  <c r="W76" i="3"/>
  <c r="W441" i="3"/>
  <c r="W124" i="3"/>
  <c r="W203" i="3"/>
  <c r="W319" i="3"/>
  <c r="W254" i="3"/>
  <c r="T64" i="3"/>
  <c r="U61" i="3" s="1"/>
  <c r="T67" i="3"/>
  <c r="T494" i="3" s="1"/>
  <c r="N474" i="3"/>
  <c r="M182" i="5" s="1"/>
  <c r="M190" i="5" s="1"/>
  <c r="N456" i="3"/>
  <c r="W176" i="3"/>
  <c r="W178" i="3"/>
  <c r="W179" i="3"/>
  <c r="W182" i="3"/>
  <c r="W181" i="3"/>
  <c r="W180" i="3"/>
  <c r="W177" i="3"/>
  <c r="W175" i="3"/>
  <c r="P456" i="3" l="1"/>
  <c r="G456" i="3"/>
  <c r="G460" i="3" s="1"/>
  <c r="G426" i="3" s="1"/>
  <c r="G474" i="3"/>
  <c r="Q456" i="3"/>
  <c r="O456" i="3"/>
  <c r="W183" i="3"/>
  <c r="W190" i="3" s="1"/>
  <c r="X414" i="3"/>
  <c r="X290" i="3"/>
  <c r="X319" i="3"/>
  <c r="X441" i="3"/>
  <c r="X40" i="3"/>
  <c r="X485" i="3"/>
  <c r="X203" i="3"/>
  <c r="X169" i="3"/>
  <c r="X368" i="3"/>
  <c r="X76" i="3"/>
  <c r="X124" i="3"/>
  <c r="X254" i="3"/>
  <c r="H187" i="5"/>
  <c r="X117" i="3"/>
  <c r="V275" i="3"/>
  <c r="V278" i="3" s="1"/>
  <c r="U281" i="3"/>
  <c r="U496" i="3" s="1"/>
  <c r="G187" i="5"/>
  <c r="J187" i="5"/>
  <c r="P187" i="5"/>
  <c r="K187" i="5"/>
  <c r="O187" i="5"/>
  <c r="H194" i="3"/>
  <c r="H495" i="3" s="1"/>
  <c r="I188" i="3"/>
  <c r="I191" i="3" s="1"/>
  <c r="X442" i="3"/>
  <c r="X415" i="3"/>
  <c r="X291" i="3"/>
  <c r="X320" i="3"/>
  <c r="X77" i="3"/>
  <c r="X41" i="3"/>
  <c r="X369" i="3"/>
  <c r="X486" i="3"/>
  <c r="X255" i="3"/>
  <c r="X125" i="3"/>
  <c r="X170" i="3"/>
  <c r="X204" i="3"/>
  <c r="J473" i="3"/>
  <c r="J452" i="3"/>
  <c r="U64" i="3"/>
  <c r="V61" i="3" s="1"/>
  <c r="Z351" i="3"/>
  <c r="Z353" i="3" s="1"/>
  <c r="Z455" i="3" s="1"/>
  <c r="Z492" i="3" s="1"/>
  <c r="AA334" i="3"/>
  <c r="Q187" i="5"/>
  <c r="N187" i="5"/>
  <c r="M474" i="3"/>
  <c r="L182" i="5" s="1"/>
  <c r="L190" i="5" s="1"/>
  <c r="M456" i="3"/>
  <c r="M187" i="5"/>
  <c r="Y416" i="3"/>
  <c r="Y487" i="3"/>
  <c r="Y171" i="3"/>
  <c r="Y443" i="3"/>
  <c r="Y205" i="3"/>
  <c r="Y218" i="3" s="1"/>
  <c r="Y247" i="3" s="1"/>
  <c r="Y42" i="3"/>
  <c r="Y5" i="3"/>
  <c r="Z7" i="3"/>
  <c r="Y321" i="3"/>
  <c r="Y78" i="3"/>
  <c r="Y89" i="3" s="1"/>
  <c r="Y6" i="3"/>
  <c r="Y292" i="3"/>
  <c r="Y370" i="3"/>
  <c r="Y256" i="3"/>
  <c r="Y126" i="3"/>
  <c r="AA335" i="3"/>
  <c r="AB332" i="3" s="1"/>
  <c r="X179" i="3"/>
  <c r="X181" i="3"/>
  <c r="X180" i="3"/>
  <c r="X176" i="3"/>
  <c r="X178" i="3"/>
  <c r="X182" i="3"/>
  <c r="X175" i="3"/>
  <c r="X177" i="3"/>
  <c r="U67" i="3" l="1"/>
  <c r="U494" i="3" s="1"/>
  <c r="V64" i="3"/>
  <c r="W61" i="3" s="1"/>
  <c r="Y369" i="3"/>
  <c r="Y442" i="3"/>
  <c r="Y291" i="3"/>
  <c r="Y486" i="3"/>
  <c r="Y170" i="3"/>
  <c r="Y415" i="3"/>
  <c r="Y41" i="3"/>
  <c r="Y77" i="3"/>
  <c r="Y320" i="3"/>
  <c r="Y204" i="3"/>
  <c r="Y125" i="3"/>
  <c r="Y255" i="3"/>
  <c r="Y117" i="3"/>
  <c r="L187" i="5"/>
  <c r="V281" i="3"/>
  <c r="V496" i="3" s="1"/>
  <c r="W275" i="3"/>
  <c r="W278" i="3" s="1"/>
  <c r="Z370" i="3"/>
  <c r="Z205" i="3"/>
  <c r="Z218" i="3" s="1"/>
  <c r="Z247" i="3" s="1"/>
  <c r="Z416" i="3"/>
  <c r="Z487" i="3"/>
  <c r="Z171" i="3"/>
  <c r="Z42" i="3"/>
  <c r="Z292" i="3"/>
  <c r="Z126" i="3"/>
  <c r="Z443" i="3"/>
  <c r="Z256" i="3"/>
  <c r="Z78" i="3"/>
  <c r="Z89" i="3" s="1"/>
  <c r="Z321" i="3"/>
  <c r="AA7" i="3"/>
  <c r="Z5" i="3"/>
  <c r="Z6" i="3"/>
  <c r="F182" i="5"/>
  <c r="Y414" i="3"/>
  <c r="Y290" i="3"/>
  <c r="Y319" i="3"/>
  <c r="Y441" i="3"/>
  <c r="Y76" i="3"/>
  <c r="Y40" i="3"/>
  <c r="Y169" i="3"/>
  <c r="Y368" i="3"/>
  <c r="Y203" i="3"/>
  <c r="Y124" i="3"/>
  <c r="Y254" i="3"/>
  <c r="Y485" i="3"/>
  <c r="J188" i="3"/>
  <c r="J191" i="3" s="1"/>
  <c r="I194" i="3"/>
  <c r="I495" i="3" s="1"/>
  <c r="X183" i="3"/>
  <c r="X190" i="3" s="1"/>
  <c r="AA351" i="3"/>
  <c r="AA353" i="3" s="1"/>
  <c r="AA455" i="3" s="1"/>
  <c r="AA492" i="3" s="1"/>
  <c r="AB334" i="3"/>
  <c r="J474" i="3"/>
  <c r="I182" i="5" s="1"/>
  <c r="I190" i="5" s="1"/>
  <c r="J456" i="3"/>
  <c r="Y181" i="3"/>
  <c r="Y179" i="3"/>
  <c r="Y176" i="3"/>
  <c r="Y180" i="3"/>
  <c r="Y178" i="3"/>
  <c r="Y182" i="3"/>
  <c r="Y175" i="3"/>
  <c r="Y177" i="3"/>
  <c r="F190" i="5" l="1"/>
  <c r="F187" i="5"/>
  <c r="V67" i="3"/>
  <c r="V494" i="3" s="1"/>
  <c r="AB351" i="3"/>
  <c r="AB353" i="3" s="1"/>
  <c r="AB455" i="3" s="1"/>
  <c r="AB492" i="3" s="1"/>
  <c r="AC334" i="3"/>
  <c r="Z181" i="3"/>
  <c r="Z178" i="3"/>
  <c r="Z175" i="3"/>
  <c r="Z177" i="3"/>
  <c r="Z176" i="3"/>
  <c r="Z180" i="3"/>
  <c r="Z182" i="3"/>
  <c r="Z179" i="3"/>
  <c r="Z117" i="3"/>
  <c r="K188" i="3"/>
  <c r="K191" i="3" s="1"/>
  <c r="J194" i="3"/>
  <c r="J495" i="3" s="1"/>
  <c r="AB335" i="3"/>
  <c r="AC332" i="3" s="1"/>
  <c r="I187" i="5"/>
  <c r="Z441" i="3"/>
  <c r="Z414" i="3"/>
  <c r="Z485" i="3"/>
  <c r="Z169" i="3"/>
  <c r="Z319" i="3"/>
  <c r="Z203" i="3"/>
  <c r="Z124" i="3"/>
  <c r="Z368" i="3"/>
  <c r="Z290" i="3"/>
  <c r="Z40" i="3"/>
  <c r="Z76" i="3"/>
  <c r="Z254" i="3"/>
  <c r="Y183" i="3"/>
  <c r="Y190" i="3" s="1"/>
  <c r="W281" i="3"/>
  <c r="W496" i="3" s="1"/>
  <c r="X275" i="3"/>
  <c r="X278" i="3" s="1"/>
  <c r="Z320" i="3"/>
  <c r="Z369" i="3"/>
  <c r="Z442" i="3"/>
  <c r="Z170" i="3"/>
  <c r="Z125" i="3"/>
  <c r="Z41" i="3"/>
  <c r="Z204" i="3"/>
  <c r="Z77" i="3"/>
  <c r="Z486" i="3"/>
  <c r="Z255" i="3"/>
  <c r="Z291" i="3"/>
  <c r="Z415" i="3"/>
  <c r="AA321" i="3"/>
  <c r="AA292" i="3"/>
  <c r="AA78" i="3"/>
  <c r="AA89" i="3" s="1"/>
  <c r="AA117" i="3" s="1"/>
  <c r="AA256" i="3"/>
  <c r="AA126" i="3"/>
  <c r="AA370" i="3"/>
  <c r="AA487" i="3"/>
  <c r="AA416" i="3"/>
  <c r="AA171" i="3"/>
  <c r="AA205" i="3"/>
  <c r="AA218" i="3" s="1"/>
  <c r="AA247" i="3" s="1"/>
  <c r="AA5" i="3"/>
  <c r="AB7" i="3"/>
  <c r="AA42" i="3"/>
  <c r="AA6" i="3"/>
  <c r="AA443" i="3"/>
  <c r="W64" i="3"/>
  <c r="X61" i="3" s="1"/>
  <c r="W67" i="3"/>
  <c r="W494" i="3" s="1"/>
  <c r="AC335" i="3" l="1"/>
  <c r="AD332" i="3" s="1"/>
  <c r="K194" i="3"/>
  <c r="K495" i="3" s="1"/>
  <c r="L188" i="3"/>
  <c r="L191" i="3" s="1"/>
  <c r="X281" i="3"/>
  <c r="X496" i="3" s="1"/>
  <c r="Y275" i="3"/>
  <c r="Y278" i="3" s="1"/>
  <c r="AB321" i="3"/>
  <c r="AB487" i="3"/>
  <c r="AB256" i="3"/>
  <c r="AB126" i="3"/>
  <c r="AB416" i="3"/>
  <c r="AB171" i="3"/>
  <c r="AB6" i="3"/>
  <c r="AB5" i="3"/>
  <c r="AB205" i="3"/>
  <c r="AB218" i="3" s="1"/>
  <c r="AB247" i="3" s="1"/>
  <c r="AB443" i="3"/>
  <c r="AC7" i="3"/>
  <c r="AB78" i="3"/>
  <c r="AB89" i="3" s="1"/>
  <c r="AB117" i="3" s="1"/>
  <c r="AB42" i="3"/>
  <c r="AB370" i="3"/>
  <c r="AB292" i="3"/>
  <c r="AA178" i="3"/>
  <c r="AA177" i="3"/>
  <c r="AA182" i="3"/>
  <c r="AA181" i="3"/>
  <c r="AA180" i="3"/>
  <c r="AA175" i="3"/>
  <c r="AA176" i="3"/>
  <c r="AA179" i="3"/>
  <c r="Z183" i="3"/>
  <c r="Z190" i="3" s="1"/>
  <c r="X64" i="3"/>
  <c r="Y61" i="3" s="1"/>
  <c r="X67" i="3"/>
  <c r="X494" i="3" s="1"/>
  <c r="AA415" i="3"/>
  <c r="AA170" i="3"/>
  <c r="AA442" i="3"/>
  <c r="AA486" i="3"/>
  <c r="AA125" i="3"/>
  <c r="AA204" i="3"/>
  <c r="AA369" i="3"/>
  <c r="AA77" i="3"/>
  <c r="AA320" i="3"/>
  <c r="AA255" i="3"/>
  <c r="AA41" i="3"/>
  <c r="AA291" i="3"/>
  <c r="AA485" i="3"/>
  <c r="AA290" i="3"/>
  <c r="AA441" i="3"/>
  <c r="AA319" i="3"/>
  <c r="AA414" i="3"/>
  <c r="AA169" i="3"/>
  <c r="AA203" i="3"/>
  <c r="AA124" i="3"/>
  <c r="AA368" i="3"/>
  <c r="AA40" i="3"/>
  <c r="AA254" i="3"/>
  <c r="AA76" i="3"/>
  <c r="AC351" i="3"/>
  <c r="AC353" i="3" s="1"/>
  <c r="AC455" i="3" s="1"/>
  <c r="AC492" i="3" s="1"/>
  <c r="AD334" i="3"/>
  <c r="AD351" i="3" s="1"/>
  <c r="AD353" i="3" s="1"/>
  <c r="AD455" i="3" s="1"/>
  <c r="AD492" i="3" s="1"/>
  <c r="Y64" i="3" l="1"/>
  <c r="Z61" i="3" s="1"/>
  <c r="AA183" i="3"/>
  <c r="AA190" i="3" s="1"/>
  <c r="AC321" i="3"/>
  <c r="AC487" i="3"/>
  <c r="AC256" i="3"/>
  <c r="AC443" i="3"/>
  <c r="AC370" i="3"/>
  <c r="AC292" i="3"/>
  <c r="AC6" i="3"/>
  <c r="AC5" i="3"/>
  <c r="AC205" i="3"/>
  <c r="AC218" i="3" s="1"/>
  <c r="AC247" i="3" s="1"/>
  <c r="AC171" i="3"/>
  <c r="AC78" i="3"/>
  <c r="AC89" i="3" s="1"/>
  <c r="AC117" i="3" s="1"/>
  <c r="AD7" i="3"/>
  <c r="AC42" i="3"/>
  <c r="AC126" i="3"/>
  <c r="AC416" i="3"/>
  <c r="AB369" i="3"/>
  <c r="AB415" i="3"/>
  <c r="AB320" i="3"/>
  <c r="AB442" i="3"/>
  <c r="AB125" i="3"/>
  <c r="AB291" i="3"/>
  <c r="AB170" i="3"/>
  <c r="AB204" i="3"/>
  <c r="AB255" i="3"/>
  <c r="AB486" i="3"/>
  <c r="AB41" i="3"/>
  <c r="AB77" i="3"/>
  <c r="AB319" i="3"/>
  <c r="AB368" i="3"/>
  <c r="AB485" i="3"/>
  <c r="AB254" i="3"/>
  <c r="AB414" i="3"/>
  <c r="AB290" i="3"/>
  <c r="AB203" i="3"/>
  <c r="AB441" i="3"/>
  <c r="AB124" i="3"/>
  <c r="AB40" i="3"/>
  <c r="AB169" i="3"/>
  <c r="AB76" i="3"/>
  <c r="AB181" i="3"/>
  <c r="AB177" i="3"/>
  <c r="AB182" i="3"/>
  <c r="AB180" i="3"/>
  <c r="AB179" i="3"/>
  <c r="AB178" i="3"/>
  <c r="AB175" i="3"/>
  <c r="AB176" i="3"/>
  <c r="Y281" i="3"/>
  <c r="Y496" i="3" s="1"/>
  <c r="Z275" i="3"/>
  <c r="Z278" i="3" s="1"/>
  <c r="M188" i="3"/>
  <c r="M191" i="3" s="1"/>
  <c r="L194" i="3"/>
  <c r="L495" i="3" s="1"/>
  <c r="AD335" i="3"/>
  <c r="Y67" i="3" l="1"/>
  <c r="Y494" i="3" s="1"/>
  <c r="N188" i="3"/>
  <c r="N191" i="3" s="1"/>
  <c r="M194" i="3"/>
  <c r="M495" i="3" s="1"/>
  <c r="Z281" i="3"/>
  <c r="Z496" i="3" s="1"/>
  <c r="AA275" i="3"/>
  <c r="AA278" i="3" s="1"/>
  <c r="AB183" i="3"/>
  <c r="AB190" i="3" s="1"/>
  <c r="AC368" i="3"/>
  <c r="AC319" i="3"/>
  <c r="AC485" i="3"/>
  <c r="AC254" i="3"/>
  <c r="AC290" i="3"/>
  <c r="AC203" i="3"/>
  <c r="AC124" i="3"/>
  <c r="AC40" i="3"/>
  <c r="AC414" i="3"/>
  <c r="AC169" i="3"/>
  <c r="AC76" i="3"/>
  <c r="AC441" i="3"/>
  <c r="AC320" i="3"/>
  <c r="AC415" i="3"/>
  <c r="AC291" i="3"/>
  <c r="AC204" i="3"/>
  <c r="AC77" i="3"/>
  <c r="AC255" i="3"/>
  <c r="AC125" i="3"/>
  <c r="AC486" i="3"/>
  <c r="AC170" i="3"/>
  <c r="AC442" i="3"/>
  <c r="AC41" i="3"/>
  <c r="AC369" i="3"/>
  <c r="AD370" i="3"/>
  <c r="AD171" i="3"/>
  <c r="AD321" i="3"/>
  <c r="AD487" i="3"/>
  <c r="AD205" i="3"/>
  <c r="AD218" i="3" s="1"/>
  <c r="AD5" i="3"/>
  <c r="AD443" i="3"/>
  <c r="AD78" i="3"/>
  <c r="AD89" i="3" s="1"/>
  <c r="AD6" i="3"/>
  <c r="AD126" i="3"/>
  <c r="AD292" i="3"/>
  <c r="AD416" i="3"/>
  <c r="AD256" i="3"/>
  <c r="AD42" i="3"/>
  <c r="AC178" i="3"/>
  <c r="AC177" i="3"/>
  <c r="AC181" i="3"/>
  <c r="AC179" i="3"/>
  <c r="AC176" i="3"/>
  <c r="AC175" i="3"/>
  <c r="AC182" i="3"/>
  <c r="AC180" i="3"/>
  <c r="Z64" i="3"/>
  <c r="AA61" i="3" s="1"/>
  <c r="Z67" i="3"/>
  <c r="Z494" i="3" s="1"/>
  <c r="E85" i="4" l="1"/>
  <c r="E280" i="4"/>
  <c r="E143" i="4"/>
  <c r="E139" i="4"/>
  <c r="E142" i="4"/>
  <c r="E138" i="4"/>
  <c r="E135" i="4"/>
  <c r="E122" i="4"/>
  <c r="E126" i="4"/>
  <c r="E174" i="4"/>
  <c r="E172" i="4"/>
  <c r="I136" i="4"/>
  <c r="E123" i="4"/>
  <c r="I134" i="4"/>
  <c r="E171" i="4"/>
  <c r="E140" i="4"/>
  <c r="E137" i="4"/>
  <c r="E170" i="4"/>
  <c r="E281" i="4"/>
  <c r="E169" i="4"/>
  <c r="E176" i="4"/>
  <c r="E175" i="4"/>
  <c r="E136" i="4"/>
  <c r="E141" i="4"/>
  <c r="I176" i="4"/>
  <c r="E177" i="4"/>
  <c r="E128" i="4"/>
  <c r="E134" i="4"/>
  <c r="I127" i="4"/>
  <c r="E127" i="4"/>
  <c r="E124" i="4"/>
  <c r="E99" i="4"/>
  <c r="F198" i="4"/>
  <c r="J138" i="4"/>
  <c r="E178" i="4"/>
  <c r="G169" i="4"/>
  <c r="F138" i="4"/>
  <c r="J199" i="4"/>
  <c r="E198" i="4"/>
  <c r="E242" i="4"/>
  <c r="I122" i="4"/>
  <c r="F177" i="4"/>
  <c r="I171" i="4"/>
  <c r="G199" i="4"/>
  <c r="H174" i="4"/>
  <c r="I175" i="4"/>
  <c r="I128" i="4"/>
  <c r="I178" i="4"/>
  <c r="I125" i="4"/>
  <c r="G141" i="4"/>
  <c r="G178" i="4"/>
  <c r="F123" i="4"/>
  <c r="I123" i="4"/>
  <c r="F172" i="4"/>
  <c r="E125" i="4"/>
  <c r="E235" i="4"/>
  <c r="G137" i="4"/>
  <c r="K136" i="4"/>
  <c r="F175" i="4"/>
  <c r="F121" i="4"/>
  <c r="I135" i="4"/>
  <c r="I142" i="4"/>
  <c r="J135" i="4"/>
  <c r="J141" i="4"/>
  <c r="E121" i="4"/>
  <c r="I170" i="4"/>
  <c r="I172" i="4"/>
  <c r="I139" i="4"/>
  <c r="J124" i="4"/>
  <c r="F135" i="4"/>
  <c r="F173" i="4"/>
  <c r="E173" i="4"/>
  <c r="F137" i="4"/>
  <c r="E254" i="4"/>
  <c r="I174" i="4"/>
  <c r="J177" i="4"/>
  <c r="F140" i="4"/>
  <c r="G136" i="4"/>
  <c r="E10" i="4"/>
  <c r="I121" i="4"/>
  <c r="I169" i="4"/>
  <c r="G171" i="4"/>
  <c r="F171" i="4"/>
  <c r="J60" i="4"/>
  <c r="I173" i="4"/>
  <c r="H123" i="4"/>
  <c r="F142" i="4"/>
  <c r="J123" i="4"/>
  <c r="F128" i="4"/>
  <c r="I198" i="4"/>
  <c r="F139" i="4"/>
  <c r="I143" i="4"/>
  <c r="G138" i="4"/>
  <c r="L134" i="4"/>
  <c r="G177" i="4"/>
  <c r="F143" i="4"/>
  <c r="F178" i="4"/>
  <c r="K128" i="4"/>
  <c r="J171" i="4"/>
  <c r="G172" i="4"/>
  <c r="G128" i="4"/>
  <c r="F124" i="4"/>
  <c r="I141" i="4"/>
  <c r="G60" i="4"/>
  <c r="J178" i="4"/>
  <c r="J198" i="4"/>
  <c r="K121" i="4"/>
  <c r="G122" i="4"/>
  <c r="L176" i="4"/>
  <c r="F176" i="4"/>
  <c r="F141" i="4"/>
  <c r="F125" i="4"/>
  <c r="I137" i="4"/>
  <c r="F174" i="4"/>
  <c r="G126" i="4"/>
  <c r="G142" i="4"/>
  <c r="H172" i="4"/>
  <c r="G135" i="4"/>
  <c r="J121" i="4"/>
  <c r="L60" i="4"/>
  <c r="L61" i="4" s="1"/>
  <c r="E60" i="4"/>
  <c r="I126" i="4"/>
  <c r="G143" i="4"/>
  <c r="I124" i="4"/>
  <c r="K139" i="4"/>
  <c r="J134" i="4"/>
  <c r="G123" i="4"/>
  <c r="F170" i="4"/>
  <c r="G124" i="4"/>
  <c r="K134" i="4"/>
  <c r="F134" i="4"/>
  <c r="G176" i="4"/>
  <c r="L135" i="4"/>
  <c r="L171" i="4"/>
  <c r="J176" i="4"/>
  <c r="I177" i="4"/>
  <c r="G198" i="4"/>
  <c r="K122" i="4"/>
  <c r="O122" i="4" s="1"/>
  <c r="F127" i="4"/>
  <c r="L136" i="4"/>
  <c r="E218" i="4"/>
  <c r="J170" i="4"/>
  <c r="J137" i="4"/>
  <c r="G127" i="4"/>
  <c r="J125" i="4"/>
  <c r="H169" i="4"/>
  <c r="K127" i="4"/>
  <c r="J143" i="4"/>
  <c r="F169" i="4"/>
  <c r="K143" i="4"/>
  <c r="F126" i="4"/>
  <c r="H124" i="4"/>
  <c r="K177" i="4"/>
  <c r="H178" i="4"/>
  <c r="J173" i="4"/>
  <c r="J126" i="4"/>
  <c r="I140" i="4"/>
  <c r="J140" i="4"/>
  <c r="H198" i="4"/>
  <c r="G170" i="4"/>
  <c r="I199" i="4"/>
  <c r="H142" i="4"/>
  <c r="K124" i="4"/>
  <c r="H143" i="4"/>
  <c r="K174" i="4"/>
  <c r="J142" i="4"/>
  <c r="J174" i="4"/>
  <c r="I60" i="4"/>
  <c r="K171" i="4"/>
  <c r="G140" i="4"/>
  <c r="H170" i="4"/>
  <c r="L127" i="4"/>
  <c r="H139" i="4"/>
  <c r="H121" i="4"/>
  <c r="H126" i="4"/>
  <c r="J175" i="4"/>
  <c r="K172" i="4"/>
  <c r="H122" i="4"/>
  <c r="K140" i="4"/>
  <c r="K199" i="4"/>
  <c r="G121" i="4"/>
  <c r="K138" i="4"/>
  <c r="G175" i="4"/>
  <c r="J128" i="4"/>
  <c r="J136" i="4"/>
  <c r="K125" i="4"/>
  <c r="L140" i="4"/>
  <c r="F122" i="4"/>
  <c r="I138" i="4"/>
  <c r="E248" i="4"/>
  <c r="H140" i="4"/>
  <c r="G139" i="4"/>
  <c r="J139" i="4"/>
  <c r="G134" i="4"/>
  <c r="H138" i="4"/>
  <c r="H60" i="4"/>
  <c r="H61" i="4" s="1"/>
  <c r="F60" i="4"/>
  <c r="F61" i="4" s="1"/>
  <c r="K178" i="4"/>
  <c r="K126" i="4"/>
  <c r="K169" i="4"/>
  <c r="K175" i="4"/>
  <c r="J172" i="4"/>
  <c r="G173" i="4"/>
  <c r="J169" i="4"/>
  <c r="K137" i="4"/>
  <c r="J122" i="4"/>
  <c r="F136" i="4"/>
  <c r="L139" i="4"/>
  <c r="G174" i="4"/>
  <c r="L177" i="4"/>
  <c r="H128" i="4"/>
  <c r="L125" i="4"/>
  <c r="H136" i="4"/>
  <c r="L137" i="4"/>
  <c r="H177" i="4"/>
  <c r="F199" i="4"/>
  <c r="L123" i="4"/>
  <c r="J127" i="4"/>
  <c r="H127" i="4"/>
  <c r="L170" i="4"/>
  <c r="L199" i="4"/>
  <c r="L175" i="4"/>
  <c r="L122" i="4"/>
  <c r="H199" i="4"/>
  <c r="H134" i="4"/>
  <c r="H141" i="4"/>
  <c r="H137" i="4"/>
  <c r="L178" i="4"/>
  <c r="L128" i="4"/>
  <c r="H135" i="4"/>
  <c r="K123" i="4"/>
  <c r="L173" i="4"/>
  <c r="L169" i="4"/>
  <c r="H173" i="4"/>
  <c r="L121" i="4"/>
  <c r="L172" i="4"/>
  <c r="K60" i="4"/>
  <c r="L142" i="4"/>
  <c r="L198" i="4"/>
  <c r="K176" i="4"/>
  <c r="L126" i="4"/>
  <c r="E199" i="4"/>
  <c r="L174" i="4"/>
  <c r="L141" i="4"/>
  <c r="K142" i="4"/>
  <c r="K173" i="4"/>
  <c r="K170" i="4"/>
  <c r="L138" i="4"/>
  <c r="K198" i="4"/>
  <c r="H176" i="4"/>
  <c r="K135" i="4"/>
  <c r="K141" i="4"/>
  <c r="H171" i="4"/>
  <c r="F53" i="4"/>
  <c r="H175" i="4"/>
  <c r="E53" i="4"/>
  <c r="G53" i="4"/>
  <c r="E208" i="4"/>
  <c r="E157" i="4"/>
  <c r="H53" i="4"/>
  <c r="E164" i="4"/>
  <c r="I53" i="4"/>
  <c r="E183" i="4"/>
  <c r="G125" i="4"/>
  <c r="L143" i="4"/>
  <c r="H125" i="4"/>
  <c r="L124" i="4"/>
  <c r="J53" i="4"/>
  <c r="AD247" i="3"/>
  <c r="E247" i="3" s="1"/>
  <c r="N17" i="2" s="1"/>
  <c r="AA64" i="3"/>
  <c r="AB61" i="3" s="1"/>
  <c r="AC183" i="3"/>
  <c r="AC190" i="3" s="1"/>
  <c r="AD117" i="3"/>
  <c r="E117" i="3" s="1"/>
  <c r="N16" i="2" s="1"/>
  <c r="AB106" i="3"/>
  <c r="Z104" i="3"/>
  <c r="Y105" i="3"/>
  <c r="AC107" i="3"/>
  <c r="S111" i="3"/>
  <c r="AA109" i="3"/>
  <c r="W107" i="3"/>
  <c r="U107" i="3"/>
  <c r="W108" i="3"/>
  <c r="T105" i="3"/>
  <c r="AD104" i="3"/>
  <c r="T110" i="3"/>
  <c r="Z109" i="3"/>
  <c r="AB107" i="3"/>
  <c r="U109" i="3"/>
  <c r="Z110" i="3"/>
  <c r="AC111" i="3"/>
  <c r="AD108" i="3"/>
  <c r="S110" i="3"/>
  <c r="Y104" i="3"/>
  <c r="Z111" i="3"/>
  <c r="U105" i="3"/>
  <c r="AC109" i="3"/>
  <c r="Z106" i="3"/>
  <c r="Y110" i="3"/>
  <c r="X105" i="3"/>
  <c r="Z108" i="3"/>
  <c r="W111" i="3"/>
  <c r="S109" i="3"/>
  <c r="X109" i="3"/>
  <c r="S108" i="3"/>
  <c r="W104" i="3"/>
  <c r="AA111" i="3"/>
  <c r="V107" i="3"/>
  <c r="T106" i="3"/>
  <c r="AB111" i="3"/>
  <c r="X108" i="3"/>
  <c r="Y106" i="3"/>
  <c r="W106" i="3"/>
  <c r="U110" i="3"/>
  <c r="AD106" i="3"/>
  <c r="V108" i="3"/>
  <c r="X104" i="3"/>
  <c r="V104" i="3"/>
  <c r="V111" i="3"/>
  <c r="U108" i="3"/>
  <c r="W109" i="3"/>
  <c r="X110" i="3"/>
  <c r="U106" i="3"/>
  <c r="U111" i="3"/>
  <c r="AC105" i="3"/>
  <c r="AA110" i="3"/>
  <c r="AA106" i="3"/>
  <c r="AA104" i="3"/>
  <c r="T108" i="3"/>
  <c r="V109" i="3"/>
  <c r="Y108" i="3"/>
  <c r="AA107" i="3"/>
  <c r="X106" i="3"/>
  <c r="AC104" i="3"/>
  <c r="T104" i="3"/>
  <c r="AD107" i="3"/>
  <c r="V106" i="3"/>
  <c r="AD105" i="3"/>
  <c r="AC106" i="3"/>
  <c r="Y111" i="3"/>
  <c r="X111" i="3"/>
  <c r="AD111" i="3"/>
  <c r="T111" i="3"/>
  <c r="X107" i="3"/>
  <c r="AA105" i="3"/>
  <c r="AB110" i="3"/>
  <c r="S104" i="3"/>
  <c r="T107" i="3"/>
  <c r="Y109" i="3"/>
  <c r="AB108" i="3"/>
  <c r="Z105" i="3"/>
  <c r="AD110" i="3"/>
  <c r="W105" i="3"/>
  <c r="S107" i="3"/>
  <c r="S105" i="3"/>
  <c r="Y107" i="3"/>
  <c r="AB109" i="3"/>
  <c r="AD109" i="3"/>
  <c r="Z107" i="3"/>
  <c r="W110" i="3"/>
  <c r="S106" i="3"/>
  <c r="AA108" i="3"/>
  <c r="V110" i="3"/>
  <c r="AB105" i="3"/>
  <c r="AC110" i="3"/>
  <c r="AB104" i="3"/>
  <c r="V105" i="3"/>
  <c r="AC108" i="3"/>
  <c r="T109" i="3"/>
  <c r="U104" i="3"/>
  <c r="AD486" i="3"/>
  <c r="AD204" i="3"/>
  <c r="AD369" i="3"/>
  <c r="AD442" i="3"/>
  <c r="AD415" i="3"/>
  <c r="AD255" i="3"/>
  <c r="AD170" i="3"/>
  <c r="AD125" i="3"/>
  <c r="AD77" i="3"/>
  <c r="AD320" i="3"/>
  <c r="AD291" i="3"/>
  <c r="AD41" i="3"/>
  <c r="E106" i="4"/>
  <c r="E209" i="4"/>
  <c r="F242" i="4"/>
  <c r="E108" i="4"/>
  <c r="E91" i="4"/>
  <c r="I209" i="4"/>
  <c r="E87" i="4"/>
  <c r="I219" i="4"/>
  <c r="I105" i="4"/>
  <c r="E88" i="4"/>
  <c r="E219" i="4"/>
  <c r="F100" i="4"/>
  <c r="I242" i="4"/>
  <c r="E105" i="4"/>
  <c r="E243" i="4"/>
  <c r="E90" i="4"/>
  <c r="F219" i="4"/>
  <c r="E249" i="4"/>
  <c r="I90" i="4"/>
  <c r="F105" i="4"/>
  <c r="I86" i="4"/>
  <c r="I10" i="4"/>
  <c r="F92" i="4"/>
  <c r="I94" i="4"/>
  <c r="F249" i="4"/>
  <c r="F218" i="4"/>
  <c r="I248" i="4"/>
  <c r="F90" i="4"/>
  <c r="E255" i="4"/>
  <c r="E86" i="4"/>
  <c r="I101" i="4"/>
  <c r="I184" i="4"/>
  <c r="F87" i="4"/>
  <c r="E55" i="4"/>
  <c r="E94" i="4"/>
  <c r="I254" i="4"/>
  <c r="I281" i="4"/>
  <c r="E19" i="4"/>
  <c r="F235" i="4"/>
  <c r="I235" i="4"/>
  <c r="J92" i="4"/>
  <c r="F94" i="4"/>
  <c r="F106" i="4"/>
  <c r="F248" i="4"/>
  <c r="E104" i="4"/>
  <c r="F108" i="4"/>
  <c r="F10" i="4"/>
  <c r="F99" i="4"/>
  <c r="I106" i="4"/>
  <c r="F19" i="4"/>
  <c r="F51" i="4" s="1"/>
  <c r="I92" i="4"/>
  <c r="F280" i="4"/>
  <c r="F184" i="4"/>
  <c r="I99" i="4"/>
  <c r="I88" i="4"/>
  <c r="F89" i="4"/>
  <c r="I107" i="4"/>
  <c r="E184" i="4"/>
  <c r="E185" i="4" s="1"/>
  <c r="E168" i="4"/>
  <c r="E101" i="4"/>
  <c r="I87" i="4"/>
  <c r="F236" i="4"/>
  <c r="I19" i="4"/>
  <c r="F93" i="4"/>
  <c r="F91" i="4"/>
  <c r="I280" i="4"/>
  <c r="F85" i="4"/>
  <c r="G87" i="4"/>
  <c r="I218" i="4"/>
  <c r="I243" i="4"/>
  <c r="G100" i="4"/>
  <c r="F254" i="4"/>
  <c r="E89" i="4"/>
  <c r="I249" i="4"/>
  <c r="I108" i="4"/>
  <c r="F102" i="4"/>
  <c r="G89" i="4"/>
  <c r="F243" i="4"/>
  <c r="I89" i="4"/>
  <c r="J235" i="4"/>
  <c r="J103" i="4"/>
  <c r="H235" i="4"/>
  <c r="I236" i="4"/>
  <c r="J93" i="4"/>
  <c r="G94" i="4"/>
  <c r="G184" i="4"/>
  <c r="K90" i="4"/>
  <c r="K10" i="4"/>
  <c r="J91" i="4"/>
  <c r="G105" i="4"/>
  <c r="H103" i="4"/>
  <c r="G90" i="4"/>
  <c r="J184" i="4"/>
  <c r="J101" i="4"/>
  <c r="J106" i="4"/>
  <c r="J107" i="4"/>
  <c r="G107" i="4"/>
  <c r="H87" i="4"/>
  <c r="F103" i="4"/>
  <c r="H249" i="4"/>
  <c r="J242" i="4"/>
  <c r="H104" i="4"/>
  <c r="F281" i="4"/>
  <c r="E92" i="4"/>
  <c r="E102" i="4"/>
  <c r="E93" i="4"/>
  <c r="H255" i="4"/>
  <c r="J219" i="4"/>
  <c r="E236" i="4"/>
  <c r="F101" i="4"/>
  <c r="K15" i="4"/>
  <c r="J100" i="4"/>
  <c r="G243" i="4"/>
  <c r="F255" i="4"/>
  <c r="F104" i="4"/>
  <c r="G108" i="4"/>
  <c r="J104" i="4"/>
  <c r="J85" i="4"/>
  <c r="I100" i="4"/>
  <c r="J209" i="4"/>
  <c r="E103" i="4"/>
  <c r="G104" i="4"/>
  <c r="E107" i="4"/>
  <c r="H108" i="4"/>
  <c r="H218" i="4"/>
  <c r="E100" i="4"/>
  <c r="H85" i="4"/>
  <c r="J55" i="4"/>
  <c r="G219" i="4"/>
  <c r="J88" i="4"/>
  <c r="K87" i="4"/>
  <c r="H248" i="4"/>
  <c r="G242" i="4"/>
  <c r="G236" i="4"/>
  <c r="J61" i="4"/>
  <c r="H86" i="4"/>
  <c r="G88" i="4"/>
  <c r="K86" i="4"/>
  <c r="I103" i="4"/>
  <c r="H89" i="4"/>
  <c r="G248" i="4"/>
  <c r="K99" i="4"/>
  <c r="F86" i="4"/>
  <c r="F88" i="4"/>
  <c r="J10" i="4"/>
  <c r="G15" i="4"/>
  <c r="K88" i="4"/>
  <c r="H91" i="4"/>
  <c r="G102" i="4"/>
  <c r="H106" i="4"/>
  <c r="J99" i="4"/>
  <c r="J108" i="4"/>
  <c r="G93" i="4"/>
  <c r="I102" i="4"/>
  <c r="K209" i="4"/>
  <c r="J94" i="4"/>
  <c r="I55" i="4"/>
  <c r="G103" i="4"/>
  <c r="J19" i="4"/>
  <c r="J51" i="4" s="1"/>
  <c r="J105" i="4"/>
  <c r="J218" i="4"/>
  <c r="J249" i="4"/>
  <c r="J254" i="4"/>
  <c r="I93" i="4"/>
  <c r="K91" i="4"/>
  <c r="G85" i="4"/>
  <c r="G86" i="4"/>
  <c r="K89" i="4"/>
  <c r="E15" i="4"/>
  <c r="H157" i="4"/>
  <c r="G106" i="4"/>
  <c r="I104" i="4"/>
  <c r="H92" i="4"/>
  <c r="K235" i="4"/>
  <c r="J243" i="4"/>
  <c r="K184" i="4"/>
  <c r="K103" i="4"/>
  <c r="G99" i="4"/>
  <c r="G92" i="4"/>
  <c r="F15" i="4"/>
  <c r="J255" i="4"/>
  <c r="H15" i="4"/>
  <c r="K93" i="4"/>
  <c r="J15" i="4"/>
  <c r="J86" i="4"/>
  <c r="K92" i="4"/>
  <c r="G281" i="4"/>
  <c r="I15" i="4"/>
  <c r="H105" i="4"/>
  <c r="K249" i="4"/>
  <c r="J89" i="4"/>
  <c r="I255" i="4"/>
  <c r="H94" i="4"/>
  <c r="I85" i="4"/>
  <c r="G218" i="4"/>
  <c r="G280" i="4"/>
  <c r="K105" i="4"/>
  <c r="J87" i="4"/>
  <c r="J236" i="4"/>
  <c r="J90" i="4"/>
  <c r="G19" i="4"/>
  <c r="G51" i="4" s="1"/>
  <c r="K281" i="4"/>
  <c r="J102" i="4"/>
  <c r="K94" i="4"/>
  <c r="K107" i="4"/>
  <c r="G255" i="4"/>
  <c r="L184" i="4"/>
  <c r="K248" i="4"/>
  <c r="K108" i="4"/>
  <c r="K280" i="4"/>
  <c r="J281" i="4"/>
  <c r="L86" i="4"/>
  <c r="L102" i="4"/>
  <c r="H19" i="4"/>
  <c r="H51" i="4" s="1"/>
  <c r="K242" i="4"/>
  <c r="H184" i="4"/>
  <c r="K100" i="4"/>
  <c r="K219" i="4"/>
  <c r="L91" i="4"/>
  <c r="L15" i="4"/>
  <c r="L219" i="4"/>
  <c r="L105" i="4"/>
  <c r="H107" i="4"/>
  <c r="L281" i="4"/>
  <c r="H88" i="4"/>
  <c r="H90" i="4"/>
  <c r="H281" i="4"/>
  <c r="H280" i="4"/>
  <c r="L92" i="4"/>
  <c r="L94" i="4"/>
  <c r="F107" i="4"/>
  <c r="H100" i="4"/>
  <c r="L88" i="4"/>
  <c r="K102" i="4"/>
  <c r="H242" i="4"/>
  <c r="H254" i="4"/>
  <c r="K106" i="4"/>
  <c r="L100" i="4"/>
  <c r="H102" i="4"/>
  <c r="L236" i="4"/>
  <c r="K218" i="4"/>
  <c r="J280" i="4"/>
  <c r="H99" i="4"/>
  <c r="H219" i="4"/>
  <c r="L19" i="4"/>
  <c r="L51" i="4" s="1"/>
  <c r="J248" i="4"/>
  <c r="L99" i="4"/>
  <c r="L248" i="4"/>
  <c r="I91" i="4"/>
  <c r="L89" i="4"/>
  <c r="H236" i="4"/>
  <c r="L90" i="4"/>
  <c r="K104" i="4"/>
  <c r="L104" i="4"/>
  <c r="K19" i="4"/>
  <c r="K51" i="4" s="1"/>
  <c r="L108" i="4"/>
  <c r="L243" i="4"/>
  <c r="L10" i="4"/>
  <c r="L249" i="4"/>
  <c r="L280" i="4"/>
  <c r="L235" i="4"/>
  <c r="L255" i="4"/>
  <c r="L107" i="4"/>
  <c r="L106" i="4"/>
  <c r="L103" i="4"/>
  <c r="L101" i="4"/>
  <c r="F159" i="4"/>
  <c r="G160" i="4"/>
  <c r="G163" i="4"/>
  <c r="G164" i="4"/>
  <c r="G158" i="4"/>
  <c r="E161" i="4"/>
  <c r="G183" i="4"/>
  <c r="G208" i="4"/>
  <c r="F208" i="4"/>
  <c r="F157" i="4"/>
  <c r="E158" i="4"/>
  <c r="G157" i="4"/>
  <c r="E162" i="4"/>
  <c r="E160" i="4"/>
  <c r="E163" i="4"/>
  <c r="F11" i="4"/>
  <c r="E159" i="4"/>
  <c r="E54" i="4"/>
  <c r="E11" i="4"/>
  <c r="AD319" i="3"/>
  <c r="AD368" i="3"/>
  <c r="AD485" i="3"/>
  <c r="AD203" i="3"/>
  <c r="AD124" i="3"/>
  <c r="E140" i="3" s="1"/>
  <c r="AD254" i="3"/>
  <c r="AD40" i="3"/>
  <c r="AD290" i="3"/>
  <c r="AD169" i="3"/>
  <c r="AD76" i="3"/>
  <c r="AD441" i="3"/>
  <c r="AD414" i="3"/>
  <c r="I418" i="3" s="1"/>
  <c r="G61" i="4"/>
  <c r="K85" i="4"/>
  <c r="G254" i="4"/>
  <c r="K101" i="4"/>
  <c r="G91" i="4"/>
  <c r="G249" i="4"/>
  <c r="K254" i="4"/>
  <c r="G101" i="4"/>
  <c r="K236" i="4"/>
  <c r="G10" i="4"/>
  <c r="G235" i="4"/>
  <c r="K255" i="4"/>
  <c r="K243" i="4"/>
  <c r="H163" i="4"/>
  <c r="H243" i="4"/>
  <c r="L87" i="4"/>
  <c r="H10" i="4"/>
  <c r="H93" i="4"/>
  <c r="L254" i="4"/>
  <c r="H101" i="4"/>
  <c r="L85" i="4"/>
  <c r="L218" i="4"/>
  <c r="L93" i="4"/>
  <c r="L242" i="4"/>
  <c r="F161" i="4"/>
  <c r="F162" i="4"/>
  <c r="F163" i="4"/>
  <c r="F183" i="4"/>
  <c r="AB275" i="3"/>
  <c r="AB278" i="3" s="1"/>
  <c r="AA281" i="3"/>
  <c r="AA496" i="3" s="1"/>
  <c r="K55" i="4" s="1"/>
  <c r="O188" i="3"/>
  <c r="O191" i="3" s="1"/>
  <c r="N194" i="3"/>
  <c r="N495" i="3" s="1"/>
  <c r="N125" i="4" l="1"/>
  <c r="N123" i="4"/>
  <c r="O176" i="4"/>
  <c r="N169" i="4"/>
  <c r="O142" i="4"/>
  <c r="N137" i="4"/>
  <c r="O174" i="4"/>
  <c r="N171" i="4"/>
  <c r="O143" i="4"/>
  <c r="O121" i="4"/>
  <c r="N178" i="4"/>
  <c r="O137" i="4"/>
  <c r="O134" i="4"/>
  <c r="N127" i="4"/>
  <c r="O125" i="4"/>
  <c r="N122" i="4"/>
  <c r="I421" i="3"/>
  <c r="H418" i="3"/>
  <c r="E165" i="4"/>
  <c r="N281" i="4"/>
  <c r="O248" i="4"/>
  <c r="O172" i="4"/>
  <c r="O128" i="4"/>
  <c r="N128" i="4"/>
  <c r="N135" i="4"/>
  <c r="N172" i="4"/>
  <c r="O170" i="4"/>
  <c r="N177" i="4"/>
  <c r="N138" i="4"/>
  <c r="O136" i="4"/>
  <c r="O127" i="4"/>
  <c r="O173" i="4"/>
  <c r="E129" i="4"/>
  <c r="N121" i="4"/>
  <c r="N142" i="4"/>
  <c r="O140" i="4"/>
  <c r="N140" i="4"/>
  <c r="O123" i="4"/>
  <c r="N124" i="4"/>
  <c r="O198" i="4"/>
  <c r="O219" i="4"/>
  <c r="E144" i="4"/>
  <c r="N134" i="4"/>
  <c r="N141" i="4"/>
  <c r="N139" i="4"/>
  <c r="N198" i="4"/>
  <c r="N200" i="4" s="1"/>
  <c r="O197" i="4" s="1"/>
  <c r="E179" i="4"/>
  <c r="N170" i="4"/>
  <c r="O60" i="4"/>
  <c r="O61" i="4" s="1"/>
  <c r="O177" i="4"/>
  <c r="N174" i="4"/>
  <c r="N218" i="4"/>
  <c r="O124" i="4"/>
  <c r="O141" i="4"/>
  <c r="O171" i="4"/>
  <c r="N136" i="4"/>
  <c r="N143" i="4"/>
  <c r="O138" i="4"/>
  <c r="N126" i="4"/>
  <c r="N85" i="4"/>
  <c r="O178" i="4"/>
  <c r="E200" i="4"/>
  <c r="N199" i="4"/>
  <c r="O175" i="4"/>
  <c r="O126" i="4"/>
  <c r="N175" i="4"/>
  <c r="N173" i="4"/>
  <c r="K61" i="4"/>
  <c r="O139" i="4"/>
  <c r="O199" i="4"/>
  <c r="E61" i="4"/>
  <c r="N60" i="4"/>
  <c r="O169" i="4"/>
  <c r="O135" i="4"/>
  <c r="N176" i="4"/>
  <c r="N242" i="4"/>
  <c r="N235" i="4"/>
  <c r="E51" i="4"/>
  <c r="N19" i="4"/>
  <c r="N51" i="4" s="1"/>
  <c r="O236" i="4"/>
  <c r="N248" i="4"/>
  <c r="O281" i="4"/>
  <c r="E250" i="4"/>
  <c r="N249" i="4"/>
  <c r="E210" i="4"/>
  <c r="O254" i="4"/>
  <c r="O235" i="4"/>
  <c r="O249" i="4"/>
  <c r="N15" i="4"/>
  <c r="E244" i="4"/>
  <c r="F241" i="4" s="1"/>
  <c r="F244" i="4" s="1"/>
  <c r="G241" i="4" s="1"/>
  <c r="G244" i="4" s="1"/>
  <c r="H241" i="4" s="1"/>
  <c r="H244" i="4" s="1"/>
  <c r="I241" i="4" s="1"/>
  <c r="I244" i="4" s="1"/>
  <c r="J241" i="4" s="1"/>
  <c r="J244" i="4" s="1"/>
  <c r="K241" i="4" s="1"/>
  <c r="K244" i="4" s="1"/>
  <c r="L241" i="4" s="1"/>
  <c r="L244" i="4" s="1"/>
  <c r="N243" i="4"/>
  <c r="N254" i="4"/>
  <c r="O280" i="4"/>
  <c r="O255" i="4"/>
  <c r="E12" i="4"/>
  <c r="E16" i="4" s="1"/>
  <c r="E20" i="4" s="1"/>
  <c r="E237" i="4"/>
  <c r="F234" i="4" s="1"/>
  <c r="N236" i="4"/>
  <c r="N280" i="4"/>
  <c r="O242" i="4"/>
  <c r="N157" i="4"/>
  <c r="N163" i="4"/>
  <c r="E109" i="4"/>
  <c r="O243" i="4"/>
  <c r="E220" i="4"/>
  <c r="N219" i="4"/>
  <c r="O218" i="4"/>
  <c r="E95" i="4"/>
  <c r="F12" i="4"/>
  <c r="F16" i="4" s="1"/>
  <c r="F20" i="4" s="1"/>
  <c r="N10" i="4"/>
  <c r="N99" i="4"/>
  <c r="E256" i="4"/>
  <c r="N255" i="4"/>
  <c r="N91" i="4"/>
  <c r="J256" i="4"/>
  <c r="K250" i="4"/>
  <c r="N93" i="4"/>
  <c r="O90" i="4"/>
  <c r="O91" i="4"/>
  <c r="L250" i="4"/>
  <c r="N89" i="4"/>
  <c r="F256" i="4"/>
  <c r="J250" i="4"/>
  <c r="N102" i="4"/>
  <c r="L256" i="4"/>
  <c r="F179" i="4"/>
  <c r="N101" i="4"/>
  <c r="H144" i="4"/>
  <c r="O105" i="4"/>
  <c r="N100" i="4"/>
  <c r="F144" i="4"/>
  <c r="N88" i="4"/>
  <c r="G256" i="4"/>
  <c r="G250" i="4"/>
  <c r="N92" i="4"/>
  <c r="O86" i="4"/>
  <c r="N94" i="4"/>
  <c r="X130" i="3"/>
  <c r="X142" i="3"/>
  <c r="I61" i="4"/>
  <c r="Z144" i="3"/>
  <c r="Z132" i="3"/>
  <c r="V136" i="3"/>
  <c r="V148" i="3"/>
  <c r="AC275" i="3"/>
  <c r="AC278" i="3" s="1"/>
  <c r="AB281" i="3"/>
  <c r="AB496" i="3" s="1"/>
  <c r="H179" i="4"/>
  <c r="Z131" i="3"/>
  <c r="Z143" i="3"/>
  <c r="L144" i="4"/>
  <c r="AC146" i="3"/>
  <c r="AC134" i="3"/>
  <c r="I95" i="4"/>
  <c r="O85" i="4"/>
  <c r="F240" i="4"/>
  <c r="F284" i="4"/>
  <c r="F98" i="4"/>
  <c r="F196" i="4"/>
  <c r="F247" i="4"/>
  <c r="F168" i="4"/>
  <c r="F120" i="4"/>
  <c r="F49" i="4"/>
  <c r="F233" i="4"/>
  <c r="F253" i="4"/>
  <c r="F133" i="4"/>
  <c r="F279" i="4"/>
  <c r="F206" i="4"/>
  <c r="F216" i="4"/>
  <c r="F84" i="4"/>
  <c r="F156" i="4"/>
  <c r="F268" i="4"/>
  <c r="F182" i="4"/>
  <c r="O92" i="4"/>
  <c r="U130" i="3"/>
  <c r="U142" i="3"/>
  <c r="J156" i="4"/>
  <c r="J233" i="4"/>
  <c r="J284" i="4"/>
  <c r="J240" i="4"/>
  <c r="J49" i="4"/>
  <c r="J253" i="4"/>
  <c r="J182" i="4"/>
  <c r="J98" i="4"/>
  <c r="J247" i="4"/>
  <c r="J120" i="4"/>
  <c r="J268" i="4"/>
  <c r="J133" i="4"/>
  <c r="J216" i="4"/>
  <c r="J206" i="4"/>
  <c r="J84" i="4"/>
  <c r="J279" i="4"/>
  <c r="J196" i="4"/>
  <c r="J168" i="4"/>
  <c r="AB143" i="3"/>
  <c r="AB131" i="3"/>
  <c r="L109" i="4"/>
  <c r="S144" i="3"/>
  <c r="S132" i="3"/>
  <c r="U147" i="3"/>
  <c r="U135" i="3"/>
  <c r="H129" i="4"/>
  <c r="J129" i="4"/>
  <c r="W130" i="3"/>
  <c r="W142" i="3"/>
  <c r="X143" i="3"/>
  <c r="X131" i="3"/>
  <c r="W143" i="3"/>
  <c r="W131" i="3"/>
  <c r="N184" i="4"/>
  <c r="AD135" i="3"/>
  <c r="AD147" i="3"/>
  <c r="AA144" i="3"/>
  <c r="AA132" i="3"/>
  <c r="L129" i="4"/>
  <c r="F129" i="4"/>
  <c r="O106" i="4"/>
  <c r="O101" i="4"/>
  <c r="Z130" i="3"/>
  <c r="Z142" i="3"/>
  <c r="Y145" i="3"/>
  <c r="Y133" i="3"/>
  <c r="X133" i="3"/>
  <c r="X145" i="3"/>
  <c r="AC136" i="3"/>
  <c r="AC148" i="3"/>
  <c r="AC160" i="3" s="1"/>
  <c r="K156" i="4"/>
  <c r="K196" i="4"/>
  <c r="K240" i="4"/>
  <c r="K233" i="4"/>
  <c r="K268" i="4"/>
  <c r="K279" i="4"/>
  <c r="K120" i="4"/>
  <c r="K284" i="4"/>
  <c r="K206" i="4"/>
  <c r="K182" i="4"/>
  <c r="K216" i="4"/>
  <c r="K253" i="4"/>
  <c r="K247" i="4"/>
  <c r="K49" i="4"/>
  <c r="K84" i="4"/>
  <c r="K168" i="4"/>
  <c r="K133" i="4"/>
  <c r="K98" i="4"/>
  <c r="K179" i="4"/>
  <c r="L179" i="4"/>
  <c r="O104" i="4"/>
  <c r="N103" i="4"/>
  <c r="F109" i="4"/>
  <c r="N86" i="4"/>
  <c r="N90" i="4"/>
  <c r="U141" i="3"/>
  <c r="U129" i="3"/>
  <c r="U112" i="3"/>
  <c r="AB145" i="3"/>
  <c r="AB133" i="3"/>
  <c r="V134" i="3"/>
  <c r="V146" i="3"/>
  <c r="AB136" i="3"/>
  <c r="AB148" i="3"/>
  <c r="Z147" i="3"/>
  <c r="Z135" i="3"/>
  <c r="H250" i="4"/>
  <c r="O107" i="4"/>
  <c r="N108" i="4"/>
  <c r="T134" i="3"/>
  <c r="T146" i="3"/>
  <c r="T158" i="3" s="1"/>
  <c r="Y146" i="3"/>
  <c r="Y134" i="3"/>
  <c r="T133" i="3"/>
  <c r="T145" i="3"/>
  <c r="T131" i="3"/>
  <c r="T143" i="3"/>
  <c r="U134" i="3"/>
  <c r="U146" i="3"/>
  <c r="G185" i="4"/>
  <c r="L182" i="4"/>
  <c r="L268" i="4"/>
  <c r="L98" i="4"/>
  <c r="L284" i="4"/>
  <c r="L49" i="4"/>
  <c r="L120" i="4"/>
  <c r="L233" i="4"/>
  <c r="L216" i="4"/>
  <c r="L196" i="4"/>
  <c r="L168" i="4"/>
  <c r="L279" i="4"/>
  <c r="L240" i="4"/>
  <c r="L206" i="4"/>
  <c r="L133" i="4"/>
  <c r="L84" i="4"/>
  <c r="L156" i="4"/>
  <c r="L253" i="4"/>
  <c r="L247" i="4"/>
  <c r="H109" i="4"/>
  <c r="J109" i="4"/>
  <c r="O89" i="4"/>
  <c r="AC133" i="3"/>
  <c r="AC145" i="3"/>
  <c r="T132" i="3"/>
  <c r="T144" i="3"/>
  <c r="AA129" i="3"/>
  <c r="AA141" i="3"/>
  <c r="AA112" i="3"/>
  <c r="V144" i="3"/>
  <c r="V132" i="3"/>
  <c r="AB132" i="3"/>
  <c r="AB144" i="3"/>
  <c r="AB156" i="3" s="1"/>
  <c r="W147" i="3"/>
  <c r="W135" i="3"/>
  <c r="Y136" i="3"/>
  <c r="Y148" i="3"/>
  <c r="AA134" i="3"/>
  <c r="AA146" i="3"/>
  <c r="AA158" i="3" s="1"/>
  <c r="I51" i="4"/>
  <c r="O19" i="4"/>
  <c r="O51" i="4" s="1"/>
  <c r="N61" i="4"/>
  <c r="S148" i="3"/>
  <c r="S136" i="3"/>
  <c r="V129" i="3"/>
  <c r="V141" i="3"/>
  <c r="V153" i="3" s="1"/>
  <c r="V112" i="3"/>
  <c r="F185" i="4"/>
  <c r="AB146" i="3"/>
  <c r="AB134" i="3"/>
  <c r="V131" i="3"/>
  <c r="V143" i="3"/>
  <c r="X129" i="3"/>
  <c r="X112" i="3"/>
  <c r="X141" i="3"/>
  <c r="Y130" i="3"/>
  <c r="Y142" i="3"/>
  <c r="H279" i="4"/>
  <c r="H268" i="4"/>
  <c r="H247" i="4"/>
  <c r="H168" i="4"/>
  <c r="H216" i="4"/>
  <c r="H156" i="4"/>
  <c r="H253" i="4"/>
  <c r="H133" i="4"/>
  <c r="H284" i="4"/>
  <c r="H120" i="4"/>
  <c r="H49" i="4"/>
  <c r="H206" i="4"/>
  <c r="H233" i="4"/>
  <c r="H182" i="4"/>
  <c r="H98" i="4"/>
  <c r="H84" i="4"/>
  <c r="H240" i="4"/>
  <c r="H196" i="4"/>
  <c r="O87" i="4"/>
  <c r="Y144" i="3"/>
  <c r="Y132" i="3"/>
  <c r="AD132" i="3"/>
  <c r="AD144" i="3"/>
  <c r="V145" i="3"/>
  <c r="V133" i="3"/>
  <c r="Z129" i="3"/>
  <c r="Z141" i="3"/>
  <c r="Z112" i="3"/>
  <c r="J144" i="4"/>
  <c r="N107" i="4"/>
  <c r="S130" i="3"/>
  <c r="S142" i="3"/>
  <c r="T129" i="3"/>
  <c r="T141" i="3"/>
  <c r="T112" i="3"/>
  <c r="AD143" i="3"/>
  <c r="AD131" i="3"/>
  <c r="Z136" i="3"/>
  <c r="Z148" i="3"/>
  <c r="O102" i="4"/>
  <c r="AC129" i="3"/>
  <c r="AC112" i="3"/>
  <c r="AC141" i="3"/>
  <c r="Y129" i="3"/>
  <c r="Y141" i="3"/>
  <c r="Y112" i="3"/>
  <c r="G129" i="4"/>
  <c r="I144" i="4"/>
  <c r="E279" i="4"/>
  <c r="E133" i="4"/>
  <c r="E268" i="4"/>
  <c r="E253" i="4"/>
  <c r="E247" i="4"/>
  <c r="E84" i="4"/>
  <c r="E284" i="4"/>
  <c r="E49" i="4"/>
  <c r="E156" i="4"/>
  <c r="E120" i="4"/>
  <c r="E233" i="4"/>
  <c r="E206" i="4"/>
  <c r="E98" i="4"/>
  <c r="E240" i="4"/>
  <c r="E196" i="4"/>
  <c r="E216" i="4"/>
  <c r="E182" i="4"/>
  <c r="O184" i="4"/>
  <c r="Y143" i="3"/>
  <c r="Y131" i="3"/>
  <c r="I206" i="4"/>
  <c r="I247" i="4"/>
  <c r="I284" i="4"/>
  <c r="I233" i="4"/>
  <c r="I168" i="4"/>
  <c r="I268" i="4"/>
  <c r="I133" i="4"/>
  <c r="I216" i="4"/>
  <c r="I49" i="4"/>
  <c r="I253" i="4"/>
  <c r="I182" i="4"/>
  <c r="I98" i="4"/>
  <c r="I240" i="4"/>
  <c r="I120" i="4"/>
  <c r="I84" i="4"/>
  <c r="I196" i="4"/>
  <c r="I156" i="4"/>
  <c r="I279" i="4"/>
  <c r="G144" i="4"/>
  <c r="O103" i="4"/>
  <c r="J95" i="4"/>
  <c r="AB147" i="3"/>
  <c r="AB135" i="3"/>
  <c r="T135" i="3"/>
  <c r="T147" i="3"/>
  <c r="F95" i="4"/>
  <c r="AC135" i="3"/>
  <c r="AC147" i="3"/>
  <c r="AA142" i="3"/>
  <c r="AA130" i="3"/>
  <c r="AC142" i="3"/>
  <c r="AC130" i="3"/>
  <c r="S133" i="3"/>
  <c r="S145" i="3"/>
  <c r="K256" i="4"/>
  <c r="F237" i="4"/>
  <c r="G234" i="4" s="1"/>
  <c r="G237" i="4" s="1"/>
  <c r="H234" i="4" s="1"/>
  <c r="H237" i="4" s="1"/>
  <c r="I234" i="4" s="1"/>
  <c r="I237" i="4" s="1"/>
  <c r="J234" i="4" s="1"/>
  <c r="J237" i="4" s="1"/>
  <c r="K234" i="4" s="1"/>
  <c r="K237" i="4" s="1"/>
  <c r="L234" i="4" s="1"/>
  <c r="L237" i="4" s="1"/>
  <c r="AB142" i="3"/>
  <c r="AB130" i="3"/>
  <c r="U136" i="3"/>
  <c r="U148" i="3"/>
  <c r="T142" i="3"/>
  <c r="T130" i="3"/>
  <c r="G109" i="4"/>
  <c r="I179" i="4"/>
  <c r="V147" i="3"/>
  <c r="V135" i="3"/>
  <c r="U131" i="3"/>
  <c r="U143" i="3"/>
  <c r="U155" i="3" s="1"/>
  <c r="W133" i="3"/>
  <c r="W145" i="3"/>
  <c r="K144" i="4"/>
  <c r="O15" i="4"/>
  <c r="J179" i="4"/>
  <c r="I129" i="4"/>
  <c r="F250" i="4"/>
  <c r="AA145" i="3"/>
  <c r="AA133" i="3"/>
  <c r="AD148" i="3"/>
  <c r="AD136" i="3"/>
  <c r="X147" i="3"/>
  <c r="X135" i="3"/>
  <c r="W148" i="3"/>
  <c r="W136" i="3"/>
  <c r="U132" i="3"/>
  <c r="U144" i="3"/>
  <c r="U156" i="3" s="1"/>
  <c r="U145" i="3"/>
  <c r="U133" i="3"/>
  <c r="AC143" i="3"/>
  <c r="AC131" i="3"/>
  <c r="Y147" i="3"/>
  <c r="Y135" i="3"/>
  <c r="K95" i="4"/>
  <c r="AD146" i="3"/>
  <c r="AD134" i="3"/>
  <c r="AD142" i="3"/>
  <c r="AD130" i="3"/>
  <c r="AC132" i="3"/>
  <c r="AC144" i="3"/>
  <c r="K129" i="4"/>
  <c r="N87" i="4"/>
  <c r="S135" i="3"/>
  <c r="S147" i="3"/>
  <c r="G95" i="4"/>
  <c r="K109" i="4"/>
  <c r="AD133" i="3"/>
  <c r="AD145" i="3"/>
  <c r="O93" i="4"/>
  <c r="O100" i="4"/>
  <c r="I250" i="4"/>
  <c r="N105" i="4"/>
  <c r="V130" i="3"/>
  <c r="V142" i="3"/>
  <c r="S112" i="3"/>
  <c r="S141" i="3"/>
  <c r="S129" i="3"/>
  <c r="AA143" i="3"/>
  <c r="AA131" i="3"/>
  <c r="AA148" i="3"/>
  <c r="AA136" i="3"/>
  <c r="Z134" i="3"/>
  <c r="Z146" i="3"/>
  <c r="Z158" i="3" s="1"/>
  <c r="AB141" i="3"/>
  <c r="AB129" i="3"/>
  <c r="AB112" i="3"/>
  <c r="AA147" i="3"/>
  <c r="AA135" i="3"/>
  <c r="W129" i="3"/>
  <c r="W141" i="3"/>
  <c r="W112" i="3"/>
  <c r="G179" i="4"/>
  <c r="N104" i="4"/>
  <c r="AD141" i="3"/>
  <c r="AD129" i="3"/>
  <c r="AD112" i="3"/>
  <c r="L95" i="4"/>
  <c r="O88" i="4"/>
  <c r="X144" i="3"/>
  <c r="X132" i="3"/>
  <c r="X134" i="3"/>
  <c r="X146" i="3"/>
  <c r="AB64" i="3"/>
  <c r="AC61" i="3" s="1"/>
  <c r="H256" i="4"/>
  <c r="G240" i="4"/>
  <c r="G279" i="4"/>
  <c r="G196" i="4"/>
  <c r="G168" i="4"/>
  <c r="G84" i="4"/>
  <c r="G247" i="4"/>
  <c r="G216" i="4"/>
  <c r="G284" i="4"/>
  <c r="G120" i="4"/>
  <c r="G49" i="4"/>
  <c r="G98" i="4"/>
  <c r="G268" i="4"/>
  <c r="G233" i="4"/>
  <c r="G133" i="4"/>
  <c r="G206" i="4"/>
  <c r="G156" i="4"/>
  <c r="G182" i="4"/>
  <c r="G253" i="4"/>
  <c r="O108" i="4"/>
  <c r="O94" i="4"/>
  <c r="N106" i="4"/>
  <c r="T136" i="3"/>
  <c r="T148" i="3"/>
  <c r="S134" i="3"/>
  <c r="S146" i="3"/>
  <c r="AA67" i="3"/>
  <c r="AA494" i="3" s="1"/>
  <c r="K53" i="4" s="1"/>
  <c r="P188" i="3"/>
  <c r="P191" i="3" s="1"/>
  <c r="O194" i="3"/>
  <c r="O495" i="3" s="1"/>
  <c r="H95" i="4"/>
  <c r="I109" i="4"/>
  <c r="O99" i="4"/>
  <c r="I256" i="4"/>
  <c r="O10" i="4"/>
  <c r="S131" i="3"/>
  <c r="S143" i="3"/>
  <c r="X148" i="3"/>
  <c r="X136" i="3"/>
  <c r="W134" i="3"/>
  <c r="W146" i="3"/>
  <c r="Z145" i="3"/>
  <c r="Z133" i="3"/>
  <c r="W144" i="3"/>
  <c r="W132" i="3"/>
  <c r="N220" i="4" l="1"/>
  <c r="O217" i="4" s="1"/>
  <c r="O200" i="4"/>
  <c r="W154" i="3"/>
  <c r="N179" i="4"/>
  <c r="N144" i="4"/>
  <c r="H421" i="3"/>
  <c r="G418" i="3"/>
  <c r="V154" i="3"/>
  <c r="AD156" i="3"/>
  <c r="U158" i="3"/>
  <c r="N129" i="4"/>
  <c r="Y154" i="3"/>
  <c r="N244" i="4"/>
  <c r="O241" i="4" s="1"/>
  <c r="O244" i="4" s="1"/>
  <c r="F197" i="4"/>
  <c r="E202" i="4"/>
  <c r="U160" i="3"/>
  <c r="X154" i="3"/>
  <c r="J158" i="4" s="1"/>
  <c r="AC137" i="3"/>
  <c r="N109" i="4"/>
  <c r="F207" i="4"/>
  <c r="E212" i="4"/>
  <c r="N247" i="4"/>
  <c r="N240" i="4"/>
  <c r="N250" i="4"/>
  <c r="N222" i="4"/>
  <c r="E222" i="4"/>
  <c r="F217" i="4"/>
  <c r="F220" i="4" s="1"/>
  <c r="G217" i="4" s="1"/>
  <c r="G220" i="4" s="1"/>
  <c r="N237" i="4"/>
  <c r="O234" i="4" s="1"/>
  <c r="O237" i="4" s="1"/>
  <c r="N95" i="4"/>
  <c r="W158" i="3"/>
  <c r="AC156" i="3"/>
  <c r="X158" i="3"/>
  <c r="V160" i="3"/>
  <c r="T156" i="3"/>
  <c r="V155" i="3"/>
  <c r="Y160" i="3"/>
  <c r="U154" i="3"/>
  <c r="W157" i="3"/>
  <c r="Z160" i="3"/>
  <c r="Z155" i="3"/>
  <c r="T160" i="3"/>
  <c r="AD159" i="3"/>
  <c r="Z137" i="3"/>
  <c r="W160" i="3"/>
  <c r="U159" i="3"/>
  <c r="T155" i="3"/>
  <c r="AB160" i="3"/>
  <c r="X157" i="3"/>
  <c r="X137" i="3"/>
  <c r="AD157" i="3"/>
  <c r="T157" i="3"/>
  <c r="V158" i="3"/>
  <c r="J162" i="4" s="1"/>
  <c r="O250" i="4"/>
  <c r="O256" i="4"/>
  <c r="O220" i="4"/>
  <c r="O222" i="4" s="1"/>
  <c r="N256" i="4"/>
  <c r="AB159" i="3"/>
  <c r="Z149" i="3"/>
  <c r="Z153" i="3"/>
  <c r="X159" i="3"/>
  <c r="W149" i="3"/>
  <c r="W153" i="3"/>
  <c r="W137" i="3"/>
  <c r="AD160" i="3"/>
  <c r="AB158" i="3"/>
  <c r="AC64" i="3"/>
  <c r="AD61" i="3" s="1"/>
  <c r="V159" i="3"/>
  <c r="AB67" i="3"/>
  <c r="AB494" i="3" s="1"/>
  <c r="AA157" i="3"/>
  <c r="W159" i="3"/>
  <c r="Z159" i="3"/>
  <c r="F37" i="4"/>
  <c r="O179" i="4"/>
  <c r="AB137" i="3"/>
  <c r="O216" i="4"/>
  <c r="O206" i="4"/>
  <c r="O196" i="4"/>
  <c r="O253" i="4"/>
  <c r="O156" i="4"/>
  <c r="O279" i="4"/>
  <c r="O98" i="4"/>
  <c r="O49" i="4"/>
  <c r="O284" i="4"/>
  <c r="O182" i="4"/>
  <c r="O233" i="4"/>
  <c r="O268" i="4"/>
  <c r="O240" i="4"/>
  <c r="O168" i="4"/>
  <c r="O84" i="4"/>
  <c r="O120" i="4"/>
  <c r="O133" i="4"/>
  <c r="O247" i="4"/>
  <c r="Y156" i="3"/>
  <c r="AD275" i="3"/>
  <c r="AD278" i="3" s="1"/>
  <c r="AD281" i="3" s="1"/>
  <c r="AD496" i="3" s="1"/>
  <c r="AC281" i="3"/>
  <c r="AC496" i="3" s="1"/>
  <c r="AB153" i="3"/>
  <c r="AB149" i="3"/>
  <c r="Y159" i="3"/>
  <c r="AC154" i="3"/>
  <c r="AD155" i="3"/>
  <c r="E37" i="4"/>
  <c r="X156" i="3"/>
  <c r="Y155" i="3"/>
  <c r="W155" i="3"/>
  <c r="G161" i="4"/>
  <c r="H161" i="4"/>
  <c r="AC155" i="3"/>
  <c r="O129" i="4"/>
  <c r="AA154" i="3"/>
  <c r="T149" i="3"/>
  <c r="T153" i="3"/>
  <c r="V149" i="3"/>
  <c r="Y157" i="3"/>
  <c r="AB155" i="3"/>
  <c r="W156" i="3"/>
  <c r="AC159" i="3"/>
  <c r="O144" i="4"/>
  <c r="T137" i="3"/>
  <c r="V137" i="3"/>
  <c r="V156" i="3"/>
  <c r="Y158" i="3"/>
  <c r="K162" i="4" s="1"/>
  <c r="AB157" i="3"/>
  <c r="Z154" i="3"/>
  <c r="X155" i="3"/>
  <c r="Z156" i="3"/>
  <c r="S153" i="3"/>
  <c r="S149" i="3"/>
  <c r="AD175" i="3"/>
  <c r="S156" i="3"/>
  <c r="AD178" i="3"/>
  <c r="AA156" i="3"/>
  <c r="AD154" i="3"/>
  <c r="V157" i="3"/>
  <c r="O109" i="4"/>
  <c r="H160" i="4"/>
  <c r="F160" i="4"/>
  <c r="AA159" i="3"/>
  <c r="AD158" i="3"/>
  <c r="S157" i="3"/>
  <c r="AD179" i="3"/>
  <c r="N182" i="4"/>
  <c r="N279" i="4"/>
  <c r="N268" i="4"/>
  <c r="N233" i="4"/>
  <c r="N98" i="4"/>
  <c r="N284" i="4"/>
  <c r="N196" i="4"/>
  <c r="N168" i="4"/>
  <c r="N216" i="4"/>
  <c r="N133" i="4"/>
  <c r="N49" i="4"/>
  <c r="N206" i="4"/>
  <c r="N120" i="4"/>
  <c r="N84" i="4"/>
  <c r="N253" i="4"/>
  <c r="N156" i="4"/>
  <c r="S154" i="3"/>
  <c r="AD176" i="3"/>
  <c r="Z157" i="3"/>
  <c r="T154" i="3"/>
  <c r="AA153" i="3"/>
  <c r="AA149" i="3"/>
  <c r="U137" i="3"/>
  <c r="O95" i="4"/>
  <c r="P194" i="3"/>
  <c r="P495" i="3" s="1"/>
  <c r="Q188" i="3"/>
  <c r="Q191" i="3" s="1"/>
  <c r="AA137" i="3"/>
  <c r="U153" i="3"/>
  <c r="U149" i="3"/>
  <c r="AA160" i="3"/>
  <c r="S159" i="3"/>
  <c r="AD181" i="3"/>
  <c r="U157" i="3"/>
  <c r="Y149" i="3"/>
  <c r="Y153" i="3"/>
  <c r="S160" i="3"/>
  <c r="AD182" i="3"/>
  <c r="AD137" i="3"/>
  <c r="Y137" i="3"/>
  <c r="X160" i="3"/>
  <c r="S158" i="3"/>
  <c r="I162" i="4" s="1"/>
  <c r="AD180" i="3"/>
  <c r="AD153" i="3"/>
  <c r="AD149" i="3"/>
  <c r="AA155" i="3"/>
  <c r="AB154" i="3"/>
  <c r="T159" i="3"/>
  <c r="AC153" i="3"/>
  <c r="AC149" i="3"/>
  <c r="X149" i="3"/>
  <c r="X153" i="3"/>
  <c r="AC157" i="3"/>
  <c r="AC158" i="3"/>
  <c r="S155" i="3"/>
  <c r="AD177" i="3"/>
  <c r="S137" i="3"/>
  <c r="L160" i="4" l="1"/>
  <c r="G427" i="3"/>
  <c r="G428" i="3" s="1"/>
  <c r="G433" i="3" s="1"/>
  <c r="G421" i="3"/>
  <c r="G431" i="3" s="1"/>
  <c r="J161" i="4"/>
  <c r="I160" i="4"/>
  <c r="F222" i="4"/>
  <c r="N160" i="4"/>
  <c r="J164" i="4"/>
  <c r="I159" i="4"/>
  <c r="K159" i="4"/>
  <c r="I163" i="4"/>
  <c r="I164" i="4"/>
  <c r="K164" i="4"/>
  <c r="L164" i="4"/>
  <c r="K158" i="4"/>
  <c r="J159" i="4"/>
  <c r="AA161" i="3"/>
  <c r="X161" i="3"/>
  <c r="L159" i="4"/>
  <c r="L163" i="4"/>
  <c r="K161" i="4"/>
  <c r="L55" i="4"/>
  <c r="O55" i="4" s="1"/>
  <c r="E38" i="4"/>
  <c r="S182" i="5" s="1"/>
  <c r="S190" i="5" s="1"/>
  <c r="K163" i="4"/>
  <c r="AD64" i="3"/>
  <c r="AD67" i="3" s="1"/>
  <c r="AD494" i="3" s="1"/>
  <c r="T189" i="3"/>
  <c r="AB189" i="3"/>
  <c r="AC67" i="3"/>
  <c r="AC494" i="3" s="1"/>
  <c r="I161" i="4"/>
  <c r="AB161" i="3"/>
  <c r="L157" i="4"/>
  <c r="L162" i="4"/>
  <c r="O162" i="4" s="1"/>
  <c r="H162" i="4"/>
  <c r="G162" i="4"/>
  <c r="H164" i="4"/>
  <c r="F164" i="4"/>
  <c r="L158" i="4"/>
  <c r="U189" i="3"/>
  <c r="F55" i="4"/>
  <c r="H55" i="4"/>
  <c r="G55" i="4"/>
  <c r="U161" i="3"/>
  <c r="AD189" i="3"/>
  <c r="H208" i="4" s="1"/>
  <c r="N208" i="4" s="1"/>
  <c r="G222" i="4"/>
  <c r="H217" i="4"/>
  <c r="H220" i="4" s="1"/>
  <c r="L161" i="4"/>
  <c r="N161" i="4"/>
  <c r="K160" i="4"/>
  <c r="W161" i="3"/>
  <c r="J160" i="4"/>
  <c r="F38" i="4"/>
  <c r="T182" i="5" s="1"/>
  <c r="T190" i="5" s="1"/>
  <c r="Y161" i="3"/>
  <c r="K157" i="4"/>
  <c r="Y189" i="3"/>
  <c r="V161" i="3"/>
  <c r="J157" i="4"/>
  <c r="G159" i="4"/>
  <c r="H159" i="4"/>
  <c r="AD183" i="3"/>
  <c r="AD190" i="3" s="1"/>
  <c r="V189" i="3"/>
  <c r="J163" i="4"/>
  <c r="X189" i="3"/>
  <c r="S189" i="3"/>
  <c r="T161" i="3"/>
  <c r="AC189" i="3"/>
  <c r="S161" i="3"/>
  <c r="I157" i="4"/>
  <c r="AC161" i="3"/>
  <c r="I158" i="4"/>
  <c r="AD161" i="3"/>
  <c r="W189" i="3"/>
  <c r="Q194" i="3"/>
  <c r="Q495" i="3" s="1"/>
  <c r="R188" i="3"/>
  <c r="R191" i="3" s="1"/>
  <c r="Z161" i="3"/>
  <c r="Z189" i="3"/>
  <c r="H158" i="4"/>
  <c r="F158" i="4"/>
  <c r="AA189" i="3"/>
  <c r="L53" i="4" l="1"/>
  <c r="O164" i="4"/>
  <c r="G432" i="3"/>
  <c r="O53" i="4"/>
  <c r="N53" i="4"/>
  <c r="N55" i="4"/>
  <c r="N202" i="4"/>
  <c r="O159" i="4"/>
  <c r="K208" i="4"/>
  <c r="L208" i="4"/>
  <c r="T447" i="3"/>
  <c r="T448" i="3" s="1"/>
  <c r="T452" i="3" s="1"/>
  <c r="AC447" i="3"/>
  <c r="AC448" i="3" s="1"/>
  <c r="AC473" i="3" s="1"/>
  <c r="AA447" i="3"/>
  <c r="AA448" i="3" s="1"/>
  <c r="AA452" i="3" s="1"/>
  <c r="Z447" i="3"/>
  <c r="Z448" i="3" s="1"/>
  <c r="Z473" i="3" s="1"/>
  <c r="W447" i="3"/>
  <c r="W448" i="3" s="1"/>
  <c r="W473" i="3" s="1"/>
  <c r="V447" i="3"/>
  <c r="Y447" i="3"/>
  <c r="U447" i="3"/>
  <c r="U448" i="3" s="1"/>
  <c r="U452" i="3" s="1"/>
  <c r="X447" i="3"/>
  <c r="X448" i="3" s="1"/>
  <c r="X473" i="3" s="1"/>
  <c r="J208" i="4"/>
  <c r="O158" i="4"/>
  <c r="N164" i="4"/>
  <c r="O160" i="4"/>
  <c r="O161" i="4"/>
  <c r="J165" i="4"/>
  <c r="O163" i="4"/>
  <c r="N162" i="4"/>
  <c r="AB447" i="3"/>
  <c r="L183" i="4"/>
  <c r="L185" i="4" s="1"/>
  <c r="H222" i="4"/>
  <c r="I217" i="4"/>
  <c r="I220" i="4" s="1"/>
  <c r="AD447" i="3"/>
  <c r="H183" i="4"/>
  <c r="N183" i="4" s="1"/>
  <c r="N185" i="4" s="1"/>
  <c r="K165" i="4"/>
  <c r="I165" i="4"/>
  <c r="O157" i="4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R194" i="3"/>
  <c r="R495" i="3" s="1"/>
  <c r="S188" i="3"/>
  <c r="S191" i="3" s="1"/>
  <c r="G165" i="4"/>
  <c r="N159" i="4"/>
  <c r="T187" i="5"/>
  <c r="S187" i="5"/>
  <c r="H165" i="4"/>
  <c r="L165" i="4"/>
  <c r="F209" i="4"/>
  <c r="G209" i="4"/>
  <c r="H209" i="4"/>
  <c r="L209" i="4"/>
  <c r="O209" i="4" s="1"/>
  <c r="I208" i="4"/>
  <c r="F200" i="4"/>
  <c r="G197" i="4" s="1"/>
  <c r="N158" i="4"/>
  <c r="F165" i="4"/>
  <c r="O202" i="4"/>
  <c r="K183" i="4" l="1"/>
  <c r="K185" i="4" s="1"/>
  <c r="F210" i="4"/>
  <c r="N209" i="4"/>
  <c r="N210" i="4" s="1"/>
  <c r="O208" i="4"/>
  <c r="N165" i="4"/>
  <c r="AC452" i="3"/>
  <c r="AC474" i="3" s="1"/>
  <c r="P183" i="5" s="1"/>
  <c r="P191" i="5" s="1"/>
  <c r="T473" i="3"/>
  <c r="U473" i="3"/>
  <c r="W452" i="3"/>
  <c r="W474" i="3" s="1"/>
  <c r="J183" i="5" s="1"/>
  <c r="J191" i="5" s="1"/>
  <c r="I183" i="4"/>
  <c r="I185" i="4" s="1"/>
  <c r="Z452" i="3"/>
  <c r="Z474" i="3" s="1"/>
  <c r="M183" i="5" s="1"/>
  <c r="M191" i="5" s="1"/>
  <c r="S447" i="3"/>
  <c r="S448" i="3" s="1"/>
  <c r="J183" i="4"/>
  <c r="J185" i="4" s="1"/>
  <c r="X452" i="3"/>
  <c r="X474" i="3" s="1"/>
  <c r="K183" i="5" s="1"/>
  <c r="K191" i="5" s="1"/>
  <c r="AA473" i="3"/>
  <c r="O165" i="4"/>
  <c r="F202" i="4"/>
  <c r="H185" i="4"/>
  <c r="S194" i="3"/>
  <c r="S495" i="3" s="1"/>
  <c r="T188" i="3"/>
  <c r="T191" i="3" s="1"/>
  <c r="I222" i="4"/>
  <c r="J217" i="4"/>
  <c r="J220" i="4" s="1"/>
  <c r="G463" i="3"/>
  <c r="H431" i="3"/>
  <c r="H463" i="3" s="1"/>
  <c r="I431" i="3"/>
  <c r="I463" i="3" s="1"/>
  <c r="J431" i="3"/>
  <c r="J463" i="3" s="1"/>
  <c r="K431" i="3"/>
  <c r="K463" i="3" s="1"/>
  <c r="L431" i="3"/>
  <c r="L463" i="3" s="1"/>
  <c r="M431" i="3"/>
  <c r="M463" i="3" s="1"/>
  <c r="N431" i="3"/>
  <c r="N463" i="3" s="1"/>
  <c r="O431" i="3"/>
  <c r="O463" i="3" s="1"/>
  <c r="P431" i="3"/>
  <c r="P463" i="3" s="1"/>
  <c r="Q431" i="3"/>
  <c r="Q463" i="3" s="1"/>
  <c r="R431" i="3"/>
  <c r="R463" i="3" s="1"/>
  <c r="G200" i="4"/>
  <c r="H197" i="4" s="1"/>
  <c r="U456" i="3"/>
  <c r="U474" i="3"/>
  <c r="H183" i="5" s="1"/>
  <c r="H191" i="5" s="1"/>
  <c r="T456" i="3"/>
  <c r="T474" i="3"/>
  <c r="G183" i="5" s="1"/>
  <c r="G191" i="5" s="1"/>
  <c r="Y448" i="3"/>
  <c r="K11" i="4"/>
  <c r="K12" i="4" s="1"/>
  <c r="K16" i="4" s="1"/>
  <c r="K20" i="4" s="1"/>
  <c r="G207" i="4"/>
  <c r="G210" i="4" s="1"/>
  <c r="F212" i="4"/>
  <c r="AD448" i="3"/>
  <c r="G11" i="4"/>
  <c r="H11" i="4"/>
  <c r="H12" i="4" s="1"/>
  <c r="H16" i="4" s="1"/>
  <c r="H20" i="4" s="1"/>
  <c r="V448" i="3"/>
  <c r="J11" i="4"/>
  <c r="J12" i="4" s="1"/>
  <c r="J16" i="4" s="1"/>
  <c r="J20" i="4" s="1"/>
  <c r="AA456" i="3"/>
  <c r="AA474" i="3"/>
  <c r="N183" i="5" s="1"/>
  <c r="N191" i="5" s="1"/>
  <c r="AB448" i="3"/>
  <c r="L11" i="4"/>
  <c r="L12" i="4" s="1"/>
  <c r="L16" i="4" s="1"/>
  <c r="L20" i="4" s="1"/>
  <c r="Z456" i="3" l="1"/>
  <c r="G12" i="4"/>
  <c r="G16" i="4" s="1"/>
  <c r="G20" i="4" s="1"/>
  <c r="N11" i="4"/>
  <c r="N12" i="4" s="1"/>
  <c r="N16" i="4" s="1"/>
  <c r="N20" i="4" s="1"/>
  <c r="O207" i="4"/>
  <c r="O210" i="4" s="1"/>
  <c r="O212" i="4" s="1"/>
  <c r="N212" i="4"/>
  <c r="I11" i="4"/>
  <c r="I12" i="4" s="1"/>
  <c r="I16" i="4" s="1"/>
  <c r="I20" i="4" s="1"/>
  <c r="O183" i="4"/>
  <c r="O185" i="4" s="1"/>
  <c r="AC456" i="3"/>
  <c r="W456" i="3"/>
  <c r="X456" i="3"/>
  <c r="H37" i="4"/>
  <c r="F27" i="4"/>
  <c r="H207" i="4"/>
  <c r="H210" i="4" s="1"/>
  <c r="G212" i="4"/>
  <c r="N188" i="5"/>
  <c r="G188" i="5"/>
  <c r="M188" i="5"/>
  <c r="U188" i="3"/>
  <c r="U191" i="3" s="1"/>
  <c r="T194" i="3"/>
  <c r="T495" i="3" s="1"/>
  <c r="L37" i="4"/>
  <c r="AD452" i="3"/>
  <c r="AD473" i="3"/>
  <c r="K37" i="4"/>
  <c r="K217" i="4"/>
  <c r="K220" i="4" s="1"/>
  <c r="J222" i="4"/>
  <c r="H200" i="4"/>
  <c r="I197" i="4" s="1"/>
  <c r="AB452" i="3"/>
  <c r="AB473" i="3"/>
  <c r="E27" i="4"/>
  <c r="G464" i="3"/>
  <c r="Y473" i="3"/>
  <c r="Y452" i="3"/>
  <c r="J37" i="4"/>
  <c r="P188" i="5"/>
  <c r="S473" i="3"/>
  <c r="S452" i="3"/>
  <c r="V473" i="3"/>
  <c r="V452" i="3"/>
  <c r="J188" i="5"/>
  <c r="K188" i="5"/>
  <c r="H188" i="5"/>
  <c r="G27" i="4"/>
  <c r="G202" i="4"/>
  <c r="N37" i="4" l="1"/>
  <c r="G465" i="3"/>
  <c r="G468" i="3" s="1"/>
  <c r="G493" i="3"/>
  <c r="O11" i="4"/>
  <c r="H202" i="4"/>
  <c r="I207" i="4"/>
  <c r="I210" i="4" s="1"/>
  <c r="H212" i="4"/>
  <c r="J38" i="4"/>
  <c r="T183" i="5" s="1"/>
  <c r="T191" i="5" s="1"/>
  <c r="V188" i="3"/>
  <c r="V191" i="3" s="1"/>
  <c r="U194" i="3"/>
  <c r="U495" i="3" s="1"/>
  <c r="I54" i="4" s="1"/>
  <c r="AB456" i="3"/>
  <c r="AB474" i="3"/>
  <c r="O183" i="5" s="1"/>
  <c r="O191" i="5" s="1"/>
  <c r="K38" i="4"/>
  <c r="U183" i="5" s="1"/>
  <c r="U191" i="5" s="1"/>
  <c r="G37" i="4"/>
  <c r="V474" i="3"/>
  <c r="I183" i="5" s="1"/>
  <c r="I191" i="5" s="1"/>
  <c r="V456" i="3"/>
  <c r="S474" i="3"/>
  <c r="F183" i="5" s="1"/>
  <c r="S456" i="3"/>
  <c r="I200" i="4"/>
  <c r="J197" i="4" s="1"/>
  <c r="L217" i="4"/>
  <c r="L220" i="4" s="1"/>
  <c r="L222" i="4" s="1"/>
  <c r="K222" i="4"/>
  <c r="I37" i="4"/>
  <c r="AD456" i="3"/>
  <c r="AD474" i="3"/>
  <c r="Q183" i="5" s="1"/>
  <c r="Q191" i="5" s="1"/>
  <c r="Y474" i="3"/>
  <c r="L183" i="5" s="1"/>
  <c r="L191" i="5" s="1"/>
  <c r="Y456" i="3"/>
  <c r="L38" i="4"/>
  <c r="V183" i="5" s="1"/>
  <c r="V191" i="5" s="1"/>
  <c r="H38" i="4"/>
  <c r="V182" i="5" s="1"/>
  <c r="V190" i="5" s="1"/>
  <c r="F191" i="5" l="1"/>
  <c r="F188" i="5"/>
  <c r="G491" i="3"/>
  <c r="G497" i="3" s="1"/>
  <c r="G475" i="3"/>
  <c r="F207" i="5" s="1"/>
  <c r="O12" i="4"/>
  <c r="O16" i="4" s="1"/>
  <c r="O20" i="4" s="1"/>
  <c r="V187" i="5"/>
  <c r="G38" i="4"/>
  <c r="U182" i="5" s="1"/>
  <c r="U190" i="5" s="1"/>
  <c r="N38" i="4"/>
  <c r="X182" i="5" s="1"/>
  <c r="X187" i="5" s="1"/>
  <c r="V188" i="5"/>
  <c r="L188" i="5"/>
  <c r="Q188" i="5"/>
  <c r="I188" i="5"/>
  <c r="U188" i="5"/>
  <c r="O188" i="5"/>
  <c r="V194" i="3"/>
  <c r="V495" i="3" s="1"/>
  <c r="W188" i="3"/>
  <c r="W191" i="3" s="1"/>
  <c r="I38" i="4"/>
  <c r="S183" i="5" s="1"/>
  <c r="S191" i="5" s="1"/>
  <c r="O38" i="4"/>
  <c r="X183" i="5" s="1"/>
  <c r="T188" i="5"/>
  <c r="J200" i="4"/>
  <c r="K197" i="4" s="1"/>
  <c r="I202" i="4"/>
  <c r="J207" i="4"/>
  <c r="J210" i="4" s="1"/>
  <c r="I212" i="4"/>
  <c r="Y190" i="5" l="1"/>
  <c r="X190" i="5" s="1"/>
  <c r="Y187" i="5"/>
  <c r="F212" i="5"/>
  <c r="F215" i="5"/>
  <c r="O37" i="4"/>
  <c r="G386" i="3"/>
  <c r="G388" i="3" s="1"/>
  <c r="K200" i="4"/>
  <c r="L197" i="4" s="1"/>
  <c r="S188" i="5"/>
  <c r="X188" i="3"/>
  <c r="X191" i="3" s="1"/>
  <c r="W194" i="3"/>
  <c r="W495" i="3" s="1"/>
  <c r="X188" i="5"/>
  <c r="Y191" i="5" s="1"/>
  <c r="X191" i="5" s="1"/>
  <c r="J202" i="4"/>
  <c r="U187" i="5"/>
  <c r="J212" i="4"/>
  <c r="K207" i="4"/>
  <c r="K210" i="4" s="1"/>
  <c r="X194" i="3" l="1"/>
  <c r="X495" i="3" s="1"/>
  <c r="J54" i="4" s="1"/>
  <c r="Y188" i="3"/>
  <c r="Y191" i="3" s="1"/>
  <c r="K212" i="4"/>
  <c r="L207" i="4"/>
  <c r="L210" i="4" s="1"/>
  <c r="L212" i="4" s="1"/>
  <c r="L200" i="4"/>
  <c r="L202" i="4" s="1"/>
  <c r="K202" i="4"/>
  <c r="G393" i="3" l="1"/>
  <c r="G394" i="3" s="1"/>
  <c r="Y194" i="3"/>
  <c r="Y495" i="3" s="1"/>
  <c r="Z188" i="3"/>
  <c r="Z191" i="3" s="1"/>
  <c r="H392" i="3" l="1"/>
  <c r="G506" i="3"/>
  <c r="Z194" i="3"/>
  <c r="Z495" i="3" s="1"/>
  <c r="AA188" i="3"/>
  <c r="AA191" i="3" s="1"/>
  <c r="G507" i="3" l="1"/>
  <c r="H398" i="3"/>
  <c r="H406" i="3" s="1"/>
  <c r="F158" i="5"/>
  <c r="AA194" i="3"/>
  <c r="AA495" i="3" s="1"/>
  <c r="K54" i="4" s="1"/>
  <c r="AB188" i="3"/>
  <c r="AB191" i="3" s="1"/>
  <c r="G512" i="3" l="1"/>
  <c r="G513" i="3" s="1"/>
  <c r="H511" i="3" s="1"/>
  <c r="AB194" i="3"/>
  <c r="AB495" i="3" s="1"/>
  <c r="AC188" i="3"/>
  <c r="AC191" i="3" s="1"/>
  <c r="G375" i="3" l="1"/>
  <c r="G376" i="3" s="1"/>
  <c r="AC194" i="3"/>
  <c r="AC495" i="3" s="1"/>
  <c r="AD188" i="3"/>
  <c r="AD191" i="3" s="1"/>
  <c r="AD194" i="3" s="1"/>
  <c r="AD495" i="3" s="1"/>
  <c r="F154" i="5" l="1"/>
  <c r="F162" i="5" s="1"/>
  <c r="H374" i="3"/>
  <c r="L54" i="4"/>
  <c r="O54" i="4" s="1"/>
  <c r="H54" i="4"/>
  <c r="F54" i="4"/>
  <c r="G54" i="4"/>
  <c r="F167" i="5" l="1"/>
  <c r="F170" i="5"/>
  <c r="H385" i="3"/>
  <c r="H379" i="3"/>
  <c r="H407" i="3" s="1"/>
  <c r="H408" i="3" s="1"/>
  <c r="H459" i="3" s="1"/>
  <c r="H460" i="3" s="1"/>
  <c r="H426" i="3" s="1"/>
  <c r="N54" i="4"/>
  <c r="H428" i="3" l="1"/>
  <c r="H433" i="3" s="1"/>
  <c r="H432" i="3" s="1"/>
  <c r="H464" i="3" s="1"/>
  <c r="H493" i="3" s="1"/>
  <c r="H465" i="3"/>
  <c r="H468" i="3" s="1"/>
  <c r="H491" i="3" s="1"/>
  <c r="H497" i="3" s="1"/>
  <c r="H386" i="3" s="1"/>
  <c r="H475" i="3" l="1"/>
  <c r="G207" i="5" s="1"/>
  <c r="H388" i="3"/>
  <c r="H393" i="3" s="1"/>
  <c r="G212" i="5" l="1"/>
  <c r="G215" i="5"/>
  <c r="H506" i="3"/>
  <c r="H507" i="3" s="1"/>
  <c r="H512" i="3" s="1"/>
  <c r="H394" i="3"/>
  <c r="I392" i="3" s="1"/>
  <c r="G158" i="5" l="1"/>
  <c r="H375" i="3"/>
  <c r="H376" i="3" s="1"/>
  <c r="H513" i="3"/>
  <c r="I511" i="3" s="1"/>
  <c r="I398" i="3"/>
  <c r="I406" i="3" s="1"/>
  <c r="E285" i="4" s="1"/>
  <c r="I374" i="3" l="1"/>
  <c r="I385" i="3" s="1"/>
  <c r="G154" i="5"/>
  <c r="G162" i="5" s="1"/>
  <c r="G170" i="5" s="1"/>
  <c r="G167" i="5" l="1"/>
  <c r="I379" i="3"/>
  <c r="I407" i="3" s="1"/>
  <c r="E286" i="4" l="1"/>
  <c r="I408" i="3"/>
  <c r="I459" i="3" s="1"/>
  <c r="E287" i="4" l="1"/>
  <c r="I460" i="3"/>
  <c r="E23" i="4"/>
  <c r="E24" i="4" l="1"/>
  <c r="I426" i="3"/>
  <c r="I428" i="3" l="1"/>
  <c r="I433" i="3" s="1"/>
  <c r="I432" i="3" s="1"/>
  <c r="I464" i="3" s="1"/>
  <c r="I465" i="3" s="1"/>
  <c r="I468" i="3" s="1"/>
  <c r="E28" i="4"/>
  <c r="I493" i="3" l="1"/>
  <c r="E52" i="4"/>
  <c r="E29" i="4"/>
  <c r="E32" i="4" s="1"/>
  <c r="E50" i="4" s="1"/>
  <c r="I475" i="3"/>
  <c r="H207" i="5" s="1"/>
  <c r="H215" i="5" s="1"/>
  <c r="I491" i="3"/>
  <c r="I497" i="3" s="1"/>
  <c r="I386" i="3" s="1"/>
  <c r="I388" i="3" l="1"/>
  <c r="I393" i="3" s="1"/>
  <c r="H212" i="5"/>
  <c r="E56" i="4"/>
  <c r="E39" i="4"/>
  <c r="S207" i="5" s="1"/>
  <c r="S215" i="5" s="1"/>
  <c r="E270" i="4" l="1"/>
  <c r="I506" i="3"/>
  <c r="E65" i="4" s="1"/>
  <c r="I394" i="3"/>
  <c r="H158" i="5" s="1"/>
  <c r="S212" i="5"/>
  <c r="I507" i="3" l="1"/>
  <c r="I512" i="3" s="1"/>
  <c r="I375" i="3" s="1"/>
  <c r="I376" i="3" s="1"/>
  <c r="E271" i="4"/>
  <c r="F269" i="4" s="1"/>
  <c r="J392" i="3"/>
  <c r="J398" i="3" s="1"/>
  <c r="J406" i="3" s="1"/>
  <c r="E66" i="4"/>
  <c r="E71" i="4" s="1"/>
  <c r="E72" i="4" s="1"/>
  <c r="F70" i="4" s="1"/>
  <c r="I513" i="3" l="1"/>
  <c r="J511" i="3" s="1"/>
  <c r="J374" i="3"/>
  <c r="J385" i="3" s="1"/>
  <c r="H154" i="5"/>
  <c r="H162" i="5" s="1"/>
  <c r="S162" i="5" l="1"/>
  <c r="S170" i="5" s="1"/>
  <c r="H170" i="5"/>
  <c r="H167" i="5"/>
  <c r="J379" i="3"/>
  <c r="J407" i="3" s="1"/>
  <c r="J408" i="3" l="1"/>
  <c r="J459" i="3" s="1"/>
  <c r="S167" i="5"/>
  <c r="J460" i="3" l="1"/>
  <c r="J426" i="3" l="1"/>
  <c r="J428" i="3" l="1"/>
  <c r="J433" i="3" s="1"/>
  <c r="J432" i="3" s="1"/>
  <c r="J464" i="3" s="1"/>
  <c r="J493" i="3" s="1"/>
  <c r="J465" i="3" l="1"/>
  <c r="J468" i="3" s="1"/>
  <c r="J475" i="3"/>
  <c r="I207" i="5" s="1"/>
  <c r="I215" i="5" s="1"/>
  <c r="J491" i="3"/>
  <c r="J497" i="3" s="1"/>
  <c r="J386" i="3" s="1"/>
  <c r="J388" i="3" l="1"/>
  <c r="J393" i="3" s="1"/>
  <c r="I212" i="5"/>
  <c r="J506" i="3" l="1"/>
  <c r="J394" i="3"/>
  <c r="I158" i="5" s="1"/>
  <c r="J507" i="3"/>
  <c r="J512" i="3" s="1"/>
  <c r="K392" i="3" l="1"/>
  <c r="J375" i="3"/>
  <c r="J376" i="3" s="1"/>
  <c r="J513" i="3"/>
  <c r="K511" i="3" s="1"/>
  <c r="K398" i="3"/>
  <c r="K406" i="3" s="1"/>
  <c r="I154" i="5" l="1"/>
  <c r="I162" i="5" s="1"/>
  <c r="I170" i="5" s="1"/>
  <c r="K374" i="3"/>
  <c r="K385" i="3" s="1"/>
  <c r="K379" i="3" l="1"/>
  <c r="K407" i="3" s="1"/>
  <c r="I167" i="5"/>
  <c r="K408" i="3" l="1"/>
  <c r="K459" i="3" s="1"/>
  <c r="K460" i="3" l="1"/>
  <c r="K426" i="3" l="1"/>
  <c r="K428" i="3" l="1"/>
  <c r="K433" i="3" s="1"/>
  <c r="K432" i="3" s="1"/>
  <c r="K464" i="3" s="1"/>
  <c r="K493" i="3"/>
  <c r="K465" i="3"/>
  <c r="K468" i="3" s="1"/>
  <c r="K491" i="3" l="1"/>
  <c r="K497" i="3" s="1"/>
  <c r="K386" i="3" s="1"/>
  <c r="K475" i="3"/>
  <c r="J207" i="5" s="1"/>
  <c r="J215" i="5" s="1"/>
  <c r="K388" i="3" l="1"/>
  <c r="K393" i="3" s="1"/>
  <c r="J212" i="5"/>
  <c r="K394" i="3" l="1"/>
  <c r="K506" i="3"/>
  <c r="K507" i="3" s="1"/>
  <c r="K512" i="3" s="1"/>
  <c r="J158" i="5"/>
  <c r="L392" i="3"/>
  <c r="K375" i="3" l="1"/>
  <c r="K376" i="3" s="1"/>
  <c r="K513" i="3"/>
  <c r="L511" i="3" s="1"/>
  <c r="L398" i="3"/>
  <c r="L406" i="3" s="1"/>
  <c r="J154" i="5" l="1"/>
  <c r="J162" i="5" s="1"/>
  <c r="J170" i="5" s="1"/>
  <c r="L374" i="3"/>
  <c r="L385" i="3" s="1"/>
  <c r="L379" i="3" l="1"/>
  <c r="L407" i="3" s="1"/>
  <c r="J167" i="5"/>
  <c r="F286" i="4" l="1"/>
  <c r="L408" i="3"/>
  <c r="L459" i="3" s="1"/>
  <c r="L460" i="3" s="1"/>
  <c r="L426" i="3" l="1"/>
  <c r="L428" i="3" l="1"/>
  <c r="L433" i="3" s="1"/>
  <c r="L432" i="3" s="1"/>
  <c r="L464" i="3" s="1"/>
  <c r="L493" i="3"/>
  <c r="L465" i="3"/>
  <c r="L468" i="3" s="1"/>
  <c r="L475" i="3" l="1"/>
  <c r="K207" i="5" s="1"/>
  <c r="K215" i="5" s="1"/>
  <c r="L491" i="3"/>
  <c r="L497" i="3" s="1"/>
  <c r="L386" i="3" s="1"/>
  <c r="L388" i="3" l="1"/>
  <c r="L393" i="3" s="1"/>
  <c r="K212" i="5"/>
  <c r="L394" i="3" l="1"/>
  <c r="K158" i="5" s="1"/>
  <c r="L506" i="3"/>
  <c r="M392" i="3" l="1"/>
  <c r="M398" i="3" s="1"/>
  <c r="M406" i="3" s="1"/>
  <c r="L507" i="3"/>
  <c r="L512" i="3" s="1"/>
  <c r="L375" i="3" s="1"/>
  <c r="L376" i="3" s="1"/>
  <c r="F65" i="4"/>
  <c r="L513" i="3"/>
  <c r="M511" i="3" s="1"/>
  <c r="K154" i="5"/>
  <c r="K162" i="5" s="1"/>
  <c r="M374" i="3"/>
  <c r="M385" i="3" s="1"/>
  <c r="T162" i="5" l="1"/>
  <c r="T170" i="5" s="1"/>
  <c r="K170" i="5"/>
  <c r="M379" i="3"/>
  <c r="M407" i="3" s="1"/>
  <c r="K167" i="5"/>
  <c r="T167" i="5" l="1"/>
  <c r="M408" i="3"/>
  <c r="M459" i="3" s="1"/>
  <c r="M460" i="3" l="1"/>
  <c r="M426" i="3" l="1"/>
  <c r="M428" i="3" s="1"/>
  <c r="M433" i="3" s="1"/>
  <c r="M432" i="3" s="1"/>
  <c r="M464" i="3" s="1"/>
  <c r="M493" i="3" l="1"/>
  <c r="M465" i="3"/>
  <c r="M468" i="3" s="1"/>
  <c r="M475" i="3" l="1"/>
  <c r="L207" i="5" s="1"/>
  <c r="L215" i="5" s="1"/>
  <c r="M491" i="3"/>
  <c r="M497" i="3" s="1"/>
  <c r="M386" i="3" s="1"/>
  <c r="M388" i="3" l="1"/>
  <c r="M393" i="3" s="1"/>
  <c r="L212" i="5"/>
  <c r="M506" i="3" l="1"/>
  <c r="M394" i="3"/>
  <c r="N392" i="3" s="1"/>
  <c r="M507" i="3"/>
  <c r="M512" i="3" s="1"/>
  <c r="L158" i="5" l="1"/>
  <c r="M375" i="3"/>
  <c r="M376" i="3" s="1"/>
  <c r="M513" i="3"/>
  <c r="N511" i="3" s="1"/>
  <c r="N398" i="3"/>
  <c r="N406" i="3" s="1"/>
  <c r="L154" i="5" l="1"/>
  <c r="L162" i="5" s="1"/>
  <c r="L170" i="5" s="1"/>
  <c r="N374" i="3"/>
  <c r="N385" i="3" s="1"/>
  <c r="N379" i="3" l="1"/>
  <c r="N407" i="3" s="1"/>
  <c r="N408" i="3" s="1"/>
  <c r="N459" i="3" s="1"/>
  <c r="N460" i="3" s="1"/>
  <c r="L167" i="5"/>
  <c r="N426" i="3" l="1"/>
  <c r="N428" i="3" s="1"/>
  <c r="N433" i="3" s="1"/>
  <c r="N432" i="3" s="1"/>
  <c r="N464" i="3" s="1"/>
  <c r="N493" i="3" l="1"/>
  <c r="N465" i="3"/>
  <c r="N468" i="3" s="1"/>
  <c r="N491" i="3" l="1"/>
  <c r="N497" i="3" s="1"/>
  <c r="N386" i="3" s="1"/>
  <c r="N475" i="3"/>
  <c r="M207" i="5" s="1"/>
  <c r="M215" i="5" s="1"/>
  <c r="N388" i="3" l="1"/>
  <c r="N393" i="3" s="1"/>
  <c r="M212" i="5"/>
  <c r="N506" i="3" l="1"/>
  <c r="N394" i="3"/>
  <c r="M158" i="5" s="1"/>
  <c r="N507" i="3" l="1"/>
  <c r="N512" i="3" s="1"/>
  <c r="O392" i="3"/>
  <c r="O398" i="3" s="1"/>
  <c r="O406" i="3" s="1"/>
  <c r="N375" i="3" l="1"/>
  <c r="N376" i="3" s="1"/>
  <c r="N513" i="3"/>
  <c r="O511" i="3" s="1"/>
  <c r="M154" i="5" l="1"/>
  <c r="M162" i="5" s="1"/>
  <c r="M170" i="5" s="1"/>
  <c r="O374" i="3"/>
  <c r="O385" i="3" l="1"/>
  <c r="O379" i="3"/>
  <c r="O407" i="3" s="1"/>
  <c r="O408" i="3" s="1"/>
  <c r="O459" i="3" s="1"/>
  <c r="O460" i="3" s="1"/>
  <c r="O426" i="3" s="1"/>
  <c r="O428" i="3" s="1"/>
  <c r="O433" i="3" s="1"/>
  <c r="O432" i="3" s="1"/>
  <c r="O464" i="3" s="1"/>
  <c r="O493" i="3" s="1"/>
  <c r="M167" i="5"/>
  <c r="O465" i="3" l="1"/>
  <c r="O468" i="3" s="1"/>
  <c r="O491" i="3" s="1"/>
  <c r="O497" i="3" s="1"/>
  <c r="O386" i="3" s="1"/>
  <c r="O475" i="3" l="1"/>
  <c r="N207" i="5" s="1"/>
  <c r="N215" i="5" s="1"/>
  <c r="O388" i="3"/>
  <c r="O393" i="3" s="1"/>
  <c r="N212" i="5"/>
  <c r="O506" i="3" l="1"/>
  <c r="O394" i="3"/>
  <c r="N158" i="5" s="1"/>
  <c r="O507" i="3" l="1"/>
  <c r="O512" i="3" s="1"/>
  <c r="G65" i="4"/>
  <c r="P392" i="3"/>
  <c r="P398" i="3" s="1"/>
  <c r="P406" i="3" s="1"/>
  <c r="O375" i="3" l="1"/>
  <c r="O376" i="3" s="1"/>
  <c r="O513" i="3"/>
  <c r="P511" i="3" s="1"/>
  <c r="P374" i="3" l="1"/>
  <c r="N154" i="5"/>
  <c r="N162" i="5" s="1"/>
  <c r="U162" i="5" l="1"/>
  <c r="U170" i="5" s="1"/>
  <c r="N170" i="5"/>
  <c r="N167" i="5"/>
  <c r="P385" i="3"/>
  <c r="P379" i="3"/>
  <c r="P407" i="3" s="1"/>
  <c r="P408" i="3" s="1"/>
  <c r="P459" i="3" s="1"/>
  <c r="P460" i="3" s="1"/>
  <c r="P426" i="3" s="1"/>
  <c r="P428" i="3" s="1"/>
  <c r="P433" i="3" s="1"/>
  <c r="P432" i="3" s="1"/>
  <c r="P464" i="3" s="1"/>
  <c r="U167" i="5" l="1"/>
  <c r="P493" i="3"/>
  <c r="P465" i="3"/>
  <c r="P468" i="3" s="1"/>
  <c r="P475" i="3" l="1"/>
  <c r="O207" i="5" s="1"/>
  <c r="O215" i="5" s="1"/>
  <c r="P491" i="3"/>
  <c r="P497" i="3" s="1"/>
  <c r="P386" i="3" s="1"/>
  <c r="P388" i="3" l="1"/>
  <c r="P393" i="3" s="1"/>
  <c r="O212" i="5"/>
  <c r="P506" i="3" l="1"/>
  <c r="P394" i="3"/>
  <c r="O158" i="5" s="1"/>
  <c r="P507" i="3" l="1"/>
  <c r="P512" i="3" s="1"/>
  <c r="Q392" i="3"/>
  <c r="Q398" i="3" s="1"/>
  <c r="Q406" i="3" s="1"/>
  <c r="P375" i="3"/>
  <c r="P376" i="3" s="1"/>
  <c r="P513" i="3"/>
  <c r="Q511" i="3" s="1"/>
  <c r="Q374" i="3" l="1"/>
  <c r="Q385" i="3" s="1"/>
  <c r="O154" i="5"/>
  <c r="O162" i="5" s="1"/>
  <c r="O170" i="5" s="1"/>
  <c r="O167" i="5" l="1"/>
  <c r="Q379" i="3"/>
  <c r="Q407" i="3" s="1"/>
  <c r="Q408" i="3" s="1"/>
  <c r="Q459" i="3" s="1"/>
  <c r="Q460" i="3" l="1"/>
  <c r="Q426" i="3" l="1"/>
  <c r="Q428" i="3" s="1"/>
  <c r="Q433" i="3" s="1"/>
  <c r="Q432" i="3" s="1"/>
  <c r="Q464" i="3" s="1"/>
  <c r="Q493" i="3" l="1"/>
  <c r="Q465" i="3"/>
  <c r="Q468" i="3" s="1"/>
  <c r="Q491" i="3" l="1"/>
  <c r="Q497" i="3" s="1"/>
  <c r="Q386" i="3" s="1"/>
  <c r="Q388" i="3" s="1"/>
  <c r="Q393" i="3" s="1"/>
  <c r="Q475" i="3"/>
  <c r="P207" i="5" s="1"/>
  <c r="P215" i="5" s="1"/>
  <c r="P212" i="5" l="1"/>
  <c r="Q506" i="3"/>
  <c r="Q394" i="3"/>
  <c r="Q507" i="3" l="1"/>
  <c r="Q512" i="3" s="1"/>
  <c r="P158" i="5"/>
  <c r="R392" i="3"/>
  <c r="R398" i="3" l="1"/>
  <c r="R406" i="3" s="1"/>
  <c r="Q375" i="3"/>
  <c r="Q376" i="3" s="1"/>
  <c r="Q513" i="3"/>
  <c r="R511" i="3" s="1"/>
  <c r="R374" i="3" l="1"/>
  <c r="R385" i="3" s="1"/>
  <c r="P154" i="5"/>
  <c r="P162" i="5" s="1"/>
  <c r="P170" i="5" s="1"/>
  <c r="P167" i="5" l="1"/>
  <c r="R379" i="3"/>
  <c r="R407" i="3" s="1"/>
  <c r="R408" i="3" s="1"/>
  <c r="R459" i="3" s="1"/>
  <c r="R460" i="3" l="1"/>
  <c r="H23" i="4"/>
  <c r="H24" i="4" s="1"/>
  <c r="R426" i="3" l="1"/>
  <c r="H420" i="3" s="1"/>
  <c r="R428" i="3" l="1"/>
  <c r="R433" i="3" s="1"/>
  <c r="R432" i="3" s="1"/>
  <c r="R464" i="3" s="1"/>
  <c r="H422" i="3"/>
  <c r="AB431" i="3"/>
  <c r="AB463" i="3" s="1"/>
  <c r="AD431" i="3"/>
  <c r="AD463" i="3" s="1"/>
  <c r="S431" i="3"/>
  <c r="S463" i="3" s="1"/>
  <c r="T431" i="3"/>
  <c r="T463" i="3" s="1"/>
  <c r="U431" i="3"/>
  <c r="U463" i="3" s="1"/>
  <c r="V431" i="3"/>
  <c r="V463" i="3" s="1"/>
  <c r="W431" i="3"/>
  <c r="W463" i="3" s="1"/>
  <c r="X431" i="3"/>
  <c r="X463" i="3" s="1"/>
  <c r="Y431" i="3"/>
  <c r="Y463" i="3" s="1"/>
  <c r="Z431" i="3"/>
  <c r="Z463" i="3" s="1"/>
  <c r="AA431" i="3"/>
  <c r="AA463" i="3" s="1"/>
  <c r="AC431" i="3"/>
  <c r="AC463" i="3" s="1"/>
  <c r="R493" i="3"/>
  <c r="R465" i="3"/>
  <c r="R468" i="3" s="1"/>
  <c r="H28" i="4"/>
  <c r="H52" i="4" s="1"/>
  <c r="R475" i="3" l="1"/>
  <c r="Q207" i="5" s="1"/>
  <c r="Q215" i="5" s="1"/>
  <c r="R491" i="3"/>
  <c r="R497" i="3" s="1"/>
  <c r="R386" i="3" s="1"/>
  <c r="R388" i="3" s="1"/>
  <c r="R393" i="3" s="1"/>
  <c r="R394" i="3" s="1"/>
  <c r="K27" i="4"/>
  <c r="J27" i="4"/>
  <c r="I27" i="4"/>
  <c r="H27" i="4"/>
  <c r="N27" i="4" s="1"/>
  <c r="L27" i="4"/>
  <c r="H29" i="4" l="1"/>
  <c r="H32" i="4" s="1"/>
  <c r="O27" i="4"/>
  <c r="R506" i="3"/>
  <c r="H65" i="4" s="1"/>
  <c r="Q212" i="5"/>
  <c r="Q158" i="5" l="1"/>
  <c r="S392" i="3"/>
  <c r="R507" i="3"/>
  <c r="R512" i="3" s="1"/>
  <c r="H66" i="4"/>
  <c r="H39" i="4"/>
  <c r="V207" i="5" s="1"/>
  <c r="V215" i="5" s="1"/>
  <c r="H50" i="4"/>
  <c r="H56" i="4" s="1"/>
  <c r="V212" i="5" l="1"/>
  <c r="H71" i="4"/>
  <c r="R375" i="3"/>
  <c r="R376" i="3" s="1"/>
  <c r="R513" i="3"/>
  <c r="S511" i="3" s="1"/>
  <c r="S398" i="3"/>
  <c r="S406" i="3" s="1"/>
  <c r="Q154" i="5" l="1"/>
  <c r="Q162" i="5" s="1"/>
  <c r="S374" i="3"/>
  <c r="S385" i="3" s="1"/>
  <c r="Q170" i="5" l="1"/>
  <c r="V162" i="5"/>
  <c r="S379" i="3"/>
  <c r="S407" i="3" s="1"/>
  <c r="Q167" i="5"/>
  <c r="X162" i="5" l="1"/>
  <c r="X167" i="5" s="1"/>
  <c r="V170" i="5"/>
  <c r="V167" i="5"/>
  <c r="S408" i="3"/>
  <c r="S459" i="3" s="1"/>
  <c r="Y170" i="5" l="1"/>
  <c r="X170" i="5" s="1"/>
  <c r="Y167" i="5"/>
  <c r="S460" i="3"/>
  <c r="S426" i="3" l="1"/>
  <c r="S428" i="3" l="1"/>
  <c r="S433" i="3" s="1"/>
  <c r="S432" i="3" s="1"/>
  <c r="S464" i="3" s="1"/>
  <c r="S493" i="3"/>
  <c r="S465" i="3"/>
  <c r="S468" i="3" s="1"/>
  <c r="S475" i="3" l="1"/>
  <c r="F208" i="5" s="1"/>
  <c r="S491" i="3"/>
  <c r="S497" i="3" s="1"/>
  <c r="S386" i="3" s="1"/>
  <c r="S388" i="3" s="1"/>
  <c r="S393" i="3" s="1"/>
  <c r="F216" i="5" l="1"/>
  <c r="F213" i="5"/>
  <c r="S506" i="3"/>
  <c r="S394" i="3"/>
  <c r="F159" i="5" s="1"/>
  <c r="T392" i="3" l="1"/>
  <c r="S507" i="3"/>
  <c r="S512" i="3" s="1"/>
  <c r="S375" i="3" l="1"/>
  <c r="S376" i="3" s="1"/>
  <c r="S513" i="3"/>
  <c r="T511" i="3" s="1"/>
  <c r="T398" i="3"/>
  <c r="T406" i="3" s="1"/>
  <c r="F155" i="5" l="1"/>
  <c r="F163" i="5" s="1"/>
  <c r="T374" i="3"/>
  <c r="T385" i="3" s="1"/>
  <c r="F171" i="5" l="1"/>
  <c r="F168" i="5"/>
  <c r="T379" i="3"/>
  <c r="T407" i="3" s="1"/>
  <c r="T408" i="3" l="1"/>
  <c r="T459" i="3" s="1"/>
  <c r="T460" i="3" l="1"/>
  <c r="T426" i="3" l="1"/>
  <c r="T428" i="3" l="1"/>
  <c r="T433" i="3" s="1"/>
  <c r="T432" i="3" s="1"/>
  <c r="T464" i="3" s="1"/>
  <c r="T493" i="3"/>
  <c r="T465" i="3"/>
  <c r="T468" i="3" s="1"/>
  <c r="T491" i="3" l="1"/>
  <c r="T497" i="3" s="1"/>
  <c r="T386" i="3" s="1"/>
  <c r="T388" i="3" s="1"/>
  <c r="T393" i="3" s="1"/>
  <c r="T475" i="3"/>
  <c r="G208" i="5" s="1"/>
  <c r="G216" i="5" s="1"/>
  <c r="G213" i="5" l="1"/>
  <c r="T506" i="3"/>
  <c r="T394" i="3"/>
  <c r="G159" i="5" l="1"/>
  <c r="U392" i="3"/>
  <c r="T507" i="3"/>
  <c r="T512" i="3" s="1"/>
  <c r="T375" i="3" l="1"/>
  <c r="T376" i="3" s="1"/>
  <c r="T513" i="3"/>
  <c r="U511" i="3" s="1"/>
  <c r="U398" i="3"/>
  <c r="U406" i="3" s="1"/>
  <c r="I285" i="4" l="1"/>
  <c r="G155" i="5"/>
  <c r="G163" i="5" s="1"/>
  <c r="G171" i="5" s="1"/>
  <c r="U374" i="3"/>
  <c r="U385" i="3" s="1"/>
  <c r="U379" i="3" l="1"/>
  <c r="U407" i="3" s="1"/>
  <c r="G168" i="5"/>
  <c r="I286" i="4" l="1"/>
  <c r="U408" i="3"/>
  <c r="U459" i="3" s="1"/>
  <c r="U460" i="3" l="1"/>
  <c r="I23" i="4"/>
  <c r="I24" i="4" s="1"/>
  <c r="I287" i="4"/>
  <c r="U426" i="3" l="1"/>
  <c r="U428" i="3" l="1"/>
  <c r="U433" i="3" s="1"/>
  <c r="U432" i="3" s="1"/>
  <c r="U464" i="3" s="1"/>
  <c r="U493" i="3" s="1"/>
  <c r="I28" i="4"/>
  <c r="U465" i="3" l="1"/>
  <c r="U468" i="3" s="1"/>
  <c r="I52" i="4"/>
  <c r="I29" i="4"/>
  <c r="I32" i="4" s="1"/>
  <c r="U491" i="3"/>
  <c r="U497" i="3" s="1"/>
  <c r="U386" i="3" s="1"/>
  <c r="U388" i="3" s="1"/>
  <c r="U393" i="3" s="1"/>
  <c r="U475" i="3"/>
  <c r="H208" i="5" s="1"/>
  <c r="H216" i="5" s="1"/>
  <c r="H213" i="5" l="1"/>
  <c r="U506" i="3"/>
  <c r="I65" i="4" s="1"/>
  <c r="I270" i="4"/>
  <c r="U394" i="3"/>
  <c r="I50" i="4"/>
  <c r="I56" i="4" s="1"/>
  <c r="I39" i="4"/>
  <c r="S208" i="5" s="1"/>
  <c r="S216" i="5" s="1"/>
  <c r="U507" i="3" l="1"/>
  <c r="U512" i="3" s="1"/>
  <c r="S213" i="5"/>
  <c r="H159" i="5"/>
  <c r="V392" i="3"/>
  <c r="V398" i="3" l="1"/>
  <c r="V406" i="3" s="1"/>
  <c r="I66" i="4"/>
  <c r="I71" i="4" s="1"/>
  <c r="U375" i="3"/>
  <c r="U376" i="3" s="1"/>
  <c r="U513" i="3"/>
  <c r="V511" i="3" s="1"/>
  <c r="H155" i="5" l="1"/>
  <c r="H163" i="5" s="1"/>
  <c r="V374" i="3"/>
  <c r="V385" i="3" s="1"/>
  <c r="H171" i="5" l="1"/>
  <c r="S163" i="5"/>
  <c r="S171" i="5" s="1"/>
  <c r="V379" i="3"/>
  <c r="V407" i="3" s="1"/>
  <c r="H168" i="5"/>
  <c r="S168" i="5" l="1"/>
  <c r="V408" i="3"/>
  <c r="V459" i="3" s="1"/>
  <c r="V460" i="3" l="1"/>
  <c r="V426" i="3" l="1"/>
  <c r="V428" i="3" l="1"/>
  <c r="V433" i="3" s="1"/>
  <c r="V432" i="3" s="1"/>
  <c r="V464" i="3" s="1"/>
  <c r="V493" i="3"/>
  <c r="V465" i="3"/>
  <c r="V468" i="3" s="1"/>
  <c r="V491" i="3" l="1"/>
  <c r="V497" i="3" s="1"/>
  <c r="V386" i="3" s="1"/>
  <c r="V388" i="3" s="1"/>
  <c r="V393" i="3" s="1"/>
  <c r="V475" i="3"/>
  <c r="I208" i="5" s="1"/>
  <c r="I216" i="5" s="1"/>
  <c r="I213" i="5" l="1"/>
  <c r="V506" i="3"/>
  <c r="V394" i="3"/>
  <c r="W392" i="3" l="1"/>
  <c r="I159" i="5"/>
  <c r="V507" i="3"/>
  <c r="V512" i="3" s="1"/>
  <c r="V375" i="3" l="1"/>
  <c r="V376" i="3" s="1"/>
  <c r="V513" i="3"/>
  <c r="W511" i="3" s="1"/>
  <c r="W398" i="3"/>
  <c r="W406" i="3" s="1"/>
  <c r="I155" i="5" l="1"/>
  <c r="I163" i="5" s="1"/>
  <c r="I171" i="5" s="1"/>
  <c r="W374" i="3"/>
  <c r="W385" i="3" s="1"/>
  <c r="W379" i="3" l="1"/>
  <c r="W407" i="3" s="1"/>
  <c r="I168" i="5"/>
  <c r="W408" i="3" l="1"/>
  <c r="W459" i="3" s="1"/>
  <c r="W460" i="3" l="1"/>
  <c r="W426" i="3" l="1"/>
  <c r="W428" i="3" l="1"/>
  <c r="W433" i="3" s="1"/>
  <c r="W432" i="3" s="1"/>
  <c r="W464" i="3" s="1"/>
  <c r="W493" i="3"/>
  <c r="W465" i="3"/>
  <c r="W468" i="3" s="1"/>
  <c r="W491" i="3" l="1"/>
  <c r="W497" i="3" s="1"/>
  <c r="W386" i="3" s="1"/>
  <c r="W475" i="3"/>
  <c r="J208" i="5" s="1"/>
  <c r="J216" i="5" s="1"/>
  <c r="W388" i="3" l="1"/>
  <c r="W393" i="3" s="1"/>
  <c r="J213" i="5"/>
  <c r="W394" i="3" l="1"/>
  <c r="J159" i="5" s="1"/>
  <c r="W506" i="3"/>
  <c r="W507" i="3" l="1"/>
  <c r="W512" i="3" s="1"/>
  <c r="W375" i="3" s="1"/>
  <c r="W376" i="3" s="1"/>
  <c r="X392" i="3"/>
  <c r="X398" i="3" s="1"/>
  <c r="X406" i="3" s="1"/>
  <c r="W513" i="3" l="1"/>
  <c r="X511" i="3" s="1"/>
  <c r="J285" i="4"/>
  <c r="X374" i="3"/>
  <c r="X385" i="3" s="1"/>
  <c r="J155" i="5"/>
  <c r="J163" i="5" s="1"/>
  <c r="J171" i="5" s="1"/>
  <c r="J168" i="5" l="1"/>
  <c r="X379" i="3"/>
  <c r="X407" i="3" s="1"/>
  <c r="J286" i="4" l="1"/>
  <c r="X408" i="3"/>
  <c r="X459" i="3" s="1"/>
  <c r="X460" i="3" l="1"/>
  <c r="J23" i="4"/>
  <c r="J24" i="4" s="1"/>
  <c r="J287" i="4"/>
  <c r="X426" i="3" l="1"/>
  <c r="X428" i="3" s="1"/>
  <c r="X433" i="3" s="1"/>
  <c r="X432" i="3" s="1"/>
  <c r="X464" i="3" s="1"/>
  <c r="X493" i="3" l="1"/>
  <c r="X465" i="3"/>
  <c r="X468" i="3" s="1"/>
  <c r="J28" i="4"/>
  <c r="J52" i="4" l="1"/>
  <c r="J29" i="4"/>
  <c r="J32" i="4" s="1"/>
  <c r="X475" i="3"/>
  <c r="K208" i="5" s="1"/>
  <c r="K216" i="5" s="1"/>
  <c r="X491" i="3"/>
  <c r="X497" i="3" s="1"/>
  <c r="X386" i="3" s="1"/>
  <c r="X388" i="3" l="1"/>
  <c r="X393" i="3" s="1"/>
  <c r="K213" i="5"/>
  <c r="J50" i="4"/>
  <c r="J56" i="4" s="1"/>
  <c r="J39" i="4"/>
  <c r="T208" i="5" s="1"/>
  <c r="T216" i="5" s="1"/>
  <c r="X506" i="3" l="1"/>
  <c r="J65" i="4" s="1"/>
  <c r="J270" i="4"/>
  <c r="X394" i="3"/>
  <c r="K159" i="5" s="1"/>
  <c r="T213" i="5"/>
  <c r="X507" i="3"/>
  <c r="X512" i="3" s="1"/>
  <c r="Y392" i="3" l="1"/>
  <c r="X375" i="3"/>
  <c r="X376" i="3" s="1"/>
  <c r="X513" i="3"/>
  <c r="Y511" i="3" s="1"/>
  <c r="J66" i="4"/>
  <c r="J71" i="4" s="1"/>
  <c r="Y398" i="3"/>
  <c r="Y406" i="3" s="1"/>
  <c r="K155" i="5" l="1"/>
  <c r="K163" i="5" s="1"/>
  <c r="Y374" i="3"/>
  <c r="Y385" i="3" s="1"/>
  <c r="K171" i="5" l="1"/>
  <c r="T163" i="5"/>
  <c r="T171" i="5" s="1"/>
  <c r="Y379" i="3"/>
  <c r="Y407" i="3" s="1"/>
  <c r="K168" i="5"/>
  <c r="T168" i="5" l="1"/>
  <c r="Y408" i="3"/>
  <c r="Y459" i="3" s="1"/>
  <c r="Y460" i="3" l="1"/>
  <c r="Y426" i="3" l="1"/>
  <c r="Y428" i="3" s="1"/>
  <c r="Y433" i="3" s="1"/>
  <c r="Y432" i="3" s="1"/>
  <c r="Y464" i="3" s="1"/>
  <c r="Y493" i="3" l="1"/>
  <c r="Y465" i="3"/>
  <c r="Y468" i="3" s="1"/>
  <c r="Y491" i="3" l="1"/>
  <c r="Y497" i="3" s="1"/>
  <c r="Y386" i="3" s="1"/>
  <c r="Y475" i="3"/>
  <c r="L208" i="5" s="1"/>
  <c r="L216" i="5" s="1"/>
  <c r="Y388" i="3" l="1"/>
  <c r="Y393" i="3" s="1"/>
  <c r="L213" i="5"/>
  <c r="Y506" i="3" l="1"/>
  <c r="Y394" i="3"/>
  <c r="Z392" i="3" s="1"/>
  <c r="Y507" i="3"/>
  <c r="Y512" i="3" s="1"/>
  <c r="L159" i="5" l="1"/>
  <c r="Y375" i="3"/>
  <c r="Y376" i="3" s="1"/>
  <c r="Y513" i="3"/>
  <c r="Z511" i="3" s="1"/>
  <c r="Z398" i="3"/>
  <c r="Z406" i="3" s="1"/>
  <c r="L155" i="5" l="1"/>
  <c r="L163" i="5" s="1"/>
  <c r="L171" i="5" s="1"/>
  <c r="Z374" i="3"/>
  <c r="Z385" i="3" s="1"/>
  <c r="Z379" i="3" l="1"/>
  <c r="Z407" i="3" s="1"/>
  <c r="L168" i="5"/>
  <c r="Z408" i="3" l="1"/>
  <c r="Z459" i="3" s="1"/>
  <c r="Z460" i="3" l="1"/>
  <c r="Z426" i="3" l="1"/>
  <c r="Z428" i="3" s="1"/>
  <c r="Z433" i="3" s="1"/>
  <c r="Z432" i="3" s="1"/>
  <c r="Z464" i="3" s="1"/>
  <c r="Z493" i="3" l="1"/>
  <c r="Z465" i="3"/>
  <c r="Z468" i="3" s="1"/>
  <c r="Z475" i="3" l="1"/>
  <c r="M208" i="5" s="1"/>
  <c r="M216" i="5" s="1"/>
  <c r="Z491" i="3"/>
  <c r="Z497" i="3" s="1"/>
  <c r="Z386" i="3" s="1"/>
  <c r="Z388" i="3" l="1"/>
  <c r="Z393" i="3" s="1"/>
  <c r="M213" i="5"/>
  <c r="Z506" i="3" l="1"/>
  <c r="Z507" i="3" s="1"/>
  <c r="Z512" i="3" s="1"/>
  <c r="Z394" i="3"/>
  <c r="AA392" i="3" s="1"/>
  <c r="M159" i="5" l="1"/>
  <c r="Z375" i="3"/>
  <c r="Z376" i="3" s="1"/>
  <c r="Z513" i="3"/>
  <c r="AA511" i="3" s="1"/>
  <c r="AA398" i="3"/>
  <c r="AA406" i="3" s="1"/>
  <c r="K285" i="4" l="1"/>
  <c r="AA374" i="3"/>
  <c r="AA385" i="3" s="1"/>
  <c r="M155" i="5"/>
  <c r="M163" i="5" s="1"/>
  <c r="M171" i="5" s="1"/>
  <c r="M168" i="5" l="1"/>
  <c r="AA379" i="3"/>
  <c r="AA407" i="3" s="1"/>
  <c r="K286" i="4" l="1"/>
  <c r="AA408" i="3"/>
  <c r="AA459" i="3" s="1"/>
  <c r="AA460" i="3" l="1"/>
  <c r="K23" i="4"/>
  <c r="K24" i="4" s="1"/>
  <c r="K287" i="4"/>
  <c r="AA426" i="3" l="1"/>
  <c r="AA428" i="3" s="1"/>
  <c r="AA433" i="3" s="1"/>
  <c r="AA432" i="3" s="1"/>
  <c r="AA464" i="3" s="1"/>
  <c r="AA493" i="3" l="1"/>
  <c r="AA465" i="3"/>
  <c r="AA468" i="3" s="1"/>
  <c r="K28" i="4"/>
  <c r="K52" i="4" l="1"/>
  <c r="K29" i="4"/>
  <c r="K32" i="4" s="1"/>
  <c r="AA475" i="3"/>
  <c r="N208" i="5" s="1"/>
  <c r="N216" i="5" s="1"/>
  <c r="AA491" i="3"/>
  <c r="AA497" i="3" s="1"/>
  <c r="AA386" i="3" s="1"/>
  <c r="AA388" i="3" l="1"/>
  <c r="AA393" i="3" s="1"/>
  <c r="K50" i="4"/>
  <c r="K56" i="4" s="1"/>
  <c r="K39" i="4"/>
  <c r="U208" i="5" s="1"/>
  <c r="U216" i="5" s="1"/>
  <c r="N213" i="5"/>
  <c r="AA506" i="3" l="1"/>
  <c r="K65" i="4" s="1"/>
  <c r="K270" i="4"/>
  <c r="AA394" i="3"/>
  <c r="AB392" i="3" s="1"/>
  <c r="U213" i="5"/>
  <c r="AA507" i="3"/>
  <c r="AA512" i="3" s="1"/>
  <c r="N159" i="5" l="1"/>
  <c r="K66" i="4"/>
  <c r="K71" i="4" s="1"/>
  <c r="AA375" i="3"/>
  <c r="AA376" i="3" s="1"/>
  <c r="AA513" i="3"/>
  <c r="AB511" i="3" s="1"/>
  <c r="AB398" i="3"/>
  <c r="AB406" i="3" s="1"/>
  <c r="N155" i="5" l="1"/>
  <c r="N163" i="5" s="1"/>
  <c r="AB374" i="3"/>
  <c r="AB385" i="3" s="1"/>
  <c r="U163" i="5" l="1"/>
  <c r="U171" i="5" s="1"/>
  <c r="N171" i="5"/>
  <c r="AB379" i="3"/>
  <c r="AB407" i="3" s="1"/>
  <c r="N168" i="5"/>
  <c r="U168" i="5" l="1"/>
  <c r="AB408" i="3"/>
  <c r="AB459" i="3" s="1"/>
  <c r="AB460" i="3" l="1"/>
  <c r="AB426" i="3" l="1"/>
  <c r="AB428" i="3" s="1"/>
  <c r="AB433" i="3" s="1"/>
  <c r="AB432" i="3" s="1"/>
  <c r="AB464" i="3" s="1"/>
  <c r="AB493" i="3" l="1"/>
  <c r="AB465" i="3"/>
  <c r="AB468" i="3" s="1"/>
  <c r="AB475" i="3" l="1"/>
  <c r="O208" i="5" s="1"/>
  <c r="O216" i="5" s="1"/>
  <c r="AB491" i="3"/>
  <c r="AB497" i="3" s="1"/>
  <c r="AB386" i="3" s="1"/>
  <c r="AB388" i="3" l="1"/>
  <c r="AB393" i="3" s="1"/>
  <c r="O213" i="5"/>
  <c r="AB506" i="3" l="1"/>
  <c r="AB394" i="3"/>
  <c r="O159" i="5" s="1"/>
  <c r="AB507" i="3"/>
  <c r="AB512" i="3" s="1"/>
  <c r="AC392" i="3" l="1"/>
  <c r="AB375" i="3"/>
  <c r="AB376" i="3" s="1"/>
  <c r="AB513" i="3"/>
  <c r="AC511" i="3" s="1"/>
  <c r="AC398" i="3"/>
  <c r="AC406" i="3" s="1"/>
  <c r="O155" i="5" l="1"/>
  <c r="O163" i="5" s="1"/>
  <c r="O171" i="5" s="1"/>
  <c r="AC374" i="3"/>
  <c r="AC385" i="3" s="1"/>
  <c r="AC379" i="3" l="1"/>
  <c r="AC407" i="3" s="1"/>
  <c r="O168" i="5"/>
  <c r="AC408" i="3" l="1"/>
  <c r="AC459" i="3" s="1"/>
  <c r="AC460" i="3" l="1"/>
  <c r="AC426" i="3" l="1"/>
  <c r="AC428" i="3" s="1"/>
  <c r="AC433" i="3" s="1"/>
  <c r="AC432" i="3" s="1"/>
  <c r="AC464" i="3" s="1"/>
  <c r="AC493" i="3" l="1"/>
  <c r="AC465" i="3"/>
  <c r="AC468" i="3" s="1"/>
  <c r="AC491" i="3" l="1"/>
  <c r="AC497" i="3" s="1"/>
  <c r="AC386" i="3" s="1"/>
  <c r="AC475" i="3"/>
  <c r="P208" i="5" s="1"/>
  <c r="P216" i="5" s="1"/>
  <c r="AC388" i="3" l="1"/>
  <c r="AC393" i="3" s="1"/>
  <c r="P213" i="5"/>
  <c r="AC506" i="3" l="1"/>
  <c r="AC394" i="3"/>
  <c r="AD392" i="3" s="1"/>
  <c r="AC507" i="3" l="1"/>
  <c r="AC512" i="3" s="1"/>
  <c r="P159" i="5"/>
  <c r="AD398" i="3"/>
  <c r="AD406" i="3" s="1"/>
  <c r="AC375" i="3"/>
  <c r="AC376" i="3" s="1"/>
  <c r="AC513" i="3"/>
  <c r="AD511" i="3" s="1"/>
  <c r="P155" i="5" l="1"/>
  <c r="P163" i="5" s="1"/>
  <c r="P171" i="5" s="1"/>
  <c r="AD374" i="3"/>
  <c r="AD385" i="3" s="1"/>
  <c r="F285" i="4"/>
  <c r="G285" i="4"/>
  <c r="H285" i="4"/>
  <c r="L285" i="4"/>
  <c r="O285" i="4" s="1"/>
  <c r="N285" i="4" l="1"/>
  <c r="F287" i="4"/>
  <c r="AD379" i="3"/>
  <c r="AD407" i="3" s="1"/>
  <c r="P168" i="5"/>
  <c r="H286" i="4" l="1"/>
  <c r="H287" i="4" s="1"/>
  <c r="G286" i="4"/>
  <c r="N286" i="4" s="1"/>
  <c r="L286" i="4"/>
  <c r="O286" i="4" s="1"/>
  <c r="AD408" i="3"/>
  <c r="AD459" i="3" s="1"/>
  <c r="AD460" i="3" l="1"/>
  <c r="F23" i="4"/>
  <c r="G23" i="4"/>
  <c r="G24" i="4" s="1"/>
  <c r="L23" i="4"/>
  <c r="L24" i="4" s="1"/>
  <c r="N287" i="4"/>
  <c r="G287" i="4"/>
  <c r="O287" i="4"/>
  <c r="L287" i="4"/>
  <c r="F24" i="4" l="1"/>
  <c r="N23" i="4"/>
  <c r="N24" i="4" s="1"/>
  <c r="O23" i="4"/>
  <c r="O24" i="4" s="1"/>
  <c r="AD426" i="3"/>
  <c r="I420" i="3" s="1"/>
  <c r="AD428" i="3" l="1"/>
  <c r="AD433" i="3" s="1"/>
  <c r="AD432" i="3" s="1"/>
  <c r="AD464" i="3" s="1"/>
  <c r="I422" i="3"/>
  <c r="AD493" i="3"/>
  <c r="F28" i="4"/>
  <c r="G28" i="4"/>
  <c r="AD465" i="3"/>
  <c r="AD468" i="3" s="1"/>
  <c r="L28" i="4"/>
  <c r="N28" i="4" l="1"/>
  <c r="L52" i="4"/>
  <c r="L29" i="4"/>
  <c r="L32" i="4" s="1"/>
  <c r="O28" i="4"/>
  <c r="AD475" i="3"/>
  <c r="Q208" i="5" s="1"/>
  <c r="Q216" i="5" s="1"/>
  <c r="AD491" i="3"/>
  <c r="AD497" i="3" s="1"/>
  <c r="AD386" i="3" s="1"/>
  <c r="G52" i="4"/>
  <c r="G29" i="4"/>
  <c r="G32" i="4" s="1"/>
  <c r="F52" i="4"/>
  <c r="F29" i="4"/>
  <c r="F32" i="4" s="1"/>
  <c r="AD388" i="3" l="1"/>
  <c r="AD393" i="3" s="1"/>
  <c r="N52" i="4"/>
  <c r="N29" i="4"/>
  <c r="N32" i="4" s="1"/>
  <c r="F39" i="4"/>
  <c r="T207" i="5" s="1"/>
  <c r="T215" i="5" s="1"/>
  <c r="F50" i="4"/>
  <c r="F56" i="4" s="1"/>
  <c r="G39" i="4"/>
  <c r="U207" i="5" s="1"/>
  <c r="U215" i="5" s="1"/>
  <c r="G50" i="4"/>
  <c r="G56" i="4" s="1"/>
  <c r="H270" i="4"/>
  <c r="F270" i="4"/>
  <c r="G270" i="4"/>
  <c r="Q213" i="5"/>
  <c r="O52" i="4"/>
  <c r="O29" i="4"/>
  <c r="O32" i="4" s="1"/>
  <c r="L39" i="4"/>
  <c r="V208" i="5" s="1"/>
  <c r="V216" i="5" s="1"/>
  <c r="L50" i="4"/>
  <c r="L56" i="4" s="1"/>
  <c r="N270" i="4" l="1"/>
  <c r="N271" i="4" s="1"/>
  <c r="O269" i="4" s="1"/>
  <c r="L270" i="4"/>
  <c r="O270" i="4" s="1"/>
  <c r="AD394" i="3"/>
  <c r="E400" i="3" s="1"/>
  <c r="AD506" i="3"/>
  <c r="L65" i="4" s="1"/>
  <c r="V213" i="5"/>
  <c r="O50" i="4"/>
  <c r="O56" i="4" s="1"/>
  <c r="O39" i="4"/>
  <c r="X208" i="5" s="1"/>
  <c r="Q159" i="5"/>
  <c r="N18" i="2"/>
  <c r="O271" i="4"/>
  <c r="F271" i="4"/>
  <c r="G269" i="4" s="1"/>
  <c r="G271" i="4" s="1"/>
  <c r="H269" i="4" s="1"/>
  <c r="H271" i="4" s="1"/>
  <c r="I269" i="4" s="1"/>
  <c r="I271" i="4" s="1"/>
  <c r="J269" i="4" s="1"/>
  <c r="J271" i="4" s="1"/>
  <c r="K269" i="4" s="1"/>
  <c r="K271" i="4" s="1"/>
  <c r="L269" i="4" s="1"/>
  <c r="L271" i="4" s="1"/>
  <c r="AD507" i="3"/>
  <c r="AD512" i="3" s="1"/>
  <c r="G66" i="4"/>
  <c r="G71" i="4" s="1"/>
  <c r="U212" i="5"/>
  <c r="T212" i="5"/>
  <c r="N50" i="4"/>
  <c r="N56" i="4" s="1"/>
  <c r="N39" i="4"/>
  <c r="X207" i="5" s="1"/>
  <c r="X212" i="5" s="1"/>
  <c r="Y215" i="5" l="1"/>
  <c r="X215" i="5" s="1"/>
  <c r="Y212" i="5"/>
  <c r="O65" i="4"/>
  <c r="O66" i="4" s="1"/>
  <c r="O71" i="4" s="1"/>
  <c r="N65" i="4"/>
  <c r="N66" i="4" s="1"/>
  <c r="N71" i="4" s="1"/>
  <c r="N72" i="4" s="1"/>
  <c r="O70" i="4" s="1"/>
  <c r="F66" i="4"/>
  <c r="F71" i="4" s="1"/>
  <c r="F72" i="4" s="1"/>
  <c r="G70" i="4" s="1"/>
  <c r="G72" i="4" s="1"/>
  <c r="H70" i="4" s="1"/>
  <c r="H72" i="4" s="1"/>
  <c r="I70" i="4" s="1"/>
  <c r="I72" i="4" s="1"/>
  <c r="J70" i="4" s="1"/>
  <c r="J72" i="4" s="1"/>
  <c r="K70" i="4" s="1"/>
  <c r="K72" i="4" s="1"/>
  <c r="L70" i="4" s="1"/>
  <c r="X213" i="5"/>
  <c r="Y216" i="5" s="1"/>
  <c r="X216" i="5" s="1"/>
  <c r="L66" i="4"/>
  <c r="L71" i="4" s="1"/>
  <c r="AD375" i="3"/>
  <c r="AD376" i="3" s="1"/>
  <c r="Q155" i="5" s="1"/>
  <c r="Q163" i="5" s="1"/>
  <c r="AD513" i="3"/>
  <c r="V163" i="5" l="1"/>
  <c r="Q171" i="5"/>
  <c r="O72" i="4"/>
  <c r="Q168" i="5"/>
  <c r="L72" i="4"/>
  <c r="X163" i="5" l="1"/>
  <c r="X168" i="5" s="1"/>
  <c r="Y171" i="5" s="1"/>
  <c r="X171" i="5" s="1"/>
  <c r="V171" i="5"/>
  <c r="V168" i="5"/>
</calcChain>
</file>

<file path=xl/sharedStrings.xml><?xml version="1.0" encoding="utf-8"?>
<sst xmlns="http://schemas.openxmlformats.org/spreadsheetml/2006/main" count="498" uniqueCount="215">
  <si>
    <t>FP&amp;A Budgeting and Forecasting Model</t>
  </si>
  <si>
    <t>Table of Contents</t>
  </si>
  <si>
    <t>Model Alerts</t>
  </si>
  <si>
    <t>Check</t>
  </si>
  <si>
    <t>Model</t>
  </si>
  <si>
    <t>Scheduling Issue for Employees</t>
  </si>
  <si>
    <t>Totals</t>
  </si>
  <si>
    <t>Scheduling Issue for Contractors</t>
  </si>
  <si>
    <t>Graphs</t>
  </si>
  <si>
    <t>Revolving Credit Line Within Limit</t>
  </si>
  <si>
    <t xml:space="preserve"> </t>
  </si>
  <si>
    <t xml:space="preserve">  </t>
  </si>
  <si>
    <t>Revenue: Accrued</t>
  </si>
  <si>
    <t>Figures in USD thousands</t>
  </si>
  <si>
    <t>Load Actual / Forecast Here</t>
  </si>
  <si>
    <t>Client</t>
  </si>
  <si>
    <t>Amt</t>
  </si>
  <si>
    <t>Mos</t>
  </si>
  <si>
    <t>Atlantis Food</t>
  </si>
  <si>
    <t>FocusRite</t>
  </si>
  <si>
    <t>NextLevel AI</t>
  </si>
  <si>
    <t>Hemway Rail</t>
  </si>
  <si>
    <t>Rail Works</t>
  </si>
  <si>
    <t>Eastlink Air</t>
  </si>
  <si>
    <t>Trans Loop</t>
  </si>
  <si>
    <t>High Travel</t>
  </si>
  <si>
    <t>Arc Finance</t>
  </si>
  <si>
    <t>GiveWay</t>
  </si>
  <si>
    <t>Revenue</t>
  </si>
  <si>
    <t>Total Revenue</t>
  </si>
  <si>
    <t>Revenue: Receivables</t>
  </si>
  <si>
    <t>Cash Flow</t>
  </si>
  <si>
    <r>
      <t xml:space="preserve">Sync </t>
    </r>
    <r>
      <rPr>
        <b/>
        <vertAlign val="superscript"/>
        <sz val="10"/>
        <color theme="1"/>
        <rFont val="Open Sans"/>
        <family val="2"/>
      </rPr>
      <t>1</t>
    </r>
  </si>
  <si>
    <r>
      <t xml:space="preserve">End </t>
    </r>
    <r>
      <rPr>
        <b/>
        <vertAlign val="superscript"/>
        <sz val="10"/>
        <color theme="1"/>
        <rFont val="Open Sans"/>
        <family val="2"/>
      </rPr>
      <t>2</t>
    </r>
  </si>
  <si>
    <t>Load</t>
  </si>
  <si>
    <t>Total Cash Flow</t>
  </si>
  <si>
    <t>Receivables</t>
  </si>
  <si>
    <t>Beginning</t>
  </si>
  <si>
    <t>Additions</t>
  </si>
  <si>
    <t>Reductions</t>
  </si>
  <si>
    <t>Ending</t>
  </si>
  <si>
    <t>Cash from Accounts Receivable</t>
  </si>
  <si>
    <t xml:space="preserve">The term 'End'  is used for a clients that only submit payment within one month once all work has been completed. </t>
  </si>
  <si>
    <t>Employee: Scheduling</t>
  </si>
  <si>
    <t>Scheduled Days</t>
  </si>
  <si>
    <t>Director</t>
  </si>
  <si>
    <t>Partner</t>
  </si>
  <si>
    <t>Principal</t>
  </si>
  <si>
    <t>Manager</t>
  </si>
  <si>
    <t>Sr Associate</t>
  </si>
  <si>
    <t>Associate</t>
  </si>
  <si>
    <t>Analyst</t>
  </si>
  <si>
    <t>Available Days</t>
  </si>
  <si>
    <t>Annual Salary</t>
  </si>
  <si>
    <t>Base Salary</t>
  </si>
  <si>
    <t>Total</t>
  </si>
  <si>
    <t>Employee Count</t>
  </si>
  <si>
    <t>Scheduling Issue?</t>
  </si>
  <si>
    <t>Employee: Totals</t>
  </si>
  <si>
    <r>
      <t xml:space="preserve">Benefits Expense </t>
    </r>
    <r>
      <rPr>
        <b/>
        <vertAlign val="superscript"/>
        <sz val="10"/>
        <color rgb="FF000000"/>
        <rFont val="Open Sans"/>
        <family val="2"/>
      </rPr>
      <t>1</t>
    </r>
  </si>
  <si>
    <t>Bonus Accrued</t>
  </si>
  <si>
    <t>Salary Total</t>
  </si>
  <si>
    <t xml:space="preserve">Benefits load includes retirement plan matching, government support payments and health benefits. </t>
  </si>
  <si>
    <t>Employee: Payables</t>
  </si>
  <si>
    <t>Bonus Paid</t>
  </si>
  <si>
    <t>Payables: Employees</t>
  </si>
  <si>
    <r>
      <t xml:space="preserve">Additions </t>
    </r>
    <r>
      <rPr>
        <vertAlign val="superscript"/>
        <sz val="10"/>
        <color rgb="FF000000"/>
        <rFont val="Open Sans"/>
        <family val="2"/>
      </rPr>
      <t>1</t>
    </r>
  </si>
  <si>
    <r>
      <t xml:space="preserve">Reductions </t>
    </r>
    <r>
      <rPr>
        <vertAlign val="superscript"/>
        <sz val="10"/>
        <color rgb="FF000000"/>
        <rFont val="Open Sans"/>
        <family val="2"/>
      </rPr>
      <t>1</t>
    </r>
  </si>
  <si>
    <t>Cash from Payables: Employees</t>
  </si>
  <si>
    <t>Contractor: Scheduling</t>
  </si>
  <si>
    <t>Strategy Specialist</t>
  </si>
  <si>
    <t>Marketing Specialist</t>
  </si>
  <si>
    <t>Leadership Specialist</t>
  </si>
  <si>
    <t>Business Analyst</t>
  </si>
  <si>
    <t>Possible Workdays</t>
  </si>
  <si>
    <t>Amount per Day</t>
  </si>
  <si>
    <t>Contractor Expense</t>
  </si>
  <si>
    <t>Contractor: Payables</t>
  </si>
  <si>
    <r>
      <t xml:space="preserve">Contractor Cash Flow </t>
    </r>
    <r>
      <rPr>
        <b/>
        <vertAlign val="superscript"/>
        <sz val="10"/>
        <color theme="1"/>
        <rFont val="Open Sans"/>
        <family val="2"/>
      </rPr>
      <t>1</t>
    </r>
  </si>
  <si>
    <t>Payables: Contractors</t>
  </si>
  <si>
    <t>Cash from Payables: Contractors</t>
  </si>
  <si>
    <t xml:space="preserve">Contractors are paid each month for work completed in the previous month. </t>
  </si>
  <si>
    <t>Total Costs</t>
  </si>
  <si>
    <t>Employee COGS</t>
  </si>
  <si>
    <t>Benefits Expense</t>
  </si>
  <si>
    <t>Bonus Expense</t>
  </si>
  <si>
    <t>Employee Total</t>
  </si>
  <si>
    <t>Total COGS</t>
  </si>
  <si>
    <t>Contractor Total</t>
  </si>
  <si>
    <t>COGS Total</t>
  </si>
  <si>
    <t>SG&amp;A Amounts</t>
  </si>
  <si>
    <t>Rent Expense</t>
  </si>
  <si>
    <t>Marketing Costs</t>
  </si>
  <si>
    <t>Accounting Costs</t>
  </si>
  <si>
    <t>SG&amp;A Total</t>
  </si>
  <si>
    <t>Tax Schedule</t>
  </si>
  <si>
    <t>Fiscal Year</t>
  </si>
  <si>
    <t>Effective Rate</t>
  </si>
  <si>
    <t>EBT</t>
  </si>
  <si>
    <t>Payment Year</t>
  </si>
  <si>
    <t>Monthly Installment</t>
  </si>
  <si>
    <t>Total Taxes</t>
  </si>
  <si>
    <t>Effective Tax Rate</t>
  </si>
  <si>
    <t>Summary</t>
  </si>
  <si>
    <t>Current Taxes</t>
  </si>
  <si>
    <t>Deferred Taxes</t>
  </si>
  <si>
    <t>Income Statement</t>
  </si>
  <si>
    <r>
      <t xml:space="preserve">COGS </t>
    </r>
    <r>
      <rPr>
        <vertAlign val="superscript"/>
        <sz val="10"/>
        <color rgb="FF000000"/>
        <rFont val="Open Sans"/>
        <family val="2"/>
      </rPr>
      <t>1</t>
    </r>
  </si>
  <si>
    <t>Gross Profit</t>
  </si>
  <si>
    <t>SG&amp;A</t>
  </si>
  <si>
    <t>EBITDA</t>
  </si>
  <si>
    <t>Depreciation</t>
  </si>
  <si>
    <t>EBIT</t>
  </si>
  <si>
    <t>Interest Expense</t>
  </si>
  <si>
    <t>Current Tax</t>
  </si>
  <si>
    <t>Deferred Tax</t>
  </si>
  <si>
    <t>Total Tax</t>
  </si>
  <si>
    <t>Net Income</t>
  </si>
  <si>
    <t>Margins</t>
  </si>
  <si>
    <t>Cash Flow Statement</t>
  </si>
  <si>
    <t>Cash From Operations</t>
  </si>
  <si>
    <t>Subtotal</t>
  </si>
  <si>
    <t>Cash From Investing</t>
  </si>
  <si>
    <t>Capital Expenditure</t>
  </si>
  <si>
    <t>Cash From Financing</t>
  </si>
  <si>
    <t>Line of Credit Issue / (Repay)</t>
  </si>
  <si>
    <t>Cash Balance</t>
  </si>
  <si>
    <t>Change in Cash</t>
  </si>
  <si>
    <t>Number of Employees</t>
  </si>
  <si>
    <t>Capex: Office</t>
  </si>
  <si>
    <t>New Employees Added</t>
  </si>
  <si>
    <t>Capex Per Employee</t>
  </si>
  <si>
    <t>Office Capex</t>
  </si>
  <si>
    <t>PPE: Office</t>
  </si>
  <si>
    <t>Beginning Balance</t>
  </si>
  <si>
    <r>
      <t xml:space="preserve">Less: Depreciation </t>
    </r>
    <r>
      <rPr>
        <vertAlign val="superscript"/>
        <sz val="10"/>
        <rFont val="Open Sans"/>
        <family val="2"/>
      </rPr>
      <t>1</t>
    </r>
  </si>
  <si>
    <t>Ending Balance</t>
  </si>
  <si>
    <t>Capex: Software</t>
  </si>
  <si>
    <t>Software Spend</t>
  </si>
  <si>
    <t>PPE: Software</t>
  </si>
  <si>
    <t>Software Capex</t>
  </si>
  <si>
    <t>Less: Depreciation</t>
  </si>
  <si>
    <t>Depreciation Summary</t>
  </si>
  <si>
    <t>Office Equipment</t>
  </si>
  <si>
    <t>Software</t>
  </si>
  <si>
    <t>Total Depreciation</t>
  </si>
  <si>
    <t>Capex Summary</t>
  </si>
  <si>
    <t>Total Capex</t>
  </si>
  <si>
    <t>Debt Schedule</t>
  </si>
  <si>
    <t>Increase / (Decrease)</t>
  </si>
  <si>
    <t>Annual</t>
  </si>
  <si>
    <t>Interest Rate</t>
  </si>
  <si>
    <t>Interest Income</t>
  </si>
  <si>
    <t>Available Cash</t>
  </si>
  <si>
    <t>Beginning Cash Balance</t>
  </si>
  <si>
    <t>Cash from Operations</t>
  </si>
  <si>
    <t>Cash from Investing</t>
  </si>
  <si>
    <t>Cash for Revolving Credit Line</t>
  </si>
  <si>
    <t>Revolving Credit Line</t>
  </si>
  <si>
    <t>Limit</t>
  </si>
  <si>
    <t>Limit Exceeded?</t>
  </si>
  <si>
    <t>Less: Interest Income</t>
  </si>
  <si>
    <t>Net Interest Expense</t>
  </si>
  <si>
    <t>Revenue Schedule</t>
  </si>
  <si>
    <t>Personnel Scheduling</t>
  </si>
  <si>
    <t>Scheduled Days: Employees</t>
  </si>
  <si>
    <t>Scheduled Days: Contractors</t>
  </si>
  <si>
    <t>Personnel Expenses</t>
  </si>
  <si>
    <t>Total Expense: Employees</t>
  </si>
  <si>
    <t>Total Expense: Contractors</t>
  </si>
  <si>
    <t>SG&amp;A Totals</t>
  </si>
  <si>
    <t>Working Capital Schedule</t>
  </si>
  <si>
    <t>Accounts Receivable</t>
  </si>
  <si>
    <t>Capital Expenditure Schedule</t>
  </si>
  <si>
    <t>Monthly Max</t>
  </si>
  <si>
    <t>Interest Rates</t>
  </si>
  <si>
    <t>Cash Balances</t>
  </si>
  <si>
    <t>Line of Credit</t>
  </si>
  <si>
    <t>Dashboard: Revenue</t>
  </si>
  <si>
    <t>Dashboard: Ending Cash Balance</t>
  </si>
  <si>
    <t>BY MONTH</t>
  </si>
  <si>
    <r>
      <t xml:space="preserve">BY MONTH </t>
    </r>
    <r>
      <rPr>
        <b/>
        <vertAlign val="superscript"/>
        <sz val="10"/>
        <rFont val="Open Sans"/>
        <family val="2"/>
      </rPr>
      <t>1</t>
    </r>
  </si>
  <si>
    <t>BY QUARTER</t>
  </si>
  <si>
    <t>BY YEAR</t>
  </si>
  <si>
    <r>
      <t xml:space="preserve">BY QUARTER </t>
    </r>
    <r>
      <rPr>
        <b/>
        <vertAlign val="superscript"/>
        <sz val="10"/>
        <rFont val="Open Sans"/>
        <family val="2"/>
      </rPr>
      <t>1</t>
    </r>
  </si>
  <si>
    <r>
      <t xml:space="preserve">BY YEAR </t>
    </r>
    <r>
      <rPr>
        <b/>
        <vertAlign val="superscript"/>
        <sz val="10"/>
        <color rgb="FF000000"/>
        <rFont val="Open Sans"/>
        <family val="2"/>
      </rPr>
      <t>1</t>
    </r>
  </si>
  <si>
    <t>LEGEND</t>
  </si>
  <si>
    <t xml:space="preserve">A balance on the line of credit is shown as a negative cash balance. </t>
  </si>
  <si>
    <t>Dashboard: EBITDA Margin</t>
  </si>
  <si>
    <t>Dashboard: Net Income Margin</t>
  </si>
  <si>
    <t>Graphing Data: Timing</t>
  </si>
  <si>
    <t>Year</t>
  </si>
  <si>
    <t>Actual / Forecast</t>
  </si>
  <si>
    <t>Graphing Data: Revenue</t>
  </si>
  <si>
    <t>Budget</t>
  </si>
  <si>
    <t>Type</t>
  </si>
  <si>
    <t>Labels</t>
  </si>
  <si>
    <t>Actuals</t>
  </si>
  <si>
    <t>Forecast</t>
  </si>
  <si>
    <t>Graphing Data: Ending Cash Balance</t>
  </si>
  <si>
    <t>End Balance: Cash</t>
  </si>
  <si>
    <t>End Balance: LOC</t>
  </si>
  <si>
    <t>End Balance: Cash / (LOC)</t>
  </si>
  <si>
    <t>LOC Limit</t>
  </si>
  <si>
    <t>Graphing Data: EBITDA Margin</t>
  </si>
  <si>
    <t>Category</t>
  </si>
  <si>
    <t>EBITDA Margin</t>
  </si>
  <si>
    <t xml:space="preserve">Revenue </t>
  </si>
  <si>
    <t>Graphing Data: Net Income Margin</t>
  </si>
  <si>
    <t>Net Income Margin</t>
  </si>
  <si>
    <t xml:space="preserve">I have used the term 'Sync' for a client that submits a payment each month for work completed in the previous month. </t>
  </si>
  <si>
    <t xml:space="preserve">I have assumed that the cash amount for base salary and benefits is equal to the accrued amount so that there are no timing differences. </t>
  </si>
  <si>
    <t xml:space="preserve">I have held the montly depreciation amounts constant for the office since they are small compared to the amounts for the software. </t>
  </si>
  <si>
    <t xml:space="preserve">I have assumed that the company makes equal monthly installment payments based on the previous year total taxes. </t>
  </si>
  <si>
    <t xml:space="preserve">I have assumed that all employee and contractor costs are billable and thus have been included in COGS instead of SG&amp;A.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</si>
</sst>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3" formatCode="_-* #,##0.00_-;\-* #,##0.00_-;_-* &quot;-&quot;??_-;_-@_-"/>
    <numFmt numFmtId="164" formatCode="_(* #,##0.00_);_(* \(#,##0.00\);_(* &quot;-&quot;??_);_(@_)"/>
    <numFmt numFmtId="165" formatCode="_(#,##0_)_%;\(#,##0\)_%;_(&quot;–&quot;_)_%;_(@_)_%"/>
    <numFmt numFmtId="166" formatCode="&quot;✖️&quot;;;&quot;☑️&quot;"/>
    <numFmt numFmtId="167" formatCode="[=1]&quot;✖️&quot;;[=0]&quot;☑️&quot;"/>
    <numFmt numFmtId="168" formatCode="[=1]&quot;☑️&quot;;[=0]&quot;✖️&quot;"/>
    <numFmt numFmtId="169" formatCode="_-* #,##0_-;\(#,##0\)_-;_-* &quot;-&quot;_-;_-@_-"/>
    <numFmt numFmtId="170" formatCode="0&quot;A&quot;"/>
    <numFmt numFmtId="171" formatCode=";;;"/>
    <numFmt numFmtId="172" formatCode="0_)"/>
    <numFmt numFmtId="173" formatCode="\Q0_)"/>
    <numFmt numFmtId="174" formatCode="mmm_)"/>
    <numFmt numFmtId="175" formatCode="[=1]&quot;☑️&quot;_);[=0]&quot;&quot;_)"/>
    <numFmt numFmtId="176" formatCode="0000"/>
    <numFmt numFmtId="177" formatCode="_(#,##0.0_);\(#,##0.0\);_(&quot;–&quot;_);_(@_)"/>
    <numFmt numFmtId="178" formatCode="_(#,##0_);\(#,##0\);_(&quot;–&quot;_);_(@_)"/>
    <numFmt numFmtId="179" formatCode="[=1]&quot;✅&quot;_);[=0]&quot;-&quot;\ _)"/>
    <numFmt numFmtId="180" formatCode="[=1]&quot;☑️&quot;;[=0]&quot;-&quot;"/>
    <numFmt numFmtId="181" formatCode="[=1]&quot;☑️&quot;_);[=0]&quot;-&quot;_)"/>
    <numFmt numFmtId="182" formatCode="@\⁽\¹\⁾"/>
    <numFmt numFmtId="183" formatCode="@\⁽\²\⁾"/>
    <numFmt numFmtId="184" formatCode="_(&quot;Yes&quot;_);;_(&quot;No&quot;_)"/>
    <numFmt numFmtId="185" formatCode="_(&quot;Yes&quot;_);;_(&quot;-&quot;_)"/>
    <numFmt numFmtId="186" formatCode="_(#,##0%_);\(#,##0%\);_(&quot;–&quot;_);_(@_)"/>
    <numFmt numFmtId="187" formatCode="mmm"/>
    <numFmt numFmtId="188" formatCode="[=1]&quot;Yes&quot;;[=0]&quot;No&quot;"/>
    <numFmt numFmtId="189" formatCode="0000_)"/>
    <numFmt numFmtId="190" formatCode="_(#,##0.0%_);\(#,##0.0%\);_(&quot;–&quot;_);_(@_)"/>
    <numFmt numFmtId="191" formatCode="#,##0.000000000000"/>
  </numFmts>
  <fonts count="59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8"/>
      <color theme="1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sz val="10"/>
      <name val="Arial"/>
      <family val="2"/>
    </font>
    <font>
      <sz val="10"/>
      <name val="Open Sans"/>
      <family val="2"/>
    </font>
    <font>
      <b/>
      <sz val="11"/>
      <color theme="1"/>
      <name val="Open Sans"/>
      <family val="2"/>
    </font>
    <font>
      <sz val="12"/>
      <color theme="1"/>
      <name val="Open Sans"/>
      <family val="2"/>
    </font>
    <font>
      <sz val="10"/>
      <color rgb="FFFA621C"/>
      <name val="Open Sans"/>
      <family val="2"/>
    </font>
    <font>
      <b/>
      <sz val="10"/>
      <name val="Open Sans"/>
      <family val="2"/>
    </font>
    <font>
      <u/>
      <sz val="12"/>
      <color theme="10"/>
      <name val="Open Sans"/>
      <family val="2"/>
    </font>
    <font>
      <b/>
      <sz val="12"/>
      <color rgb="FFFA621C"/>
      <name val="Open Sans"/>
      <family val="2"/>
    </font>
    <font>
      <u/>
      <sz val="10"/>
      <color theme="10"/>
      <name val="Arial"/>
      <family val="2"/>
    </font>
    <font>
      <sz val="12"/>
      <color rgb="FF000000"/>
      <name val="Open Sans"/>
      <family val="2"/>
    </font>
    <font>
      <sz val="11"/>
      <color rgb="FF3271D2"/>
      <name val="Open Sans"/>
      <family val="2"/>
    </font>
    <font>
      <sz val="11"/>
      <color rgb="FFFA621C"/>
      <name val="Open Sans"/>
      <family val="2"/>
    </font>
    <font>
      <sz val="12"/>
      <color rgb="FFFA621C"/>
      <name val="Open Sans"/>
      <family val="2"/>
    </font>
    <font>
      <b/>
      <sz val="12"/>
      <color rgb="FF132E57"/>
      <name val="Open Sans"/>
      <family val="2"/>
    </font>
    <font>
      <sz val="11"/>
      <name val="Open Sans"/>
      <family val="2"/>
    </font>
    <font>
      <sz val="10"/>
      <name val="Bookman"/>
      <family val="1"/>
    </font>
    <font>
      <b/>
      <sz val="14"/>
      <color rgb="FF3271D2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sz val="8"/>
      <color rgb="FF3271D2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sz val="10"/>
      <color rgb="FF3271D2"/>
      <name val="Open Sans"/>
      <family val="2"/>
    </font>
    <font>
      <b/>
      <sz val="9"/>
      <color rgb="FFFA621C"/>
      <name val="Open Sans"/>
      <family val="2"/>
    </font>
    <font>
      <sz val="9"/>
      <color rgb="FFFA621C"/>
      <name val="Open Sans"/>
      <family val="2"/>
    </font>
    <font>
      <sz val="9"/>
      <color rgb="FF3271D2"/>
      <name val="Open Sans"/>
      <family val="2"/>
    </font>
    <font>
      <b/>
      <vertAlign val="superscript"/>
      <sz val="10"/>
      <color theme="1"/>
      <name val="Open Sans"/>
      <family val="2"/>
    </font>
    <font>
      <sz val="8"/>
      <color rgb="FF000000"/>
      <name val="Open Sans"/>
      <family val="2"/>
    </font>
    <font>
      <b/>
      <sz val="10"/>
      <color rgb="FFFA621C"/>
      <name val="Open Sans"/>
      <family val="2"/>
    </font>
    <font>
      <b/>
      <sz val="11"/>
      <color rgb="FFFA621C"/>
      <name val="Open Sans"/>
      <family val="2"/>
    </font>
    <font>
      <b/>
      <vertAlign val="superscript"/>
      <sz val="10"/>
      <color rgb="FF000000"/>
      <name val="Open Sans"/>
      <family val="2"/>
    </font>
    <font>
      <vertAlign val="superscript"/>
      <sz val="10"/>
      <color rgb="FF000000"/>
      <name val="Open Sans"/>
      <family val="2"/>
    </font>
    <font>
      <b/>
      <sz val="11"/>
      <name val="Open Sans"/>
      <family val="2"/>
    </font>
    <font>
      <i/>
      <sz val="10"/>
      <color theme="1"/>
      <name val="Open Sans"/>
      <family val="2"/>
    </font>
    <font>
      <i/>
      <sz val="10"/>
      <color rgb="FF000000"/>
      <name val="Open Sans"/>
      <family val="2"/>
    </font>
    <font>
      <b/>
      <i/>
      <sz val="10"/>
      <color theme="1"/>
      <name val="Open Sans"/>
      <family val="2"/>
    </font>
    <font>
      <i/>
      <sz val="11"/>
      <name val="Open Sans"/>
      <family val="2"/>
    </font>
    <font>
      <sz val="11"/>
      <color theme="1"/>
      <name val="Arial Narrow"/>
      <family val="2"/>
    </font>
    <font>
      <sz val="11"/>
      <color rgb="FF000000"/>
      <name val="Open Sans"/>
      <family val="2"/>
    </font>
    <font>
      <vertAlign val="superscript"/>
      <sz val="10"/>
      <name val="Open Sans"/>
      <family val="2"/>
    </font>
    <font>
      <b/>
      <sz val="9"/>
      <color rgb="FF3271D2"/>
      <name val="Open Sans"/>
      <family val="2"/>
    </font>
    <font>
      <sz val="11"/>
      <name val="Arial Narrow"/>
      <family val="2"/>
    </font>
    <font>
      <i/>
      <sz val="10"/>
      <name val="Open Sans"/>
      <family val="2"/>
    </font>
    <font>
      <b/>
      <vertAlign val="superscript"/>
      <sz val="10"/>
      <name val="Open Sans"/>
      <family val="2"/>
    </font>
    <font>
      <sz val="8"/>
      <name val="Open Sans"/>
      <family val="2"/>
    </font>
    <font>
      <b/>
      <i/>
      <sz val="10"/>
      <color rgb="FF000000"/>
      <name val="Open Sans"/>
      <family val="2"/>
    </font>
    <font>
      <b/>
      <sz val="7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D9E5F7"/>
        <bgColor rgb="FFFFFFFF"/>
      </patternFill>
    </fill>
  </fills>
  <borders count="58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thin">
        <color rgb="FF3271D2"/>
      </left>
      <right/>
      <top style="thin">
        <color rgb="FF3271D2"/>
      </top>
      <bottom/>
      <diagonal/>
    </border>
    <border>
      <left/>
      <right/>
      <top style="thin">
        <color rgb="FF3271D2"/>
      </top>
      <bottom/>
      <diagonal/>
    </border>
    <border>
      <left style="hair">
        <color rgb="FF3271D2"/>
      </left>
      <right/>
      <top style="thin">
        <color rgb="FF3271D2"/>
      </top>
      <bottom/>
      <diagonal/>
    </border>
    <border>
      <left/>
      <right style="medium">
        <color rgb="FF3271D2"/>
      </right>
      <top style="thin">
        <color rgb="FF3271D2"/>
      </top>
      <bottom/>
      <diagonal/>
    </border>
    <border>
      <left style="thin">
        <color rgb="FF3271D2"/>
      </left>
      <right/>
      <top/>
      <bottom/>
      <diagonal/>
    </border>
    <border>
      <left style="hair">
        <color rgb="FF3271D2"/>
      </left>
      <right/>
      <top/>
      <bottom/>
      <diagonal/>
    </border>
    <border>
      <left/>
      <right style="medium">
        <color rgb="FF3271D2"/>
      </right>
      <top/>
      <bottom/>
      <diagonal/>
    </border>
    <border>
      <left/>
      <right style="medium">
        <color rgb="FF3271D2"/>
      </right>
      <top/>
      <bottom style="medium">
        <color rgb="FF3271D2"/>
      </bottom>
      <diagonal/>
    </border>
    <border>
      <left/>
      <right/>
      <top style="medium">
        <color rgb="FF3271D2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FA621C"/>
      </bottom>
      <diagonal/>
    </border>
    <border>
      <left style="thin">
        <color rgb="FFFA621C"/>
      </left>
      <right style="thin">
        <color rgb="FFFA621C"/>
      </right>
      <top style="thin">
        <color rgb="FFFA621C"/>
      </top>
      <bottom style="thin">
        <color rgb="FFFA621C"/>
      </bottom>
      <diagonal/>
    </border>
    <border>
      <left style="thin">
        <color rgb="FFFA621C"/>
      </left>
      <right/>
      <top style="thin">
        <color rgb="FFFA621C"/>
      </top>
      <bottom style="thin">
        <color rgb="FFFA621C"/>
      </bottom>
      <diagonal/>
    </border>
    <border>
      <left/>
      <right/>
      <top style="thin">
        <color rgb="FFFA621C"/>
      </top>
      <bottom style="thin">
        <color rgb="FFFA621C"/>
      </bottom>
      <diagonal/>
    </border>
    <border>
      <left style="hair">
        <color rgb="FFFA621C"/>
      </left>
      <right/>
      <top style="thin">
        <color rgb="FFFA621C"/>
      </top>
      <bottom style="thin">
        <color rgb="FFFA621C"/>
      </bottom>
      <diagonal/>
    </border>
    <border>
      <left/>
      <right style="thin">
        <color rgb="FFFA621C"/>
      </right>
      <top style="thin">
        <color rgb="FFFA621C"/>
      </top>
      <bottom style="thin">
        <color rgb="FFFA621C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hair">
        <color rgb="FF3271D2"/>
      </top>
      <bottom/>
      <diagonal/>
    </border>
    <border>
      <left style="thin">
        <color rgb="FF3271D2"/>
      </left>
      <right/>
      <top/>
      <bottom style="medium">
        <color rgb="FF3271D2"/>
      </bottom>
      <diagonal/>
    </border>
    <border>
      <left/>
      <right/>
      <top/>
      <bottom style="medium">
        <color rgb="FF3271D2"/>
      </bottom>
      <diagonal/>
    </border>
    <border>
      <left style="hair">
        <color rgb="FF3271D2"/>
      </left>
      <right/>
      <top/>
      <bottom style="medium">
        <color rgb="FF3271D2"/>
      </bottom>
      <diagonal/>
    </border>
    <border>
      <left style="hair">
        <color rgb="FF3271D2"/>
      </left>
      <right style="thin">
        <color rgb="FF3271D2"/>
      </right>
      <top style="thin">
        <color rgb="FF3271D2"/>
      </top>
      <bottom/>
      <diagonal/>
    </border>
    <border>
      <left style="hair">
        <color rgb="FF3271D2"/>
      </left>
      <right style="thin">
        <color rgb="FF3271D2"/>
      </right>
      <top/>
      <bottom style="medium">
        <color rgb="FF3271D2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medium">
        <color rgb="FF000000"/>
      </bottom>
      <diagonal/>
    </border>
  </borders>
  <cellStyleXfs count="9">
    <xf numFmtId="0" fontId="0" fillId="0" borderId="0"/>
    <xf numFmtId="0" fontId="2" fillId="0" borderId="0"/>
    <xf numFmtId="0" fontId="11" fillId="0" borderId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0" fontId="1" fillId="0" borderId="0"/>
    <xf numFmtId="164" fontId="49" fillId="0" borderId="0" applyFont="0" applyFill="0" applyBorder="0" applyAlignment="0" applyProtection="0"/>
    <xf numFmtId="0" fontId="1" fillId="0" borderId="0"/>
  </cellStyleXfs>
  <cellXfs count="453">
    <xf numFmtId="0" fontId="0" fillId="0" borderId="0" xfId="0"/>
    <xf numFmtId="0" fontId="8" fillId="0" borderId="0" xfId="1" applyFont="1"/>
    <xf numFmtId="0" fontId="8" fillId="2" borderId="1" xfId="1" applyFont="1" applyFill="1" applyBorder="1"/>
    <xf numFmtId="0" fontId="8" fillId="2" borderId="2" xfId="1" applyFont="1" applyFill="1" applyBorder="1"/>
    <xf numFmtId="0" fontId="8" fillId="2" borderId="3" xfId="1" applyFont="1" applyFill="1" applyBorder="1"/>
    <xf numFmtId="0" fontId="8" fillId="2" borderId="4" xfId="1" applyFont="1" applyFill="1" applyBorder="1"/>
    <xf numFmtId="0" fontId="8" fillId="2" borderId="0" xfId="1" applyFont="1" applyFill="1"/>
    <xf numFmtId="0" fontId="8" fillId="2" borderId="5" xfId="1" applyFont="1" applyFill="1" applyBorder="1"/>
    <xf numFmtId="0" fontId="7" fillId="2" borderId="0" xfId="1" applyFont="1" applyFill="1"/>
    <xf numFmtId="0" fontId="8" fillId="0" borderId="4" xfId="1" applyFont="1" applyBorder="1"/>
    <xf numFmtId="0" fontId="8" fillId="0" borderId="5" xfId="1" applyFont="1" applyBorder="1"/>
    <xf numFmtId="0" fontId="1" fillId="0" borderId="0" xfId="1" applyFont="1"/>
    <xf numFmtId="0" fontId="14" fillId="0" borderId="0" xfId="1" applyFont="1"/>
    <xf numFmtId="0" fontId="18" fillId="0" borderId="0" xfId="1" applyFont="1"/>
    <xf numFmtId="165" fontId="20" fillId="0" borderId="0" xfId="4" applyNumberFormat="1" applyFont="1" applyFill="1" applyBorder="1" applyAlignment="1" applyProtection="1">
      <alignment horizontal="left"/>
      <protection locked="0"/>
    </xf>
    <xf numFmtId="0" fontId="22" fillId="0" borderId="0" xfId="1" applyFont="1"/>
    <xf numFmtId="165" fontId="23" fillId="0" borderId="0" xfId="4" applyNumberFormat="1" applyFont="1" applyFill="1" applyBorder="1" applyAlignment="1" applyProtection="1">
      <alignment horizontal="right" indent="1"/>
      <protection locked="0"/>
    </xf>
    <xf numFmtId="168" fontId="18" fillId="0" borderId="0" xfId="2" applyNumberFormat="1" applyFont="1" applyAlignment="1">
      <alignment horizontal="center"/>
    </xf>
    <xf numFmtId="0" fontId="8" fillId="0" borderId="0" xfId="1" applyFont="1" applyAlignment="1">
      <alignment horizontal="right"/>
    </xf>
    <xf numFmtId="0" fontId="24" fillId="0" borderId="0" xfId="1" applyFont="1" applyProtection="1">
      <protection locked="0"/>
    </xf>
    <xf numFmtId="0" fontId="8" fillId="0" borderId="7" xfId="1" applyFont="1" applyBorder="1"/>
    <xf numFmtId="0" fontId="8" fillId="0" borderId="8" xfId="1" applyFont="1" applyBorder="1"/>
    <xf numFmtId="0" fontId="8" fillId="0" borderId="9" xfId="1" applyFont="1" applyBorder="1"/>
    <xf numFmtId="0" fontId="25" fillId="0" borderId="0" xfId="2" applyFont="1" applyAlignment="1">
      <alignment vertical="center"/>
    </xf>
    <xf numFmtId="0" fontId="27" fillId="3" borderId="0" xfId="2" applyFont="1" applyFill="1" applyAlignment="1">
      <alignment vertical="center"/>
    </xf>
    <xf numFmtId="37" fontId="5" fillId="3" borderId="0" xfId="2" applyNumberFormat="1" applyFont="1" applyFill="1" applyAlignment="1">
      <alignment vertical="center"/>
    </xf>
    <xf numFmtId="37" fontId="23" fillId="3" borderId="0" xfId="2" applyNumberFormat="1" applyFont="1" applyFill="1" applyAlignment="1">
      <alignment vertical="center"/>
    </xf>
    <xf numFmtId="0" fontId="8" fillId="0" borderId="0" xfId="2" applyFont="1" applyAlignment="1">
      <alignment vertical="center"/>
    </xf>
    <xf numFmtId="0" fontId="27" fillId="0" borderId="0" xfId="2" applyFont="1" applyAlignment="1">
      <alignment vertical="center"/>
    </xf>
    <xf numFmtId="37" fontId="5" fillId="0" borderId="0" xfId="2" applyNumberFormat="1" applyFont="1" applyAlignment="1">
      <alignment vertical="center"/>
    </xf>
    <xf numFmtId="170" fontId="3" fillId="0" borderId="0" xfId="2" applyNumberFormat="1" applyFont="1" applyAlignment="1">
      <alignment horizontal="right" vertical="center"/>
    </xf>
    <xf numFmtId="165" fontId="28" fillId="0" borderId="0" xfId="2" applyNumberFormat="1" applyFont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6" applyAlignment="1">
      <alignment horizontal="left" vertical="center"/>
    </xf>
    <xf numFmtId="178" fontId="32" fillId="0" borderId="0" xfId="2" applyNumberFormat="1" applyFont="1" applyAlignment="1">
      <alignment horizontal="right" vertical="center"/>
    </xf>
    <xf numFmtId="0" fontId="34" fillId="0" borderId="0" xfId="6" applyFont="1" applyAlignment="1">
      <alignment horizontal="left" vertical="center" indent="1"/>
    </xf>
    <xf numFmtId="0" fontId="1" fillId="0" borderId="0" xfId="6" applyAlignment="1">
      <alignment vertical="center"/>
    </xf>
    <xf numFmtId="0" fontId="25" fillId="0" borderId="20" xfId="2" applyFont="1" applyBorder="1" applyAlignment="1">
      <alignment vertical="center"/>
    </xf>
    <xf numFmtId="0" fontId="25" fillId="0" borderId="21" xfId="2" applyFont="1" applyBorder="1" applyAlignment="1">
      <alignment vertical="center"/>
    </xf>
    <xf numFmtId="0" fontId="25" fillId="0" borderId="26" xfId="2" applyFont="1" applyBorder="1" applyAlignment="1">
      <alignment vertical="center"/>
    </xf>
    <xf numFmtId="0" fontId="25" fillId="0" borderId="14" xfId="2" applyFont="1" applyBorder="1" applyAlignment="1">
      <alignment vertical="center"/>
    </xf>
    <xf numFmtId="0" fontId="4" fillId="0" borderId="0" xfId="6" applyFont="1"/>
    <xf numFmtId="178" fontId="30" fillId="0" borderId="0" xfId="6" applyNumberFormat="1" applyFont="1" applyAlignment="1">
      <alignment horizontal="right"/>
    </xf>
    <xf numFmtId="0" fontId="1" fillId="0" borderId="20" xfId="6" applyBorder="1" applyAlignment="1">
      <alignment vertical="center"/>
    </xf>
    <xf numFmtId="0" fontId="11" fillId="0" borderId="0" xfId="2" applyAlignment="1">
      <alignment vertical="center"/>
    </xf>
    <xf numFmtId="182" fontId="32" fillId="0" borderId="0" xfId="2" applyNumberFormat="1" applyFont="1" applyAlignment="1">
      <alignment horizontal="right" vertical="center"/>
    </xf>
    <xf numFmtId="0" fontId="1" fillId="0" borderId="0" xfId="6" applyAlignment="1">
      <alignment horizontal="left" vertical="center" indent="1"/>
    </xf>
    <xf numFmtId="171" fontId="27" fillId="3" borderId="0" xfId="2" applyNumberFormat="1" applyFont="1" applyFill="1" applyAlignment="1">
      <alignment vertical="center"/>
    </xf>
    <xf numFmtId="171" fontId="3" fillId="0" borderId="10" xfId="2" applyNumberFormat="1" applyFont="1" applyBorder="1" applyAlignment="1">
      <alignment horizontal="right" vertical="center"/>
    </xf>
    <xf numFmtId="171" fontId="3" fillId="0" borderId="11" xfId="2" applyNumberFormat="1" applyFont="1" applyBorder="1" applyAlignment="1">
      <alignment horizontal="right" vertical="center"/>
    </xf>
    <xf numFmtId="171" fontId="3" fillId="0" borderId="12" xfId="2" applyNumberFormat="1" applyFont="1" applyBorder="1" applyAlignment="1">
      <alignment horizontal="right" vertical="center"/>
    </xf>
    <xf numFmtId="171" fontId="29" fillId="0" borderId="11" xfId="2" applyNumberFormat="1" applyFont="1" applyBorder="1" applyAlignment="1">
      <alignment horizontal="right" vertical="center"/>
    </xf>
    <xf numFmtId="171" fontId="29" fillId="0" borderId="10" xfId="2" applyNumberFormat="1" applyFont="1" applyBorder="1" applyAlignment="1">
      <alignment horizontal="right" vertical="center"/>
    </xf>
    <xf numFmtId="171" fontId="29" fillId="0" borderId="12" xfId="2" applyNumberFormat="1" applyFont="1" applyBorder="1" applyAlignment="1">
      <alignment horizontal="right" vertical="center"/>
    </xf>
    <xf numFmtId="173" fontId="16" fillId="0" borderId="0" xfId="2" applyNumberFormat="1" applyFont="1" applyAlignment="1">
      <alignment horizontal="right" vertical="center"/>
    </xf>
    <xf numFmtId="175" fontId="31" fillId="0" borderId="0" xfId="2" applyNumberFormat="1" applyFont="1" applyAlignment="1">
      <alignment vertical="center"/>
    </xf>
    <xf numFmtId="0" fontId="15" fillId="0" borderId="0" xfId="2" applyFont="1" applyAlignment="1">
      <alignment horizontal="right" vertical="center"/>
    </xf>
    <xf numFmtId="0" fontId="1" fillId="0" borderId="26" xfId="6" applyBorder="1" applyAlignment="1">
      <alignment horizontal="left" vertical="center"/>
    </xf>
    <xf numFmtId="178" fontId="32" fillId="0" borderId="26" xfId="2" applyNumberFormat="1" applyFont="1" applyBorder="1" applyAlignment="1">
      <alignment horizontal="right" vertical="center"/>
    </xf>
    <xf numFmtId="0" fontId="32" fillId="0" borderId="0" xfId="2" applyFont="1" applyAlignment="1">
      <alignment horizontal="left" vertical="center" indent="1"/>
    </xf>
    <xf numFmtId="0" fontId="46" fillId="0" borderId="0" xfId="2" applyFont="1" applyAlignment="1">
      <alignment horizontal="left" vertical="center" indent="1"/>
    </xf>
    <xf numFmtId="0" fontId="47" fillId="0" borderId="0" xfId="6" applyFont="1" applyAlignment="1">
      <alignment vertical="center"/>
    </xf>
    <xf numFmtId="0" fontId="48" fillId="0" borderId="0" xfId="2" applyFont="1" applyAlignment="1">
      <alignment vertical="center"/>
    </xf>
    <xf numFmtId="186" fontId="46" fillId="0" borderId="0" xfId="2" applyNumberFormat="1" applyFont="1" applyAlignment="1">
      <alignment horizontal="right" vertical="center"/>
    </xf>
    <xf numFmtId="0" fontId="46" fillId="0" borderId="26" xfId="2" applyFont="1" applyBorder="1" applyAlignment="1">
      <alignment horizontal="left" vertical="center" indent="1"/>
    </xf>
    <xf numFmtId="0" fontId="47" fillId="0" borderId="26" xfId="6" applyFont="1" applyBorder="1" applyAlignment="1">
      <alignment vertical="center"/>
    </xf>
    <xf numFmtId="0" fontId="48" fillId="0" borderId="26" xfId="2" applyFont="1" applyBorder="1" applyAlignment="1">
      <alignment vertical="center"/>
    </xf>
    <xf numFmtId="186" fontId="46" fillId="0" borderId="26" xfId="2" applyNumberFormat="1" applyFont="1" applyBorder="1" applyAlignment="1">
      <alignment horizontal="right" vertical="center"/>
    </xf>
    <xf numFmtId="178" fontId="32" fillId="0" borderId="19" xfId="7" applyNumberFormat="1" applyFont="1" applyFill="1" applyBorder="1" applyAlignment="1" applyProtection="1">
      <alignment vertical="center"/>
      <protection locked="0"/>
    </xf>
    <xf numFmtId="178" fontId="32" fillId="0" borderId="21" xfId="7" applyNumberFormat="1" applyFont="1" applyFill="1" applyBorder="1" applyAlignment="1" applyProtection="1">
      <alignment vertical="center"/>
      <protection locked="0"/>
    </xf>
    <xf numFmtId="178" fontId="32" fillId="0" borderId="20" xfId="7" applyNumberFormat="1" applyFont="1" applyFill="1" applyBorder="1" applyAlignment="1" applyProtection="1">
      <alignment vertical="center"/>
      <protection locked="0"/>
    </xf>
    <xf numFmtId="178" fontId="32" fillId="0" borderId="0" xfId="7" applyNumberFormat="1" applyFont="1" applyFill="1" applyBorder="1" applyAlignment="1" applyProtection="1">
      <alignment vertical="center"/>
      <protection locked="0"/>
    </xf>
    <xf numFmtId="0" fontId="34" fillId="0" borderId="26" xfId="6" applyFont="1" applyBorder="1" applyAlignment="1">
      <alignment horizontal="left" vertical="center" indent="1"/>
    </xf>
    <xf numFmtId="0" fontId="16" fillId="0" borderId="0" xfId="2" applyFont="1" applyAlignment="1">
      <alignment horizontal="left"/>
    </xf>
    <xf numFmtId="178" fontId="34" fillId="0" borderId="20" xfId="7" applyNumberFormat="1" applyFont="1" applyFill="1" applyBorder="1" applyAlignment="1" applyProtection="1">
      <alignment horizontal="right" vertical="center"/>
      <protection locked="0"/>
    </xf>
    <xf numFmtId="178" fontId="32" fillId="0" borderId="0" xfId="7" applyNumberFormat="1" applyFont="1" applyFill="1" applyBorder="1" applyAlignment="1" applyProtection="1">
      <alignment horizontal="right" vertical="center"/>
      <protection locked="0"/>
    </xf>
    <xf numFmtId="0" fontId="12" fillId="0" borderId="0" xfId="2" applyFont="1" applyAlignment="1">
      <alignment horizontal="left" indent="1"/>
    </xf>
    <xf numFmtId="178" fontId="34" fillId="0" borderId="19" xfId="7" applyNumberFormat="1" applyFont="1" applyFill="1" applyBorder="1" applyAlignment="1" applyProtection="1">
      <alignment horizontal="right" vertical="center"/>
      <protection locked="0"/>
    </xf>
    <xf numFmtId="178" fontId="32" fillId="0" borderId="11" xfId="7" applyNumberFormat="1" applyFont="1" applyFill="1" applyBorder="1" applyAlignment="1" applyProtection="1">
      <alignment vertical="center"/>
      <protection locked="0"/>
    </xf>
    <xf numFmtId="178" fontId="34" fillId="0" borderId="19" xfId="7" applyNumberFormat="1" applyFont="1" applyFill="1" applyBorder="1" applyAlignment="1" applyProtection="1">
      <alignment vertical="center"/>
      <protection locked="0"/>
    </xf>
    <xf numFmtId="178" fontId="32" fillId="0" borderId="43" xfId="7" applyNumberFormat="1" applyFont="1" applyFill="1" applyBorder="1" applyAlignment="1" applyProtection="1">
      <alignment horizontal="right" vertical="center"/>
      <protection locked="0"/>
    </xf>
    <xf numFmtId="178" fontId="32" fillId="0" borderId="44" xfId="7" applyNumberFormat="1" applyFont="1" applyFill="1" applyBorder="1" applyAlignment="1" applyProtection="1">
      <alignment vertical="center"/>
      <protection locked="0"/>
    </xf>
    <xf numFmtId="190" fontId="34" fillId="0" borderId="19" xfId="7" applyNumberFormat="1" applyFont="1" applyFill="1" applyBorder="1" applyAlignment="1" applyProtection="1">
      <alignment horizontal="center" vertical="center"/>
      <protection locked="0"/>
    </xf>
    <xf numFmtId="190" fontId="32" fillId="0" borderId="19" xfId="7" applyNumberFormat="1" applyFont="1" applyFill="1" applyBorder="1" applyAlignment="1" applyProtection="1">
      <alignment horizontal="right" vertical="center"/>
      <protection locked="0"/>
    </xf>
    <xf numFmtId="190" fontId="32" fillId="0" borderId="21" xfId="7" applyNumberFormat="1" applyFont="1" applyFill="1" applyBorder="1" applyAlignment="1" applyProtection="1">
      <alignment horizontal="right" vertical="center"/>
      <protection locked="0"/>
    </xf>
    <xf numFmtId="0" fontId="8" fillId="0" borderId="0" xfId="2" applyFont="1"/>
    <xf numFmtId="178" fontId="34" fillId="0" borderId="19" xfId="7" applyNumberFormat="1" applyFont="1" applyFill="1" applyBorder="1" applyAlignment="1" applyProtection="1">
      <alignment horizontal="center" vertical="center"/>
      <protection locked="0"/>
    </xf>
    <xf numFmtId="178" fontId="34" fillId="0" borderId="21" xfId="7" applyNumberFormat="1" applyFont="1" applyFill="1" applyBorder="1" applyAlignment="1" applyProtection="1">
      <alignment horizontal="center" vertical="center"/>
      <protection locked="0"/>
    </xf>
    <xf numFmtId="0" fontId="25" fillId="0" borderId="0" xfId="2" applyFont="1"/>
    <xf numFmtId="0" fontId="27" fillId="4" borderId="0" xfId="2" applyFont="1" applyFill="1" applyAlignment="1">
      <alignment vertical="center"/>
    </xf>
    <xf numFmtId="170" fontId="3" fillId="3" borderId="0" xfId="2" applyNumberFormat="1" applyFont="1" applyFill="1" applyAlignment="1">
      <alignment horizontal="right"/>
    </xf>
    <xf numFmtId="1" fontId="27" fillId="3" borderId="0" xfId="2" applyNumberFormat="1" applyFont="1" applyFill="1" applyAlignment="1">
      <alignment vertical="center"/>
    </xf>
    <xf numFmtId="170" fontId="3" fillId="0" borderId="0" xfId="2" applyNumberFormat="1" applyFont="1" applyAlignment="1">
      <alignment horizontal="right"/>
    </xf>
    <xf numFmtId="0" fontId="12" fillId="0" borderId="0" xfId="2" applyFont="1"/>
    <xf numFmtId="189" fontId="29" fillId="0" borderId="11" xfId="2" applyNumberFormat="1" applyFont="1" applyBorder="1" applyAlignment="1">
      <alignment horizontal="right" vertical="center"/>
    </xf>
    <xf numFmtId="0" fontId="25" fillId="0" borderId="14" xfId="2" applyFont="1" applyBorder="1"/>
    <xf numFmtId="173" fontId="16" fillId="0" borderId="14" xfId="2" applyNumberFormat="1" applyFont="1" applyBorder="1" applyAlignment="1">
      <alignment horizontal="right" vertical="center"/>
    </xf>
    <xf numFmtId="173" fontId="16" fillId="0" borderId="15" xfId="2" applyNumberFormat="1" applyFont="1" applyBorder="1" applyAlignment="1">
      <alignment horizontal="right" vertical="center"/>
    </xf>
    <xf numFmtId="189" fontId="29" fillId="0" borderId="14" xfId="2" applyNumberFormat="1" applyFont="1" applyBorder="1" applyAlignment="1">
      <alignment horizontal="right" vertical="center"/>
    </xf>
    <xf numFmtId="189" fontId="29" fillId="0" borderId="15" xfId="2" applyNumberFormat="1" applyFont="1" applyBorder="1" applyAlignment="1">
      <alignment horizontal="right" vertical="center"/>
    </xf>
    <xf numFmtId="0" fontId="25" fillId="0" borderId="18" xfId="2" applyFont="1" applyBorder="1"/>
    <xf numFmtId="0" fontId="22" fillId="0" borderId="18" xfId="2" applyFont="1" applyBorder="1"/>
    <xf numFmtId="0" fontId="22" fillId="0" borderId="0" xfId="2" applyFont="1"/>
    <xf numFmtId="178" fontId="15" fillId="0" borderId="0" xfId="2" applyNumberFormat="1" applyFont="1" applyAlignment="1">
      <alignment horizontal="right"/>
    </xf>
    <xf numFmtId="178" fontId="32" fillId="0" borderId="19" xfId="6" applyNumberFormat="1" applyFont="1" applyBorder="1" applyAlignment="1">
      <alignment horizontal="right"/>
    </xf>
    <xf numFmtId="178" fontId="32" fillId="0" borderId="21" xfId="6" applyNumberFormat="1" applyFont="1" applyBorder="1" applyAlignment="1">
      <alignment horizontal="right"/>
    </xf>
    <xf numFmtId="0" fontId="25" fillId="0" borderId="20" xfId="2" applyFont="1" applyBorder="1"/>
    <xf numFmtId="0" fontId="22" fillId="0" borderId="20" xfId="2" applyFont="1" applyBorder="1"/>
    <xf numFmtId="178" fontId="32" fillId="0" borderId="20" xfId="6" applyNumberFormat="1" applyFont="1" applyBorder="1" applyAlignment="1">
      <alignment horizontal="right"/>
    </xf>
    <xf numFmtId="178" fontId="32" fillId="0" borderId="0" xfId="6" applyNumberFormat="1" applyFont="1" applyAlignment="1">
      <alignment horizontal="right"/>
    </xf>
    <xf numFmtId="0" fontId="25" fillId="0" borderId="21" xfId="2" applyFont="1" applyBorder="1"/>
    <xf numFmtId="0" fontId="22" fillId="0" borderId="21" xfId="2" applyFont="1" applyBorder="1"/>
    <xf numFmtId="178" fontId="15" fillId="0" borderId="21" xfId="2" applyNumberFormat="1" applyFont="1" applyBorder="1" applyAlignment="1">
      <alignment horizontal="right"/>
    </xf>
    <xf numFmtId="0" fontId="25" fillId="0" borderId="44" xfId="2" applyFont="1" applyBorder="1"/>
    <xf numFmtId="0" fontId="22" fillId="0" borderId="44" xfId="2" applyFont="1" applyBorder="1"/>
    <xf numFmtId="178" fontId="15" fillId="0" borderId="44" xfId="2" applyNumberFormat="1" applyFont="1" applyBorder="1" applyAlignment="1">
      <alignment horizontal="right"/>
    </xf>
    <xf numFmtId="0" fontId="25" fillId="0" borderId="26" xfId="2" applyFont="1" applyBorder="1"/>
    <xf numFmtId="0" fontId="22" fillId="0" borderId="26" xfId="2" applyFont="1" applyBorder="1"/>
    <xf numFmtId="178" fontId="15" fillId="0" borderId="26" xfId="2" applyNumberFormat="1" applyFont="1" applyBorder="1" applyAlignment="1">
      <alignment horizontal="right"/>
    </xf>
    <xf numFmtId="37" fontId="34" fillId="3" borderId="0" xfId="2" applyNumberFormat="1" applyFont="1" applyFill="1" applyAlignment="1">
      <alignment vertical="center"/>
    </xf>
    <xf numFmtId="170" fontId="30" fillId="3" borderId="0" xfId="2" applyNumberFormat="1" applyFont="1" applyFill="1" applyAlignment="1">
      <alignment horizontal="right"/>
    </xf>
    <xf numFmtId="0" fontId="25" fillId="0" borderId="10" xfId="2" applyFont="1" applyBorder="1" applyAlignment="1">
      <alignment vertical="center"/>
    </xf>
    <xf numFmtId="178" fontId="32" fillId="0" borderId="22" xfId="7" applyNumberFormat="1" applyFont="1" applyFill="1" applyBorder="1" applyAlignment="1" applyProtection="1">
      <alignment vertical="center"/>
      <protection locked="0"/>
    </xf>
    <xf numFmtId="178" fontId="32" fillId="0" borderId="23" xfId="7" applyNumberFormat="1" applyFont="1" applyFill="1" applyBorder="1" applyAlignment="1" applyProtection="1">
      <alignment vertical="center"/>
      <protection locked="0"/>
    </xf>
    <xf numFmtId="178" fontId="32" fillId="0" borderId="32" xfId="7" applyNumberFormat="1" applyFont="1" applyFill="1" applyBorder="1" applyAlignment="1" applyProtection="1">
      <alignment vertical="center"/>
      <protection locked="0"/>
    </xf>
    <xf numFmtId="178" fontId="32" fillId="0" borderId="33" xfId="7" applyNumberFormat="1" applyFont="1" applyFill="1" applyBorder="1" applyAlignment="1" applyProtection="1">
      <alignment vertical="center"/>
      <protection locked="0"/>
    </xf>
    <xf numFmtId="178" fontId="32" fillId="0" borderId="25" xfId="7" applyNumberFormat="1" applyFont="1" applyFill="1" applyBorder="1" applyAlignment="1" applyProtection="1">
      <alignment vertical="center"/>
      <protection locked="0"/>
    </xf>
    <xf numFmtId="178" fontId="32" fillId="0" borderId="41" xfId="7" applyNumberFormat="1" applyFont="1" applyFill="1" applyBorder="1" applyAlignment="1" applyProtection="1">
      <alignment horizontal="right" vertical="center"/>
      <protection locked="0"/>
    </xf>
    <xf numFmtId="178" fontId="32" fillId="0" borderId="51" xfId="7" applyNumberFormat="1" applyFont="1" applyFill="1" applyBorder="1" applyAlignment="1" applyProtection="1">
      <alignment horizontal="right" vertical="center"/>
      <protection locked="0"/>
    </xf>
    <xf numFmtId="178" fontId="32" fillId="0" borderId="52" xfId="7" applyNumberFormat="1" applyFont="1" applyFill="1" applyBorder="1" applyAlignment="1" applyProtection="1">
      <alignment horizontal="right" vertical="center"/>
      <protection locked="0"/>
    </xf>
    <xf numFmtId="178" fontId="32" fillId="0" borderId="23" xfId="7" applyNumberFormat="1" applyFont="1" applyFill="1" applyBorder="1" applyAlignment="1" applyProtection="1">
      <alignment horizontal="right" vertical="center"/>
      <protection locked="0"/>
    </xf>
    <xf numFmtId="178" fontId="32" fillId="0" borderId="54" xfId="7" applyNumberFormat="1" applyFont="1" applyFill="1" applyBorder="1" applyAlignment="1" applyProtection="1">
      <alignment horizontal="right" vertical="center"/>
      <protection locked="0"/>
    </xf>
    <xf numFmtId="178" fontId="32" fillId="0" borderId="27" xfId="7" applyNumberFormat="1" applyFont="1" applyFill="1" applyBorder="1" applyAlignment="1" applyProtection="1">
      <alignment horizontal="right" vertical="center"/>
      <protection locked="0"/>
    </xf>
    <xf numFmtId="178" fontId="32" fillId="0" borderId="28" xfId="7" applyNumberFormat="1" applyFont="1" applyFill="1" applyBorder="1" applyAlignment="1" applyProtection="1">
      <alignment horizontal="right" vertical="center"/>
      <protection locked="0"/>
    </xf>
    <xf numFmtId="178" fontId="32" fillId="0" borderId="56" xfId="7" applyNumberFormat="1" applyFont="1" applyFill="1" applyBorder="1" applyAlignment="1" applyProtection="1">
      <alignment horizontal="right" vertical="center"/>
      <protection locked="0"/>
    </xf>
    <xf numFmtId="178" fontId="32" fillId="0" borderId="30" xfId="7" applyNumberFormat="1" applyFont="1" applyFill="1" applyBorder="1" applyAlignment="1" applyProtection="1">
      <alignment horizontal="right" vertical="center"/>
      <protection locked="0"/>
    </xf>
    <xf numFmtId="0" fontId="25" fillId="0" borderId="12" xfId="2" applyFont="1" applyBorder="1" applyAlignment="1">
      <alignment vertical="center"/>
    </xf>
    <xf numFmtId="177" fontId="34" fillId="0" borderId="0" xfId="6" applyNumberFormat="1" applyFont="1" applyAlignment="1">
      <alignment horizontal="center"/>
    </xf>
    <xf numFmtId="171" fontId="52" fillId="0" borderId="20" xfId="2" applyNumberFormat="1" applyFont="1" applyBorder="1" applyAlignment="1">
      <alignment horizontal="right"/>
    </xf>
    <xf numFmtId="0" fontId="1" fillId="0" borderId="0" xfId="6" applyAlignment="1">
      <alignment horizontal="left" indent="1"/>
    </xf>
    <xf numFmtId="178" fontId="32" fillId="0" borderId="19" xfId="2" applyNumberFormat="1" applyFont="1" applyBorder="1" applyAlignment="1">
      <alignment horizontal="right"/>
    </xf>
    <xf numFmtId="178" fontId="32" fillId="0" borderId="21" xfId="2" applyNumberFormat="1" applyFont="1" applyBorder="1" applyAlignment="1">
      <alignment horizontal="right"/>
    </xf>
    <xf numFmtId="0" fontId="53" fillId="0" borderId="0" xfId="2" applyFont="1"/>
    <xf numFmtId="0" fontId="53" fillId="0" borderId="21" xfId="2" applyFont="1" applyBorder="1"/>
    <xf numFmtId="0" fontId="27" fillId="0" borderId="41" xfId="2" applyFont="1" applyBorder="1" applyAlignment="1">
      <alignment vertical="center"/>
    </xf>
    <xf numFmtId="37" fontId="5" fillId="0" borderId="41" xfId="2" applyNumberFormat="1" applyFont="1" applyBorder="1" applyAlignment="1">
      <alignment vertical="center"/>
    </xf>
    <xf numFmtId="170" fontId="3" fillId="0" borderId="41" xfId="2" applyNumberFormat="1" applyFont="1" applyBorder="1" applyAlignment="1">
      <alignment horizontal="right"/>
    </xf>
    <xf numFmtId="0" fontId="25" fillId="0" borderId="41" xfId="2" applyFont="1" applyBorder="1"/>
    <xf numFmtId="0" fontId="53" fillId="0" borderId="26" xfId="2" applyFont="1" applyBorder="1"/>
    <xf numFmtId="178" fontId="32" fillId="0" borderId="20" xfId="7" applyNumberFormat="1" applyFont="1" applyFill="1" applyBorder="1" applyAlignment="1" applyProtection="1">
      <alignment horizontal="center" vertical="center"/>
      <protection locked="0"/>
    </xf>
    <xf numFmtId="190" fontId="32" fillId="0" borderId="20" xfId="7" applyNumberFormat="1" applyFont="1" applyFill="1" applyBorder="1" applyAlignment="1" applyProtection="1">
      <alignment horizontal="right" vertical="center"/>
      <protection locked="0"/>
    </xf>
    <xf numFmtId="190" fontId="32" fillId="0" borderId="0" xfId="7" applyNumberFormat="1" applyFont="1" applyFill="1" applyBorder="1" applyAlignment="1" applyProtection="1">
      <alignment horizontal="right" vertical="center"/>
      <protection locked="0"/>
    </xf>
    <xf numFmtId="169" fontId="8" fillId="0" borderId="0" xfId="5" applyNumberFormat="1" applyFont="1" applyFill="1" applyAlignment="1" applyProtection="1">
      <alignment vertical="center"/>
      <protection locked="0"/>
    </xf>
    <xf numFmtId="165" fontId="54" fillId="0" borderId="0" xfId="2" applyNumberFormat="1" applyFont="1" applyAlignment="1">
      <alignment vertical="center"/>
    </xf>
    <xf numFmtId="0" fontId="54" fillId="0" borderId="0" xfId="2" applyFont="1" applyAlignment="1">
      <alignment horizontal="right"/>
    </xf>
    <xf numFmtId="0" fontId="56" fillId="0" borderId="0" xfId="2" applyFont="1"/>
    <xf numFmtId="0" fontId="29" fillId="0" borderId="0" xfId="2" applyFont="1" applyAlignment="1">
      <alignment horizontal="left"/>
    </xf>
    <xf numFmtId="0" fontId="12" fillId="0" borderId="26" xfId="2" applyFont="1" applyBorder="1"/>
    <xf numFmtId="0" fontId="1" fillId="0" borderId="0" xfId="2" applyFont="1" applyAlignment="1">
      <alignment vertical="center"/>
    </xf>
    <xf numFmtId="0" fontId="12" fillId="0" borderId="0" xfId="2" applyFont="1" applyAlignment="1">
      <alignment horizontal="left" indent="2"/>
    </xf>
    <xf numFmtId="173" fontId="16" fillId="0" borderId="11" xfId="2" applyNumberFormat="1" applyFont="1" applyBorder="1" applyAlignment="1">
      <alignment horizontal="right" vertical="center"/>
    </xf>
    <xf numFmtId="173" fontId="29" fillId="0" borderId="11" xfId="2" applyNumberFormat="1" applyFont="1" applyBorder="1" applyAlignment="1">
      <alignment horizontal="right" vertical="center"/>
    </xf>
    <xf numFmtId="174" fontId="29" fillId="0" borderId="14" xfId="2" applyNumberFormat="1" applyFont="1" applyBorder="1" applyAlignment="1">
      <alignment vertical="center"/>
    </xf>
    <xf numFmtId="174" fontId="29" fillId="0" borderId="0" xfId="2" applyNumberFormat="1" applyFont="1" applyAlignment="1">
      <alignment vertical="center"/>
    </xf>
    <xf numFmtId="174" fontId="29" fillId="0" borderId="15" xfId="2" applyNumberFormat="1" applyFont="1" applyBorder="1" applyAlignment="1">
      <alignment vertical="center"/>
    </xf>
    <xf numFmtId="0" fontId="12" fillId="0" borderId="14" xfId="2" applyFont="1" applyBorder="1" applyAlignment="1">
      <alignment vertical="center"/>
    </xf>
    <xf numFmtId="173" fontId="16" fillId="0" borderId="10" xfId="2" applyNumberFormat="1" applyFont="1" applyBorder="1" applyAlignment="1">
      <alignment horizontal="right" vertical="center"/>
    </xf>
    <xf numFmtId="0" fontId="12" fillId="0" borderId="18" xfId="2" applyFont="1" applyBorder="1"/>
    <xf numFmtId="0" fontId="16" fillId="0" borderId="0" xfId="2" applyFont="1"/>
    <xf numFmtId="0" fontId="32" fillId="0" borderId="0" xfId="2" applyFont="1" applyAlignment="1">
      <alignment horizontal="left" indent="1"/>
    </xf>
    <xf numFmtId="0" fontId="12" fillId="0" borderId="20" xfId="2" applyFont="1" applyBorder="1"/>
    <xf numFmtId="0" fontId="12" fillId="0" borderId="21" xfId="2" applyFont="1" applyBorder="1"/>
    <xf numFmtId="178" fontId="16" fillId="0" borderId="10" xfId="2" applyNumberFormat="1" applyFont="1" applyBorder="1" applyAlignment="1">
      <alignment horizontal="centerContinuous" vertical="center"/>
    </xf>
    <xf numFmtId="0" fontId="25" fillId="0" borderId="11" xfId="2" applyFont="1" applyBorder="1" applyAlignment="1">
      <alignment horizontal="centerContinuous"/>
    </xf>
    <xf numFmtId="0" fontId="12" fillId="0" borderId="14" xfId="2" applyFont="1" applyBorder="1"/>
    <xf numFmtId="178" fontId="34" fillId="0" borderId="0" xfId="2" applyNumberFormat="1" applyFont="1" applyAlignment="1">
      <alignment horizontal="right"/>
    </xf>
    <xf numFmtId="186" fontId="32" fillId="0" borderId="19" xfId="2" applyNumberFormat="1" applyFont="1" applyBorder="1" applyAlignment="1">
      <alignment horizontal="right"/>
    </xf>
    <xf numFmtId="186" fontId="32" fillId="0" borderId="21" xfId="2" applyNumberFormat="1" applyFont="1" applyBorder="1" applyAlignment="1">
      <alignment horizontal="right"/>
    </xf>
    <xf numFmtId="186" fontId="32" fillId="0" borderId="19" xfId="6" applyNumberFormat="1" applyFont="1" applyBorder="1" applyAlignment="1">
      <alignment horizontal="right"/>
    </xf>
    <xf numFmtId="186" fontId="32" fillId="0" borderId="21" xfId="6" applyNumberFormat="1" applyFont="1" applyBorder="1" applyAlignment="1">
      <alignment horizontal="right"/>
    </xf>
    <xf numFmtId="186" fontId="32" fillId="0" borderId="20" xfId="2" applyNumberFormat="1" applyFont="1" applyBorder="1" applyAlignment="1">
      <alignment horizontal="right"/>
    </xf>
    <xf numFmtId="186" fontId="32" fillId="0" borderId="0" xfId="2" applyNumberFormat="1" applyFont="1" applyAlignment="1">
      <alignment horizontal="right"/>
    </xf>
    <xf numFmtId="186" fontId="32" fillId="0" borderId="20" xfId="6" applyNumberFormat="1" applyFont="1" applyBorder="1" applyAlignment="1">
      <alignment horizontal="right"/>
    </xf>
    <xf numFmtId="186" fontId="32" fillId="0" borderId="0" xfId="6" applyNumberFormat="1" applyFont="1" applyAlignment="1">
      <alignment horizontal="right"/>
    </xf>
    <xf numFmtId="186" fontId="34" fillId="0" borderId="19" xfId="2" applyNumberFormat="1" applyFont="1" applyBorder="1" applyAlignment="1">
      <alignment horizontal="right"/>
    </xf>
    <xf numFmtId="186" fontId="34" fillId="0" borderId="21" xfId="2" applyNumberFormat="1" applyFont="1" applyBorder="1" applyAlignment="1">
      <alignment horizontal="right"/>
    </xf>
    <xf numFmtId="0" fontId="32" fillId="0" borderId="20" xfId="2" applyFont="1" applyBorder="1"/>
    <xf numFmtId="178" fontId="32" fillId="0" borderId="55" xfId="7" applyNumberFormat="1" applyFont="1" applyFill="1" applyBorder="1" applyAlignment="1" applyProtection="1">
      <alignment horizontal="right" vertical="center"/>
      <protection locked="0"/>
    </xf>
    <xf numFmtId="178" fontId="32" fillId="0" borderId="57" xfId="7" applyNumberFormat="1" applyFont="1" applyFill="1" applyBorder="1" applyAlignment="1" applyProtection="1">
      <alignment horizontal="right" vertical="center"/>
      <protection locked="0"/>
    </xf>
    <xf numFmtId="0" fontId="7" fillId="0" borderId="0" xfId="1" applyFont="1"/>
    <xf numFmtId="0" fontId="4" fillId="0" borderId="0" xfId="6" applyFont="1" applyAlignment="1">
      <alignment vertical="center"/>
    </xf>
    <xf numFmtId="0" fontId="4" fillId="0" borderId="0" xfId="6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169" fontId="8" fillId="0" borderId="0" xfId="5" applyNumberFormat="1" applyFont="1" applyFill="1" applyProtection="1">
      <protection locked="0"/>
    </xf>
    <xf numFmtId="0" fontId="44" fillId="0" borderId="0" xfId="2" applyFont="1"/>
    <xf numFmtId="169" fontId="50" fillId="0" borderId="0" xfId="5" applyNumberFormat="1" applyFont="1" applyFill="1" applyBorder="1" applyAlignment="1" applyProtection="1">
      <alignment vertical="center"/>
      <protection locked="0"/>
    </xf>
    <xf numFmtId="0" fontId="32" fillId="0" borderId="0" xfId="2" applyFont="1" applyAlignment="1">
      <alignment vertical="center"/>
    </xf>
    <xf numFmtId="0" fontId="32" fillId="0" borderId="0" xfId="2" applyFont="1"/>
    <xf numFmtId="0" fontId="9" fillId="0" borderId="0" xfId="1" applyFont="1" applyProtection="1">
      <protection locked="0"/>
    </xf>
    <xf numFmtId="0" fontId="10" fillId="0" borderId="0" xfId="1" applyFont="1" applyAlignment="1">
      <alignment horizontal="right"/>
    </xf>
    <xf numFmtId="0" fontId="8" fillId="0" borderId="0" xfId="1" applyFont="1" applyProtection="1">
      <protection locked="0"/>
    </xf>
    <xf numFmtId="0" fontId="13" fillId="0" borderId="0" xfId="1" applyFont="1"/>
    <xf numFmtId="0" fontId="10" fillId="0" borderId="6" xfId="1" applyFont="1" applyBorder="1" applyProtection="1">
      <protection locked="0"/>
    </xf>
    <xf numFmtId="0" fontId="1" fillId="0" borderId="6" xfId="1" applyFont="1" applyBorder="1"/>
    <xf numFmtId="0" fontId="1" fillId="0" borderId="0" xfId="1" applyFont="1" applyAlignment="1">
      <alignment horizontal="centerContinuous"/>
    </xf>
    <xf numFmtId="0" fontId="1" fillId="0" borderId="6" xfId="1" applyFont="1" applyBorder="1" applyAlignment="1">
      <alignment horizontal="centerContinuous"/>
    </xf>
    <xf numFmtId="0" fontId="8" fillId="0" borderId="6" xfId="1" applyFont="1" applyBorder="1" applyAlignment="1">
      <alignment horizontal="centerContinuous"/>
    </xf>
    <xf numFmtId="0" fontId="10" fillId="0" borderId="6" xfId="1" applyFont="1" applyBorder="1" applyAlignment="1" applyProtection="1">
      <alignment horizontal="center"/>
      <protection locked="0"/>
    </xf>
    <xf numFmtId="0" fontId="15" fillId="0" borderId="0" xfId="1" applyFont="1"/>
    <xf numFmtId="0" fontId="17" fillId="0" borderId="0" xfId="3" applyNumberFormat="1" applyFont="1" applyFill="1" applyBorder="1" applyProtection="1">
      <protection locked="0"/>
    </xf>
    <xf numFmtId="166" fontId="21" fillId="0" borderId="0" xfId="2" applyNumberFormat="1" applyFont="1" applyAlignment="1">
      <alignment horizontal="center" vertical="center"/>
    </xf>
    <xf numFmtId="167" fontId="21" fillId="0" borderId="0" xfId="2" applyNumberFormat="1" applyFont="1" applyAlignment="1">
      <alignment horizontal="center" vertical="center"/>
    </xf>
    <xf numFmtId="172" fontId="29" fillId="0" borderId="13" xfId="2" applyNumberFormat="1" applyFont="1" applyBorder="1" applyAlignment="1">
      <alignment horizontal="right" vertical="center"/>
    </xf>
    <xf numFmtId="171" fontId="29" fillId="0" borderId="14" xfId="2" applyNumberFormat="1" applyFont="1" applyBorder="1" applyAlignment="1">
      <alignment horizontal="right" vertical="center"/>
    </xf>
    <xf numFmtId="171" fontId="29" fillId="0" borderId="0" xfId="2" applyNumberFormat="1" applyFont="1" applyAlignment="1">
      <alignment horizontal="right" vertical="center"/>
    </xf>
    <xf numFmtId="173" fontId="29" fillId="0" borderId="0" xfId="2" applyNumberFormat="1" applyFont="1" applyAlignment="1">
      <alignment horizontal="right" vertical="center"/>
    </xf>
    <xf numFmtId="171" fontId="29" fillId="0" borderId="15" xfId="2" applyNumberFormat="1" applyFont="1" applyBorder="1" applyAlignment="1">
      <alignment horizontal="right" vertical="center"/>
    </xf>
    <xf numFmtId="173" fontId="29" fillId="0" borderId="16" xfId="2" applyNumberFormat="1" applyFont="1" applyBorder="1" applyAlignment="1">
      <alignment horizontal="right" vertical="center"/>
    </xf>
    <xf numFmtId="174" fontId="29" fillId="0" borderId="14" xfId="2" applyNumberFormat="1" applyFont="1" applyBorder="1" applyAlignment="1">
      <alignment horizontal="right" vertical="center"/>
    </xf>
    <xf numFmtId="174" fontId="29" fillId="0" borderId="0" xfId="2" applyNumberFormat="1" applyFont="1" applyAlignment="1">
      <alignment horizontal="right" vertical="center"/>
    </xf>
    <xf numFmtId="174" fontId="29" fillId="0" borderId="15" xfId="2" applyNumberFormat="1" applyFont="1" applyBorder="1" applyAlignment="1">
      <alignment horizontal="right" vertical="center"/>
    </xf>
    <xf numFmtId="174" fontId="29" fillId="0" borderId="17" xfId="2" applyNumberFormat="1" applyFont="1" applyBorder="1" applyAlignment="1">
      <alignment horizontal="right" vertical="center"/>
    </xf>
    <xf numFmtId="0" fontId="30" fillId="0" borderId="0" xfId="2" applyFont="1"/>
    <xf numFmtId="175" fontId="31" fillId="0" borderId="18" xfId="2" applyNumberFormat="1" applyFont="1" applyBorder="1" applyAlignment="1">
      <alignment vertical="center"/>
    </xf>
    <xf numFmtId="0" fontId="32" fillId="0" borderId="0" xfId="6" applyFont="1" applyAlignment="1">
      <alignment horizontal="left" vertical="center" indent="1"/>
    </xf>
    <xf numFmtId="176" fontId="4" fillId="0" borderId="0" xfId="6" applyNumberFormat="1" applyFont="1" applyAlignment="1">
      <alignment horizontal="center" vertical="center"/>
    </xf>
    <xf numFmtId="0" fontId="33" fillId="0" borderId="0" xfId="2" applyFont="1" applyAlignment="1">
      <alignment horizontal="center" vertical="center"/>
    </xf>
    <xf numFmtId="177" fontId="34" fillId="0" borderId="0" xfId="6" applyNumberFormat="1" applyFont="1" applyAlignment="1">
      <alignment horizontal="center" vertical="center"/>
    </xf>
    <xf numFmtId="178" fontId="34" fillId="0" borderId="19" xfId="6" applyNumberFormat="1" applyFont="1" applyBorder="1" applyAlignment="1">
      <alignment horizontal="center" vertical="center"/>
    </xf>
    <xf numFmtId="0" fontId="4" fillId="0" borderId="20" xfId="6" applyFont="1" applyBorder="1" applyAlignment="1">
      <alignment vertical="center"/>
    </xf>
    <xf numFmtId="178" fontId="32" fillId="0" borderId="19" xfId="6" applyNumberFormat="1" applyFont="1" applyBorder="1" applyAlignment="1">
      <alignment horizontal="center" vertical="center"/>
    </xf>
    <xf numFmtId="177" fontId="34" fillId="0" borderId="20" xfId="6" applyNumberFormat="1" applyFont="1" applyBorder="1" applyAlignment="1">
      <alignment horizontal="center" vertical="center"/>
    </xf>
    <xf numFmtId="179" fontId="31" fillId="0" borderId="19" xfId="2" applyNumberFormat="1" applyFont="1" applyBorder="1" applyAlignment="1">
      <alignment vertical="center"/>
    </xf>
    <xf numFmtId="179" fontId="31" fillId="0" borderId="21" xfId="2" applyNumberFormat="1" applyFont="1" applyBorder="1" applyAlignment="1">
      <alignment vertical="center"/>
    </xf>
    <xf numFmtId="179" fontId="31" fillId="0" borderId="22" xfId="2" applyNumberFormat="1" applyFont="1" applyBorder="1" applyAlignment="1">
      <alignment vertical="center"/>
    </xf>
    <xf numFmtId="178" fontId="34" fillId="0" borderId="20" xfId="6" applyNumberFormat="1" applyFont="1" applyBorder="1" applyAlignment="1">
      <alignment horizontal="center" vertical="center"/>
    </xf>
    <xf numFmtId="0" fontId="1" fillId="0" borderId="20" xfId="6" applyBorder="1" applyAlignment="1">
      <alignment horizontal="left" vertical="center"/>
    </xf>
    <xf numFmtId="178" fontId="32" fillId="0" borderId="20" xfId="6" applyNumberFormat="1" applyFont="1" applyBorder="1" applyAlignment="1">
      <alignment horizontal="center" vertical="center"/>
    </xf>
    <xf numFmtId="179" fontId="31" fillId="0" borderId="20" xfId="2" applyNumberFormat="1" applyFont="1" applyBorder="1" applyAlignment="1">
      <alignment vertical="center"/>
    </xf>
    <xf numFmtId="179" fontId="31" fillId="0" borderId="0" xfId="2" applyNumberFormat="1" applyFont="1" applyAlignment="1">
      <alignment vertical="center"/>
    </xf>
    <xf numFmtId="179" fontId="31" fillId="0" borderId="23" xfId="2" applyNumberFormat="1" applyFont="1" applyBorder="1" applyAlignment="1">
      <alignment vertical="center"/>
    </xf>
    <xf numFmtId="179" fontId="31" fillId="0" borderId="24" xfId="2" applyNumberFormat="1" applyFont="1" applyBorder="1" applyAlignment="1">
      <alignment vertical="center"/>
    </xf>
    <xf numFmtId="176" fontId="18" fillId="0" borderId="0" xfId="6" applyNumberFormat="1" applyFont="1" applyAlignment="1">
      <alignment horizontal="left" vertical="center"/>
    </xf>
    <xf numFmtId="176" fontId="35" fillId="0" borderId="0" xfId="6" applyNumberFormat="1" applyFont="1" applyAlignment="1">
      <alignment horizontal="left" vertical="center"/>
    </xf>
    <xf numFmtId="0" fontId="35" fillId="0" borderId="0" xfId="2" applyFont="1" applyAlignment="1">
      <alignment vertical="center"/>
    </xf>
    <xf numFmtId="0" fontId="35" fillId="0" borderId="0" xfId="2" applyFont="1" applyAlignment="1">
      <alignment horizontal="right" vertical="center"/>
    </xf>
    <xf numFmtId="178" fontId="32" fillId="0" borderId="19" xfId="2" applyNumberFormat="1" applyFont="1" applyBorder="1" applyAlignment="1">
      <alignment horizontal="right" vertical="center"/>
    </xf>
    <xf numFmtId="178" fontId="32" fillId="0" borderId="21" xfId="2" applyNumberFormat="1" applyFont="1" applyBorder="1" applyAlignment="1">
      <alignment horizontal="right" vertical="center"/>
    </xf>
    <xf numFmtId="178" fontId="32" fillId="0" borderId="22" xfId="2" applyNumberFormat="1" applyFont="1" applyBorder="1" applyAlignment="1">
      <alignment horizontal="right" vertical="center"/>
    </xf>
    <xf numFmtId="176" fontId="36" fillId="0" borderId="0" xfId="6" applyNumberFormat="1" applyFont="1" applyAlignment="1">
      <alignment horizontal="left" vertical="center"/>
    </xf>
    <xf numFmtId="0" fontId="36" fillId="0" borderId="0" xfId="2" applyFont="1" applyAlignment="1">
      <alignment vertical="center"/>
    </xf>
    <xf numFmtId="0" fontId="36" fillId="0" borderId="0" xfId="2" applyFont="1" applyAlignment="1">
      <alignment horizontal="right" vertical="center"/>
    </xf>
    <xf numFmtId="178" fontId="32" fillId="0" borderId="20" xfId="2" applyNumberFormat="1" applyFont="1" applyBorder="1" applyAlignment="1">
      <alignment horizontal="right" vertical="center"/>
    </xf>
    <xf numFmtId="178" fontId="32" fillId="0" borderId="23" xfId="2" applyNumberFormat="1" applyFont="1" applyBorder="1" applyAlignment="1">
      <alignment horizontal="right" vertical="center"/>
    </xf>
    <xf numFmtId="178" fontId="32" fillId="0" borderId="25" xfId="2" applyNumberFormat="1" applyFont="1" applyBorder="1" applyAlignment="1">
      <alignment horizontal="right" vertical="center"/>
    </xf>
    <xf numFmtId="172" fontId="29" fillId="0" borderId="11" xfId="2" applyNumberFormat="1" applyFont="1" applyBorder="1" applyAlignment="1">
      <alignment horizontal="right" vertical="center"/>
    </xf>
    <xf numFmtId="171" fontId="3" fillId="0" borderId="14" xfId="2" applyNumberFormat="1" applyFont="1" applyBorder="1" applyAlignment="1">
      <alignment horizontal="right" vertical="center"/>
    </xf>
    <xf numFmtId="171" fontId="3" fillId="0" borderId="0" xfId="2" applyNumberFormat="1" applyFont="1" applyAlignment="1">
      <alignment horizontal="right" vertical="center"/>
    </xf>
    <xf numFmtId="171" fontId="3" fillId="0" borderId="15" xfId="2" applyNumberFormat="1" applyFont="1" applyBorder="1" applyAlignment="1">
      <alignment horizontal="right" vertical="center"/>
    </xf>
    <xf numFmtId="0" fontId="18" fillId="0" borderId="0" xfId="6" applyFont="1" applyAlignment="1">
      <alignment vertical="center"/>
    </xf>
    <xf numFmtId="165" fontId="37" fillId="0" borderId="0" xfId="2" applyNumberFormat="1" applyFont="1" applyAlignment="1">
      <alignment vertical="center"/>
    </xf>
    <xf numFmtId="0" fontId="4" fillId="0" borderId="0" xfId="6" applyFont="1" applyAlignment="1">
      <alignment horizontal="center"/>
    </xf>
    <xf numFmtId="0" fontId="34" fillId="0" borderId="0" xfId="2" applyFont="1"/>
    <xf numFmtId="176" fontId="4" fillId="0" borderId="0" xfId="6" applyNumberFormat="1" applyFont="1" applyAlignment="1">
      <alignment horizontal="center"/>
    </xf>
    <xf numFmtId="180" fontId="31" fillId="0" borderId="19" xfId="2" applyNumberFormat="1" applyFont="1" applyBorder="1" applyAlignment="1">
      <alignment horizontal="center" vertical="center"/>
    </xf>
    <xf numFmtId="181" fontId="39" fillId="0" borderId="19" xfId="2" applyNumberFormat="1" applyFont="1" applyBorder="1" applyAlignment="1">
      <alignment horizontal="center" vertical="center"/>
    </xf>
    <xf numFmtId="178" fontId="34" fillId="0" borderId="19" xfId="2" applyNumberFormat="1" applyFont="1" applyBorder="1" applyAlignment="1">
      <alignment horizontal="right" vertical="center"/>
    </xf>
    <xf numFmtId="180" fontId="31" fillId="0" borderId="20" xfId="2" applyNumberFormat="1" applyFont="1" applyBorder="1" applyAlignment="1">
      <alignment horizontal="center" vertical="center"/>
    </xf>
    <xf numFmtId="181" fontId="39" fillId="0" borderId="20" xfId="2" applyNumberFormat="1" applyFont="1" applyBorder="1" applyAlignment="1">
      <alignment horizontal="center" vertical="center"/>
    </xf>
    <xf numFmtId="178" fontId="34" fillId="0" borderId="20" xfId="2" applyNumberFormat="1" applyFont="1" applyBorder="1" applyAlignment="1">
      <alignment horizontal="right" vertical="center"/>
    </xf>
    <xf numFmtId="0" fontId="25" fillId="0" borderId="11" xfId="2" applyFont="1" applyBorder="1" applyAlignment="1">
      <alignment vertical="center"/>
    </xf>
    <xf numFmtId="0" fontId="29" fillId="0" borderId="0" xfId="6" applyFont="1" applyAlignment="1">
      <alignment horizontal="left" vertical="center"/>
    </xf>
    <xf numFmtId="178" fontId="32" fillId="0" borderId="27" xfId="2" applyNumberFormat="1" applyFont="1" applyBorder="1" applyAlignment="1">
      <alignment horizontal="right" vertical="center"/>
    </xf>
    <xf numFmtId="178" fontId="32" fillId="0" borderId="28" xfId="2" applyNumberFormat="1" applyFont="1" applyBorder="1" applyAlignment="1">
      <alignment horizontal="right" vertical="center"/>
    </xf>
    <xf numFmtId="178" fontId="32" fillId="0" borderId="29" xfId="2" applyNumberFormat="1" applyFont="1" applyBorder="1" applyAlignment="1">
      <alignment horizontal="right" vertical="center"/>
    </xf>
    <xf numFmtId="178" fontId="32" fillId="0" borderId="30" xfId="2" applyNumberFormat="1" applyFont="1" applyBorder="1" applyAlignment="1">
      <alignment horizontal="right" vertical="center"/>
    </xf>
    <xf numFmtId="183" fontId="32" fillId="0" borderId="0" xfId="2" applyNumberFormat="1" applyFont="1" applyAlignment="1">
      <alignment horizontal="right" vertical="center"/>
    </xf>
    <xf numFmtId="0" fontId="50" fillId="0" borderId="18" xfId="2" applyFont="1" applyBorder="1" applyAlignment="1">
      <alignment vertical="center"/>
    </xf>
    <xf numFmtId="0" fontId="25" fillId="0" borderId="18" xfId="2" applyFont="1" applyBorder="1" applyAlignment="1">
      <alignment vertical="center"/>
    </xf>
    <xf numFmtId="0" fontId="22" fillId="0" borderId="18" xfId="2" applyFont="1" applyBorder="1" applyAlignment="1">
      <alignment vertical="center"/>
    </xf>
    <xf numFmtId="178" fontId="15" fillId="0" borderId="18" xfId="2" applyNumberFormat="1" applyFont="1" applyBorder="1" applyAlignment="1">
      <alignment horizontal="right" vertical="center"/>
    </xf>
    <xf numFmtId="14" fontId="34" fillId="0" borderId="0" xfId="6" applyNumberFormat="1" applyFont="1" applyAlignment="1">
      <alignment vertical="center"/>
    </xf>
    <xf numFmtId="178" fontId="34" fillId="0" borderId="19" xfId="6" applyNumberFormat="1" applyFont="1" applyBorder="1" applyAlignment="1">
      <alignment horizontal="right" vertical="center"/>
    </xf>
    <xf numFmtId="178" fontId="34" fillId="0" borderId="21" xfId="6" applyNumberFormat="1" applyFont="1" applyBorder="1" applyAlignment="1">
      <alignment horizontal="right" vertical="center"/>
    </xf>
    <xf numFmtId="178" fontId="34" fillId="0" borderId="20" xfId="6" applyNumberFormat="1" applyFont="1" applyBorder="1" applyAlignment="1">
      <alignment horizontal="right" vertical="center"/>
    </xf>
    <xf numFmtId="178" fontId="34" fillId="0" borderId="0" xfId="6" applyNumberFormat="1" applyFont="1" applyAlignment="1">
      <alignment horizontal="right" vertical="center"/>
    </xf>
    <xf numFmtId="14" fontId="34" fillId="0" borderId="0" xfId="6" applyNumberFormat="1" applyFont="1" applyAlignment="1">
      <alignment horizontal="center" vertical="center"/>
    </xf>
    <xf numFmtId="0" fontId="34" fillId="0" borderId="0" xfId="6" quotePrefix="1" applyFont="1" applyAlignment="1">
      <alignment horizontal="left" vertical="center" indent="1"/>
    </xf>
    <xf numFmtId="178" fontId="1" fillId="0" borderId="19" xfId="6" applyNumberFormat="1" applyBorder="1" applyAlignment="1">
      <alignment horizontal="right" vertical="center"/>
    </xf>
    <xf numFmtId="178" fontId="1" fillId="0" borderId="21" xfId="6" applyNumberFormat="1" applyBorder="1" applyAlignment="1">
      <alignment horizontal="right" vertical="center"/>
    </xf>
    <xf numFmtId="0" fontId="40" fillId="0" borderId="21" xfId="2" applyFont="1" applyBorder="1" applyAlignment="1">
      <alignment vertical="center"/>
    </xf>
    <xf numFmtId="0" fontId="15" fillId="0" borderId="21" xfId="2" applyFont="1" applyBorder="1" applyAlignment="1">
      <alignment vertical="center"/>
    </xf>
    <xf numFmtId="0" fontId="40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78" fontId="34" fillId="0" borderId="22" xfId="6" applyNumberFormat="1" applyFont="1" applyBorder="1" applyAlignment="1">
      <alignment horizontal="right" vertical="center"/>
    </xf>
    <xf numFmtId="178" fontId="34" fillId="0" borderId="23" xfId="6" applyNumberFormat="1" applyFont="1" applyBorder="1" applyAlignment="1">
      <alignment horizontal="right" vertical="center"/>
    </xf>
    <xf numFmtId="0" fontId="25" fillId="0" borderId="0" xfId="2" applyFont="1" applyAlignment="1">
      <alignment horizontal="right" vertical="center"/>
    </xf>
    <xf numFmtId="178" fontId="34" fillId="0" borderId="31" xfId="6" applyNumberFormat="1" applyFont="1" applyBorder="1" applyAlignment="1">
      <alignment horizontal="right" vertical="center"/>
    </xf>
    <xf numFmtId="178" fontId="34" fillId="0" borderId="26" xfId="6" applyNumberFormat="1" applyFont="1" applyBorder="1" applyAlignment="1">
      <alignment horizontal="right" vertical="center"/>
    </xf>
    <xf numFmtId="178" fontId="34" fillId="0" borderId="24" xfId="6" applyNumberFormat="1" applyFont="1" applyBorder="1" applyAlignment="1">
      <alignment horizontal="right" vertical="center"/>
    </xf>
    <xf numFmtId="178" fontId="32" fillId="0" borderId="19" xfId="6" applyNumberFormat="1" applyFont="1" applyBorder="1" applyAlignment="1">
      <alignment horizontal="right" vertical="center"/>
    </xf>
    <xf numFmtId="178" fontId="32" fillId="0" borderId="21" xfId="6" applyNumberFormat="1" applyFont="1" applyBorder="1" applyAlignment="1">
      <alignment horizontal="right" vertical="center"/>
    </xf>
    <xf numFmtId="178" fontId="32" fillId="0" borderId="20" xfId="6" applyNumberFormat="1" applyFont="1" applyBorder="1" applyAlignment="1">
      <alignment horizontal="right" vertical="center"/>
    </xf>
    <xf numFmtId="178" fontId="32" fillId="0" borderId="0" xfId="6" applyNumberFormat="1" applyFont="1" applyAlignment="1">
      <alignment horizontal="right" vertical="center"/>
    </xf>
    <xf numFmtId="178" fontId="32" fillId="0" borderId="32" xfId="2" applyNumberFormat="1" applyFont="1" applyBorder="1" applyAlignment="1">
      <alignment horizontal="right" vertical="center"/>
    </xf>
    <xf numFmtId="178" fontId="32" fillId="0" borderId="33" xfId="2" applyNumberFormat="1" applyFont="1" applyBorder="1" applyAlignment="1">
      <alignment horizontal="right" vertical="center"/>
    </xf>
    <xf numFmtId="0" fontId="41" fillId="0" borderId="0" xfId="2" applyFont="1" applyAlignment="1">
      <alignment vertical="center"/>
    </xf>
    <xf numFmtId="178" fontId="12" fillId="0" borderId="32" xfId="2" applyNumberFormat="1" applyFont="1" applyBorder="1" applyAlignment="1">
      <alignment horizontal="right" vertical="center"/>
    </xf>
    <xf numFmtId="178" fontId="12" fillId="0" borderId="33" xfId="2" applyNumberFormat="1" applyFont="1" applyBorder="1" applyAlignment="1">
      <alignment horizontal="right" vertical="center"/>
    </xf>
    <xf numFmtId="178" fontId="12" fillId="0" borderId="34" xfId="2" applyNumberFormat="1" applyFont="1" applyBorder="1" applyAlignment="1">
      <alignment horizontal="right" vertical="center"/>
    </xf>
    <xf numFmtId="178" fontId="32" fillId="0" borderId="34" xfId="2" applyNumberFormat="1" applyFont="1" applyBorder="1" applyAlignment="1">
      <alignment horizontal="right" vertical="center"/>
    </xf>
    <xf numFmtId="184" fontId="1" fillId="0" borderId="35" xfId="6" applyNumberFormat="1" applyBorder="1" applyAlignment="1">
      <alignment horizontal="center" vertical="center"/>
    </xf>
    <xf numFmtId="185" fontId="1" fillId="0" borderId="36" xfId="6" applyNumberFormat="1" applyBorder="1" applyAlignment="1">
      <alignment horizontal="right" vertical="center"/>
    </xf>
    <xf numFmtId="185" fontId="1" fillId="0" borderId="37" xfId="6" applyNumberFormat="1" applyBorder="1" applyAlignment="1">
      <alignment horizontal="right" vertical="center"/>
    </xf>
    <xf numFmtId="185" fontId="1" fillId="0" borderId="38" xfId="6" applyNumberFormat="1" applyBorder="1" applyAlignment="1">
      <alignment horizontal="right" vertical="center"/>
    </xf>
    <xf numFmtId="185" fontId="1" fillId="0" borderId="39" xfId="6" applyNumberFormat="1" applyBorder="1" applyAlignment="1">
      <alignment horizontal="right" vertical="center"/>
    </xf>
    <xf numFmtId="0" fontId="29" fillId="0" borderId="0" xfId="6" applyFont="1" applyAlignment="1">
      <alignment vertical="center"/>
    </xf>
    <xf numFmtId="186" fontId="34" fillId="0" borderId="19" xfId="6" applyNumberFormat="1" applyFont="1" applyBorder="1" applyAlignment="1">
      <alignment horizontal="center" vertical="center"/>
    </xf>
    <xf numFmtId="186" fontId="34" fillId="0" borderId="20" xfId="6" applyNumberFormat="1" applyFont="1" applyBorder="1" applyAlignment="1">
      <alignment horizontal="center" vertical="center"/>
    </xf>
    <xf numFmtId="187" fontId="30" fillId="0" borderId="0" xfId="2" applyNumberFormat="1" applyFont="1" applyAlignment="1">
      <alignment horizontal="center" vertical="center"/>
    </xf>
    <xf numFmtId="0" fontId="34" fillId="0" borderId="0" xfId="2" applyFont="1" applyAlignment="1">
      <alignment vertical="center"/>
    </xf>
    <xf numFmtId="186" fontId="32" fillId="0" borderId="19" xfId="6" applyNumberFormat="1" applyFont="1" applyBorder="1" applyAlignment="1">
      <alignment horizontal="center" vertical="center"/>
    </xf>
    <xf numFmtId="0" fontId="32" fillId="0" borderId="20" xfId="6" applyFont="1" applyBorder="1" applyAlignment="1">
      <alignment horizontal="left" vertical="center"/>
    </xf>
    <xf numFmtId="186" fontId="32" fillId="0" borderId="20" xfId="6" applyNumberFormat="1" applyFont="1" applyBorder="1" applyAlignment="1">
      <alignment horizontal="center" vertical="center"/>
    </xf>
    <xf numFmtId="0" fontId="1" fillId="0" borderId="11" xfId="6" applyBorder="1" applyAlignment="1">
      <alignment horizontal="left" vertical="center"/>
    </xf>
    <xf numFmtId="178" fontId="32" fillId="0" borderId="40" xfId="2" applyNumberFormat="1" applyFont="1" applyBorder="1" applyAlignment="1">
      <alignment horizontal="right" vertical="center"/>
    </xf>
    <xf numFmtId="178" fontId="32" fillId="0" borderId="41" xfId="2" applyNumberFormat="1" applyFont="1" applyBorder="1" applyAlignment="1">
      <alignment horizontal="right" vertical="center"/>
    </xf>
    <xf numFmtId="178" fontId="32" fillId="0" borderId="42" xfId="2" applyNumberFormat="1" applyFont="1" applyBorder="1" applyAlignment="1">
      <alignment horizontal="right" vertical="center"/>
    </xf>
    <xf numFmtId="0" fontId="25" fillId="0" borderId="43" xfId="2" applyFont="1" applyBorder="1" applyAlignment="1">
      <alignment vertical="center"/>
    </xf>
    <xf numFmtId="0" fontId="25" fillId="0" borderId="44" xfId="2" applyFont="1" applyBorder="1" applyAlignment="1">
      <alignment vertical="center"/>
    </xf>
    <xf numFmtId="0" fontId="11" fillId="0" borderId="44" xfId="2" applyBorder="1" applyAlignment="1">
      <alignment vertical="center"/>
    </xf>
    <xf numFmtId="0" fontId="45" fillId="0" borderId="0" xfId="6" applyFont="1" applyAlignment="1">
      <alignment horizontal="left" vertical="center"/>
    </xf>
    <xf numFmtId="178" fontId="1" fillId="0" borderId="32" xfId="6" applyNumberFormat="1" applyBorder="1" applyAlignment="1">
      <alignment horizontal="right" vertical="center"/>
    </xf>
    <xf numFmtId="178" fontId="1" fillId="0" borderId="33" xfId="6" applyNumberFormat="1" applyBorder="1" applyAlignment="1">
      <alignment horizontal="right" vertical="center"/>
    </xf>
    <xf numFmtId="178" fontId="1" fillId="0" borderId="25" xfId="6" applyNumberFormat="1" applyBorder="1" applyAlignment="1">
      <alignment horizontal="right" vertical="center"/>
    </xf>
    <xf numFmtId="0" fontId="30" fillId="0" borderId="0" xfId="6" applyFont="1" applyAlignment="1">
      <alignment horizontal="right"/>
    </xf>
    <xf numFmtId="0" fontId="22" fillId="0" borderId="21" xfId="2" applyFont="1" applyBorder="1" applyAlignment="1">
      <alignment vertical="center"/>
    </xf>
    <xf numFmtId="178" fontId="15" fillId="0" borderId="21" xfId="2" applyNumberFormat="1" applyFont="1" applyBorder="1" applyAlignment="1">
      <alignment horizontal="right" vertical="center"/>
    </xf>
    <xf numFmtId="0" fontId="22" fillId="0" borderId="0" xfId="2" applyFont="1" applyAlignment="1">
      <alignment vertical="center"/>
    </xf>
    <xf numFmtId="178" fontId="15" fillId="0" borderId="0" xfId="2" applyNumberFormat="1" applyFont="1" applyAlignment="1">
      <alignment horizontal="right" vertical="center"/>
    </xf>
    <xf numFmtId="0" fontId="11" fillId="0" borderId="11" xfId="2" applyBorder="1" applyAlignment="1">
      <alignment vertical="center"/>
    </xf>
    <xf numFmtId="182" fontId="32" fillId="0" borderId="11" xfId="2" applyNumberFormat="1" applyFont="1" applyBorder="1" applyAlignment="1">
      <alignment horizontal="right" vertical="center"/>
    </xf>
    <xf numFmtId="178" fontId="32" fillId="0" borderId="44" xfId="2" applyNumberFormat="1" applyFont="1" applyBorder="1" applyAlignment="1">
      <alignment horizontal="right" vertical="center"/>
    </xf>
    <xf numFmtId="191" fontId="58" fillId="0" borderId="0" xfId="6" applyNumberFormat="1" applyFont="1" applyAlignment="1">
      <alignment horizontal="left" vertical="center"/>
    </xf>
    <xf numFmtId="0" fontId="11" fillId="0" borderId="45" xfId="2" applyBorder="1" applyAlignment="1">
      <alignment vertical="center"/>
    </xf>
    <xf numFmtId="174" fontId="29" fillId="0" borderId="46" xfId="2" applyNumberFormat="1" applyFont="1" applyBorder="1" applyAlignment="1">
      <alignment horizontal="right" vertical="center"/>
    </xf>
    <xf numFmtId="174" fontId="29" fillId="0" borderId="47" xfId="2" applyNumberFormat="1" applyFont="1" applyBorder="1" applyAlignment="1">
      <alignment horizontal="right" vertical="center"/>
    </xf>
    <xf numFmtId="174" fontId="29" fillId="0" borderId="48" xfId="2" applyNumberFormat="1" applyFont="1" applyBorder="1" applyAlignment="1">
      <alignment horizontal="right" vertical="center"/>
    </xf>
    <xf numFmtId="178" fontId="12" fillId="0" borderId="19" xfId="2" applyNumberFormat="1" applyFont="1" applyBorder="1" applyAlignment="1">
      <alignment horizontal="right" vertical="center"/>
    </xf>
    <xf numFmtId="178" fontId="12" fillId="0" borderId="21" xfId="2" applyNumberFormat="1" applyFont="1" applyBorder="1" applyAlignment="1">
      <alignment horizontal="right" vertical="center"/>
    </xf>
    <xf numFmtId="178" fontId="25" fillId="0" borderId="0" xfId="2" applyNumberFormat="1" applyFont="1" applyAlignment="1">
      <alignment horizontal="right" vertical="center"/>
    </xf>
    <xf numFmtId="178" fontId="32" fillId="0" borderId="20" xfId="7" applyNumberFormat="1" applyFont="1" applyFill="1" applyBorder="1" applyAlignment="1" applyProtection="1">
      <alignment horizontal="right" vertical="center"/>
      <protection locked="0"/>
    </xf>
    <xf numFmtId="0" fontId="32" fillId="0" borderId="0" xfId="2" applyFont="1" applyAlignment="1">
      <alignment horizontal="center" vertical="center"/>
    </xf>
    <xf numFmtId="178" fontId="32" fillId="0" borderId="19" xfId="7" applyNumberFormat="1" applyFont="1" applyFill="1" applyBorder="1" applyAlignment="1" applyProtection="1">
      <alignment horizontal="right" vertical="center"/>
      <protection locked="0"/>
    </xf>
    <xf numFmtId="178" fontId="32" fillId="0" borderId="21" xfId="7" applyNumberFormat="1" applyFont="1" applyFill="1" applyBorder="1" applyAlignment="1" applyProtection="1">
      <alignment horizontal="right" vertical="center"/>
      <protection locked="0"/>
    </xf>
    <xf numFmtId="0" fontId="32" fillId="0" borderId="11" xfId="2" applyFont="1" applyBorder="1" applyAlignment="1">
      <alignment horizontal="left" vertical="center" indent="1"/>
    </xf>
    <xf numFmtId="0" fontId="32" fillId="0" borderId="11" xfId="2" applyFont="1" applyBorder="1" applyAlignment="1">
      <alignment horizontal="center" vertical="center"/>
    </xf>
    <xf numFmtId="178" fontId="34" fillId="0" borderId="21" xfId="7" applyNumberFormat="1" applyFont="1" applyFill="1" applyBorder="1" applyAlignment="1" applyProtection="1">
      <alignment vertical="center"/>
      <protection locked="0"/>
    </xf>
    <xf numFmtId="178" fontId="34" fillId="0" borderId="0" xfId="7" applyNumberFormat="1" applyFont="1" applyFill="1" applyBorder="1" applyAlignment="1" applyProtection="1">
      <alignment horizontal="right" vertical="center"/>
      <protection locked="0"/>
    </xf>
    <xf numFmtId="178" fontId="32" fillId="0" borderId="40" xfId="7" applyNumberFormat="1" applyFont="1" applyFill="1" applyBorder="1" applyAlignment="1" applyProtection="1">
      <alignment vertical="center"/>
      <protection locked="0"/>
    </xf>
    <xf numFmtId="178" fontId="32" fillId="0" borderId="41" xfId="7" applyNumberFormat="1" applyFont="1" applyFill="1" applyBorder="1" applyAlignment="1" applyProtection="1">
      <alignment vertical="center"/>
      <protection locked="0"/>
    </xf>
    <xf numFmtId="178" fontId="32" fillId="0" borderId="42" xfId="7" applyNumberFormat="1" applyFont="1" applyFill="1" applyBorder="1" applyAlignment="1" applyProtection="1">
      <alignment vertical="center"/>
      <protection locked="0"/>
    </xf>
    <xf numFmtId="0" fontId="16" fillId="0" borderId="0" xfId="2" applyFont="1" applyAlignment="1">
      <alignment horizontal="center"/>
    </xf>
    <xf numFmtId="0" fontId="22" fillId="0" borderId="11" xfId="2" applyFont="1" applyBorder="1" applyAlignment="1">
      <alignment vertical="center"/>
    </xf>
    <xf numFmtId="178" fontId="15" fillId="0" borderId="11" xfId="2" applyNumberFormat="1" applyFont="1" applyBorder="1" applyAlignment="1">
      <alignment horizontal="right" vertical="center"/>
    </xf>
    <xf numFmtId="188" fontId="1" fillId="0" borderId="35" xfId="6" applyNumberFormat="1" applyBorder="1" applyAlignment="1">
      <alignment horizontal="center" vertical="center"/>
    </xf>
    <xf numFmtId="188" fontId="25" fillId="0" borderId="0" xfId="2" applyNumberFormat="1" applyFont="1" applyAlignment="1">
      <alignment vertical="center"/>
    </xf>
    <xf numFmtId="178" fontId="32" fillId="0" borderId="43" xfId="7" applyNumberFormat="1" applyFont="1" applyFill="1" applyBorder="1" applyAlignment="1" applyProtection="1">
      <alignment vertical="center"/>
      <protection locked="0"/>
    </xf>
    <xf numFmtId="178" fontId="32" fillId="0" borderId="27" xfId="7" applyNumberFormat="1" applyFont="1" applyFill="1" applyBorder="1" applyAlignment="1" applyProtection="1">
      <alignment vertical="center"/>
      <protection locked="0"/>
    </xf>
    <xf numFmtId="178" fontId="32" fillId="0" borderId="28" xfId="7" applyNumberFormat="1" applyFont="1" applyFill="1" applyBorder="1" applyAlignment="1" applyProtection="1">
      <alignment vertical="center"/>
      <protection locked="0"/>
    </xf>
    <xf numFmtId="178" fontId="32" fillId="0" borderId="29" xfId="7" applyNumberFormat="1" applyFont="1" applyFill="1" applyBorder="1" applyAlignment="1" applyProtection="1">
      <alignment vertical="center"/>
      <protection locked="0"/>
    </xf>
    <xf numFmtId="178" fontId="32" fillId="0" borderId="30" xfId="7" applyNumberFormat="1" applyFont="1" applyFill="1" applyBorder="1" applyAlignment="1" applyProtection="1">
      <alignment vertical="center"/>
      <protection locked="0"/>
    </xf>
    <xf numFmtId="0" fontId="29" fillId="0" borderId="0" xfId="2" applyFont="1" applyAlignment="1">
      <alignment horizontal="left" vertical="center"/>
    </xf>
    <xf numFmtId="189" fontId="29" fillId="0" borderId="0" xfId="6" applyNumberFormat="1" applyFont="1" applyAlignment="1">
      <alignment horizontal="right" vertical="center"/>
    </xf>
    <xf numFmtId="186" fontId="34" fillId="0" borderId="19" xfId="2" applyNumberFormat="1" applyFont="1" applyBorder="1" applyAlignment="1">
      <alignment horizontal="right" vertical="center"/>
    </xf>
    <xf numFmtId="186" fontId="34" fillId="0" borderId="21" xfId="2" applyNumberFormat="1" applyFont="1" applyBorder="1" applyAlignment="1">
      <alignment horizontal="right" vertical="center"/>
    </xf>
    <xf numFmtId="189" fontId="32" fillId="0" borderId="20" xfId="6" applyNumberFormat="1" applyFont="1" applyBorder="1" applyAlignment="1">
      <alignment horizontal="right" vertical="center"/>
    </xf>
    <xf numFmtId="189" fontId="32" fillId="0" borderId="0" xfId="6" applyNumberFormat="1" applyFont="1" applyAlignment="1">
      <alignment horizontal="right" vertical="center"/>
    </xf>
    <xf numFmtId="186" fontId="46" fillId="0" borderId="21" xfId="2" applyNumberFormat="1" applyFont="1" applyBorder="1" applyAlignment="1">
      <alignment horizontal="right" vertical="center"/>
    </xf>
    <xf numFmtId="186" fontId="32" fillId="0" borderId="20" xfId="2" applyNumberFormat="1" applyFont="1" applyBorder="1" applyAlignment="1">
      <alignment horizontal="right" vertical="center"/>
    </xf>
    <xf numFmtId="186" fontId="32" fillId="0" borderId="0" xfId="2" applyNumberFormat="1" applyFont="1" applyAlignment="1">
      <alignment horizontal="right" vertical="center"/>
    </xf>
    <xf numFmtId="0" fontId="29" fillId="0" borderId="0" xfId="2" applyFont="1" applyAlignment="1">
      <alignment horizontal="left" vertical="center" indent="1"/>
    </xf>
    <xf numFmtId="0" fontId="25" fillId="0" borderId="0" xfId="2" applyFont="1" applyAlignment="1">
      <alignment horizontal="left" vertical="center" indent="1"/>
    </xf>
    <xf numFmtId="0" fontId="34" fillId="0" borderId="11" xfId="6" applyFont="1" applyBorder="1" applyAlignment="1">
      <alignment horizontal="left" vertical="center" indent="1"/>
    </xf>
    <xf numFmtId="0" fontId="29" fillId="0" borderId="0" xfId="2" applyFont="1" applyAlignment="1">
      <alignment horizontal="left" vertical="center" indent="2"/>
    </xf>
    <xf numFmtId="0" fontId="32" fillId="0" borderId="0" xfId="2" applyFont="1" applyAlignment="1">
      <alignment horizontal="left" vertical="center" indent="3"/>
    </xf>
    <xf numFmtId="186" fontId="46" fillId="0" borderId="19" xfId="2" applyNumberFormat="1" applyFont="1" applyBorder="1" applyAlignment="1">
      <alignment horizontal="right" vertical="center"/>
    </xf>
    <xf numFmtId="186" fontId="46" fillId="0" borderId="20" xfId="2" applyNumberFormat="1" applyFont="1" applyBorder="1" applyAlignment="1">
      <alignment horizontal="right" vertical="center"/>
    </xf>
    <xf numFmtId="0" fontId="29" fillId="0" borderId="0" xfId="1" applyFont="1" applyAlignment="1">
      <alignment vertical="center"/>
    </xf>
    <xf numFmtId="169" fontId="32" fillId="0" borderId="0" xfId="7" applyNumberFormat="1" applyFont="1" applyFill="1" applyAlignment="1" applyProtection="1">
      <alignment horizontal="center" vertical="center"/>
      <protection locked="0"/>
    </xf>
    <xf numFmtId="0" fontId="32" fillId="0" borderId="0" xfId="2" applyFont="1" applyAlignment="1">
      <alignment horizontal="left" vertical="center"/>
    </xf>
    <xf numFmtId="0" fontId="32" fillId="0" borderId="0" xfId="2" applyFont="1" applyAlignment="1">
      <alignment horizontal="left" vertical="center" indent="2"/>
    </xf>
    <xf numFmtId="0" fontId="3" fillId="0" borderId="0" xfId="2" quotePrefix="1" applyFont="1" applyAlignment="1">
      <alignment horizontal="center" vertical="center"/>
    </xf>
    <xf numFmtId="0" fontId="50" fillId="0" borderId="0" xfId="2" applyFont="1" applyAlignment="1">
      <alignment vertical="center"/>
    </xf>
    <xf numFmtId="169" fontId="32" fillId="0" borderId="0" xfId="7" applyNumberFormat="1" applyFont="1" applyFill="1" applyBorder="1" applyAlignment="1" applyProtection="1">
      <alignment horizontal="center" vertical="center"/>
      <protection locked="0"/>
    </xf>
    <xf numFmtId="175" fontId="31" fillId="0" borderId="21" xfId="2" applyNumberFormat="1" applyFont="1" applyBorder="1" applyAlignment="1">
      <alignment vertical="center"/>
    </xf>
    <xf numFmtId="169" fontId="29" fillId="0" borderId="0" xfId="7" applyNumberFormat="1" applyFont="1" applyFill="1" applyBorder="1" applyAlignment="1" applyProtection="1">
      <alignment vertical="center"/>
      <protection locked="0"/>
    </xf>
    <xf numFmtId="0" fontId="5" fillId="0" borderId="0" xfId="2" quotePrefix="1" applyFont="1" applyAlignment="1">
      <alignment horizontal="center" vertical="center"/>
    </xf>
    <xf numFmtId="0" fontId="4" fillId="0" borderId="44" xfId="6" applyFont="1" applyBorder="1" applyAlignment="1">
      <alignment vertical="center"/>
    </xf>
    <xf numFmtId="175" fontId="31" fillId="0" borderId="44" xfId="2" applyNumberFormat="1" applyFont="1" applyBorder="1" applyAlignment="1">
      <alignment vertical="center"/>
    </xf>
    <xf numFmtId="0" fontId="25" fillId="0" borderId="10" xfId="2" applyFont="1" applyBorder="1"/>
    <xf numFmtId="0" fontId="25" fillId="0" borderId="12" xfId="2" applyFont="1" applyBorder="1"/>
    <xf numFmtId="178" fontId="15" fillId="0" borderId="18" xfId="2" applyNumberFormat="1" applyFont="1" applyBorder="1" applyAlignment="1">
      <alignment horizontal="right"/>
    </xf>
    <xf numFmtId="178" fontId="15" fillId="0" borderId="20" xfId="2" applyNumberFormat="1" applyFont="1" applyBorder="1" applyAlignment="1">
      <alignment horizontal="right"/>
    </xf>
    <xf numFmtId="178" fontId="32" fillId="0" borderId="43" xfId="2" applyNumberFormat="1" applyFont="1" applyBorder="1" applyAlignment="1">
      <alignment horizontal="right" vertical="center"/>
    </xf>
    <xf numFmtId="0" fontId="22" fillId="0" borderId="43" xfId="2" applyFont="1" applyBorder="1"/>
    <xf numFmtId="0" fontId="25" fillId="0" borderId="11" xfId="2" applyFont="1" applyBorder="1"/>
    <xf numFmtId="0" fontId="22" fillId="0" borderId="11" xfId="2" applyFont="1" applyBorder="1"/>
    <xf numFmtId="178" fontId="15" fillId="0" borderId="11" xfId="2" applyNumberFormat="1" applyFont="1" applyBorder="1" applyAlignment="1">
      <alignment horizontal="right"/>
    </xf>
    <xf numFmtId="0" fontId="48" fillId="0" borderId="20" xfId="2" applyFont="1" applyBorder="1"/>
    <xf numFmtId="0" fontId="25" fillId="0" borderId="49" xfId="2" applyFont="1" applyBorder="1" applyAlignment="1">
      <alignment vertical="center"/>
    </xf>
    <xf numFmtId="173" fontId="16" fillId="0" borderId="46" xfId="2" applyNumberFormat="1" applyFont="1" applyBorder="1" applyAlignment="1">
      <alignment horizontal="right" vertical="center"/>
    </xf>
    <xf numFmtId="173" fontId="16" fillId="0" borderId="47" xfId="2" applyNumberFormat="1" applyFont="1" applyBorder="1" applyAlignment="1">
      <alignment horizontal="right" vertical="center"/>
    </xf>
    <xf numFmtId="173" fontId="16" fillId="0" borderId="48" xfId="2" applyNumberFormat="1" applyFont="1" applyBorder="1" applyAlignment="1">
      <alignment horizontal="right" vertical="center"/>
    </xf>
    <xf numFmtId="189" fontId="29" fillId="0" borderId="46" xfId="2" applyNumberFormat="1" applyFont="1" applyBorder="1" applyAlignment="1">
      <alignment horizontal="right" vertical="center"/>
    </xf>
    <xf numFmtId="189" fontId="29" fillId="0" borderId="50" xfId="2" applyNumberFormat="1" applyFont="1" applyBorder="1" applyAlignment="1">
      <alignment horizontal="right" vertical="center"/>
    </xf>
    <xf numFmtId="178" fontId="32" fillId="0" borderId="40" xfId="7" applyNumberFormat="1" applyFont="1" applyFill="1" applyBorder="1" applyAlignment="1" applyProtection="1">
      <alignment horizontal="right" vertical="center"/>
      <protection locked="0"/>
    </xf>
    <xf numFmtId="0" fontId="25" fillId="0" borderId="43" xfId="2" applyFont="1" applyBorder="1"/>
    <xf numFmtId="178" fontId="32" fillId="0" borderId="53" xfId="7" applyNumberFormat="1" applyFont="1" applyFill="1" applyBorder="1" applyAlignment="1" applyProtection="1">
      <alignment horizontal="right" vertical="center"/>
      <protection locked="0"/>
    </xf>
    <xf numFmtId="178" fontId="12" fillId="0" borderId="40" xfId="2" applyNumberFormat="1" applyFont="1" applyBorder="1"/>
    <xf numFmtId="178" fontId="12" fillId="0" borderId="41" xfId="2" applyNumberFormat="1" applyFont="1" applyBorder="1"/>
    <xf numFmtId="178" fontId="12" fillId="0" borderId="42" xfId="2" applyNumberFormat="1" applyFont="1" applyBorder="1"/>
    <xf numFmtId="178" fontId="32" fillId="0" borderId="19" xfId="7" applyNumberFormat="1" applyFont="1" applyFill="1" applyBorder="1" applyAlignment="1" applyProtection="1">
      <alignment horizontal="center" vertical="center"/>
      <protection locked="0"/>
    </xf>
    <xf numFmtId="0" fontId="8" fillId="0" borderId="14" xfId="2" applyFont="1" applyBorder="1" applyAlignment="1">
      <alignment vertical="center"/>
    </xf>
    <xf numFmtId="178" fontId="16" fillId="0" borderId="10" xfId="2" applyNumberFormat="1" applyFont="1" applyBorder="1" applyAlignment="1">
      <alignment horizontal="right" vertical="center"/>
    </xf>
    <xf numFmtId="175" fontId="31" fillId="0" borderId="19" xfId="2" applyNumberFormat="1" applyFont="1" applyBorder="1" applyAlignment="1">
      <alignment vertical="center"/>
    </xf>
    <xf numFmtId="175" fontId="31" fillId="0" borderId="20" xfId="2" applyNumberFormat="1" applyFont="1" applyBorder="1" applyAlignment="1">
      <alignment vertical="center"/>
    </xf>
    <xf numFmtId="178" fontId="32" fillId="0" borderId="20" xfId="2" applyNumberFormat="1" applyFont="1" applyBorder="1" applyAlignment="1">
      <alignment horizontal="right"/>
    </xf>
    <xf numFmtId="178" fontId="32" fillId="0" borderId="0" xfId="2" applyNumberFormat="1" applyFont="1" applyAlignment="1">
      <alignment horizontal="right"/>
    </xf>
    <xf numFmtId="178" fontId="34" fillId="0" borderId="19" xfId="2" applyNumberFormat="1" applyFont="1" applyBorder="1" applyAlignment="1">
      <alignment horizontal="right"/>
    </xf>
    <xf numFmtId="178" fontId="34" fillId="0" borderId="21" xfId="2" applyNumberFormat="1" applyFont="1" applyBorder="1" applyAlignment="1">
      <alignment horizontal="right"/>
    </xf>
    <xf numFmtId="178" fontId="32" fillId="0" borderId="22" xfId="2" applyNumberFormat="1" applyFont="1" applyBorder="1" applyAlignment="1">
      <alignment horizontal="right"/>
    </xf>
    <xf numFmtId="178" fontId="32" fillId="0" borderId="23" xfId="2" applyNumberFormat="1" applyFont="1" applyBorder="1" applyAlignment="1">
      <alignment horizontal="right"/>
    </xf>
    <xf numFmtId="178" fontId="32" fillId="0" borderId="24" xfId="2" applyNumberFormat="1" applyFont="1" applyBorder="1" applyAlignment="1">
      <alignment horizontal="right"/>
    </xf>
    <xf numFmtId="0" fontId="16" fillId="0" borderId="0" xfId="2" applyFont="1" applyAlignment="1">
      <alignment horizontal="right"/>
    </xf>
    <xf numFmtId="178" fontId="32" fillId="0" borderId="32" xfId="2" applyNumberFormat="1" applyFont="1" applyBorder="1" applyAlignment="1">
      <alignment horizontal="right"/>
    </xf>
    <xf numFmtId="178" fontId="34" fillId="0" borderId="20" xfId="2" applyNumberFormat="1" applyFont="1" applyBorder="1" applyAlignment="1">
      <alignment horizontal="right"/>
    </xf>
    <xf numFmtId="0" fontId="57" fillId="0" borderId="0" xfId="2" applyFont="1" applyAlignment="1">
      <alignment horizontal="left"/>
    </xf>
    <xf numFmtId="0" fontId="54" fillId="0" borderId="0" xfId="2" applyFont="1"/>
    <xf numFmtId="186" fontId="46" fillId="0" borderId="0" xfId="2" applyNumberFormat="1" applyFont="1" applyAlignment="1">
      <alignment horizontal="right"/>
    </xf>
    <xf numFmtId="0" fontId="46" fillId="0" borderId="0" xfId="2" applyFont="1"/>
    <xf numFmtId="0" fontId="46" fillId="0" borderId="0" xfId="2" applyFont="1" applyAlignment="1">
      <alignment horizontal="left" indent="1"/>
    </xf>
    <xf numFmtId="186" fontId="46" fillId="0" borderId="19" xfId="2" applyNumberFormat="1" applyFont="1" applyBorder="1" applyAlignment="1">
      <alignment horizontal="right"/>
    </xf>
    <xf numFmtId="186" fontId="46" fillId="0" borderId="21" xfId="2" applyNumberFormat="1" applyFont="1" applyBorder="1" applyAlignment="1">
      <alignment horizontal="right"/>
    </xf>
    <xf numFmtId="0" fontId="46" fillId="0" borderId="20" xfId="2" applyFont="1" applyBorder="1"/>
    <xf numFmtId="178" fontId="46" fillId="0" borderId="20" xfId="2" applyNumberFormat="1" applyFont="1" applyBorder="1" applyAlignment="1">
      <alignment horizontal="right"/>
    </xf>
    <xf numFmtId="178" fontId="46" fillId="0" borderId="0" xfId="2" applyNumberFormat="1" applyFont="1" applyAlignment="1">
      <alignment horizontal="right"/>
    </xf>
    <xf numFmtId="186" fontId="46" fillId="0" borderId="20" xfId="2" applyNumberFormat="1" applyFont="1" applyBorder="1" applyAlignment="1">
      <alignment horizontal="right"/>
    </xf>
    <xf numFmtId="178" fontId="46" fillId="0" borderId="21" xfId="2" applyNumberFormat="1" applyFont="1" applyBorder="1" applyAlignment="1">
      <alignment horizontal="right"/>
    </xf>
    <xf numFmtId="178" fontId="32" fillId="0" borderId="31" xfId="2" applyNumberFormat="1" applyFont="1" applyBorder="1" applyAlignment="1">
      <alignment horizontal="right"/>
    </xf>
    <xf numFmtId="178" fontId="32" fillId="0" borderId="26" xfId="2" applyNumberFormat="1" applyFont="1" applyBorder="1" applyAlignment="1">
      <alignment horizontal="right"/>
    </xf>
    <xf numFmtId="0" fontId="25" fillId="0" borderId="0" xfId="2" applyFont="1" applyFill="1"/>
    <xf numFmtId="0" fontId="25" fillId="0" borderId="0" xfId="2" applyFont="1" applyFill="1" applyAlignment="1">
      <alignment vertical="center"/>
    </xf>
  </cellXfs>
  <cellStyles count="9">
    <cellStyle name="Comma 2" xfId="5" xr:uid="{68A1EDD5-8C30-4E44-A10C-07E26B120452}"/>
    <cellStyle name="Comma 3" xfId="7" xr:uid="{DDEF5996-2B10-45A4-AE72-7FAC0488F026}"/>
    <cellStyle name="Hyperlink 2" xfId="3" xr:uid="{C1137A79-0898-4690-BC28-F3A330157F56}"/>
    <cellStyle name="Hyperlink 2 2" xfId="4" xr:uid="{23A15103-5B72-4572-B14D-FFE28B5727C7}"/>
    <cellStyle name="Normal 2" xfId="2" xr:uid="{F4D5F7FD-68C3-47D4-BF81-273FD83B9150}"/>
    <cellStyle name="Normal 2 2 2" xfId="1" xr:uid="{A3F880D7-7751-45C4-805E-93CB8FE260C5}"/>
    <cellStyle name="Normal 3" xfId="6" xr:uid="{07EBF81C-C9F1-4271-B38F-77E382AD0D85}"/>
    <cellStyle name="Normal 3 2" xfId="8" xr:uid="{785F1F41-C468-4F67-A423-04A238BB6B15}"/>
    <cellStyle name="Standard" xfId="0" builtinId="0"/>
  </cellStyles>
  <dxfs count="11">
    <dxf>
      <font>
        <b/>
        <i val="0"/>
        <color theme="0"/>
      </font>
      <fill>
        <patternFill>
          <bgColor rgb="FFFA621C"/>
        </patternFill>
      </fill>
    </dxf>
    <dxf>
      <numFmt numFmtId="192" formatCode="\_xd83d_\_xdd3c_* _(#,##0_);\(#,##0\);_(&quot;–&quot;_);_(@_)"/>
    </dxf>
    <dxf>
      <numFmt numFmtId="193" formatCode="\_xd83d_\_xdd3d_* _(#,##0_);\(#,##0\);_(&quot;–&quot;_);_(@_)"/>
    </dxf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bgColor rgb="FFFA621C"/>
        </patternFill>
      </fill>
    </dxf>
    <dxf>
      <fill>
        <patternFill>
          <bgColor rgb="FFF2F2F2"/>
        </patternFill>
      </fill>
    </dxf>
    <dxf>
      <font>
        <b/>
        <i val="0"/>
        <color theme="0"/>
      </font>
      <fill>
        <patternFill>
          <bgColor rgb="FFFA621C"/>
        </patternFill>
      </fill>
    </dxf>
    <dxf>
      <font>
        <b/>
        <i val="0"/>
        <color theme="0"/>
      </font>
      <fill>
        <patternFill>
          <bgColor rgb="FFFA621C"/>
        </patternFill>
      </fill>
    </dxf>
    <dxf>
      <font>
        <color rgb="FFFA621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425194605293E-2"/>
          <c:y val="5.0925925925925923E-2"/>
          <c:w val="0.84116042795181456"/>
          <c:h val="0.86482283464566934"/>
        </c:manualLayout>
      </c:layout>
      <c:lineChart>
        <c:grouping val="standard"/>
        <c:varyColors val="0"/>
        <c:ser>
          <c:idx val="1"/>
          <c:order val="0"/>
          <c:tx>
            <c:strRef>
              <c:f>Graphs!$D$139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24-41F7-A42E-2E7ADCA8D0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4-41F7-A42E-2E7ADCA8D0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24-41F7-A42E-2E7ADCA8D0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24-41F7-A42E-2E7ADCA8D0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24-41F7-A42E-2E7ADCA8D0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24-41F7-A42E-2E7ADCA8D0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24-41F7-A42E-2E7ADCA8D0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24-41F7-A42E-2E7ADCA8D0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24-41F7-A42E-2E7ADCA8D0F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24-41F7-A42E-2E7ADCA8D0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24-41F7-A42E-2E7ADCA8D0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Graphs!$F$139:$Q$139</c:f>
              <c:numCache>
                <c:formatCode>_(#,##0_);\(#,##0\);_("–"_);_(@_)</c:formatCode>
                <c:ptCount val="12"/>
                <c:pt idx="0">
                  <c:v>733.33333333333326</c:v>
                </c:pt>
                <c:pt idx="1">
                  <c:v>733.33333333333326</c:v>
                </c:pt>
                <c:pt idx="2">
                  <c:v>733.33333333333326</c:v>
                </c:pt>
                <c:pt idx="3">
                  <c:v>1222.2222222222222</c:v>
                </c:pt>
                <c:pt idx="4">
                  <c:v>1358.5858585858587</c:v>
                </c:pt>
                <c:pt idx="5">
                  <c:v>1358.5858585858587</c:v>
                </c:pt>
                <c:pt idx="6">
                  <c:v>1358.5858585858587</c:v>
                </c:pt>
                <c:pt idx="7">
                  <c:v>1358.5858585858587</c:v>
                </c:pt>
                <c:pt idx="8">
                  <c:v>1358.5858585858587</c:v>
                </c:pt>
                <c:pt idx="9">
                  <c:v>1208.5858585858587</c:v>
                </c:pt>
                <c:pt idx="10">
                  <c:v>1208.5858585858587</c:v>
                </c:pt>
                <c:pt idx="11">
                  <c:v>1208.5858585858587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B24-41F7-A42E-2E7ADCA8D0F0}"/>
            </c:ext>
          </c:extLst>
        </c:ser>
        <c:ser>
          <c:idx val="0"/>
          <c:order val="1"/>
          <c:tx>
            <c:strRef>
              <c:f>Graphs!$D$140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noFill/>
              </a:ln>
              <a:effectLst/>
            </c:spPr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Graphs!$F$140:$Q$140</c:f>
              <c:numCache>
                <c:formatCode>_(#,##0_);\(#,##0\);_("–"_);_(@_)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B24-41F7-A42E-2E7ADCA8D0F0}"/>
            </c:ext>
          </c:extLst>
        </c:ser>
        <c:ser>
          <c:idx val="3"/>
          <c:order val="2"/>
          <c:tx>
            <c:strRef>
              <c:f>Graphs!$D$141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 cmpd="sng" algn="ctr">
              <a:solidFill>
                <a:srgbClr val="FA621C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24-41F7-A42E-2E7ADCA8D0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24-41F7-A42E-2E7ADCA8D0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24-41F7-A42E-2E7ADCA8D0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B24-41F7-A42E-2E7ADCA8D0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24-41F7-A42E-2E7ADCA8D0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24-41F7-A42E-2E7ADCA8D0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24-41F7-A42E-2E7ADCA8D0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24-41F7-A42E-2E7ADCA8D0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24-41F7-A42E-2E7ADCA8D0F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24-41F7-A42E-2E7ADCA8D0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24-41F7-A42E-2E7ADCA8D0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A621C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Graphs!$F$141:$Q$141</c:f>
              <c:numCache>
                <c:formatCode>_(#,##0_);\(#,##0\);_("–"_);_(@_)</c:formatCode>
                <c:ptCount val="12"/>
                <c:pt idx="0">
                  <c:v>1400</c:v>
                </c:pt>
                <c:pt idx="1">
                  <c:v>1600</c:v>
                </c:pt>
                <c:pt idx="2">
                  <c:v>1600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1600</c:v>
                </c:pt>
                <c:pt idx="10">
                  <c:v>1600</c:v>
                </c:pt>
                <c:pt idx="1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24-41F7-A42E-2E7ADCA8D0F0}"/>
            </c:ext>
          </c:extLst>
        </c:ser>
        <c:ser>
          <c:idx val="2"/>
          <c:order val="3"/>
          <c:tx>
            <c:strRef>
              <c:f>Graphs!$D$142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B24-41F7-A42E-2E7ADCA8D0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B24-41F7-A42E-2E7ADCA8D0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B24-41F7-A42E-2E7ADCA8D0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B24-41F7-A42E-2E7ADCA8D0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B24-41F7-A42E-2E7ADCA8D0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B24-41F7-A42E-2E7ADCA8D0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B24-41F7-A42E-2E7ADCA8D0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B24-41F7-A42E-2E7ADCA8D0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B24-41F7-A42E-2E7ADCA8D0F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B24-41F7-A42E-2E7ADCA8D0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B24-41F7-A42E-2E7ADCA8D0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Graphs!$F$142:$Q$142</c:f>
              <c:numCache>
                <c:formatCode>_(#,##0_);\(#,##0\);_("–"_);_(@_)</c:formatCode>
                <c:ptCount val="12"/>
                <c:pt idx="0">
                  <c:v>733.33333333333326</c:v>
                </c:pt>
                <c:pt idx="1">
                  <c:v>733.33333333333326</c:v>
                </c:pt>
                <c:pt idx="2">
                  <c:v>733.33333333333326</c:v>
                </c:pt>
                <c:pt idx="3">
                  <c:v>1222.2222222222222</c:v>
                </c:pt>
                <c:pt idx="4">
                  <c:v>1358.5858585858587</c:v>
                </c:pt>
                <c:pt idx="5">
                  <c:v>1358.5858585858587</c:v>
                </c:pt>
                <c:pt idx="6">
                  <c:v>1358.5858585858587</c:v>
                </c:pt>
                <c:pt idx="7">
                  <c:v>1358.5858585858587</c:v>
                </c:pt>
                <c:pt idx="8">
                  <c:v>1358.5858585858587</c:v>
                </c:pt>
                <c:pt idx="9">
                  <c:v>1208.5858585858587</c:v>
                </c:pt>
                <c:pt idx="10">
                  <c:v>1208.5858585858587</c:v>
                </c:pt>
                <c:pt idx="11">
                  <c:v>1208.5858585858587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B24-41F7-A42E-2E7ADCA8D0F0}"/>
            </c:ext>
          </c:extLst>
        </c:ser>
        <c:ser>
          <c:idx val="4"/>
          <c:order val="4"/>
          <c:tx>
            <c:strRef>
              <c:f>Graphs!$D$143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B24-41F7-A42E-2E7ADCA8D0F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B24-41F7-A42E-2E7ADCA8D0F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B24-41F7-A42E-2E7ADCA8D0F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B24-41F7-A42E-2E7ADCA8D0F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B24-41F7-A42E-2E7ADCA8D0F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B24-41F7-A42E-2E7ADCA8D0F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B24-41F7-A42E-2E7ADCA8D0F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B24-41F7-A42E-2E7ADCA8D0F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B24-41F7-A42E-2E7ADCA8D0F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B24-41F7-A42E-2E7ADCA8D0F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B24-41F7-A42E-2E7ADCA8D0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Graphs!$F$143:$Q$143</c:f>
              <c:numCache>
                <c:formatCode>_(#,##0_);\(#,##0\);_("–"_);_(@_)</c:formatCode>
                <c:ptCount val="12"/>
                <c:pt idx="0">
                  <c:v>986.36363636363637</c:v>
                </c:pt>
                <c:pt idx="1">
                  <c:v>1423.8636363636365</c:v>
                </c:pt>
                <c:pt idx="2">
                  <c:v>1423.8636363636365</c:v>
                </c:pt>
                <c:pt idx="3">
                  <c:v>1620.8333333333333</c:v>
                </c:pt>
                <c:pt idx="4">
                  <c:v>1620.8333333333333</c:v>
                </c:pt>
                <c:pt idx="5">
                  <c:v>1620.8333333333333</c:v>
                </c:pt>
                <c:pt idx="6">
                  <c:v>1620.8333333333333</c:v>
                </c:pt>
                <c:pt idx="7">
                  <c:v>1620.8333333333333</c:v>
                </c:pt>
                <c:pt idx="8">
                  <c:v>1620.8333333333333</c:v>
                </c:pt>
                <c:pt idx="9">
                  <c:v>1999.9999999999998</c:v>
                </c:pt>
                <c:pt idx="10">
                  <c:v>1999.9999999999998</c:v>
                </c:pt>
                <c:pt idx="11">
                  <c:v>1999.9999999999998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B24-41F7-A42E-2E7ADCA8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dateAx>
        <c:axId val="1656101471"/>
        <c:scaling>
          <c:orientation val="minMax"/>
        </c:scaling>
        <c:delete val="0"/>
        <c:axPos val="b"/>
        <c:numFmt formatCode="mmm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425194605293E-2"/>
          <c:y val="5.0925925925925923E-2"/>
          <c:w val="0.84116042795181456"/>
          <c:h val="0.86482283464566934"/>
        </c:manualLayout>
      </c:layout>
      <c:lineChart>
        <c:grouping val="standard"/>
        <c:varyColors val="0"/>
        <c:ser>
          <c:idx val="1"/>
          <c:order val="0"/>
          <c:tx>
            <c:strRef>
              <c:f>Graphs!$D$167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47B-40D7-8374-130190F9D5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7B-40D7-8374-130190F9D5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7B-40D7-8374-130190F9D5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7B-40D7-8374-130190F9D5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7B-40D7-8374-130190F9D5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7B-40D7-8374-130190F9D5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7B-40D7-8374-130190F9D59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7B-40D7-8374-130190F9D59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7B-40D7-8374-130190F9D5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7B-40D7-8374-130190F9D59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7B-40D7-8374-130190F9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Graphs!$F$167:$Q$167</c:f>
              <c:numCache>
                <c:formatCode>_(#,##0_);\(#,##0\);_("–"_);_(@_)</c:formatCode>
                <c:ptCount val="12"/>
                <c:pt idx="0">
                  <c:v>2075.2523224043716</c:v>
                </c:pt>
                <c:pt idx="1">
                  <c:v>1614.3501526639348</c:v>
                </c:pt>
                <c:pt idx="2">
                  <c:v>1090.4383504499665</c:v>
                </c:pt>
                <c:pt idx="3">
                  <c:v>2817.4954572550537</c:v>
                </c:pt>
                <c:pt idx="4">
                  <c:v>2339.291518302563</c:v>
                </c:pt>
                <c:pt idx="5">
                  <c:v>1814.170758027281</c:v>
                </c:pt>
                <c:pt idx="6">
                  <c:v>1333.4585073267206</c:v>
                </c:pt>
                <c:pt idx="7">
                  <c:v>796.26442135460024</c:v>
                </c:pt>
                <c:pt idx="8">
                  <c:v>191.43445399268603</c:v>
                </c:pt>
                <c:pt idx="9">
                  <c:v>3138.308668542968</c:v>
                </c:pt>
                <c:pt idx="10">
                  <c:v>954.33381179902472</c:v>
                </c:pt>
                <c:pt idx="11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7B-40D7-8374-130190F9D59B}"/>
            </c:ext>
          </c:extLst>
        </c:ser>
        <c:ser>
          <c:idx val="0"/>
          <c:order val="1"/>
          <c:tx>
            <c:strRef>
              <c:f>Graphs!$D$168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noFill/>
              </a:ln>
              <a:effectLst/>
            </c:spPr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Graphs!$F$168:$Q$168</c:f>
              <c:numCache>
                <c:formatCode>_(#,##0_);\(#,##0\);_("–"_);_(@_)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47B-40D7-8374-130190F9D59B}"/>
            </c:ext>
          </c:extLst>
        </c:ser>
        <c:ser>
          <c:idx val="3"/>
          <c:order val="2"/>
          <c:tx>
            <c:strRef>
              <c:f>Graphs!$D$169</c:f>
              <c:strCache>
                <c:ptCount val="1"/>
                <c:pt idx="0">
                  <c:v>LOC Limit</c:v>
                </c:pt>
              </c:strCache>
            </c:strRef>
          </c:tx>
          <c:spPr>
            <a:ln w="28575" cap="rnd" cmpd="sng" algn="ctr">
              <a:solidFill>
                <a:srgbClr val="FA621C"/>
              </a:solidFill>
              <a:prstDash val="sys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7B-40D7-8374-130190F9D5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7B-40D7-8374-130190F9D5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7B-40D7-8374-130190F9D5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7B-40D7-8374-130190F9D5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7B-40D7-8374-130190F9D5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47B-40D7-8374-130190F9D5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7B-40D7-8374-130190F9D59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47B-40D7-8374-130190F9D59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7B-40D7-8374-130190F9D5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47B-40D7-8374-130190F9D59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47B-40D7-8374-130190F9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A621C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Graphs!$F$169:$Q$169</c:f>
              <c:numCache>
                <c:formatCode>_(#,##0_);\(#,##0\);_("–"_);_(@_)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47B-40D7-8374-130190F9D59B}"/>
            </c:ext>
          </c:extLst>
        </c:ser>
        <c:ser>
          <c:idx val="2"/>
          <c:order val="3"/>
          <c:tx>
            <c:strRef>
              <c:f>Graphs!$D$170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47B-40D7-8374-130190F9D5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47B-40D7-8374-130190F9D5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47B-40D7-8374-130190F9D5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47B-40D7-8374-130190F9D5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47B-40D7-8374-130190F9D5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47B-40D7-8374-130190F9D5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47B-40D7-8374-130190F9D59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47B-40D7-8374-130190F9D59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47B-40D7-8374-130190F9D5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47B-40D7-8374-130190F9D59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47B-40D7-8374-130190F9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Graphs!$F$170:$Q$170</c:f>
              <c:numCache>
                <c:formatCode>_(#,##0_);\(#,##0\);_("–"_);_(@_)</c:formatCode>
                <c:ptCount val="12"/>
                <c:pt idx="0">
                  <c:v>2075.2523224043716</c:v>
                </c:pt>
                <c:pt idx="1">
                  <c:v>1614.3501526639348</c:v>
                </c:pt>
                <c:pt idx="2">
                  <c:v>1090.4383504499665</c:v>
                </c:pt>
                <c:pt idx="3">
                  <c:v>2817.4954572550537</c:v>
                </c:pt>
                <c:pt idx="4">
                  <c:v>2339.291518302563</c:v>
                </c:pt>
                <c:pt idx="5">
                  <c:v>1814.170758027281</c:v>
                </c:pt>
                <c:pt idx="6">
                  <c:v>1333.4585073267206</c:v>
                </c:pt>
                <c:pt idx="7">
                  <c:v>796.26442135460024</c:v>
                </c:pt>
                <c:pt idx="8">
                  <c:v>191.43445399268603</c:v>
                </c:pt>
                <c:pt idx="9">
                  <c:v>3138.308668542968</c:v>
                </c:pt>
                <c:pt idx="10">
                  <c:v>954.33381179902472</c:v>
                </c:pt>
                <c:pt idx="11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47B-40D7-8374-130190F9D59B}"/>
            </c:ext>
          </c:extLst>
        </c:ser>
        <c:ser>
          <c:idx val="4"/>
          <c:order val="4"/>
          <c:tx>
            <c:strRef>
              <c:f>Graphs!$D$171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47B-40D7-8374-130190F9D59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47B-40D7-8374-130190F9D59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47B-40D7-8374-130190F9D59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47B-40D7-8374-130190F9D59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47B-40D7-8374-130190F9D59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47B-40D7-8374-130190F9D59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47B-40D7-8374-130190F9D59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47B-40D7-8374-130190F9D59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C47B-40D7-8374-130190F9D59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47B-40D7-8374-130190F9D59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47B-40D7-8374-130190F9D5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Graphs!$F$171:$Q$171</c:f>
              <c:numCache>
                <c:formatCode>_(#,##0_);\(#,##0\);_("–"_);_(@_)</c:formatCode>
                <c:ptCount val="12"/>
                <c:pt idx="0">
                  <c:v>-828.15516167724036</c:v>
                </c:pt>
                <c:pt idx="1">
                  <c:v>-565.06433908697466</c:v>
                </c:pt>
                <c:pt idx="2">
                  <c:v>-31.489440693138818</c:v>
                </c:pt>
                <c:pt idx="3">
                  <c:v>2139.8809798543712</c:v>
                </c:pt>
                <c:pt idx="4">
                  <c:v>3137.8649137346779</c:v>
                </c:pt>
                <c:pt idx="5">
                  <c:v>4004.3232595044801</c:v>
                </c:pt>
                <c:pt idx="6">
                  <c:v>5006.9682990839119</c:v>
                </c:pt>
                <c:pt idx="7">
                  <c:v>6012.1199512622925</c:v>
                </c:pt>
                <c:pt idx="8">
                  <c:v>6892.4139346259135</c:v>
                </c:pt>
                <c:pt idx="9">
                  <c:v>7902.2792008931483</c:v>
                </c:pt>
                <c:pt idx="10">
                  <c:v>9306.1152490475124</c:v>
                </c:pt>
                <c:pt idx="11">
                  <c:v>9701.9341749934956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47B-40D7-8374-130190F9D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dateAx>
        <c:axId val="1656101471"/>
        <c:scaling>
          <c:orientation val="minMax"/>
        </c:scaling>
        <c:delete val="0"/>
        <c:axPos val="b"/>
        <c:numFmt formatCode="mmm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375347054373E-2"/>
          <c:y val="5.0926031973276067E-2"/>
          <c:w val="0.70223087473952894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Graphs!$D$167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C8-43A7-900E-1D0F6B366A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C8-43A7-900E-1D0F6B366A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C8-43A7-900E-1D0F6B366A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DC8-43A7-900E-1D0F6B366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Graphs!$S$167:$V$167</c:f>
              <c:numCache>
                <c:formatCode>_(#,##0_);\(#,##0\);_("–"_);_(@_)</c:formatCode>
                <c:ptCount val="4"/>
                <c:pt idx="0">
                  <c:v>1090.4383504499665</c:v>
                </c:pt>
                <c:pt idx="1">
                  <c:v>1814.170758027281</c:v>
                </c:pt>
                <c:pt idx="2">
                  <c:v>191.43445399268603</c:v>
                </c:pt>
                <c:pt idx="3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8-43A7-900E-1D0F6B366A87}"/>
            </c:ext>
          </c:extLst>
        </c:ser>
        <c:ser>
          <c:idx val="0"/>
          <c:order val="1"/>
          <c:tx>
            <c:strRef>
              <c:f>Graphs!$D$168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C8-43A7-900E-1D0F6B366A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C8-43A7-900E-1D0F6B366A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C8-43A7-900E-1D0F6B366A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DC8-43A7-900E-1D0F6B366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Graphs!$S$168:$V$168</c:f>
              <c:numCache>
                <c:formatCode>_(#,##0_);\(#,##0\);_("–"_);_(@_)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C8-43A7-900E-1D0F6B366A87}"/>
            </c:ext>
          </c:extLst>
        </c:ser>
        <c:ser>
          <c:idx val="3"/>
          <c:order val="2"/>
          <c:tx>
            <c:strRef>
              <c:f>Graphs!$D$169</c:f>
              <c:strCache>
                <c:ptCount val="1"/>
                <c:pt idx="0">
                  <c:v>LOC Limit</c:v>
                </c:pt>
              </c:strCache>
            </c:strRef>
          </c:tx>
          <c:spPr>
            <a:ln w="28575" cap="rnd">
              <a:solidFill>
                <a:srgbClr val="FA621C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C8-43A7-900E-1D0F6B366A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C8-43A7-900E-1D0F6B366A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C8-43A7-900E-1D0F6B366A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5DC8-43A7-900E-1D0F6B366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Graphs!$S$169:$V$169</c:f>
              <c:numCache>
                <c:formatCode>_(#,##0_);\(#,##0\);_("–"_);_(@_)</c:formatCode>
                <c:ptCount val="4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C8-43A7-900E-1D0F6B366A87}"/>
            </c:ext>
          </c:extLst>
        </c:ser>
        <c:ser>
          <c:idx val="2"/>
          <c:order val="3"/>
          <c:tx>
            <c:strRef>
              <c:f>Graphs!$D$170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C8-43A7-900E-1D0F6B366A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DC8-43A7-900E-1D0F6B366A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C8-43A7-900E-1D0F6B366A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5DC8-43A7-900E-1D0F6B366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Graphs!$S$170:$V$170</c:f>
              <c:numCache>
                <c:formatCode>_(#,##0_);\(#,##0\);_("–"_);_(@_)</c:formatCode>
                <c:ptCount val="4"/>
                <c:pt idx="0">
                  <c:v>1090.4383504499665</c:v>
                </c:pt>
                <c:pt idx="1">
                  <c:v>1814.170758027281</c:v>
                </c:pt>
                <c:pt idx="2">
                  <c:v>191.43445399268603</c:v>
                </c:pt>
                <c:pt idx="3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DC8-43A7-900E-1D0F6B366A87}"/>
            </c:ext>
          </c:extLst>
        </c:ser>
        <c:ser>
          <c:idx val="4"/>
          <c:order val="4"/>
          <c:tx>
            <c:strRef>
              <c:f>Graphs!$D$171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C8-43A7-900E-1D0F6B366A8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C8-43A7-900E-1D0F6B366A8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C8-43A7-900E-1D0F6B366A8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5DC8-43A7-900E-1D0F6B366A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Graphs!$S$171:$V$171</c:f>
              <c:numCache>
                <c:formatCode>_(#,##0_);\(#,##0\);_("–"_);_(@_)</c:formatCode>
                <c:ptCount val="4"/>
                <c:pt idx="0">
                  <c:v>-31.489440693138818</c:v>
                </c:pt>
                <c:pt idx="1">
                  <c:v>4004.3232595044801</c:v>
                </c:pt>
                <c:pt idx="2">
                  <c:v>6892.4139346259135</c:v>
                </c:pt>
                <c:pt idx="3">
                  <c:v>9701.9341749934956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C8-43A7-900E-1D0F6B366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0"/>
        <c:axPos val="b"/>
        <c:numFmt formatCode="\Q0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26670743165663E-2"/>
          <c:y val="5.0926031973276067E-2"/>
          <c:w val="0.9081568507553951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Graphs!$D$167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A3A-46F6-9E57-BFC9582A30A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Graphs!$X$167:$Y$167</c:f>
              <c:numCache>
                <c:formatCode>_(#,##0_);\(#,##0\);_("–"_);_(@_)</c:formatCode>
                <c:ptCount val="2"/>
                <c:pt idx="0">
                  <c:v>-2047.3481678791281</c:v>
                </c:pt>
                <c:pt idx="1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A-46F6-9E57-BFC9582A30AA}"/>
            </c:ext>
          </c:extLst>
        </c:ser>
        <c:ser>
          <c:idx val="0"/>
          <c:order val="1"/>
          <c:tx>
            <c:strRef>
              <c:f>Graphs!$D$168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A3A-46F6-9E57-BFC9582A30A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Graphs!$X$168:$Y$168</c:f>
              <c:numCache>
                <c:formatCode>_(#,##0_);\(#,##0\);_("–"_);_(@_)</c:formatCode>
                <c:ptCount val="2"/>
                <c:pt idx="0">
                  <c:v>9701.9341749934956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A-46F6-9E57-BFC9582A30AA}"/>
            </c:ext>
          </c:extLst>
        </c:ser>
        <c:ser>
          <c:idx val="3"/>
          <c:order val="2"/>
          <c:tx>
            <c:strRef>
              <c:f>Graphs!$D$169</c:f>
              <c:strCache>
                <c:ptCount val="1"/>
                <c:pt idx="0">
                  <c:v>LOC Limit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BA3A-46F6-9E57-BFC9582A30A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Graphs!$X$169:$Y$169</c:f>
              <c:numCache>
                <c:formatCode>_(#,##0_);\(#,##0\);_("–"_);_(@_)</c:formatCode>
                <c:ptCount val="2"/>
                <c:pt idx="0">
                  <c:v>7000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3A-46F6-9E57-BFC9582A30AA}"/>
            </c:ext>
          </c:extLst>
        </c:ser>
        <c:ser>
          <c:idx val="2"/>
          <c:order val="3"/>
          <c:tx>
            <c:strRef>
              <c:f>Graphs!$D$170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3A-46F6-9E57-BFC9582A30AA}"/>
                </c:ext>
              </c:extLst>
            </c:dLbl>
            <c:dLbl>
              <c:idx val="1"/>
              <c:layout>
                <c:manualLayout>
                  <c:x val="-1.4378918860822581E-1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Graphs!$X$170:$Y$170</c:f>
              <c:numCache>
                <c:formatCode>_(#,##0_);\(#,##0\);_("–"_);_(@_)</c:formatCode>
                <c:ptCount val="2"/>
                <c:pt idx="0">
                  <c:v>-2047.3481678791281</c:v>
                </c:pt>
                <c:pt idx="1">
                  <c:v>-2047.3481678791281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3A-46F6-9E57-BFC9582A30AA}"/>
            </c:ext>
          </c:extLst>
        </c:ser>
        <c:ser>
          <c:idx val="4"/>
          <c:order val="4"/>
          <c:tx>
            <c:strRef>
              <c:f>Graphs!$D$171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3A-46F6-9E57-BFC9582A30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Graphs!$X$171:$Y$171</c:f>
              <c:numCache>
                <c:formatCode>_(#,##0_);\(#,##0\);_("–"_);_(@_)</c:formatCode>
                <c:ptCount val="2"/>
                <c:pt idx="0">
                  <c:v>9701.9341749934956</c:v>
                </c:pt>
                <c:pt idx="1">
                  <c:v>9701.9341749934956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A3A-46F6-9E57-BFC9582A30AA}"/>
            </c:ext>
          </c:extLst>
        </c:ser>
        <c:ser>
          <c:idx val="5"/>
          <c:order val="5"/>
          <c:tx>
            <c:strRef>
              <c:f>Graphs!$D$172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3A-46F6-9E57-BFC9582A30A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3A-46F6-9E57-BFC9582A30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Graphs!$X$172:$Y$172</c:f>
              <c:numCache>
                <c:formatCode>_(#,##0_);\(#,##0\);_("–"_);_(@_)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A3A-46F6-9E57-BFC9582A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 w="9525"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70343797576872E-3"/>
          <c:y val="6.0367454068241465E-4"/>
          <c:w val="0.24533367738031947"/>
          <c:h val="0.22998420523561997"/>
        </c:manualLayout>
      </c:layout>
      <c:lineChart>
        <c:grouping val="standard"/>
        <c:varyColors val="0"/>
        <c:ser>
          <c:idx val="1"/>
          <c:order val="0"/>
          <c:tx>
            <c:strRef>
              <c:f>Graphs!$D$226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Graphs!$F$226:$Q$226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9-4E11-8870-F54C0C1981DA}"/>
            </c:ext>
          </c:extLst>
        </c:ser>
        <c:ser>
          <c:idx val="0"/>
          <c:order val="1"/>
          <c:tx>
            <c:strRef>
              <c:f>Graphs!$D$227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Graphs!$F$227:$Q$227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9-4E11-8870-F54C0C198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101471"/>
        <c:axId val="1656033743"/>
      </c:lineChart>
      <c:dateAx>
        <c:axId val="1656101471"/>
        <c:scaling>
          <c:orientation val="minMax"/>
        </c:scaling>
        <c:delete val="1"/>
        <c:axPos val="b"/>
        <c:numFmt formatCode="mmm_)" sourceLinked="1"/>
        <c:majorTickMark val="none"/>
        <c:minorTickMark val="none"/>
        <c:tickLblPos val="nextTo"/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0220157480314963"/>
          <c:w val="0.19808596896677449"/>
          <c:h val="0.59449343832020995"/>
        </c:manualLayout>
      </c:layout>
      <c:overlay val="0"/>
      <c:spPr>
        <a:noFill/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70343797576872E-3"/>
          <c:y val="6.0367454068241465E-4"/>
          <c:w val="0.24533367738031947"/>
          <c:h val="0.22998420523561997"/>
        </c:manualLayout>
      </c:layout>
      <c:lineChart>
        <c:grouping val="standard"/>
        <c:varyColors val="0"/>
        <c:ser>
          <c:idx val="1"/>
          <c:order val="0"/>
          <c:tx>
            <c:strRef>
              <c:f>Graphs!$D$226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Graphs!$F$226:$Q$226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A-42C4-B95B-4A55B4F5C1A7}"/>
            </c:ext>
          </c:extLst>
        </c:ser>
        <c:ser>
          <c:idx val="0"/>
          <c:order val="1"/>
          <c:tx>
            <c:strRef>
              <c:f>Graphs!$D$227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Graphs!$F$227:$Q$227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A-42C4-B95B-4A55B4F5C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101471"/>
        <c:axId val="1656033743"/>
      </c:lineChart>
      <c:dateAx>
        <c:axId val="1656101471"/>
        <c:scaling>
          <c:orientation val="minMax"/>
        </c:scaling>
        <c:delete val="1"/>
        <c:axPos val="b"/>
        <c:numFmt formatCode="mmm_)" sourceLinked="1"/>
        <c:majorTickMark val="none"/>
        <c:minorTickMark val="none"/>
        <c:tickLblPos val="nextTo"/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0220157480314963"/>
          <c:w val="0.19808596896677449"/>
          <c:h val="0.59449343832020995"/>
        </c:manualLayout>
      </c:layout>
      <c:overlay val="0"/>
      <c:spPr>
        <a:noFill/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70343797576872E-3"/>
          <c:y val="6.0367454068241465E-4"/>
          <c:w val="0.24533367738031947"/>
          <c:h val="0.22998420523561997"/>
        </c:manualLayout>
      </c:layout>
      <c:lineChart>
        <c:grouping val="standard"/>
        <c:varyColors val="0"/>
        <c:ser>
          <c:idx val="1"/>
          <c:order val="0"/>
          <c:tx>
            <c:strRef>
              <c:f>Graphs!$D$226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Graphs!$F$226:$Q$226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D-4DF1-B8EA-F0D06F6425B2}"/>
            </c:ext>
          </c:extLst>
        </c:ser>
        <c:ser>
          <c:idx val="0"/>
          <c:order val="1"/>
          <c:tx>
            <c:strRef>
              <c:f>Graphs!$D$227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Graphs!$F$227:$Q$227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D-4DF1-B8EA-F0D06F64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101471"/>
        <c:axId val="1656033743"/>
      </c:lineChart>
      <c:dateAx>
        <c:axId val="1656101471"/>
        <c:scaling>
          <c:orientation val="minMax"/>
        </c:scaling>
        <c:delete val="1"/>
        <c:axPos val="b"/>
        <c:numFmt formatCode="mmm_)" sourceLinked="1"/>
        <c:majorTickMark val="none"/>
        <c:minorTickMark val="none"/>
        <c:tickLblPos val="nextTo"/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0220157480314963"/>
          <c:w val="0.19808596896677449"/>
          <c:h val="0.59449343832020995"/>
        </c:manualLayout>
      </c:layout>
      <c:overlay val="0"/>
      <c:spPr>
        <a:noFill/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7270343797576872E-3"/>
          <c:y val="6.0367454068241465E-4"/>
          <c:w val="0.24533367738031947"/>
          <c:h val="0.22998420523561997"/>
        </c:manualLayout>
      </c:layout>
      <c:lineChart>
        <c:grouping val="standard"/>
        <c:varyColors val="0"/>
        <c:ser>
          <c:idx val="1"/>
          <c:order val="0"/>
          <c:tx>
            <c:strRef>
              <c:f>Graphs!$D$226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Graphs!$F$226:$Q$226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04-8D3C-47F38969BE8F}"/>
            </c:ext>
          </c:extLst>
        </c:ser>
        <c:ser>
          <c:idx val="0"/>
          <c:order val="1"/>
          <c:tx>
            <c:strRef>
              <c:f>Graphs!$D$227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Graphs!$F$227:$Q$227</c:f>
              <c:numCache>
                <c:formatCode>_(#,##0_);\(#,##0\);_("–"_);_(@_)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04-8D3C-47F38969B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101471"/>
        <c:axId val="1656033743"/>
      </c:lineChart>
      <c:dateAx>
        <c:axId val="1656101471"/>
        <c:scaling>
          <c:orientation val="minMax"/>
        </c:scaling>
        <c:delete val="1"/>
        <c:axPos val="b"/>
        <c:numFmt formatCode="mmm_)" sourceLinked="1"/>
        <c:majorTickMark val="none"/>
        <c:minorTickMark val="none"/>
        <c:tickLblPos val="nextTo"/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20220157480314963"/>
          <c:w val="0.19808596896677449"/>
          <c:h val="0.59449343832020995"/>
        </c:manualLayout>
      </c:layout>
      <c:overlay val="0"/>
      <c:spPr>
        <a:noFill/>
        <a:ln>
          <a:solidFill>
            <a:srgbClr val="D9D9D9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de-DE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375347054373E-2"/>
          <c:y val="5.0926031973276067E-2"/>
          <c:w val="0.75516610423697039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Graphs!$D$139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EA-4C31-BC38-C13E744DD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EA-4C31-BC38-C13E744DD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EA-4C31-BC38-C13E744DD6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1EA-4C31-BC38-C13E744DD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Graphs!$S$139:$V$139</c:f>
              <c:numCache>
                <c:formatCode>_(#,##0_);\(#,##0\);_("–"_);_(@_)</c:formatCode>
                <c:ptCount val="4"/>
                <c:pt idx="0">
                  <c:v>2200</c:v>
                </c:pt>
                <c:pt idx="1">
                  <c:v>3939.3939393939395</c:v>
                </c:pt>
                <c:pt idx="2">
                  <c:v>4075.757575757576</c:v>
                </c:pt>
                <c:pt idx="3">
                  <c:v>3625.757575757576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EA-4C31-BC38-C13E744DD6CA}"/>
            </c:ext>
          </c:extLst>
        </c:ser>
        <c:ser>
          <c:idx val="0"/>
          <c:order val="1"/>
          <c:tx>
            <c:strRef>
              <c:f>Graphs!$D$140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EA-4C31-BC38-C13E744DD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EA-4C31-BC38-C13E744DD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EA-4C31-BC38-C13E744DD6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1EA-4C31-BC38-C13E744DD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Graphs!$S$140:$V$140</c:f>
              <c:numCache>
                <c:formatCode>_(#,##0_);\(#,##0\);_("–"_);_(@_)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EA-4C31-BC38-C13E744DD6CA}"/>
            </c:ext>
          </c:extLst>
        </c:ser>
        <c:ser>
          <c:idx val="3"/>
          <c:order val="2"/>
          <c:tx>
            <c:strRef>
              <c:f>Graphs!$D$141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EA-4C31-BC38-C13E744DD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EA-4C31-BC38-C13E744DD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EA-4C31-BC38-C13E744DD6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1EA-4C31-BC38-C13E744DD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Graphs!$S$141:$V$141</c:f>
              <c:numCache>
                <c:formatCode>_(#,##0_);\(#,##0\);_("–"_);_(@_)</c:formatCode>
                <c:ptCount val="4"/>
                <c:pt idx="0">
                  <c:v>4600</c:v>
                </c:pt>
                <c:pt idx="1">
                  <c:v>4500</c:v>
                </c:pt>
                <c:pt idx="2">
                  <c:v>4500</c:v>
                </c:pt>
                <c:pt idx="3">
                  <c:v>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1EA-4C31-BC38-C13E744DD6CA}"/>
            </c:ext>
          </c:extLst>
        </c:ser>
        <c:ser>
          <c:idx val="2"/>
          <c:order val="3"/>
          <c:tx>
            <c:strRef>
              <c:f>Graphs!$D$142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EA-4C31-BC38-C13E744DD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1EA-4C31-BC38-C13E744DD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EA-4C31-BC38-C13E744DD6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81EA-4C31-BC38-C13E744DD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Graphs!$S$142:$V$142</c:f>
              <c:numCache>
                <c:formatCode>_(#,##0_);\(#,##0\);_("–"_);_(@_)</c:formatCode>
                <c:ptCount val="4"/>
                <c:pt idx="0">
                  <c:v>2200</c:v>
                </c:pt>
                <c:pt idx="1">
                  <c:v>3939.3939393939395</c:v>
                </c:pt>
                <c:pt idx="2">
                  <c:v>4075.757575757576</c:v>
                </c:pt>
                <c:pt idx="3">
                  <c:v>3625.757575757576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EA-4C31-BC38-C13E744DD6CA}"/>
            </c:ext>
          </c:extLst>
        </c:ser>
        <c:ser>
          <c:idx val="4"/>
          <c:order val="4"/>
          <c:tx>
            <c:strRef>
              <c:f>Graphs!$D$143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EA-4C31-BC38-C13E744DD6C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EA-4C31-BC38-C13E744DD6C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EA-4C31-BC38-C13E744DD6C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81EA-4C31-BC38-C13E744DD6C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Graphs!$S$143:$V$143</c:f>
              <c:numCache>
                <c:formatCode>_(#,##0_);\(#,##0\);_("–"_);_(@_)</c:formatCode>
                <c:ptCount val="4"/>
                <c:pt idx="0">
                  <c:v>3834.0909090909095</c:v>
                </c:pt>
                <c:pt idx="1">
                  <c:v>4862.5</c:v>
                </c:pt>
                <c:pt idx="2">
                  <c:v>4862.5</c:v>
                </c:pt>
                <c:pt idx="3">
                  <c:v>5999.9999999999991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EA-4C31-BC38-C13E744DD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0"/>
        <c:axPos val="b"/>
        <c:numFmt formatCode="\Q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_);\(#,##0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726670743165663E-2"/>
          <c:y val="5.0926031973276067E-2"/>
          <c:w val="0.9081568507553951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Graphs!$D$139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10D-43B4-AFE8-8A26953DDA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Graphs!$X$139:$Y$139</c:f>
              <c:numCache>
                <c:formatCode>_(#,##0_);\(#,##0\);_("–"_);_(@_)</c:formatCode>
                <c:ptCount val="2"/>
                <c:pt idx="0">
                  <c:v>13840.909090909092</c:v>
                </c:pt>
                <c:pt idx="1">
                  <c:v>13840.909090909092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D-43B4-AFE8-8A26953DDA5F}"/>
            </c:ext>
          </c:extLst>
        </c:ser>
        <c:ser>
          <c:idx val="0"/>
          <c:order val="1"/>
          <c:tx>
            <c:strRef>
              <c:f>Graphs!$D$140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10D-43B4-AFE8-8A26953DDA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Graphs!$X$140:$Y$140</c:f>
              <c:numCache>
                <c:formatCode>_(#,##0_);\(#,##0\);_("–"_);_(@_)</c:formatCode>
                <c:ptCount val="2"/>
                <c:pt idx="0">
                  <c:v>19559.090909090908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0D-43B4-AFE8-8A26953DDA5F}"/>
            </c:ext>
          </c:extLst>
        </c:ser>
        <c:ser>
          <c:idx val="3"/>
          <c:order val="2"/>
          <c:tx>
            <c:strRef>
              <c:f>Graphs!$D$141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10D-43B4-AFE8-8A26953DDA5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Graphs!$X$141:$Y$141</c:f>
              <c:numCache>
                <c:formatCode>_(#,##0_);\(#,##0\);_("–"_);_(@_)</c:formatCode>
                <c:ptCount val="2"/>
                <c:pt idx="0">
                  <c:v>18400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0D-43B4-AFE8-8A26953DDA5F}"/>
            </c:ext>
          </c:extLst>
        </c:ser>
        <c:ser>
          <c:idx val="2"/>
          <c:order val="3"/>
          <c:tx>
            <c:strRef>
              <c:f>Graphs!$D$142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0D-43B4-AFE8-8A26953DDA5F}"/>
                </c:ext>
              </c:extLst>
            </c:dLbl>
            <c:dLbl>
              <c:idx val="1"/>
              <c:layout>
                <c:manualLayout>
                  <c:x val="-1.4378918860822581E-1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Graphs!$X$142:$Y$142</c:f>
              <c:numCache>
                <c:formatCode>_(#,##0_);\(#,##0\);_("–"_);_(@_)</c:formatCode>
                <c:ptCount val="2"/>
                <c:pt idx="0">
                  <c:v>13840.909090909092</c:v>
                </c:pt>
                <c:pt idx="1">
                  <c:v>13840.909090909092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10D-43B4-AFE8-8A26953DDA5F}"/>
            </c:ext>
          </c:extLst>
        </c:ser>
        <c:ser>
          <c:idx val="4"/>
          <c:order val="4"/>
          <c:tx>
            <c:strRef>
              <c:f>Graphs!$D$143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0D-43B4-AFE8-8A26953DDA5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Graphs!$X$143:$Y$143</c:f>
              <c:numCache>
                <c:formatCode>_(#,##0_);\(#,##0\);_("–"_);_(@_)</c:formatCode>
                <c:ptCount val="2"/>
                <c:pt idx="0">
                  <c:v>19559.090909090908</c:v>
                </c:pt>
                <c:pt idx="1">
                  <c:v>19559.090909090908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10D-43B4-AFE8-8A26953DDA5F}"/>
            </c:ext>
          </c:extLst>
        </c:ser>
        <c:ser>
          <c:idx val="5"/>
          <c:order val="5"/>
          <c:tx>
            <c:strRef>
              <c:f>Graphs!$D$144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0D-43B4-AFE8-8A26953DDA5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10D-43B4-AFE8-8A26953DDA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Graphs!$X$144:$Y$144</c:f>
              <c:numCache>
                <c:formatCode>_(#,##0_);\(#,##0\);_("–"_);_(@_)</c:formatCode>
                <c:ptCount val="2"/>
                <c:pt idx="0">
                  <c:v>18400</c:v>
                </c:pt>
                <c:pt idx="1">
                  <c:v>18400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10D-43B4-AFE8-8A26953D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</c:scaling>
        <c:delete val="1"/>
        <c:axPos val="l"/>
        <c:numFmt formatCode="_(#,##0_);\(#,##0\);_(&quot;–&quot;_);_(@_)" sourceLinked="1"/>
        <c:majorTickMark val="none"/>
        <c:minorTickMark val="none"/>
        <c:tickLblPos val="nextTo"/>
        <c:crossAx val="1656101471"/>
        <c:crosses val="autoZero"/>
        <c:crossBetween val="between"/>
      </c:valAx>
      <c:spPr>
        <a:noFill/>
        <a:ln w="9525"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425194605293E-2"/>
          <c:y val="5.0925925925925923E-2"/>
          <c:w val="0.84406128418033932"/>
          <c:h val="0.86482283464566934"/>
        </c:manualLayout>
      </c:layout>
      <c:lineChart>
        <c:grouping val="standard"/>
        <c:varyColors val="0"/>
        <c:ser>
          <c:idx val="1"/>
          <c:order val="0"/>
          <c:tx>
            <c:strRef>
              <c:f>Graphs!$D$187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14-4F84-B53F-01A8E52F7A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14-4F84-B53F-01A8E52F7A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14-4F84-B53F-01A8E52F7A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14-4F84-B53F-01A8E52F7A6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14-4F84-B53F-01A8E52F7A6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14-4F84-B53F-01A8E52F7A6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14-4F84-B53F-01A8E52F7A6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14-4F84-B53F-01A8E52F7A6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14-4F84-B53F-01A8E52F7A6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14-4F84-B53F-01A8E52F7A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14-4F84-B53F-01A8E52F7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Graphs!$F$187:$Q$187</c:f>
              <c:numCache>
                <c:formatCode>_(#,##0%_);\(#,##0%\);_("–"_);_(@_)</c:formatCode>
                <c:ptCount val="12"/>
                <c:pt idx="0">
                  <c:v>0.46145607302533526</c:v>
                </c:pt>
                <c:pt idx="1">
                  <c:v>0.43445450819672132</c:v>
                </c:pt>
                <c:pt idx="2">
                  <c:v>0.46145607302533526</c:v>
                </c:pt>
                <c:pt idx="3">
                  <c:v>0.68624135618479876</c:v>
                </c:pt>
                <c:pt idx="4">
                  <c:v>0.66860231153635197</c:v>
                </c:pt>
                <c:pt idx="5">
                  <c:v>0.71773385946736545</c:v>
                </c:pt>
                <c:pt idx="6">
                  <c:v>0.70930640075568285</c:v>
                </c:pt>
                <c:pt idx="7">
                  <c:v>0.63876233956974837</c:v>
                </c:pt>
                <c:pt idx="8">
                  <c:v>0.66138367968797607</c:v>
                </c:pt>
                <c:pt idx="9">
                  <c:v>0.60777246203064939</c:v>
                </c:pt>
                <c:pt idx="10">
                  <c:v>0.56317597089872784</c:v>
                </c:pt>
                <c:pt idx="11">
                  <c:v>0.60777246203064939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E14-4F84-B53F-01A8E52F7A66}"/>
            </c:ext>
          </c:extLst>
        </c:ser>
        <c:ser>
          <c:idx val="0"/>
          <c:order val="1"/>
          <c:tx>
            <c:strRef>
              <c:f>Graphs!$D$188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noFill/>
              </a:ln>
              <a:effectLst/>
            </c:spPr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Graphs!$F$188:$Q$188</c:f>
              <c:numCache>
                <c:formatCode>_(#,##0%_);\(#,##0%\);_("–"_);_(@_)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14-4F84-B53F-01A8E52F7A66}"/>
            </c:ext>
          </c:extLst>
        </c:ser>
        <c:ser>
          <c:idx val="3"/>
          <c:order val="2"/>
          <c:tx>
            <c:strRef>
              <c:f>Graphs!$D$189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 cmpd="sng" algn="ctr">
              <a:solidFill>
                <a:srgbClr val="FA621C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14-4F84-B53F-01A8E52F7A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E14-4F84-B53F-01A8E52F7A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E14-4F84-B53F-01A8E52F7A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E14-4F84-B53F-01A8E52F7A6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E14-4F84-B53F-01A8E52F7A6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E14-4F84-B53F-01A8E52F7A6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E14-4F84-B53F-01A8E52F7A6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E14-4F84-B53F-01A8E52F7A6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E14-4F84-B53F-01A8E52F7A6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E14-4F84-B53F-01A8E52F7A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E14-4F84-B53F-01A8E52F7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A621C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Graphs!$F$189:$Q$189</c:f>
              <c:numCache>
                <c:formatCode>_(#,##0%_);\(#,##0%\);_("–"_);_(@_)</c:formatCode>
                <c:ptCount val="12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E14-4F84-B53F-01A8E52F7A66}"/>
            </c:ext>
          </c:extLst>
        </c:ser>
        <c:ser>
          <c:idx val="2"/>
          <c:order val="3"/>
          <c:tx>
            <c:strRef>
              <c:f>Graphs!$D$190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E14-4F84-B53F-01A8E52F7A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E14-4F84-B53F-01A8E52F7A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E14-4F84-B53F-01A8E52F7A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E14-4F84-B53F-01A8E52F7A6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E14-4F84-B53F-01A8E52F7A6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E14-4F84-B53F-01A8E52F7A6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E14-4F84-B53F-01A8E52F7A6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E14-4F84-B53F-01A8E52F7A6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E14-4F84-B53F-01A8E52F7A6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E14-4F84-B53F-01A8E52F7A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E14-4F84-B53F-01A8E52F7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Graphs!$F$190:$Q$190</c:f>
              <c:numCache>
                <c:formatCode>_(#,##0%_);\(#,##0%\);_("–"_);_(@_)</c:formatCode>
                <c:ptCount val="12"/>
                <c:pt idx="0">
                  <c:v>0.46145607302533526</c:v>
                </c:pt>
                <c:pt idx="1">
                  <c:v>0.43445450819672132</c:v>
                </c:pt>
                <c:pt idx="2">
                  <c:v>0.46145607302533526</c:v>
                </c:pt>
                <c:pt idx="3">
                  <c:v>0.68624135618479876</c:v>
                </c:pt>
                <c:pt idx="4">
                  <c:v>0.66860231153635197</c:v>
                </c:pt>
                <c:pt idx="5">
                  <c:v>0.71773385946736545</c:v>
                </c:pt>
                <c:pt idx="6">
                  <c:v>0.70930640075568285</c:v>
                </c:pt>
                <c:pt idx="7">
                  <c:v>0.63876233956974837</c:v>
                </c:pt>
                <c:pt idx="8">
                  <c:v>0.66138367968797607</c:v>
                </c:pt>
                <c:pt idx="9">
                  <c:v>0.60777246203064939</c:v>
                </c:pt>
                <c:pt idx="10">
                  <c:v>0.56317597089872784</c:v>
                </c:pt>
                <c:pt idx="11">
                  <c:v>0.60777246203064939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E14-4F84-B53F-01A8E52F7A66}"/>
            </c:ext>
          </c:extLst>
        </c:ser>
        <c:ser>
          <c:idx val="4"/>
          <c:order val="4"/>
          <c:tx>
            <c:strRef>
              <c:f>Graphs!$D$191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E14-4F84-B53F-01A8E52F7A6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E14-4F84-B53F-01A8E52F7A6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E14-4F84-B53F-01A8E52F7A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E14-4F84-B53F-01A8E52F7A6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E14-4F84-B53F-01A8E52F7A6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E14-4F84-B53F-01A8E52F7A6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7E14-4F84-B53F-01A8E52F7A6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E14-4F84-B53F-01A8E52F7A6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E14-4F84-B53F-01A8E52F7A6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E14-4F84-B53F-01A8E52F7A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E14-4F84-B53F-01A8E52F7A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Graphs!$F$191:$Q$191</c:f>
              <c:numCache>
                <c:formatCode>_(#,##0%_);\(#,##0%\);_("–"_);_(@_)</c:formatCode>
                <c:ptCount val="12"/>
                <c:pt idx="0">
                  <c:v>0.50564898680638848</c:v>
                </c:pt>
                <c:pt idx="1">
                  <c:v>0.59415114628999988</c:v>
                </c:pt>
                <c:pt idx="2">
                  <c:v>0.65754454951950936</c:v>
                </c:pt>
                <c:pt idx="3">
                  <c:v>0.70010268690354616</c:v>
                </c:pt>
                <c:pt idx="4">
                  <c:v>0.60078991442758045</c:v>
                </c:pt>
                <c:pt idx="5">
                  <c:v>0.70010268690354616</c:v>
                </c:pt>
                <c:pt idx="6">
                  <c:v>0.69105212522449566</c:v>
                </c:pt>
                <c:pt idx="7">
                  <c:v>0.60489274219107658</c:v>
                </c:pt>
                <c:pt idx="8">
                  <c:v>0.70010268690354616</c:v>
                </c:pt>
                <c:pt idx="9">
                  <c:v>0.74962349315068499</c:v>
                </c:pt>
                <c:pt idx="10">
                  <c:v>0.69045821917808214</c:v>
                </c:pt>
                <c:pt idx="11">
                  <c:v>0.74962349315068499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E14-4F84-B53F-01A8E52F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dateAx>
        <c:axId val="1656101471"/>
        <c:scaling>
          <c:orientation val="minMax"/>
        </c:scaling>
        <c:delete val="0"/>
        <c:axPos val="b"/>
        <c:numFmt formatCode="mmm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%_);\(#,##0%\);_(&quot;–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96645408139867E-2"/>
          <c:y val="5.0926031973276067E-2"/>
          <c:w val="0.91453521963781637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Graphs!$D$187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8AD-4D83-BC8D-54B82A00D9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Graphs!$X$187:$Y$187</c:f>
              <c:numCache>
                <c:formatCode>_(#,##0%_);\(#,##0%\);_("–"_);_(@_)</c:formatCode>
                <c:ptCount val="2"/>
                <c:pt idx="0">
                  <c:v>0.62115493068454053</c:v>
                </c:pt>
                <c:pt idx="1">
                  <c:v>0.62115493068454053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D-4D83-BC8D-54B82A00D928}"/>
            </c:ext>
          </c:extLst>
        </c:ser>
        <c:ser>
          <c:idx val="0"/>
          <c:order val="1"/>
          <c:tx>
            <c:strRef>
              <c:f>Graphs!$D$188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8AD-4D83-BC8D-54B82A00D9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Graphs!$X$188:$Y$188</c:f>
              <c:numCache>
                <c:formatCode>_(#,##0%_);\(#,##0%\);_("–"_);_(@_)</c:formatCode>
                <c:ptCount val="2"/>
                <c:pt idx="0">
                  <c:v>0.67175660179740804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AD-4D83-BC8D-54B82A00D928}"/>
            </c:ext>
          </c:extLst>
        </c:ser>
        <c:ser>
          <c:idx val="3"/>
          <c:order val="2"/>
          <c:tx>
            <c:strRef>
              <c:f>Graphs!$D$189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8AD-4D83-BC8D-54B82A00D92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Graphs!$X$189:$Y$189</c:f>
              <c:numCache>
                <c:formatCode>_(#,##0%_);\(#,##0%\);_("–"_);_(@_)</c:formatCode>
                <c:ptCount val="2"/>
                <c:pt idx="0">
                  <c:v>0.65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AD-4D83-BC8D-54B82A00D928}"/>
            </c:ext>
          </c:extLst>
        </c:ser>
        <c:ser>
          <c:idx val="2"/>
          <c:order val="3"/>
          <c:tx>
            <c:strRef>
              <c:f>Graphs!$D$190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D-4D83-BC8D-54B82A00D928}"/>
                </c:ext>
              </c:extLst>
            </c:dLbl>
            <c:dLbl>
              <c:idx val="1"/>
              <c:layout>
                <c:manualLayout>
                  <c:x val="-1.4378918860822581E-1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Graphs!$X$190:$Y$190</c:f>
              <c:numCache>
                <c:formatCode>_(#,##0%_);\(#,##0%\);_("–"_);_(@_)</c:formatCode>
                <c:ptCount val="2"/>
                <c:pt idx="0">
                  <c:v>0.62115493068454053</c:v>
                </c:pt>
                <c:pt idx="1">
                  <c:v>0.62115493068454053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8AD-4D83-BC8D-54B82A00D928}"/>
            </c:ext>
          </c:extLst>
        </c:ser>
        <c:ser>
          <c:idx val="4"/>
          <c:order val="4"/>
          <c:tx>
            <c:strRef>
              <c:f>Graphs!$D$191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D-4D83-BC8D-54B82A00D92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Graphs!$X$191:$Y$191</c:f>
              <c:numCache>
                <c:formatCode>_(#,##0%_);\(#,##0%\);_("–"_);_(@_)</c:formatCode>
                <c:ptCount val="2"/>
                <c:pt idx="0">
                  <c:v>0.67175660179740804</c:v>
                </c:pt>
                <c:pt idx="1">
                  <c:v>0.67175660179740804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8AD-4D83-BC8D-54B82A00D928}"/>
            </c:ext>
          </c:extLst>
        </c:ser>
        <c:ser>
          <c:idx val="5"/>
          <c:order val="5"/>
          <c:tx>
            <c:strRef>
              <c:f>Graphs!$D$192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D-4D83-BC8D-54B82A00D92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8AD-4D83-BC8D-54B82A00D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Graphs!$X$192:$Y$192</c:f>
              <c:numCache>
                <c:formatCode>_(#,##0%_);\(#,##0%\);_("–"_);_(@_)</c:formatCode>
                <c:ptCount val="2"/>
                <c:pt idx="0">
                  <c:v>0.65</c:v>
                </c:pt>
                <c:pt idx="1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8AD-4D83-BC8D-54B82A00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  <c:max val="0.8"/>
          <c:min val="0.35000000000000003"/>
        </c:scaling>
        <c:delete val="1"/>
        <c:axPos val="l"/>
        <c:numFmt formatCode="_(#,##0%_);\(#,##0%\);_(&quot;–&quot;_);_(@_)" sourceLinked="1"/>
        <c:majorTickMark val="out"/>
        <c:minorTickMark val="none"/>
        <c:tickLblPos val="nextTo"/>
        <c:crossAx val="1656101471"/>
        <c:crosses val="autoZero"/>
        <c:crossBetween val="between"/>
      </c:valAx>
      <c:spPr>
        <a:noFill/>
        <a:ln w="9525"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375347054373E-2"/>
          <c:y val="5.0926031973276067E-2"/>
          <c:w val="0.77819549809563582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Graphs!$D$187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1B-4E54-A36E-16DCCEBCB6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1B-4E54-A36E-16DCCEBCB6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51B-4E54-A36E-16DCCEBCB6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51B-4E54-A36E-16DCCEBCB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Graphs!$S$187:$V$187</c:f>
              <c:numCache>
                <c:formatCode>_(#,##0%_);\(#,##0%\);_("–"_);_(@_)</c:formatCode>
                <c:ptCount val="4"/>
                <c:pt idx="0">
                  <c:v>0.45245555141579724</c:v>
                </c:pt>
                <c:pt idx="1">
                  <c:v>0.6910190233291299</c:v>
                </c:pt>
                <c:pt idx="2">
                  <c:v>0.6698174733378025</c:v>
                </c:pt>
                <c:pt idx="3">
                  <c:v>0.59290696498667561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1B-4E54-A36E-16DCCEBCB656}"/>
            </c:ext>
          </c:extLst>
        </c:ser>
        <c:ser>
          <c:idx val="0"/>
          <c:order val="1"/>
          <c:tx>
            <c:strRef>
              <c:f>Graphs!$D$188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51B-4E54-A36E-16DCCEBCB6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1B-4E54-A36E-16DCCEBCB6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51B-4E54-A36E-16DCCEBCB6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051B-4E54-A36E-16DCCEBCB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Graphs!$S$188:$V$188</c:f>
              <c:numCache>
                <c:formatCode>_(#,##0%_);\(#,##0%\);_("–"_);_(@_)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51B-4E54-A36E-16DCCEBCB656}"/>
            </c:ext>
          </c:extLst>
        </c:ser>
        <c:ser>
          <c:idx val="3"/>
          <c:order val="2"/>
          <c:tx>
            <c:strRef>
              <c:f>Graphs!$D$189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51B-4E54-A36E-16DCCEBCB6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51B-4E54-A36E-16DCCEBCB6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51B-4E54-A36E-16DCCEBCB6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51B-4E54-A36E-16DCCEBCB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Graphs!$S$189:$V$189</c:f>
              <c:numCache>
                <c:formatCode>_(#,##0%_);\(#,##0%\);_("–"_);_(@_)</c:formatCode>
                <c:ptCount val="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51B-4E54-A36E-16DCCEBCB656}"/>
            </c:ext>
          </c:extLst>
        </c:ser>
        <c:ser>
          <c:idx val="2"/>
          <c:order val="3"/>
          <c:tx>
            <c:strRef>
              <c:f>Graphs!$D$190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51B-4E54-A36E-16DCCEBCB6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51B-4E54-A36E-16DCCEBCB6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1B-4E54-A36E-16DCCEBCB6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051B-4E54-A36E-16DCCEBCB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Graphs!$S$190:$V$190</c:f>
              <c:numCache>
                <c:formatCode>_(#,##0%_);\(#,##0%\);_("–"_);_(@_)</c:formatCode>
                <c:ptCount val="4"/>
                <c:pt idx="0">
                  <c:v>0.45245555141579724</c:v>
                </c:pt>
                <c:pt idx="1">
                  <c:v>0.6910190233291299</c:v>
                </c:pt>
                <c:pt idx="2">
                  <c:v>0.6698174733378025</c:v>
                </c:pt>
                <c:pt idx="3">
                  <c:v>0.59290696498667561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51B-4E54-A36E-16DCCEBCB656}"/>
            </c:ext>
          </c:extLst>
        </c:ser>
        <c:ser>
          <c:idx val="4"/>
          <c:order val="4"/>
          <c:tx>
            <c:strRef>
              <c:f>Graphs!$D$191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51B-4E54-A36E-16DCCEBCB65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51B-4E54-A36E-16DCCEBCB65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51B-4E54-A36E-16DCCEBCB65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051B-4E54-A36E-16DCCEBCB6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Graphs!$S$191:$V$191</c:f>
              <c:numCache>
                <c:formatCode>_(#,##0%_);\(#,##0%\);_("–"_);_(@_)</c:formatCode>
                <c:ptCount val="4"/>
                <c:pt idx="0">
                  <c:v>0.59492531932343229</c:v>
                </c:pt>
                <c:pt idx="1">
                  <c:v>0.66699842941155751</c:v>
                </c:pt>
                <c:pt idx="2">
                  <c:v>0.66534918477303939</c:v>
                </c:pt>
                <c:pt idx="3">
                  <c:v>0.72990173515981738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51B-4E54-A36E-16DCCEBCB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0"/>
        <c:axPos val="b"/>
        <c:numFmt formatCode="\Q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  <c:max val="0.8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%_);\(#,##0%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425194605293E-2"/>
          <c:y val="5.0925925925925923E-2"/>
          <c:w val="0.84406128418033932"/>
          <c:h val="0.86482283464566934"/>
        </c:manualLayout>
      </c:layout>
      <c:lineChart>
        <c:grouping val="standard"/>
        <c:varyColors val="0"/>
        <c:ser>
          <c:idx val="1"/>
          <c:order val="0"/>
          <c:tx>
            <c:strRef>
              <c:f>Graphs!$D$212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77-4EBB-9E01-96ABF2E42C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77-4EBB-9E01-96ABF2E42C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77-4EBB-9E01-96ABF2E42C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77-4EBB-9E01-96ABF2E42C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77-4EBB-9E01-96ABF2E42C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77-4EBB-9E01-96ABF2E42C5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77-4EBB-9E01-96ABF2E42C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77-4EBB-9E01-96ABF2E42C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77-4EBB-9E01-96ABF2E42C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77-4EBB-9E01-96ABF2E42C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77-4EBB-9E01-96ABF2E42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Graphs!$F$212:$Q$212</c:f>
              <c:numCache>
                <c:formatCode>_(#,##0%_);\(#,##0%\);_("–"_);_(@_)</c:formatCode>
                <c:ptCount val="12"/>
                <c:pt idx="0">
                  <c:v>0.33764837257824137</c:v>
                </c:pt>
                <c:pt idx="1">
                  <c:v>0.31691922887481366</c:v>
                </c:pt>
                <c:pt idx="2">
                  <c:v>0.33522905022568916</c:v>
                </c:pt>
                <c:pt idx="3">
                  <c:v>0.49511060384189959</c:v>
                </c:pt>
                <c:pt idx="4">
                  <c:v>0.48459662111273738</c:v>
                </c:pt>
                <c:pt idx="5">
                  <c:v>0.51933775984670028</c:v>
                </c:pt>
                <c:pt idx="6">
                  <c:v>0.51257425336996865</c:v>
                </c:pt>
                <c:pt idx="7">
                  <c:v>0.46114563025977728</c:v>
                </c:pt>
                <c:pt idx="8">
                  <c:v>0.47672126290608913</c:v>
                </c:pt>
                <c:pt idx="9">
                  <c:v>0.43728554683424886</c:v>
                </c:pt>
                <c:pt idx="10">
                  <c:v>0.40956498241302097</c:v>
                </c:pt>
                <c:pt idx="11">
                  <c:v>0.43842176635419111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77-4EBB-9E01-96ABF2E42C5C}"/>
            </c:ext>
          </c:extLst>
        </c:ser>
        <c:ser>
          <c:idx val="0"/>
          <c:order val="1"/>
          <c:tx>
            <c:strRef>
              <c:f>Graphs!$D$213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noFill/>
              </a:ln>
              <a:effectLst/>
            </c:spPr>
          </c:marker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Graphs!$F$213:$Q$213</c:f>
              <c:numCache>
                <c:formatCode>_(#,##0%_);\(#,##0%\);_("–"_);_(@_)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77-4EBB-9E01-96ABF2E42C5C}"/>
            </c:ext>
          </c:extLst>
        </c:ser>
        <c:ser>
          <c:idx val="3"/>
          <c:order val="2"/>
          <c:tx>
            <c:strRef>
              <c:f>Graphs!$D$214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 cmpd="sng" algn="ctr">
              <a:solidFill>
                <a:srgbClr val="FA621C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577-4EBB-9E01-96ABF2E42C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577-4EBB-9E01-96ABF2E42C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577-4EBB-9E01-96ABF2E42C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577-4EBB-9E01-96ABF2E42C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577-4EBB-9E01-96ABF2E42C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577-4EBB-9E01-96ABF2E42C5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577-4EBB-9E01-96ABF2E42C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577-4EBB-9E01-96ABF2E42C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577-4EBB-9E01-96ABF2E42C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577-4EBB-9E01-96ABF2E42C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577-4EBB-9E01-96ABF2E42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A621C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Graphs!$F$214:$Q$214</c:f>
              <c:numCache>
                <c:formatCode>_(#,##0%_);\(#,##0%\);_("–"_);_(@_)</c:formatCode>
                <c:ptCount val="12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  <c:pt idx="4">
                  <c:v>0.46</c:v>
                </c:pt>
                <c:pt idx="5">
                  <c:v>0.46</c:v>
                </c:pt>
                <c:pt idx="6">
                  <c:v>0.46</c:v>
                </c:pt>
                <c:pt idx="7">
                  <c:v>0.46</c:v>
                </c:pt>
                <c:pt idx="8">
                  <c:v>0.46</c:v>
                </c:pt>
                <c:pt idx="9">
                  <c:v>0.46</c:v>
                </c:pt>
                <c:pt idx="10">
                  <c:v>0.46</c:v>
                </c:pt>
                <c:pt idx="11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577-4EBB-9E01-96ABF2E42C5C}"/>
            </c:ext>
          </c:extLst>
        </c:ser>
        <c:ser>
          <c:idx val="2"/>
          <c:order val="3"/>
          <c:tx>
            <c:strRef>
              <c:f>Graphs!$D$215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577-4EBB-9E01-96ABF2E42C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577-4EBB-9E01-96ABF2E42C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577-4EBB-9E01-96ABF2E42C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577-4EBB-9E01-96ABF2E42C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577-4EBB-9E01-96ABF2E42C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577-4EBB-9E01-96ABF2E42C5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577-4EBB-9E01-96ABF2E42C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577-4EBB-9E01-96ABF2E42C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577-4EBB-9E01-96ABF2E42C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577-4EBB-9E01-96ABF2E42C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577-4EBB-9E01-96ABF2E42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AFC8EE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Graphs!$F$215:$Q$215</c:f>
              <c:numCache>
                <c:formatCode>_(#,##0%_);\(#,##0%\);_("–"_);_(@_)</c:formatCode>
                <c:ptCount val="12"/>
                <c:pt idx="0">
                  <c:v>0.33764837257824137</c:v>
                </c:pt>
                <c:pt idx="1">
                  <c:v>0.31691922887481366</c:v>
                </c:pt>
                <c:pt idx="2">
                  <c:v>0.33522905022568916</c:v>
                </c:pt>
                <c:pt idx="3">
                  <c:v>0.49511060384189959</c:v>
                </c:pt>
                <c:pt idx="4">
                  <c:v>0.48459662111273738</c:v>
                </c:pt>
                <c:pt idx="5">
                  <c:v>0.51933775984670028</c:v>
                </c:pt>
                <c:pt idx="6">
                  <c:v>0.51257425336996865</c:v>
                </c:pt>
                <c:pt idx="7">
                  <c:v>0.46114563025977728</c:v>
                </c:pt>
                <c:pt idx="8">
                  <c:v>0.47672126290608913</c:v>
                </c:pt>
                <c:pt idx="9">
                  <c:v>0.43728554683424886</c:v>
                </c:pt>
                <c:pt idx="10">
                  <c:v>0.40956498241302097</c:v>
                </c:pt>
                <c:pt idx="11">
                  <c:v>0.43842176635419111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577-4EBB-9E01-96ABF2E42C5C}"/>
            </c:ext>
          </c:extLst>
        </c:ser>
        <c:ser>
          <c:idx val="4"/>
          <c:order val="4"/>
          <c:tx>
            <c:strRef>
              <c:f>Graphs!$D$216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577-4EBB-9E01-96ABF2E42C5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577-4EBB-9E01-96ABF2E42C5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577-4EBB-9E01-96ABF2E42C5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577-4EBB-9E01-96ABF2E42C5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577-4EBB-9E01-96ABF2E42C5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577-4EBB-9E01-96ABF2E42C5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577-4EBB-9E01-96ABF2E42C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577-4EBB-9E01-96ABF2E42C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577-4EBB-9E01-96ABF2E42C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577-4EBB-9E01-96ABF2E42C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577-4EBB-9E01-96ABF2E42C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Graphs!$F$120:$Q$120</c:f>
              <c:numCache>
                <c:formatCode>mmm_)</c:formatCode>
                <c:ptCount val="12"/>
                <c:pt idx="0">
                  <c:v>45322</c:v>
                </c:pt>
                <c:pt idx="1">
                  <c:v>45351</c:v>
                </c:pt>
                <c:pt idx="2">
                  <c:v>45382</c:v>
                </c:pt>
                <c:pt idx="3">
                  <c:v>45412</c:v>
                </c:pt>
                <c:pt idx="4">
                  <c:v>45443</c:v>
                </c:pt>
                <c:pt idx="5">
                  <c:v>45473</c:v>
                </c:pt>
                <c:pt idx="6">
                  <c:v>45504</c:v>
                </c:pt>
                <c:pt idx="7">
                  <c:v>45535</c:v>
                </c:pt>
                <c:pt idx="8">
                  <c:v>45565</c:v>
                </c:pt>
                <c:pt idx="9">
                  <c:v>45596</c:v>
                </c:pt>
                <c:pt idx="10">
                  <c:v>45626</c:v>
                </c:pt>
                <c:pt idx="11">
                  <c:v>45657</c:v>
                </c:pt>
              </c:numCache>
            </c:numRef>
          </c:cat>
          <c:val>
            <c:numRef>
              <c:f>Graphs!$F$216:$Q$216</c:f>
              <c:numCache>
                <c:formatCode>_(#,##0%_);\(#,##0%\);_("–"_);_(@_)</c:formatCode>
                <c:ptCount val="12"/>
                <c:pt idx="0">
                  <c:v>0.34846620970096231</c:v>
                </c:pt>
                <c:pt idx="1">
                  <c:v>0.41859564403341287</c:v>
                </c:pt>
                <c:pt idx="2">
                  <c:v>0.46447955008935693</c:v>
                </c:pt>
                <c:pt idx="3">
                  <c:v>0.49654290254823391</c:v>
                </c:pt>
                <c:pt idx="4">
                  <c:v>0.42846621018810138</c:v>
                </c:pt>
                <c:pt idx="5">
                  <c:v>0.50007118650164883</c:v>
                </c:pt>
                <c:pt idx="6">
                  <c:v>0.49459415983111149</c:v>
                </c:pt>
                <c:pt idx="7">
                  <c:v>0.43451901018293876</c:v>
                </c:pt>
                <c:pt idx="8">
                  <c:v>0.503218828265111</c:v>
                </c:pt>
                <c:pt idx="9">
                  <c:v>0.53799469750396689</c:v>
                </c:pt>
                <c:pt idx="10">
                  <c:v>0.49688360840723106</c:v>
                </c:pt>
                <c:pt idx="11">
                  <c:v>0.54013685742051609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577-4EBB-9E01-96ABF2E4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dateAx>
        <c:axId val="1656101471"/>
        <c:scaling>
          <c:orientation val="minMax"/>
        </c:scaling>
        <c:delete val="0"/>
        <c:axPos val="b"/>
        <c:numFmt formatCode="mmm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Offset val="100"/>
        <c:baseTimeUnit val="months"/>
      </c:dateAx>
      <c:valAx>
        <c:axId val="1656033743"/>
        <c:scaling>
          <c:orientation val="minMax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%_);\(#,##0%\);_(&quot;–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884906968469052E-2"/>
          <c:y val="5.0926031973276067E-2"/>
          <c:w val="0.9153055550452025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Graphs!$D$212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6B7-4033-879F-65A7D62142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Graphs!$X$212:$Y$212</c:f>
              <c:numCache>
                <c:formatCode>_(#,##0%_);\(#,##0%\);_("–"_);_(@_)</c:formatCode>
                <c:ptCount val="2"/>
                <c:pt idx="0">
                  <c:v>0.44930776033101671</c:v>
                </c:pt>
                <c:pt idx="1">
                  <c:v>0.44930776033101671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7-4033-879F-65A7D6214282}"/>
            </c:ext>
          </c:extLst>
        </c:ser>
        <c:ser>
          <c:idx val="0"/>
          <c:order val="1"/>
          <c:tx>
            <c:strRef>
              <c:f>Graphs!$D$213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A6B7-4033-879F-65A7D62142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Graphs!$X$213:$Y$213</c:f>
              <c:numCache>
                <c:formatCode>_(#,##0%_);\(#,##0%\);_("–"_);_(@_)</c:formatCode>
                <c:ptCount val="2"/>
                <c:pt idx="0">
                  <c:v>0.47970084724293338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B7-4033-879F-65A7D6214282}"/>
            </c:ext>
          </c:extLst>
        </c:ser>
        <c:ser>
          <c:idx val="3"/>
          <c:order val="2"/>
          <c:tx>
            <c:strRef>
              <c:f>Graphs!$D$214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6B7-4033-879F-65A7D621428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Graphs!$X$214:$Y$214</c:f>
              <c:numCache>
                <c:formatCode>_(#,##0%_);\(#,##0%\);_("–"_);_(@_)</c:formatCode>
                <c:ptCount val="2"/>
                <c:pt idx="0">
                  <c:v>0.46</c:v>
                </c:pt>
                <c:pt idx="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B7-4033-879F-65A7D6214282}"/>
            </c:ext>
          </c:extLst>
        </c:ser>
        <c:ser>
          <c:idx val="2"/>
          <c:order val="3"/>
          <c:tx>
            <c:strRef>
              <c:f>Graphs!$D$215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 cmpd="sng" algn="ctr">
              <a:solidFill>
                <a:srgbClr val="AFC8EE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28575" cap="rnd" cmpd="sng" algn="ctr">
                <a:noFill/>
                <a:prstDash val="sysDot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B7-4033-879F-65A7D6214282}"/>
                </c:ext>
              </c:extLst>
            </c:dLbl>
            <c:dLbl>
              <c:idx val="1"/>
              <c:layout>
                <c:manualLayout>
                  <c:x val="-1.4378918860822581E-16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Graphs!$X$215:$Y$215</c:f>
              <c:numCache>
                <c:formatCode>_(#,##0%_);\(#,##0%\);_("–"_);_(@_)</c:formatCode>
                <c:ptCount val="2"/>
                <c:pt idx="0">
                  <c:v>0.44930776033101671</c:v>
                </c:pt>
                <c:pt idx="1">
                  <c:v>0.44930776033101671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B7-4033-879F-65A7D6214282}"/>
            </c:ext>
          </c:extLst>
        </c:ser>
        <c:ser>
          <c:idx val="4"/>
          <c:order val="4"/>
          <c:tx>
            <c:strRef>
              <c:f>Graphs!$D$216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 cmpd="sng" algn="ctr">
              <a:solidFill>
                <a:srgbClr val="3271D2"/>
              </a:solidFill>
              <a:prstDash val="sysDot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28575" cap="rnd" cmpd="sng" algn="ctr">
                <a:noFill/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B7-4033-879F-65A7D621428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271D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Graphs!$X$216:$Y$216</c:f>
              <c:numCache>
                <c:formatCode>_(#,##0%_);\(#,##0%\);_("–"_);_(@_)</c:formatCode>
                <c:ptCount val="2"/>
                <c:pt idx="0">
                  <c:v>0.47970084724293338</c:v>
                </c:pt>
                <c:pt idx="1">
                  <c:v>0.47970084724293338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6B7-4033-879F-65A7D6214282}"/>
            </c:ext>
          </c:extLst>
        </c:ser>
        <c:ser>
          <c:idx val="5"/>
          <c:order val="5"/>
          <c:tx>
            <c:strRef>
              <c:f>Graphs!$D$217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6B7-4033-879F-65A7D621428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6B7-4033-879F-65A7D62142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Graphs!$X$217:$Y$217</c:f>
              <c:numCache>
                <c:formatCode>_(#,##0%_);\(#,##0%\);_("–"_);_(@_)</c:formatCode>
                <c:ptCount val="2"/>
                <c:pt idx="0">
                  <c:v>0.46</c:v>
                </c:pt>
                <c:pt idx="1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6B7-4033-879F-65A7D6214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  <c:max val="0.5"/>
          <c:min val="0.41000000000000003"/>
        </c:scaling>
        <c:delete val="1"/>
        <c:axPos val="l"/>
        <c:numFmt formatCode="_(#,##0%_);\(#,##0%\);_(&quot;–&quot;_);_(@_)" sourceLinked="1"/>
        <c:majorTickMark val="out"/>
        <c:minorTickMark val="none"/>
        <c:tickLblPos val="nextTo"/>
        <c:crossAx val="1656101471"/>
        <c:crosses val="autoZero"/>
        <c:crossBetween val="between"/>
        <c:majorUnit val="1.0000000000000002E-2"/>
      </c:valAx>
      <c:spPr>
        <a:noFill/>
        <a:ln w="9525">
          <a:solidFill>
            <a:schemeClr val="tx1">
              <a:lumMod val="15000"/>
              <a:lumOff val="85000"/>
            </a:schemeClr>
          </a:solidFill>
          <a:prstDash val="dash"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932375347054373E-2"/>
          <c:y val="5.0926031973276067E-2"/>
          <c:w val="0.76368169379004913"/>
          <c:h val="0.86363636363636365"/>
        </c:manualLayout>
      </c:layout>
      <c:lineChart>
        <c:grouping val="standard"/>
        <c:varyColors val="0"/>
        <c:ser>
          <c:idx val="1"/>
          <c:order val="0"/>
          <c:tx>
            <c:strRef>
              <c:f>Graphs!$D$212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710-4164-87BC-0BD8858E82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710-4164-87BC-0BD8858E82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710-4164-87BC-0BD8858E82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710-4164-87BC-0BD8858E8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Graphs!$S$212:$V$212</c:f>
              <c:numCache>
                <c:formatCode>_(#,##0%_);\(#,##0%\);_("–"_);_(@_)</c:formatCode>
                <c:ptCount val="4"/>
                <c:pt idx="0">
                  <c:v>0.3299322172262481</c:v>
                </c:pt>
                <c:pt idx="1">
                  <c:v>0.49983989052285699</c:v>
                </c:pt>
                <c:pt idx="2">
                  <c:v>0.48348038217861172</c:v>
                </c:pt>
                <c:pt idx="3">
                  <c:v>0.42842409853382041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0-4164-87BC-0BD8858E82A0}"/>
            </c:ext>
          </c:extLst>
        </c:ser>
        <c:ser>
          <c:idx val="0"/>
          <c:order val="1"/>
          <c:tx>
            <c:strRef>
              <c:f>Graphs!$D$213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10-4164-87BC-0BD8858E82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10-4164-87BC-0BD8858E82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710-4164-87BC-0BD8858E82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710-4164-87BC-0BD8858E8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Graphs!$S$213:$V$213</c:f>
              <c:numCache>
                <c:formatCode>_(#,##0%_);\(#,##0%\);_("–"_);_(@_)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10-4164-87BC-0BD8858E82A0}"/>
            </c:ext>
          </c:extLst>
        </c:ser>
        <c:ser>
          <c:idx val="3"/>
          <c:order val="2"/>
          <c:tx>
            <c:strRef>
              <c:f>Graphs!$D$214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rgbClr val="FA621C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A621C"/>
              </a:solidFill>
              <a:ln w="9525">
                <a:solidFill>
                  <a:srgbClr val="FA621C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710-4164-87BC-0BD8858E82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710-4164-87BC-0BD8858E82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710-4164-87BC-0BD8858E82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FA621C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710-4164-87BC-0BD8858E8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Graphs!$S$214:$V$214</c:f>
              <c:numCache>
                <c:formatCode>_(#,##0%_);\(#,##0%\);_("–"_);_(@_)</c:formatCode>
                <c:ptCount val="4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710-4164-87BC-0BD8858E82A0}"/>
            </c:ext>
          </c:extLst>
        </c:ser>
        <c:ser>
          <c:idx val="2"/>
          <c:order val="3"/>
          <c:tx>
            <c:strRef>
              <c:f>Graphs!$D$215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rgbClr val="AFC8EE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AFC8EE"/>
              </a:solidFill>
              <a:ln w="9525">
                <a:solidFill>
                  <a:srgbClr val="AFC8EE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710-4164-87BC-0BD8858E82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710-4164-87BC-0BD8858E82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710-4164-87BC-0BD8858E82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AFC8EE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9710-4164-87BC-0BD8858E8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Graphs!$S$215:$V$215</c:f>
              <c:numCache>
                <c:formatCode>_(#,##0%_);\(#,##0%\);_("–"_);_(@_)</c:formatCode>
                <c:ptCount val="4"/>
                <c:pt idx="0">
                  <c:v>0.3299322172262481</c:v>
                </c:pt>
                <c:pt idx="1">
                  <c:v>0.49983989052285699</c:v>
                </c:pt>
                <c:pt idx="2">
                  <c:v>0.48348038217861172</c:v>
                </c:pt>
                <c:pt idx="3">
                  <c:v>0.42842409853382041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710-4164-87BC-0BD8858E82A0}"/>
            </c:ext>
          </c:extLst>
        </c:ser>
        <c:ser>
          <c:idx val="4"/>
          <c:order val="4"/>
          <c:tx>
            <c:strRef>
              <c:f>Graphs!$D$216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rgbClr val="3271D2"/>
              </a:solidFill>
              <a:prstDash val="sysDot"/>
              <a:round/>
            </a:ln>
            <a:effectLst/>
          </c:spPr>
          <c:marker>
            <c:symbol val="circle"/>
            <c:size val="7"/>
            <c:spPr>
              <a:solidFill>
                <a:srgbClr val="3271D2"/>
              </a:solidFill>
              <a:ln w="9525">
                <a:solidFill>
                  <a:srgbClr val="3271D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710-4164-87BC-0BD8858E82A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710-4164-87BC-0BD8858E82A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710-4164-87BC-0BD8858E82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rgbClr val="3271D2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de-DE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9710-4164-87BC-0BD8858E82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Graphs!$S$120:$V$120</c:f>
              <c:numCache>
                <c:formatCode>\Q0_)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Graphs!$S$216:$V$216</c:f>
              <c:numCache>
                <c:formatCode>_(#,##0%_);\(#,##0%\);_("–"_);_(@_)</c:formatCode>
                <c:ptCount val="4"/>
                <c:pt idx="0">
                  <c:v>0.41759392064501066</c:v>
                </c:pt>
                <c:pt idx="1">
                  <c:v>0.47502676641266128</c:v>
                </c:pt>
                <c:pt idx="2">
                  <c:v>0.47744399942638704</c:v>
                </c:pt>
                <c:pt idx="3">
                  <c:v>0.52500505444390466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710-4164-87BC-0BD8858E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101471"/>
        <c:axId val="1656033743"/>
      </c:lineChart>
      <c:catAx>
        <c:axId val="1656101471"/>
        <c:scaling>
          <c:orientation val="minMax"/>
        </c:scaling>
        <c:delete val="0"/>
        <c:axPos val="b"/>
        <c:numFmt formatCode="\Q0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033743"/>
        <c:crosses val="autoZero"/>
        <c:auto val="1"/>
        <c:lblAlgn val="ctr"/>
        <c:lblOffset val="100"/>
        <c:noMultiLvlLbl val="0"/>
      </c:catAx>
      <c:valAx>
        <c:axId val="1656033743"/>
        <c:scaling>
          <c:orientation val="minMax"/>
          <c:max val="0.60000000000000009"/>
          <c:min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#,##0%_);\(#,##0%\);_(&quot;–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de-DE"/>
          </a:p>
        </c:txPr>
        <c:crossAx val="1656101471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5</xdr:row>
      <xdr:rowOff>0</xdr:rowOff>
    </xdr:from>
    <xdr:to>
      <xdr:col>12</xdr:col>
      <xdr:colOff>1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ECD11-28D7-49E5-A15D-FD7FB2682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7</xdr:col>
      <xdr:colOff>1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35D022-6D52-4624-86A5-301BB0701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651710</xdr:colOff>
      <xdr:row>30</xdr:row>
      <xdr:rowOff>0</xdr:rowOff>
    </xdr:from>
    <xdr:to>
      <xdr:col>12</xdr:col>
      <xdr:colOff>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9AAC3-F8A1-4288-B2C2-13E87E764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1133</xdr:colOff>
      <xdr:row>62</xdr:row>
      <xdr:rowOff>0</xdr:rowOff>
    </xdr:from>
    <xdr:to>
      <xdr:col>12</xdr:col>
      <xdr:colOff>1</xdr:colOff>
      <xdr:row>84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9C7D3-3A3F-43D5-8E28-A07810CBE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607785</xdr:colOff>
      <xdr:row>87</xdr:row>
      <xdr:rowOff>0</xdr:rowOff>
    </xdr:from>
    <xdr:to>
      <xdr:col>12</xdr:col>
      <xdr:colOff>0</xdr:colOff>
      <xdr:row>109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7B5C9B-282E-4B6F-AC15-CAED7A880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</xdr:colOff>
      <xdr:row>87</xdr:row>
      <xdr:rowOff>0</xdr:rowOff>
    </xdr:from>
    <xdr:to>
      <xdr:col>7</xdr:col>
      <xdr:colOff>0</xdr:colOff>
      <xdr:row>109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AB9EB8-9CD4-4CBE-8A3E-DA93F8850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1132</xdr:colOff>
      <xdr:row>62</xdr:row>
      <xdr:rowOff>0</xdr:rowOff>
    </xdr:from>
    <xdr:to>
      <xdr:col>25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EB49CE-77BD-4909-9F76-A630CE0E2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</xdr:colOff>
      <xdr:row>87</xdr:row>
      <xdr:rowOff>1</xdr:rowOff>
    </xdr:from>
    <xdr:to>
      <xdr:col>25</xdr:col>
      <xdr:colOff>0</xdr:colOff>
      <xdr:row>109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E95374-EBC8-4296-88B3-50C864B0A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</xdr:colOff>
      <xdr:row>87</xdr:row>
      <xdr:rowOff>0</xdr:rowOff>
    </xdr:from>
    <xdr:to>
      <xdr:col>20</xdr:col>
      <xdr:colOff>0</xdr:colOff>
      <xdr:row>109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1EA31C5-3E13-4B98-BB84-2AFBE434B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</xdr:colOff>
      <xdr:row>5</xdr:row>
      <xdr:rowOff>0</xdr:rowOff>
    </xdr:from>
    <xdr:to>
      <xdr:col>25</xdr:col>
      <xdr:colOff>1</xdr:colOff>
      <xdr:row>27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41986B-E48F-4A9C-8A23-BBC677B2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20</xdr:col>
      <xdr:colOff>250658</xdr:colOff>
      <xdr:row>52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DD645F0-AE0C-4CCB-B6D4-CC5C4F7AE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651710</xdr:colOff>
      <xdr:row>30</xdr:row>
      <xdr:rowOff>0</xdr:rowOff>
    </xdr:from>
    <xdr:to>
      <xdr:col>25</xdr:col>
      <xdr:colOff>0</xdr:colOff>
      <xdr:row>52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049D06B-B4E9-4FBA-A0DE-68CA3A450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11</xdr:col>
      <xdr:colOff>666749</xdr:colOff>
      <xdr:row>58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4F2042-3AE2-4889-9810-AB29D3049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24</xdr:col>
      <xdr:colOff>666749</xdr:colOff>
      <xdr:row>58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3D7FF8A-E5A8-4D96-98DC-FAE289450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11</xdr:col>
      <xdr:colOff>666749</xdr:colOff>
      <xdr:row>115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45D4C6C-3875-4E24-B46A-91EB7CF89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110</xdr:row>
      <xdr:rowOff>0</xdr:rowOff>
    </xdr:from>
    <xdr:to>
      <xdr:col>24</xdr:col>
      <xdr:colOff>666749</xdr:colOff>
      <xdr:row>115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2B3F9C2-6045-4F52-B88C-B67D906C0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C04C-6E22-4412-9C3A-B72F78759BE9}">
  <sheetPr>
    <pageSetUpPr fitToPage="1"/>
  </sheetPr>
  <dimension ref="A1:Q24"/>
  <sheetViews>
    <sheetView showGridLines="0" tabSelected="1" zoomScaleNormal="100" zoomScaleSheetLayoutView="85" workbookViewId="0">
      <selection activeCell="S12" sqref="S12"/>
    </sheetView>
  </sheetViews>
  <sheetFormatPr baseColWidth="10" defaultColWidth="9.140625" defaultRowHeight="19.5" customHeight="1"/>
  <cols>
    <col min="1" max="1" width="4.5703125" style="1" customWidth="1"/>
    <col min="2" max="2" width="4.85546875" style="1" customWidth="1"/>
    <col min="3" max="3" width="18.5703125" style="1" customWidth="1"/>
    <col min="4" max="7" width="10.5703125" style="1" customWidth="1"/>
    <col min="8" max="8" width="18.5703125" style="1" customWidth="1"/>
    <col min="9" max="12" width="10.5703125" style="1" customWidth="1"/>
    <col min="13" max="13" width="26.5703125" style="1" customWidth="1"/>
    <col min="14" max="14" width="10.5703125" style="1" customWidth="1"/>
    <col min="15" max="15" width="4.85546875" style="1" customWidth="1"/>
    <col min="16" max="16" width="9.140625" style="1"/>
    <col min="17" max="17" width="11.85546875" style="1" bestFit="1" customWidth="1"/>
    <col min="18" max="21" width="9.140625" style="1"/>
    <col min="22" max="22" width="9.42578125" style="1" bestFit="1" customWidth="1"/>
    <col min="23" max="23" width="9.140625" style="1" customWidth="1"/>
    <col min="24" max="16384" width="9.140625" style="1"/>
  </cols>
  <sheetData>
    <row r="1" spans="1:17" ht="19.5" customHeight="1" thickBot="1">
      <c r="A1" s="189"/>
    </row>
    <row r="2" spans="1:17" ht="19.5" customHeight="1" thickTop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7" ht="19.5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7" ht="19.5" customHeight="1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spans="1:17" ht="19.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spans="1:17" ht="19.5" customHeight="1">
      <c r="B6" s="5"/>
      <c r="C6" s="6"/>
      <c r="D6" s="6"/>
      <c r="E6" s="6"/>
      <c r="F6" s="6"/>
      <c r="G6" s="6"/>
      <c r="H6" s="8"/>
      <c r="I6" s="6"/>
      <c r="J6" s="6"/>
      <c r="K6" s="6"/>
      <c r="L6" s="6"/>
      <c r="M6" s="6"/>
      <c r="N6" s="6"/>
      <c r="O6" s="7"/>
    </row>
    <row r="7" spans="1:17" ht="19.5" customHeight="1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spans="1:17" ht="19.5" customHeight="1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</row>
    <row r="9" spans="1:17" ht="19.5" customHeight="1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</row>
    <row r="10" spans="1:17" ht="19.5" customHeight="1">
      <c r="B10" s="9"/>
      <c r="O10" s="10"/>
    </row>
    <row r="11" spans="1:17" ht="28.5" customHeight="1">
      <c r="B11" s="9"/>
      <c r="C11" s="198" t="s">
        <v>0</v>
      </c>
      <c r="N11" s="199"/>
      <c r="O11" s="10"/>
    </row>
    <row r="12" spans="1:17" ht="19.5" customHeight="1">
      <c r="B12" s="9"/>
      <c r="C12" s="200"/>
      <c r="L12" s="201"/>
      <c r="O12" s="10"/>
    </row>
    <row r="13" spans="1:17" ht="19.5" customHeight="1">
      <c r="B13" s="9"/>
      <c r="O13" s="10"/>
    </row>
    <row r="14" spans="1:17" ht="19.5" customHeight="1">
      <c r="B14" s="9"/>
      <c r="C14" s="202" t="s">
        <v>1</v>
      </c>
      <c r="D14" s="203"/>
      <c r="E14" s="11"/>
      <c r="F14" s="11"/>
      <c r="G14" s="11"/>
      <c r="H14" s="11"/>
      <c r="J14" s="204"/>
      <c r="K14" s="202" t="s">
        <v>2</v>
      </c>
      <c r="L14" s="205"/>
      <c r="M14" s="206"/>
      <c r="N14" s="207" t="s">
        <v>3</v>
      </c>
      <c r="O14" s="10"/>
    </row>
    <row r="15" spans="1:17" ht="19.5" customHeight="1">
      <c r="B15" s="9"/>
      <c r="C15" s="12"/>
      <c r="D15" s="12"/>
      <c r="E15" s="12"/>
      <c r="F15" s="12"/>
      <c r="G15" s="12"/>
      <c r="H15" s="12"/>
      <c r="J15" s="11"/>
      <c r="K15" s="11"/>
      <c r="L15" s="11"/>
      <c r="M15" s="11"/>
      <c r="N15" s="208"/>
      <c r="O15" s="10"/>
    </row>
    <row r="16" spans="1:17" ht="19.5" customHeight="1">
      <c r="B16" s="9"/>
      <c r="C16" s="209" t="s">
        <v>4</v>
      </c>
      <c r="D16" s="12"/>
      <c r="E16" s="12"/>
      <c r="F16" s="13"/>
      <c r="G16" s="12"/>
      <c r="H16" s="12"/>
      <c r="K16" s="14" t="s">
        <v>5</v>
      </c>
      <c r="M16" s="14"/>
      <c r="N16" s="210">
        <f>Model!E117</f>
        <v>0</v>
      </c>
      <c r="O16" s="10"/>
      <c r="Q16" s="15"/>
    </row>
    <row r="17" spans="2:15" ht="19.5" customHeight="1">
      <c r="B17" s="9"/>
      <c r="C17" s="209" t="s">
        <v>6</v>
      </c>
      <c r="D17" s="12"/>
      <c r="E17" s="12"/>
      <c r="F17" s="13"/>
      <c r="G17" s="12"/>
      <c r="H17" s="12"/>
      <c r="J17" s="16"/>
      <c r="K17" s="14" t="s">
        <v>7</v>
      </c>
      <c r="M17" s="14"/>
      <c r="N17" s="210">
        <f>Model!E247</f>
        <v>0</v>
      </c>
      <c r="O17" s="10"/>
    </row>
    <row r="18" spans="2:15" ht="19.5" customHeight="1">
      <c r="B18" s="9"/>
      <c r="C18" s="209" t="s">
        <v>8</v>
      </c>
      <c r="D18" s="12"/>
      <c r="E18" s="12"/>
      <c r="F18" s="13"/>
      <c r="G18" s="12"/>
      <c r="H18" s="12"/>
      <c r="J18" s="16"/>
      <c r="K18" s="14" t="s">
        <v>9</v>
      </c>
      <c r="M18" s="14"/>
      <c r="N18" s="211">
        <f>Model!E400</f>
        <v>1</v>
      </c>
      <c r="O18" s="10"/>
    </row>
    <row r="19" spans="2:15" ht="19.5" customHeight="1">
      <c r="B19" s="9"/>
      <c r="C19" s="12"/>
      <c r="D19" s="12"/>
      <c r="E19" s="12"/>
      <c r="F19" s="12"/>
      <c r="G19" s="12"/>
      <c r="H19" s="12"/>
      <c r="N19" s="17"/>
      <c r="O19" s="10"/>
    </row>
    <row r="20" spans="2:15" ht="19.5" customHeight="1">
      <c r="B20" s="9"/>
      <c r="C20" s="12"/>
      <c r="D20" s="12"/>
      <c r="E20" s="12"/>
      <c r="F20" s="12"/>
      <c r="G20" s="12"/>
      <c r="H20" s="12"/>
      <c r="I20" s="14"/>
      <c r="M20" s="14"/>
      <c r="N20" s="18"/>
      <c r="O20" s="10"/>
    </row>
    <row r="21" spans="2:15" ht="19.5" customHeight="1">
      <c r="B21" s="9"/>
      <c r="C21" s="12"/>
      <c r="D21" s="12"/>
      <c r="E21" s="19"/>
      <c r="F21" s="19"/>
      <c r="G21" s="12"/>
      <c r="H21" s="12"/>
      <c r="I21" s="14"/>
      <c r="M21" s="14"/>
      <c r="O21" s="10"/>
    </row>
    <row r="22" spans="2:15" ht="19.5" customHeight="1">
      <c r="B22" s="9"/>
      <c r="C22" s="12"/>
      <c r="D22" s="12"/>
      <c r="E22" s="12"/>
      <c r="F22" s="12"/>
      <c r="G22" s="12"/>
      <c r="H22" s="12"/>
      <c r="I22" s="14"/>
      <c r="M22" s="14"/>
      <c r="O22" s="10"/>
    </row>
    <row r="23" spans="2:15" ht="19.5" customHeight="1" thickBot="1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2" t="s">
        <v>10</v>
      </c>
    </row>
    <row r="24" spans="2:15" ht="19.5" customHeight="1" thickTop="1"/>
  </sheetData>
  <conditionalFormatting sqref="N16:N18">
    <cfRule type="expression" dxfId="10" priority="1">
      <formula>N16&gt;0</formula>
    </cfRule>
  </conditionalFormatting>
  <hyperlinks>
    <hyperlink ref="C16" location="Model!A1" tooltip="Model" display="Model" xr:uid="{4F25C6D9-C408-4C14-BD38-F4AE6D88184F}"/>
    <hyperlink ref="C17" location="Totals!A1" tooltip="Totals" display="Totals" xr:uid="{65A84B27-4648-477F-BE09-0DD652EA8495}"/>
    <hyperlink ref="C18" location="Graphs!A1" tooltip="Graphs" display="Graphs" xr:uid="{0AA850C6-6929-4FFE-B1B2-91A764D573FC}"/>
  </hyperlinks>
  <printOptions horizontalCentered="1" verticalCentered="1"/>
  <pageMargins left="0.31496062992125984" right="0.31496062992125984" top="0.31496062992125984" bottom="0.31496062992125984" header="0.31496062992125984" footer="0.31496062992125984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6C0E-0521-4ADE-803D-F23978FECDE2}">
  <sheetPr>
    <pageSetUpPr autoPageBreaks="0"/>
  </sheetPr>
  <dimension ref="A1:BQ517"/>
  <sheetViews>
    <sheetView showGridLines="0" zoomScaleNormal="100" zoomScaleSheetLayoutView="70" workbookViewId="0">
      <pane ySplit="1" topLeftCell="A2" activePane="bottomLeft" state="frozen"/>
      <selection activeCell="A2" sqref="A2"/>
      <selection pane="bottomLeft" activeCell="AL512" sqref="AL512"/>
    </sheetView>
  </sheetViews>
  <sheetFormatPr baseColWidth="10" defaultColWidth="9.28515625" defaultRowHeight="15" customHeight="1" outlineLevelRow="1"/>
  <cols>
    <col min="1" max="1" width="4.7109375" style="23" customWidth="1"/>
    <col min="2" max="2" width="14.7109375" style="23" customWidth="1"/>
    <col min="3" max="3" width="7.5703125" style="23" customWidth="1"/>
    <col min="4" max="4" width="0.85546875" style="23" customWidth="1"/>
    <col min="5" max="5" width="7.5703125" style="23" customWidth="1"/>
    <col min="6" max="6" width="0.85546875" style="23" customWidth="1"/>
    <col min="7" max="30" width="7.7109375" style="23" customWidth="1"/>
    <col min="31" max="31" width="0.85546875" style="23" customWidth="1"/>
    <col min="32" max="33" width="9.28515625" style="23" customWidth="1"/>
    <col min="34" max="36" width="9.28515625" style="23"/>
    <col min="37" max="37" width="9.28515625" style="23" customWidth="1"/>
    <col min="38" max="54" width="9.28515625" style="23"/>
    <col min="55" max="55" width="15.7109375" style="23" customWidth="1"/>
    <col min="56" max="56" width="5" style="23" bestFit="1" customWidth="1"/>
    <col min="57" max="68" width="8.7109375" style="23" customWidth="1"/>
    <col min="69" max="16384" width="9.28515625" style="23"/>
  </cols>
  <sheetData>
    <row r="1" spans="1:69" ht="50.1" customHeight="1">
      <c r="A1" s="452"/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  <c r="AA1" s="452"/>
      <c r="AB1" s="452"/>
      <c r="AC1" s="452"/>
      <c r="AD1" s="452"/>
      <c r="AE1" s="452"/>
      <c r="AF1" s="452"/>
      <c r="AG1" s="452"/>
    </row>
    <row r="3" spans="1:69" s="27" customFormat="1" ht="15" customHeight="1">
      <c r="A3" s="152" t="s">
        <v>11</v>
      </c>
      <c r="B3" s="24" t="s">
        <v>12</v>
      </c>
      <c r="C3" s="24"/>
      <c r="D3" s="24"/>
      <c r="E3" s="25"/>
      <c r="F3" s="25"/>
      <c r="G3" s="26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3"/>
      <c r="AF3" s="23"/>
      <c r="AG3" s="23"/>
      <c r="AH3" s="23"/>
      <c r="AI3" s="23"/>
      <c r="AJ3" s="23"/>
      <c r="AK3" s="23"/>
      <c r="AL3" s="23"/>
      <c r="AM3" s="23"/>
      <c r="AN3" s="23"/>
    </row>
    <row r="4" spans="1:69" s="27" customFormat="1" ht="15" customHeight="1" outlineLevel="1">
      <c r="A4" s="152"/>
      <c r="B4" s="28"/>
      <c r="C4" s="28"/>
      <c r="D4" s="28"/>
      <c r="E4" s="29"/>
      <c r="F4" s="29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G4" s="23"/>
      <c r="AH4" s="23"/>
      <c r="AI4" s="23"/>
      <c r="AJ4" s="23"/>
      <c r="AK4" s="23"/>
      <c r="AL4" s="23"/>
      <c r="AM4" s="23"/>
      <c r="AN4" s="23"/>
    </row>
    <row r="5" spans="1:69" s="27" customFormat="1" ht="15" customHeight="1" outlineLevel="1">
      <c r="A5" s="152"/>
      <c r="B5" s="31" t="s">
        <v>13</v>
      </c>
      <c r="C5" s="28"/>
      <c r="D5" s="28"/>
      <c r="E5" s="29"/>
      <c r="F5" s="29"/>
      <c r="G5" s="52">
        <f>YEAR(G7)</f>
        <v>2024</v>
      </c>
      <c r="H5" s="51">
        <f t="shared" ref="H5:AD5" si="0">YEAR(H7)</f>
        <v>2024</v>
      </c>
      <c r="I5" s="51">
        <f t="shared" si="0"/>
        <v>2024</v>
      </c>
      <c r="J5" s="53">
        <f t="shared" si="0"/>
        <v>2024</v>
      </c>
      <c r="K5" s="51">
        <f t="shared" si="0"/>
        <v>2024</v>
      </c>
      <c r="L5" s="51">
        <f t="shared" si="0"/>
        <v>2024</v>
      </c>
      <c r="M5" s="53">
        <f t="shared" si="0"/>
        <v>2024</v>
      </c>
      <c r="N5" s="51">
        <f t="shared" si="0"/>
        <v>2024</v>
      </c>
      <c r="O5" s="51">
        <f t="shared" si="0"/>
        <v>2024</v>
      </c>
      <c r="P5" s="53">
        <f t="shared" si="0"/>
        <v>2024</v>
      </c>
      <c r="Q5" s="51">
        <f t="shared" si="0"/>
        <v>2024</v>
      </c>
      <c r="R5" s="212">
        <f t="shared" si="0"/>
        <v>2024</v>
      </c>
      <c r="S5" s="52">
        <f t="shared" si="0"/>
        <v>2025</v>
      </c>
      <c r="T5" s="51">
        <f t="shared" si="0"/>
        <v>2025</v>
      </c>
      <c r="U5" s="51">
        <f t="shared" si="0"/>
        <v>2025</v>
      </c>
      <c r="V5" s="53">
        <f t="shared" si="0"/>
        <v>2025</v>
      </c>
      <c r="W5" s="51">
        <f t="shared" si="0"/>
        <v>2025</v>
      </c>
      <c r="X5" s="51">
        <f t="shared" si="0"/>
        <v>2025</v>
      </c>
      <c r="Y5" s="53">
        <f t="shared" si="0"/>
        <v>2025</v>
      </c>
      <c r="Z5" s="51">
        <f t="shared" si="0"/>
        <v>2025</v>
      </c>
      <c r="AA5" s="51">
        <f t="shared" si="0"/>
        <v>2025</v>
      </c>
      <c r="AB5" s="53">
        <f t="shared" si="0"/>
        <v>2025</v>
      </c>
      <c r="AC5" s="51">
        <f t="shared" si="0"/>
        <v>2025</v>
      </c>
      <c r="AD5" s="212">
        <f t="shared" si="0"/>
        <v>2025</v>
      </c>
      <c r="AE5" s="23"/>
      <c r="AG5" s="23"/>
      <c r="AH5" s="23"/>
      <c r="AI5" s="23"/>
      <c r="AJ5" s="23"/>
      <c r="AK5" s="23"/>
      <c r="AL5" s="23"/>
      <c r="AM5" s="23"/>
      <c r="AN5" s="23"/>
    </row>
    <row r="6" spans="1:69" ht="15" customHeight="1" outlineLevel="1">
      <c r="C6" s="31"/>
      <c r="D6" s="31"/>
      <c r="E6" s="32"/>
      <c r="F6" s="32"/>
      <c r="G6" s="213">
        <f>CHOOSE(MONTH(G7),1,1,1,2,2,2,3,3,3,4,4,4)</f>
        <v>1</v>
      </c>
      <c r="H6" s="214">
        <f t="shared" ref="H6:AD6" si="1">CHOOSE(MONTH(H7),1,1,1,2,2,2,3,3,3,4,4,4)</f>
        <v>1</v>
      </c>
      <c r="I6" s="215">
        <f t="shared" si="1"/>
        <v>1</v>
      </c>
      <c r="J6" s="216">
        <f t="shared" si="1"/>
        <v>2</v>
      </c>
      <c r="K6" s="214">
        <f t="shared" si="1"/>
        <v>2</v>
      </c>
      <c r="L6" s="215">
        <f t="shared" si="1"/>
        <v>2</v>
      </c>
      <c r="M6" s="216">
        <f t="shared" si="1"/>
        <v>3</v>
      </c>
      <c r="N6" s="214">
        <f t="shared" si="1"/>
        <v>3</v>
      </c>
      <c r="O6" s="215">
        <f t="shared" si="1"/>
        <v>3</v>
      </c>
      <c r="P6" s="216">
        <f t="shared" si="1"/>
        <v>4</v>
      </c>
      <c r="Q6" s="214">
        <f t="shared" si="1"/>
        <v>4</v>
      </c>
      <c r="R6" s="217">
        <f t="shared" si="1"/>
        <v>4</v>
      </c>
      <c r="S6" s="213">
        <f t="shared" si="1"/>
        <v>1</v>
      </c>
      <c r="T6" s="214">
        <f t="shared" si="1"/>
        <v>1</v>
      </c>
      <c r="U6" s="215">
        <f t="shared" si="1"/>
        <v>1</v>
      </c>
      <c r="V6" s="216">
        <f t="shared" si="1"/>
        <v>2</v>
      </c>
      <c r="W6" s="214">
        <f t="shared" si="1"/>
        <v>2</v>
      </c>
      <c r="X6" s="215">
        <f t="shared" si="1"/>
        <v>2</v>
      </c>
      <c r="Y6" s="216">
        <f t="shared" si="1"/>
        <v>3</v>
      </c>
      <c r="Z6" s="214">
        <f t="shared" si="1"/>
        <v>3</v>
      </c>
      <c r="AA6" s="215">
        <f t="shared" si="1"/>
        <v>3</v>
      </c>
      <c r="AB6" s="216">
        <f t="shared" si="1"/>
        <v>4</v>
      </c>
      <c r="AC6" s="214">
        <f t="shared" si="1"/>
        <v>4</v>
      </c>
      <c r="AD6" s="217">
        <f t="shared" si="1"/>
        <v>4</v>
      </c>
      <c r="AF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</row>
    <row r="7" spans="1:69" ht="15" customHeight="1" outlineLevel="1" thickBot="1">
      <c r="G7" s="218">
        <v>45322</v>
      </c>
      <c r="H7" s="219">
        <f>EOMONTH(G7,1)</f>
        <v>45351</v>
      </c>
      <c r="I7" s="219">
        <f t="shared" ref="I7:AD7" si="2">EOMONTH(H7,1)</f>
        <v>45382</v>
      </c>
      <c r="J7" s="220">
        <f t="shared" si="2"/>
        <v>45412</v>
      </c>
      <c r="K7" s="219">
        <f t="shared" si="2"/>
        <v>45443</v>
      </c>
      <c r="L7" s="219">
        <f t="shared" si="2"/>
        <v>45473</v>
      </c>
      <c r="M7" s="220">
        <f t="shared" si="2"/>
        <v>45504</v>
      </c>
      <c r="N7" s="219">
        <f t="shared" si="2"/>
        <v>45535</v>
      </c>
      <c r="O7" s="219">
        <f t="shared" si="2"/>
        <v>45565</v>
      </c>
      <c r="P7" s="220">
        <f t="shared" si="2"/>
        <v>45596</v>
      </c>
      <c r="Q7" s="219">
        <f t="shared" si="2"/>
        <v>45626</v>
      </c>
      <c r="R7" s="221">
        <f t="shared" si="2"/>
        <v>45657</v>
      </c>
      <c r="S7" s="218">
        <f t="shared" si="2"/>
        <v>45688</v>
      </c>
      <c r="T7" s="219">
        <f t="shared" si="2"/>
        <v>45716</v>
      </c>
      <c r="U7" s="219">
        <f t="shared" si="2"/>
        <v>45747</v>
      </c>
      <c r="V7" s="220">
        <f t="shared" si="2"/>
        <v>45777</v>
      </c>
      <c r="W7" s="219">
        <f t="shared" si="2"/>
        <v>45808</v>
      </c>
      <c r="X7" s="219">
        <f t="shared" si="2"/>
        <v>45838</v>
      </c>
      <c r="Y7" s="220">
        <f t="shared" si="2"/>
        <v>45869</v>
      </c>
      <c r="Z7" s="219">
        <f t="shared" si="2"/>
        <v>45900</v>
      </c>
      <c r="AA7" s="219">
        <f t="shared" si="2"/>
        <v>45930</v>
      </c>
      <c r="AB7" s="220">
        <f t="shared" si="2"/>
        <v>45961</v>
      </c>
      <c r="AC7" s="219">
        <f t="shared" si="2"/>
        <v>45991</v>
      </c>
      <c r="AD7" s="221">
        <f t="shared" si="2"/>
        <v>46022</v>
      </c>
      <c r="AF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</row>
    <row r="8" spans="1:69" ht="15" customHeight="1" outlineLevel="1">
      <c r="B8" s="222" t="s">
        <v>14</v>
      </c>
      <c r="G8" s="223">
        <v>1</v>
      </c>
      <c r="H8" s="223">
        <v>1</v>
      </c>
      <c r="I8" s="223">
        <v>1</v>
      </c>
      <c r="J8" s="223">
        <v>1</v>
      </c>
      <c r="K8" s="223">
        <v>1</v>
      </c>
      <c r="L8" s="223">
        <v>1</v>
      </c>
      <c r="M8" s="223">
        <v>1</v>
      </c>
      <c r="N8" s="223">
        <v>1</v>
      </c>
      <c r="O8" s="223">
        <v>1</v>
      </c>
      <c r="P8" s="223">
        <v>1</v>
      </c>
      <c r="Q8" s="223">
        <v>1</v>
      </c>
      <c r="R8" s="223">
        <v>1</v>
      </c>
      <c r="S8" s="223">
        <v>0</v>
      </c>
      <c r="T8" s="223">
        <v>0</v>
      </c>
      <c r="U8" s="223">
        <v>0</v>
      </c>
      <c r="V8" s="223">
        <v>0</v>
      </c>
      <c r="W8" s="223">
        <v>0</v>
      </c>
      <c r="X8" s="223">
        <v>0</v>
      </c>
      <c r="Y8" s="223">
        <v>0</v>
      </c>
      <c r="Z8" s="223">
        <v>0</v>
      </c>
      <c r="AA8" s="223">
        <v>0</v>
      </c>
      <c r="AB8" s="223">
        <v>0</v>
      </c>
      <c r="AC8" s="223">
        <v>0</v>
      </c>
      <c r="AD8" s="55">
        <v>0</v>
      </c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</row>
    <row r="9" spans="1:69" ht="15" customHeight="1" outlineLevel="1">
      <c r="B9" s="224"/>
      <c r="C9" s="225"/>
      <c r="D9" s="33"/>
      <c r="E9" s="226"/>
      <c r="F9" s="227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</row>
    <row r="10" spans="1:69" ht="15" customHeight="1" outlineLevel="1">
      <c r="B10" s="190" t="s">
        <v>15</v>
      </c>
      <c r="C10" s="225" t="s">
        <v>16</v>
      </c>
      <c r="E10" s="225" t="s">
        <v>17</v>
      </c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</row>
    <row r="11" spans="1:69" ht="15" customHeight="1" outlineLevel="1">
      <c r="B11" s="35" t="s">
        <v>18</v>
      </c>
      <c r="C11" s="228">
        <v>2200</v>
      </c>
      <c r="D11" s="229"/>
      <c r="E11" s="230">
        <f>SUM(G11:AD11)</f>
        <v>3</v>
      </c>
      <c r="F11" s="231"/>
      <c r="G11" s="232">
        <v>1</v>
      </c>
      <c r="H11" s="233">
        <v>1</v>
      </c>
      <c r="I11" s="233">
        <v>1</v>
      </c>
      <c r="J11" s="232">
        <v>0</v>
      </c>
      <c r="K11" s="233">
        <v>0</v>
      </c>
      <c r="L11" s="233">
        <v>0</v>
      </c>
      <c r="M11" s="232">
        <v>0</v>
      </c>
      <c r="N11" s="233">
        <v>0</v>
      </c>
      <c r="O11" s="233">
        <v>0</v>
      </c>
      <c r="P11" s="232">
        <v>0</v>
      </c>
      <c r="Q11" s="233">
        <v>0</v>
      </c>
      <c r="R11" s="233">
        <v>0</v>
      </c>
      <c r="S11" s="232">
        <v>0</v>
      </c>
      <c r="T11" s="233">
        <v>0</v>
      </c>
      <c r="U11" s="233">
        <v>0</v>
      </c>
      <c r="V11" s="232">
        <v>0</v>
      </c>
      <c r="W11" s="233">
        <v>0</v>
      </c>
      <c r="X11" s="233">
        <v>0</v>
      </c>
      <c r="Y11" s="232">
        <v>0</v>
      </c>
      <c r="Z11" s="233">
        <v>0</v>
      </c>
      <c r="AA11" s="233">
        <v>0</v>
      </c>
      <c r="AB11" s="232">
        <v>0</v>
      </c>
      <c r="AC11" s="233">
        <v>0</v>
      </c>
      <c r="AD11" s="234">
        <v>0</v>
      </c>
      <c r="AE11" s="36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</row>
    <row r="12" spans="1:69" ht="15" customHeight="1" outlineLevel="1">
      <c r="B12" s="35" t="s">
        <v>19</v>
      </c>
      <c r="C12" s="235">
        <v>6000</v>
      </c>
      <c r="D12" s="236"/>
      <c r="E12" s="237">
        <f t="shared" ref="E12:E20" si="3">SUM(G12:AD12)</f>
        <v>6</v>
      </c>
      <c r="F12" s="231"/>
      <c r="G12" s="238">
        <v>0</v>
      </c>
      <c r="H12" s="239">
        <v>0</v>
      </c>
      <c r="I12" s="239">
        <v>0</v>
      </c>
      <c r="J12" s="238">
        <v>1</v>
      </c>
      <c r="K12" s="239">
        <v>1</v>
      </c>
      <c r="L12" s="239">
        <v>1</v>
      </c>
      <c r="M12" s="238">
        <v>1</v>
      </c>
      <c r="N12" s="239">
        <v>1</v>
      </c>
      <c r="O12" s="239">
        <v>1</v>
      </c>
      <c r="P12" s="238">
        <v>0</v>
      </c>
      <c r="Q12" s="239">
        <v>0</v>
      </c>
      <c r="R12" s="239">
        <v>0</v>
      </c>
      <c r="S12" s="238">
        <v>0</v>
      </c>
      <c r="T12" s="239">
        <v>0</v>
      </c>
      <c r="U12" s="239">
        <v>0</v>
      </c>
      <c r="V12" s="238">
        <v>0</v>
      </c>
      <c r="W12" s="239">
        <v>0</v>
      </c>
      <c r="X12" s="239">
        <v>0</v>
      </c>
      <c r="Y12" s="238">
        <v>0</v>
      </c>
      <c r="Z12" s="239">
        <v>0</v>
      </c>
      <c r="AA12" s="239">
        <v>0</v>
      </c>
      <c r="AB12" s="238">
        <v>0</v>
      </c>
      <c r="AC12" s="239">
        <v>0</v>
      </c>
      <c r="AD12" s="240">
        <v>0</v>
      </c>
      <c r="AE12" s="36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</row>
    <row r="13" spans="1:69" ht="15" customHeight="1" outlineLevel="1">
      <c r="B13" s="35" t="s">
        <v>20</v>
      </c>
      <c r="C13" s="235">
        <v>2000</v>
      </c>
      <c r="D13" s="37"/>
      <c r="E13" s="237">
        <f t="shared" si="3"/>
        <v>9</v>
      </c>
      <c r="F13" s="37"/>
      <c r="G13" s="238">
        <v>0</v>
      </c>
      <c r="H13" s="239">
        <v>0</v>
      </c>
      <c r="I13" s="239">
        <v>0</v>
      </c>
      <c r="J13" s="238">
        <v>1</v>
      </c>
      <c r="K13" s="239">
        <v>1</v>
      </c>
      <c r="L13" s="239">
        <v>1</v>
      </c>
      <c r="M13" s="238">
        <v>1</v>
      </c>
      <c r="N13" s="239">
        <v>1</v>
      </c>
      <c r="O13" s="239">
        <v>1</v>
      </c>
      <c r="P13" s="238">
        <v>1</v>
      </c>
      <c r="Q13" s="239">
        <v>1</v>
      </c>
      <c r="R13" s="239">
        <v>1</v>
      </c>
      <c r="S13" s="238">
        <v>0</v>
      </c>
      <c r="T13" s="239">
        <v>0</v>
      </c>
      <c r="U13" s="239">
        <v>0</v>
      </c>
      <c r="V13" s="238">
        <v>0</v>
      </c>
      <c r="W13" s="239">
        <v>0</v>
      </c>
      <c r="X13" s="239">
        <v>0</v>
      </c>
      <c r="Y13" s="238">
        <v>0</v>
      </c>
      <c r="Z13" s="239">
        <v>0</v>
      </c>
      <c r="AA13" s="239">
        <v>0</v>
      </c>
      <c r="AB13" s="238">
        <v>0</v>
      </c>
      <c r="AC13" s="239">
        <v>0</v>
      </c>
      <c r="AD13" s="240">
        <v>0</v>
      </c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</row>
    <row r="14" spans="1:69" ht="15" customHeight="1" outlineLevel="1">
      <c r="B14" s="35" t="s">
        <v>21</v>
      </c>
      <c r="C14" s="235">
        <v>1500</v>
      </c>
      <c r="D14" s="37"/>
      <c r="E14" s="237">
        <f t="shared" si="3"/>
        <v>11</v>
      </c>
      <c r="F14" s="37"/>
      <c r="G14" s="238">
        <v>0</v>
      </c>
      <c r="H14" s="239">
        <v>0</v>
      </c>
      <c r="I14" s="239">
        <v>0</v>
      </c>
      <c r="J14" s="238">
        <v>0</v>
      </c>
      <c r="K14" s="239">
        <v>1</v>
      </c>
      <c r="L14" s="239">
        <v>1</v>
      </c>
      <c r="M14" s="238">
        <v>1</v>
      </c>
      <c r="N14" s="239">
        <v>1</v>
      </c>
      <c r="O14" s="239">
        <v>1</v>
      </c>
      <c r="P14" s="238">
        <v>1</v>
      </c>
      <c r="Q14" s="239">
        <v>1</v>
      </c>
      <c r="R14" s="239">
        <v>1</v>
      </c>
      <c r="S14" s="238">
        <v>1</v>
      </c>
      <c r="T14" s="239">
        <v>1</v>
      </c>
      <c r="U14" s="239">
        <v>1</v>
      </c>
      <c r="V14" s="238">
        <v>0</v>
      </c>
      <c r="W14" s="239">
        <v>0</v>
      </c>
      <c r="X14" s="239">
        <v>0</v>
      </c>
      <c r="Y14" s="238">
        <v>0</v>
      </c>
      <c r="Z14" s="239">
        <v>0</v>
      </c>
      <c r="AA14" s="239">
        <v>0</v>
      </c>
      <c r="AB14" s="238">
        <v>0</v>
      </c>
      <c r="AC14" s="239">
        <v>0</v>
      </c>
      <c r="AD14" s="240">
        <v>0</v>
      </c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</row>
    <row r="15" spans="1:69" ht="15" customHeight="1" outlineLevel="1">
      <c r="B15" s="35" t="s">
        <v>22</v>
      </c>
      <c r="C15" s="235">
        <v>3000</v>
      </c>
      <c r="D15" s="37"/>
      <c r="E15" s="237">
        <f t="shared" si="3"/>
        <v>12</v>
      </c>
      <c r="F15" s="37"/>
      <c r="G15" s="238">
        <v>0</v>
      </c>
      <c r="H15" s="239">
        <v>0</v>
      </c>
      <c r="I15" s="239">
        <v>0</v>
      </c>
      <c r="J15" s="238">
        <v>0</v>
      </c>
      <c r="K15" s="239">
        <v>0</v>
      </c>
      <c r="L15" s="239">
        <v>0</v>
      </c>
      <c r="M15" s="238">
        <v>0</v>
      </c>
      <c r="N15" s="239">
        <v>0</v>
      </c>
      <c r="O15" s="239">
        <v>0</v>
      </c>
      <c r="P15" s="238">
        <v>1</v>
      </c>
      <c r="Q15" s="239">
        <v>1</v>
      </c>
      <c r="R15" s="239">
        <v>1</v>
      </c>
      <c r="S15" s="238">
        <v>1</v>
      </c>
      <c r="T15" s="239">
        <v>1</v>
      </c>
      <c r="U15" s="239">
        <v>1</v>
      </c>
      <c r="V15" s="238">
        <v>1</v>
      </c>
      <c r="W15" s="239">
        <v>1</v>
      </c>
      <c r="X15" s="239">
        <v>1</v>
      </c>
      <c r="Y15" s="238">
        <v>1</v>
      </c>
      <c r="Z15" s="239">
        <v>1</v>
      </c>
      <c r="AA15" s="239">
        <v>1</v>
      </c>
      <c r="AB15" s="238">
        <v>0</v>
      </c>
      <c r="AC15" s="239">
        <v>0</v>
      </c>
      <c r="AD15" s="240">
        <v>0</v>
      </c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</row>
    <row r="16" spans="1:69" ht="15" customHeight="1" outlineLevel="1">
      <c r="B16" s="35" t="s">
        <v>23</v>
      </c>
      <c r="C16" s="235">
        <v>3700</v>
      </c>
      <c r="D16" s="37"/>
      <c r="E16" s="237">
        <f t="shared" si="3"/>
        <v>12</v>
      </c>
      <c r="F16" s="37"/>
      <c r="G16" s="238">
        <v>0</v>
      </c>
      <c r="H16" s="239">
        <v>0</v>
      </c>
      <c r="I16" s="239">
        <v>0</v>
      </c>
      <c r="J16" s="238">
        <v>0</v>
      </c>
      <c r="K16" s="239">
        <v>0</v>
      </c>
      <c r="L16" s="239">
        <v>0</v>
      </c>
      <c r="M16" s="238">
        <v>0</v>
      </c>
      <c r="N16" s="239">
        <v>0</v>
      </c>
      <c r="O16" s="239">
        <v>0</v>
      </c>
      <c r="P16" s="238">
        <v>1</v>
      </c>
      <c r="Q16" s="239">
        <v>1</v>
      </c>
      <c r="R16" s="239">
        <v>1</v>
      </c>
      <c r="S16" s="238">
        <v>1</v>
      </c>
      <c r="T16" s="239">
        <v>1</v>
      </c>
      <c r="U16" s="239">
        <v>1</v>
      </c>
      <c r="V16" s="238">
        <v>1</v>
      </c>
      <c r="W16" s="239">
        <v>1</v>
      </c>
      <c r="X16" s="239">
        <v>1</v>
      </c>
      <c r="Y16" s="238">
        <v>1</v>
      </c>
      <c r="Z16" s="239">
        <v>1</v>
      </c>
      <c r="AA16" s="239">
        <v>1</v>
      </c>
      <c r="AB16" s="238">
        <v>0</v>
      </c>
      <c r="AC16" s="239">
        <v>0</v>
      </c>
      <c r="AD16" s="240">
        <v>0</v>
      </c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</row>
    <row r="17" spans="2:69" ht="15" customHeight="1" outlineLevel="1">
      <c r="B17" s="35" t="s">
        <v>24</v>
      </c>
      <c r="C17" s="235">
        <v>3500</v>
      </c>
      <c r="D17" s="37"/>
      <c r="E17" s="237">
        <f t="shared" si="3"/>
        <v>12</v>
      </c>
      <c r="F17" s="37"/>
      <c r="G17" s="238">
        <v>0</v>
      </c>
      <c r="H17" s="239">
        <v>0</v>
      </c>
      <c r="I17" s="239">
        <v>0</v>
      </c>
      <c r="J17" s="238">
        <v>0</v>
      </c>
      <c r="K17" s="239">
        <v>0</v>
      </c>
      <c r="L17" s="239">
        <v>0</v>
      </c>
      <c r="M17" s="238">
        <v>0</v>
      </c>
      <c r="N17" s="239">
        <v>0</v>
      </c>
      <c r="O17" s="239">
        <v>0</v>
      </c>
      <c r="P17" s="238">
        <v>1</v>
      </c>
      <c r="Q17" s="239">
        <v>1</v>
      </c>
      <c r="R17" s="239">
        <v>1</v>
      </c>
      <c r="S17" s="238">
        <v>1</v>
      </c>
      <c r="T17" s="239">
        <v>1</v>
      </c>
      <c r="U17" s="239">
        <v>1</v>
      </c>
      <c r="V17" s="238">
        <v>1</v>
      </c>
      <c r="W17" s="239">
        <v>1</v>
      </c>
      <c r="X17" s="239">
        <v>1</v>
      </c>
      <c r="Y17" s="238">
        <v>1</v>
      </c>
      <c r="Z17" s="239">
        <v>1</v>
      </c>
      <c r="AA17" s="239">
        <v>1</v>
      </c>
      <c r="AB17" s="238">
        <v>0</v>
      </c>
      <c r="AC17" s="239">
        <v>0</v>
      </c>
      <c r="AD17" s="240">
        <v>0</v>
      </c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</row>
    <row r="18" spans="2:69" ht="15" customHeight="1" outlineLevel="1">
      <c r="B18" s="35" t="s">
        <v>25</v>
      </c>
      <c r="C18" s="235">
        <v>3500</v>
      </c>
      <c r="D18" s="37"/>
      <c r="E18" s="237">
        <f t="shared" si="3"/>
        <v>8</v>
      </c>
      <c r="F18" s="37"/>
      <c r="G18" s="238">
        <v>0</v>
      </c>
      <c r="H18" s="239">
        <v>0</v>
      </c>
      <c r="I18" s="239">
        <v>0</v>
      </c>
      <c r="J18" s="238">
        <v>0</v>
      </c>
      <c r="K18" s="239">
        <v>0</v>
      </c>
      <c r="L18" s="239">
        <v>0</v>
      </c>
      <c r="M18" s="238">
        <v>0</v>
      </c>
      <c r="N18" s="239">
        <v>0</v>
      </c>
      <c r="O18" s="239">
        <v>0</v>
      </c>
      <c r="P18" s="238">
        <v>0</v>
      </c>
      <c r="Q18" s="239">
        <v>0</v>
      </c>
      <c r="R18" s="239">
        <v>0</v>
      </c>
      <c r="S18" s="238">
        <v>0</v>
      </c>
      <c r="T18" s="239">
        <v>1</v>
      </c>
      <c r="U18" s="239">
        <v>1</v>
      </c>
      <c r="V18" s="238">
        <v>1</v>
      </c>
      <c r="W18" s="239">
        <v>1</v>
      </c>
      <c r="X18" s="239">
        <v>1</v>
      </c>
      <c r="Y18" s="238">
        <v>1</v>
      </c>
      <c r="Z18" s="239">
        <v>1</v>
      </c>
      <c r="AA18" s="239">
        <v>1</v>
      </c>
      <c r="AB18" s="238">
        <v>0</v>
      </c>
      <c r="AC18" s="239">
        <v>0</v>
      </c>
      <c r="AD18" s="240">
        <v>0</v>
      </c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</row>
    <row r="19" spans="2:69" ht="15" customHeight="1" outlineLevel="1">
      <c r="B19" s="35" t="s">
        <v>26</v>
      </c>
      <c r="C19" s="235">
        <v>3000</v>
      </c>
      <c r="D19" s="37"/>
      <c r="E19" s="237">
        <f t="shared" si="3"/>
        <v>9</v>
      </c>
      <c r="F19" s="37"/>
      <c r="G19" s="238">
        <v>0</v>
      </c>
      <c r="H19" s="239">
        <v>0</v>
      </c>
      <c r="I19" s="239">
        <v>0</v>
      </c>
      <c r="J19" s="238">
        <v>0</v>
      </c>
      <c r="K19" s="239">
        <v>0</v>
      </c>
      <c r="L19" s="239">
        <v>0</v>
      </c>
      <c r="M19" s="238">
        <v>0</v>
      </c>
      <c r="N19" s="239">
        <v>0</v>
      </c>
      <c r="O19" s="239">
        <v>0</v>
      </c>
      <c r="P19" s="238">
        <v>0</v>
      </c>
      <c r="Q19" s="239">
        <v>0</v>
      </c>
      <c r="R19" s="239">
        <v>0</v>
      </c>
      <c r="S19" s="238">
        <v>0</v>
      </c>
      <c r="T19" s="239">
        <v>0</v>
      </c>
      <c r="U19" s="239">
        <v>0</v>
      </c>
      <c r="V19" s="238">
        <v>1</v>
      </c>
      <c r="W19" s="239">
        <v>1</v>
      </c>
      <c r="X19" s="239">
        <v>1</v>
      </c>
      <c r="Y19" s="238">
        <v>1</v>
      </c>
      <c r="Z19" s="239">
        <v>1</v>
      </c>
      <c r="AA19" s="239">
        <v>1</v>
      </c>
      <c r="AB19" s="238">
        <v>1</v>
      </c>
      <c r="AC19" s="239">
        <v>1</v>
      </c>
      <c r="AD19" s="240">
        <v>1</v>
      </c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</row>
    <row r="20" spans="2:69" ht="15" customHeight="1" outlineLevel="1">
      <c r="B20" s="35" t="s">
        <v>27</v>
      </c>
      <c r="C20" s="235">
        <v>5000</v>
      </c>
      <c r="D20" s="37"/>
      <c r="E20" s="237">
        <f t="shared" si="3"/>
        <v>3</v>
      </c>
      <c r="F20" s="37"/>
      <c r="G20" s="238">
        <v>0</v>
      </c>
      <c r="H20" s="239">
        <v>0</v>
      </c>
      <c r="I20" s="239">
        <v>0</v>
      </c>
      <c r="J20" s="238">
        <v>0</v>
      </c>
      <c r="K20" s="239">
        <v>0</v>
      </c>
      <c r="L20" s="239">
        <v>0</v>
      </c>
      <c r="M20" s="238">
        <v>0</v>
      </c>
      <c r="N20" s="239">
        <v>0</v>
      </c>
      <c r="O20" s="239">
        <v>0</v>
      </c>
      <c r="P20" s="238">
        <v>0</v>
      </c>
      <c r="Q20" s="239">
        <v>0</v>
      </c>
      <c r="R20" s="239">
        <v>0</v>
      </c>
      <c r="S20" s="238">
        <v>0</v>
      </c>
      <c r="T20" s="239">
        <v>0</v>
      </c>
      <c r="U20" s="239">
        <v>0</v>
      </c>
      <c r="V20" s="238">
        <v>0</v>
      </c>
      <c r="W20" s="239">
        <v>0</v>
      </c>
      <c r="X20" s="239">
        <v>0</v>
      </c>
      <c r="Y20" s="238">
        <v>0</v>
      </c>
      <c r="Z20" s="239">
        <v>0</v>
      </c>
      <c r="AA20" s="239">
        <v>0</v>
      </c>
      <c r="AB20" s="238">
        <v>1</v>
      </c>
      <c r="AC20" s="239">
        <v>1</v>
      </c>
      <c r="AD20" s="241">
        <v>1</v>
      </c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</row>
    <row r="21" spans="2:69" ht="15" customHeight="1" outlineLevel="1">
      <c r="C21" s="38"/>
      <c r="E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</row>
    <row r="22" spans="2:69" ht="15" customHeight="1" outlineLevel="1">
      <c r="C22" s="242"/>
      <c r="D22" s="190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</row>
    <row r="23" spans="2:69" ht="15" customHeight="1" outlineLevel="1">
      <c r="B23" s="190" t="s">
        <v>28</v>
      </c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</row>
    <row r="24" spans="2:69" ht="15" customHeight="1" outlineLevel="1">
      <c r="B24" s="224" t="str">
        <f>Model!$B$11</f>
        <v>Atlantis Food</v>
      </c>
      <c r="C24" s="243"/>
      <c r="D24" s="244"/>
      <c r="E24" s="245"/>
      <c r="F24" s="227"/>
      <c r="G24" s="246">
        <f t="shared" ref="G24:AD33" si="4">$C11*(G11/$E11)</f>
        <v>733.33333333333326</v>
      </c>
      <c r="H24" s="247">
        <f t="shared" si="4"/>
        <v>733.33333333333326</v>
      </c>
      <c r="I24" s="247">
        <f t="shared" si="4"/>
        <v>733.33333333333326</v>
      </c>
      <c r="J24" s="246">
        <f t="shared" si="4"/>
        <v>0</v>
      </c>
      <c r="K24" s="247">
        <f t="shared" si="4"/>
        <v>0</v>
      </c>
      <c r="L24" s="247">
        <f t="shared" si="4"/>
        <v>0</v>
      </c>
      <c r="M24" s="246">
        <f t="shared" si="4"/>
        <v>0</v>
      </c>
      <c r="N24" s="247">
        <f t="shared" si="4"/>
        <v>0</v>
      </c>
      <c r="O24" s="247">
        <f t="shared" si="4"/>
        <v>0</v>
      </c>
      <c r="P24" s="246">
        <f t="shared" si="4"/>
        <v>0</v>
      </c>
      <c r="Q24" s="247">
        <f t="shared" si="4"/>
        <v>0</v>
      </c>
      <c r="R24" s="247">
        <f t="shared" si="4"/>
        <v>0</v>
      </c>
      <c r="S24" s="246">
        <f t="shared" si="4"/>
        <v>0</v>
      </c>
      <c r="T24" s="247">
        <f t="shared" si="4"/>
        <v>0</v>
      </c>
      <c r="U24" s="247">
        <f t="shared" si="4"/>
        <v>0</v>
      </c>
      <c r="V24" s="246">
        <f t="shared" si="4"/>
        <v>0</v>
      </c>
      <c r="W24" s="247">
        <f t="shared" si="4"/>
        <v>0</v>
      </c>
      <c r="X24" s="247">
        <f t="shared" si="4"/>
        <v>0</v>
      </c>
      <c r="Y24" s="246">
        <f t="shared" si="4"/>
        <v>0</v>
      </c>
      <c r="Z24" s="247">
        <f t="shared" si="4"/>
        <v>0</v>
      </c>
      <c r="AA24" s="247">
        <f t="shared" si="4"/>
        <v>0</v>
      </c>
      <c r="AB24" s="246">
        <f t="shared" si="4"/>
        <v>0</v>
      </c>
      <c r="AC24" s="247">
        <f t="shared" si="4"/>
        <v>0</v>
      </c>
      <c r="AD24" s="248">
        <f t="shared" si="4"/>
        <v>0</v>
      </c>
      <c r="AE24" s="36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</row>
    <row r="25" spans="2:69" ht="15" customHeight="1" outlineLevel="1">
      <c r="B25" s="224" t="str">
        <f>Model!$B$12</f>
        <v>FocusRite</v>
      </c>
      <c r="C25" s="249"/>
      <c r="D25" s="250"/>
      <c r="E25" s="251"/>
      <c r="F25" s="227"/>
      <c r="G25" s="252">
        <f t="shared" si="4"/>
        <v>0</v>
      </c>
      <c r="H25" s="34">
        <f t="shared" si="4"/>
        <v>0</v>
      </c>
      <c r="I25" s="34">
        <f t="shared" si="4"/>
        <v>0</v>
      </c>
      <c r="J25" s="252">
        <f t="shared" si="4"/>
        <v>1000</v>
      </c>
      <c r="K25" s="34">
        <f t="shared" si="4"/>
        <v>1000</v>
      </c>
      <c r="L25" s="34">
        <f t="shared" si="4"/>
        <v>1000</v>
      </c>
      <c r="M25" s="252">
        <f t="shared" si="4"/>
        <v>1000</v>
      </c>
      <c r="N25" s="34">
        <f t="shared" si="4"/>
        <v>1000</v>
      </c>
      <c r="O25" s="34">
        <f t="shared" si="4"/>
        <v>1000</v>
      </c>
      <c r="P25" s="252">
        <f t="shared" si="4"/>
        <v>0</v>
      </c>
      <c r="Q25" s="34">
        <f t="shared" si="4"/>
        <v>0</v>
      </c>
      <c r="R25" s="34">
        <f t="shared" si="4"/>
        <v>0</v>
      </c>
      <c r="S25" s="252">
        <f t="shared" si="4"/>
        <v>0</v>
      </c>
      <c r="T25" s="34">
        <f t="shared" si="4"/>
        <v>0</v>
      </c>
      <c r="U25" s="34">
        <f t="shared" si="4"/>
        <v>0</v>
      </c>
      <c r="V25" s="252">
        <f t="shared" si="4"/>
        <v>0</v>
      </c>
      <c r="W25" s="34">
        <f t="shared" si="4"/>
        <v>0</v>
      </c>
      <c r="X25" s="34">
        <f t="shared" si="4"/>
        <v>0</v>
      </c>
      <c r="Y25" s="252">
        <f t="shared" si="4"/>
        <v>0</v>
      </c>
      <c r="Z25" s="34">
        <f t="shared" si="4"/>
        <v>0</v>
      </c>
      <c r="AA25" s="34">
        <f t="shared" si="4"/>
        <v>0</v>
      </c>
      <c r="AB25" s="252">
        <f t="shared" si="4"/>
        <v>0</v>
      </c>
      <c r="AC25" s="34">
        <f t="shared" si="4"/>
        <v>0</v>
      </c>
      <c r="AD25" s="253">
        <f t="shared" si="4"/>
        <v>0</v>
      </c>
      <c r="AE25" s="36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</row>
    <row r="26" spans="2:69" ht="15" customHeight="1" outlineLevel="1">
      <c r="B26" s="224" t="str">
        <f>Model!$B$13</f>
        <v>NextLevel AI</v>
      </c>
      <c r="C26" s="249"/>
      <c r="D26" s="250"/>
      <c r="E26" s="251"/>
      <c r="G26" s="252">
        <f t="shared" si="4"/>
        <v>0</v>
      </c>
      <c r="H26" s="34">
        <f t="shared" si="4"/>
        <v>0</v>
      </c>
      <c r="I26" s="34">
        <f t="shared" si="4"/>
        <v>0</v>
      </c>
      <c r="J26" s="252">
        <f t="shared" si="4"/>
        <v>222.2222222222222</v>
      </c>
      <c r="K26" s="34">
        <f t="shared" si="4"/>
        <v>222.2222222222222</v>
      </c>
      <c r="L26" s="34">
        <f t="shared" si="4"/>
        <v>222.2222222222222</v>
      </c>
      <c r="M26" s="252">
        <f t="shared" si="4"/>
        <v>222.2222222222222</v>
      </c>
      <c r="N26" s="34">
        <f t="shared" si="4"/>
        <v>222.2222222222222</v>
      </c>
      <c r="O26" s="34">
        <f t="shared" si="4"/>
        <v>222.2222222222222</v>
      </c>
      <c r="P26" s="252">
        <f t="shared" si="4"/>
        <v>222.2222222222222</v>
      </c>
      <c r="Q26" s="34">
        <f t="shared" si="4"/>
        <v>222.2222222222222</v>
      </c>
      <c r="R26" s="34">
        <f t="shared" si="4"/>
        <v>222.2222222222222</v>
      </c>
      <c r="S26" s="252">
        <f t="shared" si="4"/>
        <v>0</v>
      </c>
      <c r="T26" s="34">
        <f t="shared" si="4"/>
        <v>0</v>
      </c>
      <c r="U26" s="34">
        <f t="shared" si="4"/>
        <v>0</v>
      </c>
      <c r="V26" s="252">
        <f t="shared" si="4"/>
        <v>0</v>
      </c>
      <c r="W26" s="34">
        <f t="shared" si="4"/>
        <v>0</v>
      </c>
      <c r="X26" s="34">
        <f t="shared" si="4"/>
        <v>0</v>
      </c>
      <c r="Y26" s="252">
        <f t="shared" si="4"/>
        <v>0</v>
      </c>
      <c r="Z26" s="34">
        <f t="shared" si="4"/>
        <v>0</v>
      </c>
      <c r="AA26" s="34">
        <f t="shared" si="4"/>
        <v>0</v>
      </c>
      <c r="AB26" s="252">
        <f t="shared" si="4"/>
        <v>0</v>
      </c>
      <c r="AC26" s="34">
        <f t="shared" si="4"/>
        <v>0</v>
      </c>
      <c r="AD26" s="253">
        <f t="shared" si="4"/>
        <v>0</v>
      </c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</row>
    <row r="27" spans="2:69" ht="15" customHeight="1" outlineLevel="1">
      <c r="B27" s="224" t="str">
        <f>Model!$B$14</f>
        <v>Hemway Rail</v>
      </c>
      <c r="C27" s="249"/>
      <c r="D27" s="250"/>
      <c r="E27" s="251"/>
      <c r="G27" s="252">
        <f t="shared" si="4"/>
        <v>0</v>
      </c>
      <c r="H27" s="34">
        <f t="shared" si="4"/>
        <v>0</v>
      </c>
      <c r="I27" s="34">
        <f t="shared" si="4"/>
        <v>0</v>
      </c>
      <c r="J27" s="252">
        <f t="shared" si="4"/>
        <v>0</v>
      </c>
      <c r="K27" s="34">
        <f t="shared" si="4"/>
        <v>136.36363636363637</v>
      </c>
      <c r="L27" s="34">
        <f t="shared" si="4"/>
        <v>136.36363636363637</v>
      </c>
      <c r="M27" s="252">
        <f t="shared" si="4"/>
        <v>136.36363636363637</v>
      </c>
      <c r="N27" s="34">
        <f t="shared" si="4"/>
        <v>136.36363636363637</v>
      </c>
      <c r="O27" s="34">
        <f t="shared" si="4"/>
        <v>136.36363636363637</v>
      </c>
      <c r="P27" s="252">
        <f t="shared" si="4"/>
        <v>136.36363636363637</v>
      </c>
      <c r="Q27" s="34">
        <f t="shared" si="4"/>
        <v>136.36363636363637</v>
      </c>
      <c r="R27" s="34">
        <f t="shared" si="4"/>
        <v>136.36363636363637</v>
      </c>
      <c r="S27" s="252">
        <f t="shared" si="4"/>
        <v>136.36363636363637</v>
      </c>
      <c r="T27" s="34">
        <f t="shared" si="4"/>
        <v>136.36363636363637</v>
      </c>
      <c r="U27" s="34">
        <f t="shared" si="4"/>
        <v>136.36363636363637</v>
      </c>
      <c r="V27" s="252">
        <f t="shared" si="4"/>
        <v>0</v>
      </c>
      <c r="W27" s="34">
        <f t="shared" si="4"/>
        <v>0</v>
      </c>
      <c r="X27" s="34">
        <f t="shared" si="4"/>
        <v>0</v>
      </c>
      <c r="Y27" s="252">
        <f t="shared" si="4"/>
        <v>0</v>
      </c>
      <c r="Z27" s="34">
        <f t="shared" si="4"/>
        <v>0</v>
      </c>
      <c r="AA27" s="34">
        <f t="shared" si="4"/>
        <v>0</v>
      </c>
      <c r="AB27" s="252">
        <f t="shared" si="4"/>
        <v>0</v>
      </c>
      <c r="AC27" s="34">
        <f t="shared" si="4"/>
        <v>0</v>
      </c>
      <c r="AD27" s="253">
        <f t="shared" si="4"/>
        <v>0</v>
      </c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</row>
    <row r="28" spans="2:69" ht="15" customHeight="1" outlineLevel="1">
      <c r="B28" s="224" t="str">
        <f>Model!$B$15</f>
        <v>Rail Works</v>
      </c>
      <c r="C28" s="249"/>
      <c r="D28" s="250"/>
      <c r="E28" s="251"/>
      <c r="G28" s="252">
        <f t="shared" si="4"/>
        <v>0</v>
      </c>
      <c r="H28" s="34">
        <f t="shared" si="4"/>
        <v>0</v>
      </c>
      <c r="I28" s="34">
        <f t="shared" si="4"/>
        <v>0</v>
      </c>
      <c r="J28" s="252">
        <f t="shared" si="4"/>
        <v>0</v>
      </c>
      <c r="K28" s="34">
        <f t="shared" si="4"/>
        <v>0</v>
      </c>
      <c r="L28" s="34">
        <f t="shared" si="4"/>
        <v>0</v>
      </c>
      <c r="M28" s="252">
        <f t="shared" si="4"/>
        <v>0</v>
      </c>
      <c r="N28" s="34">
        <f t="shared" si="4"/>
        <v>0</v>
      </c>
      <c r="O28" s="34">
        <f t="shared" si="4"/>
        <v>0</v>
      </c>
      <c r="P28" s="252">
        <f t="shared" si="4"/>
        <v>250</v>
      </c>
      <c r="Q28" s="34">
        <f t="shared" si="4"/>
        <v>250</v>
      </c>
      <c r="R28" s="34">
        <f t="shared" si="4"/>
        <v>250</v>
      </c>
      <c r="S28" s="252">
        <f t="shared" si="4"/>
        <v>250</v>
      </c>
      <c r="T28" s="34">
        <f t="shared" si="4"/>
        <v>250</v>
      </c>
      <c r="U28" s="34">
        <f t="shared" si="4"/>
        <v>250</v>
      </c>
      <c r="V28" s="252">
        <f t="shared" si="4"/>
        <v>250</v>
      </c>
      <c r="W28" s="34">
        <f t="shared" si="4"/>
        <v>250</v>
      </c>
      <c r="X28" s="34">
        <f t="shared" si="4"/>
        <v>250</v>
      </c>
      <c r="Y28" s="252">
        <f t="shared" si="4"/>
        <v>250</v>
      </c>
      <c r="Z28" s="34">
        <f t="shared" si="4"/>
        <v>250</v>
      </c>
      <c r="AA28" s="34">
        <f t="shared" si="4"/>
        <v>250</v>
      </c>
      <c r="AB28" s="252">
        <f t="shared" si="4"/>
        <v>0</v>
      </c>
      <c r="AC28" s="34">
        <f t="shared" si="4"/>
        <v>0</v>
      </c>
      <c r="AD28" s="253">
        <f t="shared" si="4"/>
        <v>0</v>
      </c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</row>
    <row r="29" spans="2:69" ht="15" customHeight="1" outlineLevel="1">
      <c r="B29" s="224" t="str">
        <f>Model!$B$16</f>
        <v>Eastlink Air</v>
      </c>
      <c r="C29" s="225"/>
      <c r="D29" s="33"/>
      <c r="E29" s="226"/>
      <c r="G29" s="252">
        <f t="shared" si="4"/>
        <v>0</v>
      </c>
      <c r="H29" s="34">
        <f t="shared" si="4"/>
        <v>0</v>
      </c>
      <c r="I29" s="34">
        <f t="shared" si="4"/>
        <v>0</v>
      </c>
      <c r="J29" s="252">
        <f t="shared" si="4"/>
        <v>0</v>
      </c>
      <c r="K29" s="34">
        <f t="shared" si="4"/>
        <v>0</v>
      </c>
      <c r="L29" s="34">
        <f t="shared" si="4"/>
        <v>0</v>
      </c>
      <c r="M29" s="252">
        <f t="shared" si="4"/>
        <v>0</v>
      </c>
      <c r="N29" s="34">
        <f t="shared" si="4"/>
        <v>0</v>
      </c>
      <c r="O29" s="34">
        <f t="shared" si="4"/>
        <v>0</v>
      </c>
      <c r="P29" s="252">
        <f t="shared" si="4"/>
        <v>308.33333333333331</v>
      </c>
      <c r="Q29" s="34">
        <f t="shared" si="4"/>
        <v>308.33333333333331</v>
      </c>
      <c r="R29" s="34">
        <f t="shared" si="4"/>
        <v>308.33333333333331</v>
      </c>
      <c r="S29" s="252">
        <f t="shared" si="4"/>
        <v>308.33333333333331</v>
      </c>
      <c r="T29" s="34">
        <f t="shared" si="4"/>
        <v>308.33333333333331</v>
      </c>
      <c r="U29" s="34">
        <f t="shared" si="4"/>
        <v>308.33333333333331</v>
      </c>
      <c r="V29" s="252">
        <f t="shared" si="4"/>
        <v>308.33333333333331</v>
      </c>
      <c r="W29" s="34">
        <f t="shared" si="4"/>
        <v>308.33333333333331</v>
      </c>
      <c r="X29" s="34">
        <f t="shared" si="4"/>
        <v>308.33333333333331</v>
      </c>
      <c r="Y29" s="252">
        <f t="shared" si="4"/>
        <v>308.33333333333331</v>
      </c>
      <c r="Z29" s="34">
        <f t="shared" si="4"/>
        <v>308.33333333333331</v>
      </c>
      <c r="AA29" s="34">
        <f t="shared" si="4"/>
        <v>308.33333333333331</v>
      </c>
      <c r="AB29" s="252">
        <f t="shared" si="4"/>
        <v>0</v>
      </c>
      <c r="AC29" s="34">
        <f t="shared" si="4"/>
        <v>0</v>
      </c>
      <c r="AD29" s="253">
        <f t="shared" si="4"/>
        <v>0</v>
      </c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</row>
    <row r="30" spans="2:69" ht="15" customHeight="1" outlineLevel="1">
      <c r="B30" s="224" t="str">
        <f>Model!$B$17</f>
        <v>Trans Loop</v>
      </c>
      <c r="C30" s="225"/>
      <c r="D30" s="33"/>
      <c r="E30" s="226"/>
      <c r="G30" s="252">
        <f t="shared" si="4"/>
        <v>0</v>
      </c>
      <c r="H30" s="34">
        <f t="shared" si="4"/>
        <v>0</v>
      </c>
      <c r="I30" s="34">
        <f t="shared" si="4"/>
        <v>0</v>
      </c>
      <c r="J30" s="252">
        <f t="shared" si="4"/>
        <v>0</v>
      </c>
      <c r="K30" s="34">
        <f t="shared" si="4"/>
        <v>0</v>
      </c>
      <c r="L30" s="34">
        <f t="shared" si="4"/>
        <v>0</v>
      </c>
      <c r="M30" s="252">
        <f t="shared" si="4"/>
        <v>0</v>
      </c>
      <c r="N30" s="34">
        <f t="shared" si="4"/>
        <v>0</v>
      </c>
      <c r="O30" s="34">
        <f t="shared" si="4"/>
        <v>0</v>
      </c>
      <c r="P30" s="252">
        <f t="shared" si="4"/>
        <v>291.66666666666663</v>
      </c>
      <c r="Q30" s="34">
        <f t="shared" si="4"/>
        <v>291.66666666666663</v>
      </c>
      <c r="R30" s="34">
        <f t="shared" si="4"/>
        <v>291.66666666666663</v>
      </c>
      <c r="S30" s="252">
        <f t="shared" si="4"/>
        <v>291.66666666666663</v>
      </c>
      <c r="T30" s="34">
        <f t="shared" si="4"/>
        <v>291.66666666666663</v>
      </c>
      <c r="U30" s="34">
        <f t="shared" si="4"/>
        <v>291.66666666666663</v>
      </c>
      <c r="V30" s="252">
        <f t="shared" si="4"/>
        <v>291.66666666666663</v>
      </c>
      <c r="W30" s="34">
        <f t="shared" si="4"/>
        <v>291.66666666666663</v>
      </c>
      <c r="X30" s="34">
        <f t="shared" si="4"/>
        <v>291.66666666666663</v>
      </c>
      <c r="Y30" s="252">
        <f t="shared" si="4"/>
        <v>291.66666666666663</v>
      </c>
      <c r="Z30" s="34">
        <f t="shared" si="4"/>
        <v>291.66666666666663</v>
      </c>
      <c r="AA30" s="34">
        <f t="shared" si="4"/>
        <v>291.66666666666663</v>
      </c>
      <c r="AB30" s="252">
        <f t="shared" si="4"/>
        <v>0</v>
      </c>
      <c r="AC30" s="34">
        <f t="shared" si="4"/>
        <v>0</v>
      </c>
      <c r="AD30" s="253">
        <f t="shared" si="4"/>
        <v>0</v>
      </c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</row>
    <row r="31" spans="2:69" ht="15" customHeight="1" outlineLevel="1">
      <c r="B31" s="224" t="str">
        <f>Model!$B$18</f>
        <v>High Travel</v>
      </c>
      <c r="C31" s="225"/>
      <c r="D31" s="33"/>
      <c r="E31" s="226"/>
      <c r="G31" s="252">
        <f t="shared" si="4"/>
        <v>0</v>
      </c>
      <c r="H31" s="34">
        <f t="shared" si="4"/>
        <v>0</v>
      </c>
      <c r="I31" s="34">
        <f t="shared" si="4"/>
        <v>0</v>
      </c>
      <c r="J31" s="252">
        <f t="shared" si="4"/>
        <v>0</v>
      </c>
      <c r="K31" s="34">
        <f t="shared" si="4"/>
        <v>0</v>
      </c>
      <c r="L31" s="34">
        <f t="shared" si="4"/>
        <v>0</v>
      </c>
      <c r="M31" s="252">
        <f t="shared" si="4"/>
        <v>0</v>
      </c>
      <c r="N31" s="34">
        <f t="shared" si="4"/>
        <v>0</v>
      </c>
      <c r="O31" s="34">
        <f t="shared" si="4"/>
        <v>0</v>
      </c>
      <c r="P31" s="252">
        <f t="shared" si="4"/>
        <v>0</v>
      </c>
      <c r="Q31" s="34">
        <f t="shared" si="4"/>
        <v>0</v>
      </c>
      <c r="R31" s="34">
        <f t="shared" si="4"/>
        <v>0</v>
      </c>
      <c r="S31" s="252">
        <f t="shared" si="4"/>
        <v>0</v>
      </c>
      <c r="T31" s="34">
        <f t="shared" si="4"/>
        <v>437.5</v>
      </c>
      <c r="U31" s="34">
        <f t="shared" si="4"/>
        <v>437.5</v>
      </c>
      <c r="V31" s="252">
        <f t="shared" si="4"/>
        <v>437.5</v>
      </c>
      <c r="W31" s="34">
        <f t="shared" si="4"/>
        <v>437.5</v>
      </c>
      <c r="X31" s="34">
        <f t="shared" si="4"/>
        <v>437.5</v>
      </c>
      <c r="Y31" s="252">
        <f t="shared" si="4"/>
        <v>437.5</v>
      </c>
      <c r="Z31" s="34">
        <f t="shared" si="4"/>
        <v>437.5</v>
      </c>
      <c r="AA31" s="34">
        <f t="shared" si="4"/>
        <v>437.5</v>
      </c>
      <c r="AB31" s="252">
        <f t="shared" si="4"/>
        <v>0</v>
      </c>
      <c r="AC31" s="34">
        <f t="shared" si="4"/>
        <v>0</v>
      </c>
      <c r="AD31" s="253">
        <f t="shared" si="4"/>
        <v>0</v>
      </c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</row>
    <row r="32" spans="2:69" ht="15" customHeight="1" outlineLevel="1">
      <c r="B32" s="224" t="str">
        <f>Model!$B$19</f>
        <v>Arc Finance</v>
      </c>
      <c r="C32" s="225"/>
      <c r="D32" s="33"/>
      <c r="E32" s="226"/>
      <c r="G32" s="252">
        <f t="shared" si="4"/>
        <v>0</v>
      </c>
      <c r="H32" s="34">
        <f t="shared" si="4"/>
        <v>0</v>
      </c>
      <c r="I32" s="34">
        <f t="shared" si="4"/>
        <v>0</v>
      </c>
      <c r="J32" s="252">
        <f t="shared" si="4"/>
        <v>0</v>
      </c>
      <c r="K32" s="34">
        <f t="shared" si="4"/>
        <v>0</v>
      </c>
      <c r="L32" s="34">
        <f t="shared" si="4"/>
        <v>0</v>
      </c>
      <c r="M32" s="252">
        <f t="shared" si="4"/>
        <v>0</v>
      </c>
      <c r="N32" s="34">
        <f t="shared" si="4"/>
        <v>0</v>
      </c>
      <c r="O32" s="34">
        <f t="shared" si="4"/>
        <v>0</v>
      </c>
      <c r="P32" s="252">
        <f t="shared" si="4"/>
        <v>0</v>
      </c>
      <c r="Q32" s="34">
        <f t="shared" si="4"/>
        <v>0</v>
      </c>
      <c r="R32" s="34">
        <f t="shared" si="4"/>
        <v>0</v>
      </c>
      <c r="S32" s="252">
        <f t="shared" si="4"/>
        <v>0</v>
      </c>
      <c r="T32" s="34">
        <f t="shared" si="4"/>
        <v>0</v>
      </c>
      <c r="U32" s="34">
        <f t="shared" si="4"/>
        <v>0</v>
      </c>
      <c r="V32" s="252">
        <f t="shared" si="4"/>
        <v>333.33333333333331</v>
      </c>
      <c r="W32" s="34">
        <f t="shared" si="4"/>
        <v>333.33333333333331</v>
      </c>
      <c r="X32" s="34">
        <f t="shared" si="4"/>
        <v>333.33333333333331</v>
      </c>
      <c r="Y32" s="252">
        <f t="shared" si="4"/>
        <v>333.33333333333331</v>
      </c>
      <c r="Z32" s="34">
        <f t="shared" si="4"/>
        <v>333.33333333333331</v>
      </c>
      <c r="AA32" s="34">
        <f t="shared" si="4"/>
        <v>333.33333333333331</v>
      </c>
      <c r="AB32" s="252">
        <f t="shared" si="4"/>
        <v>333.33333333333331</v>
      </c>
      <c r="AC32" s="34">
        <f t="shared" si="4"/>
        <v>333.33333333333331</v>
      </c>
      <c r="AD32" s="253">
        <f t="shared" si="4"/>
        <v>333.33333333333331</v>
      </c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</row>
    <row r="33" spans="1:69" ht="15" customHeight="1" outlineLevel="1">
      <c r="B33" s="224" t="str">
        <f>Model!$B$20</f>
        <v>GiveWay</v>
      </c>
      <c r="C33" s="225"/>
      <c r="D33" s="33"/>
      <c r="E33" s="226"/>
      <c r="G33" s="252">
        <f t="shared" si="4"/>
        <v>0</v>
      </c>
      <c r="H33" s="34">
        <f t="shared" si="4"/>
        <v>0</v>
      </c>
      <c r="I33" s="34">
        <f t="shared" si="4"/>
        <v>0</v>
      </c>
      <c r="J33" s="252">
        <f t="shared" si="4"/>
        <v>0</v>
      </c>
      <c r="K33" s="34">
        <f t="shared" si="4"/>
        <v>0</v>
      </c>
      <c r="L33" s="34">
        <f t="shared" si="4"/>
        <v>0</v>
      </c>
      <c r="M33" s="252">
        <f t="shared" si="4"/>
        <v>0</v>
      </c>
      <c r="N33" s="34">
        <f t="shared" si="4"/>
        <v>0</v>
      </c>
      <c r="O33" s="34">
        <f t="shared" si="4"/>
        <v>0</v>
      </c>
      <c r="P33" s="252">
        <f t="shared" si="4"/>
        <v>0</v>
      </c>
      <c r="Q33" s="34">
        <f t="shared" si="4"/>
        <v>0</v>
      </c>
      <c r="R33" s="34">
        <f t="shared" si="4"/>
        <v>0</v>
      </c>
      <c r="S33" s="252">
        <f t="shared" si="4"/>
        <v>0</v>
      </c>
      <c r="T33" s="34">
        <f t="shared" si="4"/>
        <v>0</v>
      </c>
      <c r="U33" s="34">
        <f t="shared" si="4"/>
        <v>0</v>
      </c>
      <c r="V33" s="252">
        <f t="shared" si="4"/>
        <v>0</v>
      </c>
      <c r="W33" s="34">
        <f t="shared" si="4"/>
        <v>0</v>
      </c>
      <c r="X33" s="34">
        <f t="shared" si="4"/>
        <v>0</v>
      </c>
      <c r="Y33" s="252">
        <f t="shared" si="4"/>
        <v>0</v>
      </c>
      <c r="Z33" s="34">
        <f t="shared" si="4"/>
        <v>0</v>
      </c>
      <c r="AA33" s="34">
        <f t="shared" si="4"/>
        <v>0</v>
      </c>
      <c r="AB33" s="252">
        <f t="shared" si="4"/>
        <v>1666.6666666666665</v>
      </c>
      <c r="AC33" s="34">
        <f t="shared" si="4"/>
        <v>1666.6666666666665</v>
      </c>
      <c r="AD33" s="253">
        <f t="shared" si="4"/>
        <v>1666.6666666666665</v>
      </c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</row>
    <row r="34" spans="1:69" ht="15" customHeight="1" outlineLevel="1">
      <c r="B34" s="224" t="s">
        <v>29</v>
      </c>
      <c r="G34" s="246">
        <f t="shared" ref="G34:AD34" si="5">SUM(G24:G33)</f>
        <v>733.33333333333326</v>
      </c>
      <c r="H34" s="247">
        <f t="shared" si="5"/>
        <v>733.33333333333326</v>
      </c>
      <c r="I34" s="247">
        <f t="shared" si="5"/>
        <v>733.33333333333326</v>
      </c>
      <c r="J34" s="246">
        <f t="shared" si="5"/>
        <v>1222.2222222222222</v>
      </c>
      <c r="K34" s="247">
        <f t="shared" si="5"/>
        <v>1358.5858585858587</v>
      </c>
      <c r="L34" s="247">
        <f t="shared" si="5"/>
        <v>1358.5858585858587</v>
      </c>
      <c r="M34" s="246">
        <f t="shared" si="5"/>
        <v>1358.5858585858587</v>
      </c>
      <c r="N34" s="247">
        <f t="shared" si="5"/>
        <v>1358.5858585858587</v>
      </c>
      <c r="O34" s="247">
        <f t="shared" si="5"/>
        <v>1358.5858585858587</v>
      </c>
      <c r="P34" s="246">
        <f t="shared" si="5"/>
        <v>1208.5858585858587</v>
      </c>
      <c r="Q34" s="247">
        <f t="shared" si="5"/>
        <v>1208.5858585858587</v>
      </c>
      <c r="R34" s="247">
        <f t="shared" si="5"/>
        <v>1208.5858585858587</v>
      </c>
      <c r="S34" s="246">
        <f t="shared" si="5"/>
        <v>986.36363636363637</v>
      </c>
      <c r="T34" s="247">
        <f t="shared" si="5"/>
        <v>1423.8636363636365</v>
      </c>
      <c r="U34" s="247">
        <f t="shared" si="5"/>
        <v>1423.8636363636365</v>
      </c>
      <c r="V34" s="246">
        <f t="shared" si="5"/>
        <v>1620.8333333333333</v>
      </c>
      <c r="W34" s="247">
        <f t="shared" si="5"/>
        <v>1620.8333333333333</v>
      </c>
      <c r="X34" s="247">
        <f t="shared" si="5"/>
        <v>1620.8333333333333</v>
      </c>
      <c r="Y34" s="246">
        <f t="shared" si="5"/>
        <v>1620.8333333333333</v>
      </c>
      <c r="Z34" s="247">
        <f t="shared" si="5"/>
        <v>1620.8333333333333</v>
      </c>
      <c r="AA34" s="247">
        <f t="shared" si="5"/>
        <v>1620.8333333333333</v>
      </c>
      <c r="AB34" s="246">
        <f t="shared" si="5"/>
        <v>1999.9999999999998</v>
      </c>
      <c r="AC34" s="247">
        <f t="shared" si="5"/>
        <v>1999.9999999999998</v>
      </c>
      <c r="AD34" s="254">
        <f t="shared" si="5"/>
        <v>1999.9999999999998</v>
      </c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</row>
    <row r="35" spans="1:69" ht="15" customHeight="1" outlineLevel="1"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</row>
    <row r="36" spans="1:69" ht="15" customHeight="1" outlineLevel="1"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</row>
    <row r="37" spans="1:69" ht="15" customHeight="1"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</row>
    <row r="38" spans="1:69" s="27" customFormat="1" ht="15" customHeight="1">
      <c r="A38" s="152" t="s">
        <v>11</v>
      </c>
      <c r="B38" s="24" t="s">
        <v>30</v>
      </c>
      <c r="C38" s="24"/>
      <c r="D38" s="24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3"/>
      <c r="AG38" s="23"/>
      <c r="AH38" s="23"/>
      <c r="AI38" s="23"/>
      <c r="AJ38" s="23"/>
      <c r="AK38" s="23"/>
      <c r="AL38" s="23"/>
      <c r="AM38" s="23"/>
      <c r="AN38" s="23"/>
    </row>
    <row r="39" spans="1:69" s="27" customFormat="1" ht="15" customHeight="1" outlineLevel="1">
      <c r="A39" s="152"/>
      <c r="B39" s="28"/>
      <c r="C39" s="28"/>
      <c r="D39" s="28"/>
      <c r="E39" s="29"/>
      <c r="F39" s="29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G39" s="23"/>
      <c r="AH39" s="23"/>
      <c r="AI39" s="23"/>
      <c r="AJ39" s="23"/>
      <c r="AK39" s="23"/>
      <c r="AL39" s="23"/>
      <c r="AM39" s="23"/>
      <c r="AN39" s="23"/>
    </row>
    <row r="40" spans="1:69" s="27" customFormat="1" ht="15" customHeight="1" outlineLevel="1">
      <c r="A40" s="152"/>
      <c r="B40" s="31" t="s">
        <v>13</v>
      </c>
      <c r="C40" s="28"/>
      <c r="D40" s="28"/>
      <c r="E40" s="29"/>
      <c r="F40" s="29"/>
      <c r="G40" s="48">
        <f>G$5</f>
        <v>2024</v>
      </c>
      <c r="H40" s="49">
        <f t="shared" ref="H40:AD40" si="6">H$5</f>
        <v>2024</v>
      </c>
      <c r="I40" s="49">
        <f t="shared" si="6"/>
        <v>2024</v>
      </c>
      <c r="J40" s="50">
        <f t="shared" si="6"/>
        <v>2024</v>
      </c>
      <c r="K40" s="49">
        <f t="shared" si="6"/>
        <v>2024</v>
      </c>
      <c r="L40" s="49">
        <f t="shared" si="6"/>
        <v>2024</v>
      </c>
      <c r="M40" s="50">
        <f t="shared" si="6"/>
        <v>2024</v>
      </c>
      <c r="N40" s="49">
        <f t="shared" si="6"/>
        <v>2024</v>
      </c>
      <c r="O40" s="49">
        <f t="shared" si="6"/>
        <v>2024</v>
      </c>
      <c r="P40" s="50">
        <f t="shared" si="6"/>
        <v>2024</v>
      </c>
      <c r="Q40" s="51">
        <f t="shared" si="6"/>
        <v>2024</v>
      </c>
      <c r="R40" s="255">
        <f t="shared" si="6"/>
        <v>2024</v>
      </c>
      <c r="S40" s="52">
        <f t="shared" si="6"/>
        <v>2025</v>
      </c>
      <c r="T40" s="51">
        <f t="shared" si="6"/>
        <v>2025</v>
      </c>
      <c r="U40" s="51">
        <f t="shared" si="6"/>
        <v>2025</v>
      </c>
      <c r="V40" s="53">
        <f t="shared" si="6"/>
        <v>2025</v>
      </c>
      <c r="W40" s="51">
        <f t="shared" si="6"/>
        <v>2025</v>
      </c>
      <c r="X40" s="51">
        <f t="shared" si="6"/>
        <v>2025</v>
      </c>
      <c r="Y40" s="53">
        <f t="shared" si="6"/>
        <v>2025</v>
      </c>
      <c r="Z40" s="51">
        <f t="shared" si="6"/>
        <v>2025</v>
      </c>
      <c r="AA40" s="51">
        <f t="shared" si="6"/>
        <v>2025</v>
      </c>
      <c r="AB40" s="53">
        <f t="shared" si="6"/>
        <v>2025</v>
      </c>
      <c r="AC40" s="51">
        <f t="shared" si="6"/>
        <v>2025</v>
      </c>
      <c r="AD40" s="255">
        <f t="shared" si="6"/>
        <v>2025</v>
      </c>
      <c r="AE40" s="40"/>
      <c r="AG40" s="23"/>
      <c r="AH40" s="23"/>
      <c r="AI40" s="23"/>
      <c r="AJ40" s="23"/>
      <c r="AK40" s="23"/>
      <c r="AL40" s="23"/>
      <c r="AM40" s="23"/>
      <c r="AN40" s="23"/>
    </row>
    <row r="41" spans="1:69" ht="15" customHeight="1" outlineLevel="1">
      <c r="C41" s="31"/>
      <c r="D41" s="31"/>
      <c r="E41" s="32"/>
      <c r="F41" s="32"/>
      <c r="G41" s="256">
        <f>G$6</f>
        <v>1</v>
      </c>
      <c r="H41" s="257">
        <f t="shared" ref="H41:AD41" si="7">H$6</f>
        <v>1</v>
      </c>
      <c r="I41" s="54">
        <f t="shared" si="7"/>
        <v>1</v>
      </c>
      <c r="J41" s="258">
        <f t="shared" si="7"/>
        <v>2</v>
      </c>
      <c r="K41" s="257">
        <f t="shared" si="7"/>
        <v>2</v>
      </c>
      <c r="L41" s="215">
        <f t="shared" si="7"/>
        <v>2</v>
      </c>
      <c r="M41" s="258">
        <f t="shared" si="7"/>
        <v>3</v>
      </c>
      <c r="N41" s="257">
        <f t="shared" si="7"/>
        <v>3</v>
      </c>
      <c r="O41" s="215">
        <f t="shared" si="7"/>
        <v>3</v>
      </c>
      <c r="P41" s="216">
        <f t="shared" si="7"/>
        <v>4</v>
      </c>
      <c r="Q41" s="214">
        <f t="shared" si="7"/>
        <v>4</v>
      </c>
      <c r="R41" s="215">
        <f t="shared" si="7"/>
        <v>4</v>
      </c>
      <c r="S41" s="213">
        <f t="shared" si="7"/>
        <v>1</v>
      </c>
      <c r="T41" s="214">
        <f t="shared" si="7"/>
        <v>1</v>
      </c>
      <c r="U41" s="215">
        <f t="shared" si="7"/>
        <v>1</v>
      </c>
      <c r="V41" s="216">
        <f t="shared" si="7"/>
        <v>2</v>
      </c>
      <c r="W41" s="214">
        <f t="shared" si="7"/>
        <v>2</v>
      </c>
      <c r="X41" s="215">
        <f t="shared" si="7"/>
        <v>2</v>
      </c>
      <c r="Y41" s="216">
        <f t="shared" si="7"/>
        <v>3</v>
      </c>
      <c r="Z41" s="214">
        <f t="shared" si="7"/>
        <v>3</v>
      </c>
      <c r="AA41" s="215">
        <f t="shared" si="7"/>
        <v>3</v>
      </c>
      <c r="AB41" s="216">
        <f t="shared" si="7"/>
        <v>4</v>
      </c>
      <c r="AC41" s="214">
        <f t="shared" si="7"/>
        <v>4</v>
      </c>
      <c r="AD41" s="215">
        <f t="shared" si="7"/>
        <v>4</v>
      </c>
      <c r="AE41" s="40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</row>
    <row r="42" spans="1:69" ht="15" customHeight="1" outlineLevel="1" thickBot="1">
      <c r="G42" s="218">
        <f>G$7</f>
        <v>45322</v>
      </c>
      <c r="H42" s="219">
        <f t="shared" ref="H42:AD42" si="8">H$7</f>
        <v>45351</v>
      </c>
      <c r="I42" s="219">
        <f t="shared" si="8"/>
        <v>45382</v>
      </c>
      <c r="J42" s="220">
        <f t="shared" si="8"/>
        <v>45412</v>
      </c>
      <c r="K42" s="219">
        <f t="shared" si="8"/>
        <v>45443</v>
      </c>
      <c r="L42" s="219">
        <f t="shared" si="8"/>
        <v>45473</v>
      </c>
      <c r="M42" s="220">
        <f t="shared" si="8"/>
        <v>45504</v>
      </c>
      <c r="N42" s="219">
        <f t="shared" si="8"/>
        <v>45535</v>
      </c>
      <c r="O42" s="219">
        <f t="shared" si="8"/>
        <v>45565</v>
      </c>
      <c r="P42" s="220">
        <f t="shared" si="8"/>
        <v>45596</v>
      </c>
      <c r="Q42" s="219">
        <f t="shared" si="8"/>
        <v>45626</v>
      </c>
      <c r="R42" s="219">
        <f t="shared" si="8"/>
        <v>45657</v>
      </c>
      <c r="S42" s="218">
        <f t="shared" si="8"/>
        <v>45688</v>
      </c>
      <c r="T42" s="219">
        <f t="shared" si="8"/>
        <v>45716</v>
      </c>
      <c r="U42" s="219">
        <f t="shared" si="8"/>
        <v>45747</v>
      </c>
      <c r="V42" s="220">
        <f t="shared" si="8"/>
        <v>45777</v>
      </c>
      <c r="W42" s="219">
        <f t="shared" si="8"/>
        <v>45808</v>
      </c>
      <c r="X42" s="219">
        <f t="shared" si="8"/>
        <v>45838</v>
      </c>
      <c r="Y42" s="220">
        <f t="shared" si="8"/>
        <v>45869</v>
      </c>
      <c r="Z42" s="219">
        <f t="shared" si="8"/>
        <v>45900</v>
      </c>
      <c r="AA42" s="219">
        <f t="shared" si="8"/>
        <v>45930</v>
      </c>
      <c r="AB42" s="220">
        <f t="shared" si="8"/>
        <v>45961</v>
      </c>
      <c r="AC42" s="219">
        <f t="shared" si="8"/>
        <v>45991</v>
      </c>
      <c r="AD42" s="219">
        <f t="shared" si="8"/>
        <v>46022</v>
      </c>
      <c r="AE42" s="40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</row>
    <row r="43" spans="1:69" s="36" customFormat="1" ht="15" customHeight="1" outlineLevel="1">
      <c r="B43" s="259"/>
      <c r="C43" s="260"/>
      <c r="D43" s="190"/>
      <c r="F43" s="227"/>
      <c r="G43" s="223">
        <f>G$8</f>
        <v>1</v>
      </c>
      <c r="H43" s="223">
        <f t="shared" ref="H43:AD43" si="9">H$8</f>
        <v>1</v>
      </c>
      <c r="I43" s="223">
        <f t="shared" si="9"/>
        <v>1</v>
      </c>
      <c r="J43" s="223">
        <f t="shared" si="9"/>
        <v>1</v>
      </c>
      <c r="K43" s="223">
        <f t="shared" si="9"/>
        <v>1</v>
      </c>
      <c r="L43" s="223">
        <f t="shared" si="9"/>
        <v>1</v>
      </c>
      <c r="M43" s="223">
        <f t="shared" si="9"/>
        <v>1</v>
      </c>
      <c r="N43" s="223">
        <f t="shared" si="9"/>
        <v>1</v>
      </c>
      <c r="O43" s="223">
        <f t="shared" si="9"/>
        <v>1</v>
      </c>
      <c r="P43" s="223">
        <f t="shared" si="9"/>
        <v>1</v>
      </c>
      <c r="Q43" s="223">
        <f t="shared" si="9"/>
        <v>1</v>
      </c>
      <c r="R43" s="223">
        <f t="shared" si="9"/>
        <v>1</v>
      </c>
      <c r="S43" s="223">
        <f t="shared" si="9"/>
        <v>0</v>
      </c>
      <c r="T43" s="223">
        <f t="shared" si="9"/>
        <v>0</v>
      </c>
      <c r="U43" s="223">
        <f t="shared" si="9"/>
        <v>0</v>
      </c>
      <c r="V43" s="223">
        <f t="shared" si="9"/>
        <v>0</v>
      </c>
      <c r="W43" s="223">
        <f t="shared" si="9"/>
        <v>0</v>
      </c>
      <c r="X43" s="223">
        <f t="shared" si="9"/>
        <v>0</v>
      </c>
      <c r="Y43" s="223">
        <f t="shared" si="9"/>
        <v>0</v>
      </c>
      <c r="Z43" s="223">
        <f t="shared" si="9"/>
        <v>0</v>
      </c>
      <c r="AA43" s="223">
        <f t="shared" si="9"/>
        <v>0</v>
      </c>
      <c r="AB43" s="223">
        <f t="shared" si="9"/>
        <v>0</v>
      </c>
      <c r="AC43" s="223">
        <f t="shared" si="9"/>
        <v>0</v>
      </c>
      <c r="AD43" s="223">
        <f t="shared" si="9"/>
        <v>0</v>
      </c>
      <c r="AG43" s="23"/>
      <c r="AH43" s="23"/>
      <c r="AI43" s="23"/>
      <c r="AJ43" s="23"/>
      <c r="AK43" s="23"/>
      <c r="AL43" s="23"/>
      <c r="AM43" s="23"/>
      <c r="AN43" s="23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</row>
    <row r="44" spans="1:69" ht="15" customHeight="1" outlineLevel="1">
      <c r="C44" s="225"/>
      <c r="E44" s="225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</row>
    <row r="45" spans="1:69" ht="15" customHeight="1" outlineLevel="1">
      <c r="B45" s="41" t="s">
        <v>31</v>
      </c>
      <c r="C45" s="261" t="s">
        <v>32</v>
      </c>
      <c r="D45" s="262"/>
      <c r="E45" s="263" t="s">
        <v>33</v>
      </c>
      <c r="G45" s="42" t="s">
        <v>34</v>
      </c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</row>
    <row r="46" spans="1:69" ht="15" customHeight="1" outlineLevel="1">
      <c r="B46" s="224" t="str">
        <f>Model!$B$11</f>
        <v>Atlantis Food</v>
      </c>
      <c r="C46" s="264">
        <v>0</v>
      </c>
      <c r="D46" s="236"/>
      <c r="E46" s="265">
        <f>ABS(C46-1)</f>
        <v>1</v>
      </c>
      <c r="F46" s="231"/>
      <c r="G46" s="266">
        <v>0</v>
      </c>
      <c r="H46" s="247">
        <f>($E46*G11*(1-H11)*SUM($G24:G24))+($C46*G24)</f>
        <v>0</v>
      </c>
      <c r="I46" s="247">
        <f>($E46*H11*(1-I11)*SUM($G24:H24))+($C46*H24)</f>
        <v>0</v>
      </c>
      <c r="J46" s="246">
        <f>($E46*I11*(1-J11)*SUM($G24:I24))+($C46*I24)</f>
        <v>2200</v>
      </c>
      <c r="K46" s="247">
        <f>($E46*J11*(1-K11)*SUM($G24:J24))+($C46*J24)</f>
        <v>0</v>
      </c>
      <c r="L46" s="247">
        <f>($E46*K11*(1-L11)*SUM($G24:K24))+($C46*K24)</f>
        <v>0</v>
      </c>
      <c r="M46" s="246">
        <f>($E46*L11*(1-M11)*SUM($G24:L24))+($C46*L24)</f>
        <v>0</v>
      </c>
      <c r="N46" s="247">
        <f>($E46*M11*(1-N11)*SUM($G24:M24))+($C46*M24)</f>
        <v>0</v>
      </c>
      <c r="O46" s="247">
        <f>($E46*N11*(1-O11)*SUM($G24:N24))+($C46*N24)</f>
        <v>0</v>
      </c>
      <c r="P46" s="246">
        <f>($E46*O11*(1-P11)*SUM($G24:O24))+($C46*O24)</f>
        <v>0</v>
      </c>
      <c r="Q46" s="247">
        <f>($E46*P11*(1-Q11)*SUM($G24:P24))+($C46*P24)</f>
        <v>0</v>
      </c>
      <c r="R46" s="247">
        <f>($E46*Q11*(1-R11)*SUM($G24:Q24))+($C46*Q24)</f>
        <v>0</v>
      </c>
      <c r="S46" s="246">
        <f>($E46*R11*(1-S11)*SUM($G24:R24))+($C46*R24)</f>
        <v>0</v>
      </c>
      <c r="T46" s="247">
        <f>($E46*S11*(1-T11)*SUM($G24:S24))+($C46*S24)</f>
        <v>0</v>
      </c>
      <c r="U46" s="247">
        <f>($E46*T11*(1-U11)*SUM($G24:T24))+($C46*T24)</f>
        <v>0</v>
      </c>
      <c r="V46" s="246">
        <f>($E46*U11*(1-V11)*SUM($G24:U24))+($C46*U24)</f>
        <v>0</v>
      </c>
      <c r="W46" s="247">
        <f>($E46*V11*(1-W11)*SUM($G24:V24))+($C46*V24)</f>
        <v>0</v>
      </c>
      <c r="X46" s="247">
        <f>($E46*W11*(1-X11)*SUM($G24:W24))+($C46*W24)</f>
        <v>0</v>
      </c>
      <c r="Y46" s="246">
        <f>($E46*X11*(1-Y11)*SUM($G24:X24))+($C46*X24)</f>
        <v>0</v>
      </c>
      <c r="Z46" s="247">
        <f>($E46*Y11*(1-Z11)*SUM($G24:Y24))+($C46*Y24)</f>
        <v>0</v>
      </c>
      <c r="AA46" s="247">
        <f>($E46*Z11*(1-AA11)*SUM($G24:Z24))+($C46*Z24)</f>
        <v>0</v>
      </c>
      <c r="AB46" s="246">
        <f>($E46*AA11*(1-AB11)*SUM($G24:AA24))+($C46*AA24)</f>
        <v>0</v>
      </c>
      <c r="AC46" s="247">
        <f>($E46*AB11*(1-AC11)*SUM($G24:AB24))+($C46*AB24)</f>
        <v>0</v>
      </c>
      <c r="AD46" s="247">
        <f>($E46*AC11*(1-AD11)*SUM($G24:AC24))+($C46*AC24)</f>
        <v>0</v>
      </c>
      <c r="AE46" s="43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</row>
    <row r="47" spans="1:69" ht="15" customHeight="1" outlineLevel="1">
      <c r="B47" s="224" t="str">
        <f>Model!$B$12</f>
        <v>FocusRite</v>
      </c>
      <c r="C47" s="267">
        <v>0</v>
      </c>
      <c r="D47" s="236"/>
      <c r="E47" s="268">
        <f t="shared" ref="E47:E55" si="10">ABS(C47-1)</f>
        <v>1</v>
      </c>
      <c r="F47" s="231"/>
      <c r="G47" s="269">
        <v>0</v>
      </c>
      <c r="H47" s="34">
        <f>($E47*G12*(1-H12)*SUM($G25:G25))+($C47*G25)</f>
        <v>0</v>
      </c>
      <c r="I47" s="34">
        <f>($E47*H12*(1-I12)*SUM($G25:H25))+($C47*H25)</f>
        <v>0</v>
      </c>
      <c r="J47" s="252">
        <f>($E47*I12*(1-J12)*SUM($G25:I25))+($C47*I25)</f>
        <v>0</v>
      </c>
      <c r="K47" s="34">
        <f>($E47*J12*(1-K12)*SUM($G25:J25))+($C47*J25)</f>
        <v>0</v>
      </c>
      <c r="L47" s="34">
        <f>($E47*K12*(1-L12)*SUM($G25:K25))+($C47*K25)</f>
        <v>0</v>
      </c>
      <c r="M47" s="252">
        <f>($E47*L12*(1-M12)*SUM($G25:L25))+($C47*L25)</f>
        <v>0</v>
      </c>
      <c r="N47" s="34">
        <f>($E47*M12*(1-N12)*SUM($G25:M25))+($C47*M25)</f>
        <v>0</v>
      </c>
      <c r="O47" s="34">
        <f>($E47*N12*(1-O12)*SUM($G25:N25))+($C47*N25)</f>
        <v>0</v>
      </c>
      <c r="P47" s="252">
        <f>($E47*O12*(1-P12)*SUM($G25:O25))+($C47*O25)</f>
        <v>6000</v>
      </c>
      <c r="Q47" s="34">
        <f>($E47*P12*(1-Q12)*SUM($G25:P25))+($C47*P25)</f>
        <v>0</v>
      </c>
      <c r="R47" s="34">
        <f>($E47*Q12*(1-R12)*SUM($G25:Q25))+($C47*Q25)</f>
        <v>0</v>
      </c>
      <c r="S47" s="252">
        <f>($E47*R12*(1-S12)*SUM($G25:R25))+($C47*R25)</f>
        <v>0</v>
      </c>
      <c r="T47" s="34">
        <f>($E47*S12*(1-T12)*SUM($G25:S25))+($C47*S25)</f>
        <v>0</v>
      </c>
      <c r="U47" s="34">
        <f>($E47*T12*(1-U12)*SUM($G25:T25))+($C47*T25)</f>
        <v>0</v>
      </c>
      <c r="V47" s="252">
        <f>($E47*U12*(1-V12)*SUM($G25:U25))+($C47*U25)</f>
        <v>0</v>
      </c>
      <c r="W47" s="34">
        <f>($E47*V12*(1-W12)*SUM($G25:V25))+($C47*V25)</f>
        <v>0</v>
      </c>
      <c r="X47" s="34">
        <f>($E47*W12*(1-X12)*SUM($G25:W25))+($C47*W25)</f>
        <v>0</v>
      </c>
      <c r="Y47" s="252">
        <f>($E47*X12*(1-Y12)*SUM($G25:X25))+($C47*X25)</f>
        <v>0</v>
      </c>
      <c r="Z47" s="34">
        <f>($E47*Y12*(1-Z12)*SUM($G25:Y25))+($C47*Y25)</f>
        <v>0</v>
      </c>
      <c r="AA47" s="34">
        <f>($E47*Z12*(1-AA12)*SUM($G25:Z25))+($C47*Z25)</f>
        <v>0</v>
      </c>
      <c r="AB47" s="252">
        <f>($E47*AA12*(1-AB12)*SUM($G25:AA25))+($C47*AA25)</f>
        <v>0</v>
      </c>
      <c r="AC47" s="34">
        <f>($E47*AB12*(1-AC12)*SUM($G25:AB25))+($C47*AB25)</f>
        <v>0</v>
      </c>
      <c r="AD47" s="34">
        <f>($E47*AC12*(1-AD12)*SUM($G25:AC25))+($C47*AC25)</f>
        <v>0</v>
      </c>
      <c r="AE47" s="43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</row>
    <row r="48" spans="1:69" ht="15" customHeight="1" outlineLevel="1">
      <c r="B48" s="224" t="str">
        <f>Model!$B$13</f>
        <v>NextLevel AI</v>
      </c>
      <c r="C48" s="267">
        <v>0</v>
      </c>
      <c r="D48" s="236"/>
      <c r="E48" s="268">
        <f t="shared" si="10"/>
        <v>1</v>
      </c>
      <c r="F48" s="37"/>
      <c r="G48" s="269">
        <v>0</v>
      </c>
      <c r="H48" s="34">
        <f>($E48*G13*(1-H13)*SUM($G26:G26))+($C48*G26)</f>
        <v>0</v>
      </c>
      <c r="I48" s="34">
        <f>($E48*H13*(1-I13)*SUM($G26:H26))+($C48*H26)</f>
        <v>0</v>
      </c>
      <c r="J48" s="252">
        <f>($E48*I13*(1-J13)*SUM($G26:I26))+($C48*I26)</f>
        <v>0</v>
      </c>
      <c r="K48" s="34">
        <f>($E48*J13*(1-K13)*SUM($G26:J26))+($C48*J26)</f>
        <v>0</v>
      </c>
      <c r="L48" s="34">
        <f>($E48*K13*(1-L13)*SUM($G26:K26))+($C48*K26)</f>
        <v>0</v>
      </c>
      <c r="M48" s="252">
        <f>($E48*L13*(1-M13)*SUM($G26:L26))+($C48*L26)</f>
        <v>0</v>
      </c>
      <c r="N48" s="34">
        <f>($E48*M13*(1-N13)*SUM($G26:M26))+($C48*M26)</f>
        <v>0</v>
      </c>
      <c r="O48" s="34">
        <f>($E48*N13*(1-O13)*SUM($G26:N26))+($C48*N26)</f>
        <v>0</v>
      </c>
      <c r="P48" s="252">
        <f>($E48*O13*(1-P13)*SUM($G26:O26))+($C48*O26)</f>
        <v>0</v>
      </c>
      <c r="Q48" s="34">
        <f>($E48*P13*(1-Q13)*SUM($G26:P26))+($C48*P26)</f>
        <v>0</v>
      </c>
      <c r="R48" s="34">
        <f>($E48*Q13*(1-R13)*SUM($G26:Q26))+($C48*Q26)</f>
        <v>0</v>
      </c>
      <c r="S48" s="252">
        <f>($E48*R13*(1-S13)*SUM($G26:R26))+($C48*R26)</f>
        <v>1999.9999999999998</v>
      </c>
      <c r="T48" s="34">
        <f>($E48*S13*(1-T13)*SUM($G26:S26))+($C48*S26)</f>
        <v>0</v>
      </c>
      <c r="U48" s="34">
        <f>($E48*T13*(1-U13)*SUM($G26:T26))+($C48*T26)</f>
        <v>0</v>
      </c>
      <c r="V48" s="252">
        <f>($E48*U13*(1-V13)*SUM($G26:U26))+($C48*U26)</f>
        <v>0</v>
      </c>
      <c r="W48" s="34">
        <f>($E48*V13*(1-W13)*SUM($G26:V26))+($C48*V26)</f>
        <v>0</v>
      </c>
      <c r="X48" s="34">
        <f>($E48*W13*(1-X13)*SUM($G26:W26))+($C48*W26)</f>
        <v>0</v>
      </c>
      <c r="Y48" s="252">
        <f>($E48*X13*(1-Y13)*SUM($G26:X26))+($C48*X26)</f>
        <v>0</v>
      </c>
      <c r="Z48" s="34">
        <f>($E48*Y13*(1-Z13)*SUM($G26:Y26))+($C48*Y26)</f>
        <v>0</v>
      </c>
      <c r="AA48" s="34">
        <f>($E48*Z13*(1-AA13)*SUM($G26:Z26))+($C48*Z26)</f>
        <v>0</v>
      </c>
      <c r="AB48" s="252">
        <f>($E48*AA13*(1-AB13)*SUM($G26:AA26))+($C48*AA26)</f>
        <v>0</v>
      </c>
      <c r="AC48" s="34">
        <f>($E48*AB13*(1-AC13)*SUM($G26:AB26))+($C48*AB26)</f>
        <v>0</v>
      </c>
      <c r="AD48" s="34">
        <f>($E48*AC13*(1-AD13)*SUM($G26:AC26))+($C48*AC26)</f>
        <v>0</v>
      </c>
      <c r="AE48" s="3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</row>
    <row r="49" spans="2:69" ht="15" customHeight="1" outlineLevel="1">
      <c r="B49" s="224" t="str">
        <f>Model!$B$14</f>
        <v>Hemway Rail</v>
      </c>
      <c r="C49" s="267">
        <v>0</v>
      </c>
      <c r="D49" s="236"/>
      <c r="E49" s="268">
        <f t="shared" si="10"/>
        <v>1</v>
      </c>
      <c r="F49" s="37"/>
      <c r="G49" s="269">
        <v>0</v>
      </c>
      <c r="H49" s="34">
        <f>($E49*G14*(1-H14)*SUM($G27:G27))+($C49*G27)</f>
        <v>0</v>
      </c>
      <c r="I49" s="34">
        <f>($E49*H14*(1-I14)*SUM($G27:H27))+($C49*H27)</f>
        <v>0</v>
      </c>
      <c r="J49" s="252">
        <f>($E49*I14*(1-J14)*SUM($G27:I27))+($C49*I27)</f>
        <v>0</v>
      </c>
      <c r="K49" s="34">
        <f>($E49*J14*(1-K14)*SUM($G27:J27))+($C49*J27)</f>
        <v>0</v>
      </c>
      <c r="L49" s="34">
        <f>($E49*K14*(1-L14)*SUM($G27:K27))+($C49*K27)</f>
        <v>0</v>
      </c>
      <c r="M49" s="252">
        <f>($E49*L14*(1-M14)*SUM($G27:L27))+($C49*L27)</f>
        <v>0</v>
      </c>
      <c r="N49" s="34">
        <f>($E49*M14*(1-N14)*SUM($G27:M27))+($C49*M27)</f>
        <v>0</v>
      </c>
      <c r="O49" s="34">
        <f>($E49*N14*(1-O14)*SUM($G27:N27))+($C49*N27)</f>
        <v>0</v>
      </c>
      <c r="P49" s="252">
        <f>($E49*O14*(1-P14)*SUM($G27:O27))+($C49*O27)</f>
        <v>0</v>
      </c>
      <c r="Q49" s="34">
        <f>($E49*P14*(1-Q14)*SUM($G27:P27))+($C49*P27)</f>
        <v>0</v>
      </c>
      <c r="R49" s="34">
        <f>($E49*Q14*(1-R14)*SUM($G27:Q27))+($C49*Q27)</f>
        <v>0</v>
      </c>
      <c r="S49" s="252">
        <f>($E49*R14*(1-S14)*SUM($G27:R27))+($C49*R27)</f>
        <v>0</v>
      </c>
      <c r="T49" s="34">
        <f>($E49*S14*(1-T14)*SUM($G27:S27))+($C49*S27)</f>
        <v>0</v>
      </c>
      <c r="U49" s="34">
        <f>($E49*T14*(1-U14)*SUM($G27:T27))+($C49*T27)</f>
        <v>0</v>
      </c>
      <c r="V49" s="252">
        <f>($E49*U14*(1-V14)*SUM($G27:U27))+($C49*U27)</f>
        <v>1500.0000000000005</v>
      </c>
      <c r="W49" s="34">
        <f>($E49*V14*(1-W14)*SUM($G27:V27))+($C49*V27)</f>
        <v>0</v>
      </c>
      <c r="X49" s="34">
        <f>($E49*W14*(1-X14)*SUM($G27:W27))+($C49*W27)</f>
        <v>0</v>
      </c>
      <c r="Y49" s="252">
        <f>($E49*X14*(1-Y14)*SUM($G27:X27))+($C49*X27)</f>
        <v>0</v>
      </c>
      <c r="Z49" s="34">
        <f>($E49*Y14*(1-Z14)*SUM($G27:Y27))+($C49*Y27)</f>
        <v>0</v>
      </c>
      <c r="AA49" s="34">
        <f>($E49*Z14*(1-AA14)*SUM($G27:Z27))+($C49*Z27)</f>
        <v>0</v>
      </c>
      <c r="AB49" s="252">
        <f>($E49*AA14*(1-AB14)*SUM($G27:AA27))+($C49*AA27)</f>
        <v>0</v>
      </c>
      <c r="AC49" s="34">
        <f>($E49*AB14*(1-AC14)*SUM($G27:AB27))+($C49*AB27)</f>
        <v>0</v>
      </c>
      <c r="AD49" s="34">
        <f>($E49*AC14*(1-AD14)*SUM($G27:AC27))+($C49*AC27)</f>
        <v>0</v>
      </c>
      <c r="AE49" s="3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</row>
    <row r="50" spans="2:69" ht="15" customHeight="1" outlineLevel="1">
      <c r="B50" s="224" t="str">
        <f>Model!$B$15</f>
        <v>Rail Works</v>
      </c>
      <c r="C50" s="267">
        <v>1</v>
      </c>
      <c r="D50" s="236"/>
      <c r="E50" s="268">
        <f>ABS(C50-1)</f>
        <v>0</v>
      </c>
      <c r="F50" s="37"/>
      <c r="G50" s="269">
        <v>0</v>
      </c>
      <c r="H50" s="34">
        <f>($E50*G15*(1-H15)*SUM($G28:G28))+($C50*G28)</f>
        <v>0</v>
      </c>
      <c r="I50" s="34">
        <f>($E50*H15*(1-I15)*SUM($G28:H28))+($C50*H28)</f>
        <v>0</v>
      </c>
      <c r="J50" s="252">
        <f>($E50*I15*(1-J15)*SUM($G28:I28))+($C50*I28)</f>
        <v>0</v>
      </c>
      <c r="K50" s="34">
        <f>($E50*J15*(1-K15)*SUM($G28:J28))+($C50*J28)</f>
        <v>0</v>
      </c>
      <c r="L50" s="34">
        <f>($E50*K15*(1-L15)*SUM($G28:K28))+($C50*K28)</f>
        <v>0</v>
      </c>
      <c r="M50" s="252">
        <f>($E50*L15*(1-M15)*SUM($G28:L28))+($C50*L28)</f>
        <v>0</v>
      </c>
      <c r="N50" s="34">
        <f>($E50*M15*(1-N15)*SUM($G28:M28))+($C50*M28)</f>
        <v>0</v>
      </c>
      <c r="O50" s="34">
        <f>($E50*N15*(1-O15)*SUM($G28:N28))+($C50*N28)</f>
        <v>0</v>
      </c>
      <c r="P50" s="252">
        <f>($E50*O15*(1-P15)*SUM($G28:O28))+($C50*O28)</f>
        <v>0</v>
      </c>
      <c r="Q50" s="34">
        <f>($E50*P15*(1-Q15)*SUM($G28:P28))+($C50*P28)</f>
        <v>250</v>
      </c>
      <c r="R50" s="34">
        <f>($E50*Q15*(1-R15)*SUM($G28:Q28))+($C50*Q28)</f>
        <v>250</v>
      </c>
      <c r="S50" s="252">
        <f>($E50*R15*(1-S15)*SUM($G28:R28))+($C50*R28)</f>
        <v>250</v>
      </c>
      <c r="T50" s="34">
        <f>($E50*S15*(1-T15)*SUM($G28:S28))+($C50*S28)</f>
        <v>250</v>
      </c>
      <c r="U50" s="34">
        <f>($E50*T15*(1-U15)*SUM($G28:T28))+($C50*T28)</f>
        <v>250</v>
      </c>
      <c r="V50" s="252">
        <f>($E50*U15*(1-V15)*SUM($G28:U28))+($C50*U28)</f>
        <v>250</v>
      </c>
      <c r="W50" s="34">
        <f>($E50*V15*(1-W15)*SUM($G28:V28))+($C50*V28)</f>
        <v>250</v>
      </c>
      <c r="X50" s="34">
        <f>($E50*W15*(1-X15)*SUM($G28:W28))+($C50*W28)</f>
        <v>250</v>
      </c>
      <c r="Y50" s="252">
        <f>($E50*X15*(1-Y15)*SUM($G28:X28))+($C50*X28)</f>
        <v>250</v>
      </c>
      <c r="Z50" s="34">
        <f>($E50*Y15*(1-Z15)*SUM($G28:Y28))+($C50*Y28)</f>
        <v>250</v>
      </c>
      <c r="AA50" s="34">
        <f>($E50*Z15*(1-AA15)*SUM($G28:Z28))+($C50*Z28)</f>
        <v>250</v>
      </c>
      <c r="AB50" s="252">
        <f>($E50*AA15*(1-AB15)*SUM($G28:AA28))+($C50*AA28)</f>
        <v>250</v>
      </c>
      <c r="AC50" s="34">
        <f>($E50*AB15*(1-AC15)*SUM($G28:AB28))+($C50*AB28)</f>
        <v>0</v>
      </c>
      <c r="AD50" s="34">
        <f>($E50*AC15*(1-AD15)*SUM($G28:AC28))+($C50*AC28)</f>
        <v>0</v>
      </c>
      <c r="AE50" s="3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</row>
    <row r="51" spans="2:69" ht="15" customHeight="1" outlineLevel="1">
      <c r="B51" s="224" t="str">
        <f>Model!$B$16</f>
        <v>Eastlink Air</v>
      </c>
      <c r="C51" s="267">
        <v>1</v>
      </c>
      <c r="D51" s="236"/>
      <c r="E51" s="268">
        <f t="shared" si="10"/>
        <v>0</v>
      </c>
      <c r="F51" s="37"/>
      <c r="G51" s="269">
        <v>0</v>
      </c>
      <c r="H51" s="34">
        <f>($E51*G16*(1-H16)*SUM($G29:G29))+($C51*G29)</f>
        <v>0</v>
      </c>
      <c r="I51" s="34">
        <f>($E51*H16*(1-I16)*SUM($G29:H29))+($C51*H29)</f>
        <v>0</v>
      </c>
      <c r="J51" s="252">
        <f>($E51*I16*(1-J16)*SUM($G29:I29))+($C51*I29)</f>
        <v>0</v>
      </c>
      <c r="K51" s="34">
        <f>($E51*J16*(1-K16)*SUM($G29:J29))+($C51*J29)</f>
        <v>0</v>
      </c>
      <c r="L51" s="34">
        <f>($E51*K16*(1-L16)*SUM($G29:K29))+($C51*K29)</f>
        <v>0</v>
      </c>
      <c r="M51" s="252">
        <f>($E51*L16*(1-M16)*SUM($G29:L29))+($C51*L29)</f>
        <v>0</v>
      </c>
      <c r="N51" s="34">
        <f>($E51*M16*(1-N16)*SUM($G29:M29))+($C51*M29)</f>
        <v>0</v>
      </c>
      <c r="O51" s="34">
        <f>($E51*N16*(1-O16)*SUM($G29:N29))+($C51*N29)</f>
        <v>0</v>
      </c>
      <c r="P51" s="252">
        <f>($E51*O16*(1-P16)*SUM($G29:O29))+($C51*O29)</f>
        <v>0</v>
      </c>
      <c r="Q51" s="34">
        <f>($E51*P16*(1-Q16)*SUM($G29:P29))+($C51*P29)</f>
        <v>308.33333333333331</v>
      </c>
      <c r="R51" s="34">
        <f>($E51*Q16*(1-R16)*SUM($G29:Q29))+($C51*Q29)</f>
        <v>308.33333333333331</v>
      </c>
      <c r="S51" s="252">
        <f>($E51*R16*(1-S16)*SUM($G29:R29))+($C51*R29)</f>
        <v>308.33333333333331</v>
      </c>
      <c r="T51" s="34">
        <f>($E51*S16*(1-T16)*SUM($G29:S29))+($C51*S29)</f>
        <v>308.33333333333331</v>
      </c>
      <c r="U51" s="34">
        <f>($E51*T16*(1-U16)*SUM($G29:T29))+($C51*T29)</f>
        <v>308.33333333333331</v>
      </c>
      <c r="V51" s="252">
        <f>($E51*U16*(1-V16)*SUM($G29:U29))+($C51*U29)</f>
        <v>308.33333333333331</v>
      </c>
      <c r="W51" s="34">
        <f>($E51*V16*(1-W16)*SUM($G29:V29))+($C51*V29)</f>
        <v>308.33333333333331</v>
      </c>
      <c r="X51" s="34">
        <f>($E51*W16*(1-X16)*SUM($G29:W29))+($C51*W29)</f>
        <v>308.33333333333331</v>
      </c>
      <c r="Y51" s="252">
        <f>($E51*X16*(1-Y16)*SUM($G29:X29))+($C51*X29)</f>
        <v>308.33333333333331</v>
      </c>
      <c r="Z51" s="34">
        <f>($E51*Y16*(1-Z16)*SUM($G29:Y29))+($C51*Y29)</f>
        <v>308.33333333333331</v>
      </c>
      <c r="AA51" s="34">
        <f>($E51*Z16*(1-AA16)*SUM($G29:Z29))+($C51*Z29)</f>
        <v>308.33333333333331</v>
      </c>
      <c r="AB51" s="252">
        <f>($E51*AA16*(1-AB16)*SUM($G29:AA29))+($C51*AA29)</f>
        <v>308.33333333333331</v>
      </c>
      <c r="AC51" s="34">
        <f>($E51*AB16*(1-AC16)*SUM($G29:AB29))+($C51*AB29)</f>
        <v>0</v>
      </c>
      <c r="AD51" s="34">
        <f>($E51*AC16*(1-AD16)*SUM($G29:AC29))+($C51*AC29)</f>
        <v>0</v>
      </c>
      <c r="AE51" s="3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</row>
    <row r="52" spans="2:69" ht="15" customHeight="1" outlineLevel="1">
      <c r="B52" s="224" t="str">
        <f>Model!$B$17</f>
        <v>Trans Loop</v>
      </c>
      <c r="C52" s="267">
        <v>1</v>
      </c>
      <c r="D52" s="236"/>
      <c r="E52" s="268">
        <f t="shared" si="10"/>
        <v>0</v>
      </c>
      <c r="F52" s="37"/>
      <c r="G52" s="269">
        <v>0</v>
      </c>
      <c r="H52" s="34">
        <f>($E52*G17*(1-H17)*SUM($G30:G30))+($C52*G30)</f>
        <v>0</v>
      </c>
      <c r="I52" s="34">
        <f>($E52*H17*(1-I17)*SUM($G30:H30))+($C52*H30)</f>
        <v>0</v>
      </c>
      <c r="J52" s="252">
        <f>($E52*I17*(1-J17)*SUM($G30:I30))+($C52*I30)</f>
        <v>0</v>
      </c>
      <c r="K52" s="34">
        <f>($E52*J17*(1-K17)*SUM($G30:J30))+($C52*J30)</f>
        <v>0</v>
      </c>
      <c r="L52" s="34">
        <f>($E52*K17*(1-L17)*SUM($G30:K30))+($C52*K30)</f>
        <v>0</v>
      </c>
      <c r="M52" s="252">
        <f>($E52*L17*(1-M17)*SUM($G30:L30))+($C52*L30)</f>
        <v>0</v>
      </c>
      <c r="N52" s="34">
        <f>($E52*M17*(1-N17)*SUM($G30:M30))+($C52*M30)</f>
        <v>0</v>
      </c>
      <c r="O52" s="34">
        <f>($E52*N17*(1-O17)*SUM($G30:N30))+($C52*N30)</f>
        <v>0</v>
      </c>
      <c r="P52" s="252">
        <f>($E52*O17*(1-P17)*SUM($G30:O30))+($C52*O30)</f>
        <v>0</v>
      </c>
      <c r="Q52" s="34">
        <f>($E52*P17*(1-Q17)*SUM($G30:P30))+($C52*P30)</f>
        <v>291.66666666666663</v>
      </c>
      <c r="R52" s="34">
        <f>($E52*Q17*(1-R17)*SUM($G30:Q30))+($C52*Q30)</f>
        <v>291.66666666666663</v>
      </c>
      <c r="S52" s="252">
        <f>($E52*R17*(1-S17)*SUM($G30:R30))+($C52*R30)</f>
        <v>291.66666666666663</v>
      </c>
      <c r="T52" s="34">
        <f>($E52*S17*(1-T17)*SUM($G30:S30))+($C52*S30)</f>
        <v>291.66666666666663</v>
      </c>
      <c r="U52" s="34">
        <f>($E52*T17*(1-U17)*SUM($G30:T30))+($C52*T30)</f>
        <v>291.66666666666663</v>
      </c>
      <c r="V52" s="252">
        <f>($E52*U17*(1-V17)*SUM($G30:U30))+($C52*U30)</f>
        <v>291.66666666666663</v>
      </c>
      <c r="W52" s="34">
        <f>($E52*V17*(1-W17)*SUM($G30:V30))+($C52*V30)</f>
        <v>291.66666666666663</v>
      </c>
      <c r="X52" s="34">
        <f>($E52*W17*(1-X17)*SUM($G30:W30))+($C52*W30)</f>
        <v>291.66666666666663</v>
      </c>
      <c r="Y52" s="252">
        <f>($E52*X17*(1-Y17)*SUM($G30:X30))+($C52*X30)</f>
        <v>291.66666666666663</v>
      </c>
      <c r="Z52" s="34">
        <f>($E52*Y17*(1-Z17)*SUM($G30:Y30))+($C52*Y30)</f>
        <v>291.66666666666663</v>
      </c>
      <c r="AA52" s="34">
        <f>($E52*Z17*(1-AA17)*SUM($G30:Z30))+($C52*Z30)</f>
        <v>291.66666666666663</v>
      </c>
      <c r="AB52" s="252">
        <f>($E52*AA17*(1-AB17)*SUM($G30:AA30))+($C52*AA30)</f>
        <v>291.66666666666663</v>
      </c>
      <c r="AC52" s="34">
        <f>($E52*AB17*(1-AC17)*SUM($G30:AB30))+($C52*AB30)</f>
        <v>0</v>
      </c>
      <c r="AD52" s="34">
        <f>($E52*AC17*(1-AD17)*SUM($G30:AC30))+($C52*AC30)</f>
        <v>0</v>
      </c>
      <c r="AE52" s="3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</row>
    <row r="53" spans="2:69" ht="15" customHeight="1" outlineLevel="1">
      <c r="B53" s="224" t="str">
        <f>Model!$B$18</f>
        <v>High Travel</v>
      </c>
      <c r="C53" s="267">
        <v>1</v>
      </c>
      <c r="D53" s="236"/>
      <c r="E53" s="268">
        <f t="shared" si="10"/>
        <v>0</v>
      </c>
      <c r="F53" s="37"/>
      <c r="G53" s="269">
        <v>0</v>
      </c>
      <c r="H53" s="34">
        <f>($E53*G18*(1-H18)*SUM($G31:G31))+($C53*G31)</f>
        <v>0</v>
      </c>
      <c r="I53" s="34">
        <f>($E53*H18*(1-I18)*SUM($G31:H31))+($C53*H31)</f>
        <v>0</v>
      </c>
      <c r="J53" s="252">
        <f>($E53*I18*(1-J18)*SUM($G31:I31))+($C53*I31)</f>
        <v>0</v>
      </c>
      <c r="K53" s="34">
        <f>($E53*J18*(1-K18)*SUM($G31:J31))+($C53*J31)</f>
        <v>0</v>
      </c>
      <c r="L53" s="34">
        <f>($E53*K18*(1-L18)*SUM($G31:K31))+($C53*K31)</f>
        <v>0</v>
      </c>
      <c r="M53" s="252">
        <f>($E53*L18*(1-M18)*SUM($G31:L31))+($C53*L31)</f>
        <v>0</v>
      </c>
      <c r="N53" s="34">
        <f>($E53*M18*(1-N18)*SUM($G31:M31))+($C53*M31)</f>
        <v>0</v>
      </c>
      <c r="O53" s="34">
        <f>($E53*N18*(1-O18)*SUM($G31:N31))+($C53*N31)</f>
        <v>0</v>
      </c>
      <c r="P53" s="252">
        <f>($E53*O18*(1-P18)*SUM($G31:O31))+($C53*O31)</f>
        <v>0</v>
      </c>
      <c r="Q53" s="34">
        <f>($E53*P18*(1-Q18)*SUM($G31:P31))+($C53*P31)</f>
        <v>0</v>
      </c>
      <c r="R53" s="34">
        <f>($E53*Q18*(1-R18)*SUM($G31:Q31))+($C53*Q31)</f>
        <v>0</v>
      </c>
      <c r="S53" s="252">
        <f>($E53*R18*(1-S18)*SUM($G31:R31))+($C53*R31)</f>
        <v>0</v>
      </c>
      <c r="T53" s="34">
        <f>($E53*S18*(1-T18)*SUM($G31:S31))+($C53*S31)</f>
        <v>0</v>
      </c>
      <c r="U53" s="34">
        <f>($E53*T18*(1-U18)*SUM($G31:T31))+($C53*T31)</f>
        <v>437.5</v>
      </c>
      <c r="V53" s="252">
        <f>($E53*U18*(1-V18)*SUM($G31:U31))+($C53*U31)</f>
        <v>437.5</v>
      </c>
      <c r="W53" s="34">
        <f>($E53*V18*(1-W18)*SUM($G31:V31))+($C53*V31)</f>
        <v>437.5</v>
      </c>
      <c r="X53" s="34">
        <f>($E53*W18*(1-X18)*SUM($G31:W31))+($C53*W31)</f>
        <v>437.5</v>
      </c>
      <c r="Y53" s="252">
        <f>($E53*X18*(1-Y18)*SUM($G31:X31))+($C53*X31)</f>
        <v>437.5</v>
      </c>
      <c r="Z53" s="34">
        <f>($E53*Y18*(1-Z18)*SUM($G31:Y31))+($C53*Y31)</f>
        <v>437.5</v>
      </c>
      <c r="AA53" s="34">
        <f>($E53*Z18*(1-AA18)*SUM($G31:Z31))+($C53*Z31)</f>
        <v>437.5</v>
      </c>
      <c r="AB53" s="252">
        <f>($E53*AA18*(1-AB18)*SUM($G31:AA31))+($C53*AA31)</f>
        <v>437.5</v>
      </c>
      <c r="AC53" s="34">
        <f>($E53*AB18*(1-AC18)*SUM($G31:AB31))+($C53*AB31)</f>
        <v>0</v>
      </c>
      <c r="AD53" s="34">
        <f>($E53*AC18*(1-AD18)*SUM($G31:AC31))+($C53*AC31)</f>
        <v>0</v>
      </c>
      <c r="AE53" s="3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</row>
    <row r="54" spans="2:69" ht="15" customHeight="1" outlineLevel="1">
      <c r="B54" s="224" t="str">
        <f>Model!$B$19</f>
        <v>Arc Finance</v>
      </c>
      <c r="C54" s="267">
        <v>1</v>
      </c>
      <c r="D54" s="236"/>
      <c r="E54" s="268">
        <f t="shared" si="10"/>
        <v>0</v>
      </c>
      <c r="F54" s="37"/>
      <c r="G54" s="269">
        <v>0</v>
      </c>
      <c r="H54" s="34">
        <f>($E54*G19*(1-H19)*SUM($G32:G32))+($C54*G32)</f>
        <v>0</v>
      </c>
      <c r="I54" s="34">
        <f>($E54*H19*(1-I19)*SUM($G32:H32))+($C54*H32)</f>
        <v>0</v>
      </c>
      <c r="J54" s="252">
        <f>($E54*I19*(1-J19)*SUM($G32:I32))+($C54*I32)</f>
        <v>0</v>
      </c>
      <c r="K54" s="34">
        <f>($E54*J19*(1-K19)*SUM($G32:J32))+($C54*J32)</f>
        <v>0</v>
      </c>
      <c r="L54" s="34">
        <f>($E54*K19*(1-L19)*SUM($G32:K32))+($C54*K32)</f>
        <v>0</v>
      </c>
      <c r="M54" s="252">
        <f>($E54*L19*(1-M19)*SUM($G32:L32))+($C54*L32)</f>
        <v>0</v>
      </c>
      <c r="N54" s="34">
        <f>($E54*M19*(1-N19)*SUM($G32:M32))+($C54*M32)</f>
        <v>0</v>
      </c>
      <c r="O54" s="34">
        <f>($E54*N19*(1-O19)*SUM($G32:N32))+($C54*N32)</f>
        <v>0</v>
      </c>
      <c r="P54" s="252">
        <f>($E54*O19*(1-P19)*SUM($G32:O32))+($C54*O32)</f>
        <v>0</v>
      </c>
      <c r="Q54" s="34">
        <f>($E54*P19*(1-Q19)*SUM($G32:P32))+($C54*P32)</f>
        <v>0</v>
      </c>
      <c r="R54" s="34">
        <f>($E54*Q19*(1-R19)*SUM($G32:Q32))+($C54*Q32)</f>
        <v>0</v>
      </c>
      <c r="S54" s="252">
        <f>($E54*R19*(1-S19)*SUM($G32:R32))+($C54*R32)</f>
        <v>0</v>
      </c>
      <c r="T54" s="34">
        <f>($E54*S19*(1-T19)*SUM($G32:S32))+($C54*S32)</f>
        <v>0</v>
      </c>
      <c r="U54" s="34">
        <f>($E54*T19*(1-U19)*SUM($G32:T32))+($C54*T32)</f>
        <v>0</v>
      </c>
      <c r="V54" s="252">
        <f>($E54*U19*(1-V19)*SUM($G32:U32))+($C54*U32)</f>
        <v>0</v>
      </c>
      <c r="W54" s="34">
        <f>($E54*V19*(1-W19)*SUM($G32:V32))+($C54*V32)</f>
        <v>333.33333333333331</v>
      </c>
      <c r="X54" s="34">
        <f>($E54*W19*(1-X19)*SUM($G32:W32))+($C54*W32)</f>
        <v>333.33333333333331</v>
      </c>
      <c r="Y54" s="252">
        <f>($E54*X19*(1-Y19)*SUM($G32:X32))+($C54*X32)</f>
        <v>333.33333333333331</v>
      </c>
      <c r="Z54" s="34">
        <f>($E54*Y19*(1-Z19)*SUM($G32:Y32))+($C54*Y32)</f>
        <v>333.33333333333331</v>
      </c>
      <c r="AA54" s="34">
        <f>($E54*Z19*(1-AA19)*SUM($G32:Z32))+($C54*Z32)</f>
        <v>333.33333333333331</v>
      </c>
      <c r="AB54" s="252">
        <f>($E54*AA19*(1-AB19)*SUM($G32:AA32))+($C54*AA32)</f>
        <v>333.33333333333331</v>
      </c>
      <c r="AC54" s="34">
        <f>($E54*AB19*(1-AC19)*SUM($G32:AB32))+($C54*AB32)</f>
        <v>333.33333333333331</v>
      </c>
      <c r="AD54" s="34">
        <f>($E54*AC19*(1-AD19)*SUM($G32:AC32))+($C54*AC32)</f>
        <v>333.33333333333331</v>
      </c>
      <c r="AE54" s="3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</row>
    <row r="55" spans="2:69" ht="15" customHeight="1" outlineLevel="1">
      <c r="B55" s="224" t="str">
        <f>Model!$B$20</f>
        <v>GiveWay</v>
      </c>
      <c r="C55" s="267">
        <v>1</v>
      </c>
      <c r="D55" s="236"/>
      <c r="E55" s="268">
        <f t="shared" si="10"/>
        <v>0</v>
      </c>
      <c r="F55" s="37"/>
      <c r="G55" s="269">
        <v>0</v>
      </c>
      <c r="H55" s="34">
        <f>($E55*G20*(1-H20)*SUM($G33:G33))+($C55*G33)</f>
        <v>0</v>
      </c>
      <c r="I55" s="34">
        <f>($E55*H20*(1-I20)*SUM($G33:H33))+($C55*H33)</f>
        <v>0</v>
      </c>
      <c r="J55" s="252">
        <f>($E55*I20*(1-J20)*SUM($G33:I33))+($C55*I33)</f>
        <v>0</v>
      </c>
      <c r="K55" s="34">
        <f>($E55*J20*(1-K20)*SUM($G33:J33))+($C55*J33)</f>
        <v>0</v>
      </c>
      <c r="L55" s="34">
        <f>($E55*K20*(1-L20)*SUM($G33:K33))+($C55*K33)</f>
        <v>0</v>
      </c>
      <c r="M55" s="252">
        <f>($E55*L20*(1-M20)*SUM($G33:L33))+($C55*L33)</f>
        <v>0</v>
      </c>
      <c r="N55" s="34">
        <f>($E55*M20*(1-N20)*SUM($G33:M33))+($C55*M33)</f>
        <v>0</v>
      </c>
      <c r="O55" s="34">
        <f>($E55*N20*(1-O20)*SUM($G33:N33))+($C55*N33)</f>
        <v>0</v>
      </c>
      <c r="P55" s="252">
        <f>($E55*O20*(1-P20)*SUM($G33:O33))+($C55*O33)</f>
        <v>0</v>
      </c>
      <c r="Q55" s="34">
        <f>($E55*P20*(1-Q20)*SUM($G33:P33))+($C55*P33)</f>
        <v>0</v>
      </c>
      <c r="R55" s="34">
        <f>($E55*Q20*(1-R20)*SUM($G33:Q33))+($C55*Q33)</f>
        <v>0</v>
      </c>
      <c r="S55" s="252">
        <f>($E55*R20*(1-S20)*SUM($G33:R33))+($C55*R33)</f>
        <v>0</v>
      </c>
      <c r="T55" s="34">
        <f>($E55*S20*(1-T20)*SUM($G33:S33))+($C55*S33)</f>
        <v>0</v>
      </c>
      <c r="U55" s="34">
        <f>($E55*T20*(1-U20)*SUM($G33:T33))+($C55*T33)</f>
        <v>0</v>
      </c>
      <c r="V55" s="252">
        <f>($E55*U20*(1-V20)*SUM($G33:U33))+($C55*U33)</f>
        <v>0</v>
      </c>
      <c r="W55" s="34">
        <f>($E55*V20*(1-W20)*SUM($G33:V33))+($C55*V33)</f>
        <v>0</v>
      </c>
      <c r="X55" s="34">
        <f>($E55*W20*(1-X20)*SUM($G33:W33))+($C55*W33)</f>
        <v>0</v>
      </c>
      <c r="Y55" s="252">
        <f>($E55*X20*(1-Y20)*SUM($G33:X33))+($C55*X33)</f>
        <v>0</v>
      </c>
      <c r="Z55" s="34">
        <f>($E55*Y20*(1-Z20)*SUM($G33:Y33))+($C55*Y33)</f>
        <v>0</v>
      </c>
      <c r="AA55" s="34">
        <f>($E55*Z20*(1-AA20)*SUM($G33:Z33))+($C55*Z33)</f>
        <v>0</v>
      </c>
      <c r="AB55" s="252">
        <f>($E55*AA20*(1-AB20)*SUM($G33:AA33))+($C55*AA33)</f>
        <v>0</v>
      </c>
      <c r="AC55" s="34">
        <f>($E55*AB20*(1-AC20)*SUM($G33:AB33))+($C55*AB33)</f>
        <v>1666.6666666666665</v>
      </c>
      <c r="AD55" s="34">
        <f>($E55*AC20*(1-AD20)*SUM($G33:AC33))+($C55*AC33)</f>
        <v>1666.6666666666665</v>
      </c>
      <c r="AE55" s="3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</row>
    <row r="56" spans="2:69" ht="15" customHeight="1" outlineLevel="1">
      <c r="B56" s="224" t="s">
        <v>35</v>
      </c>
      <c r="C56" s="38"/>
      <c r="E56" s="38"/>
      <c r="G56" s="246">
        <f>SUM(G46:G55)</f>
        <v>0</v>
      </c>
      <c r="H56" s="247">
        <f t="shared" ref="H56:AD56" si="11">SUM(H46:H55)</f>
        <v>0</v>
      </c>
      <c r="I56" s="247">
        <f t="shared" si="11"/>
        <v>0</v>
      </c>
      <c r="J56" s="246">
        <f t="shared" si="11"/>
        <v>2200</v>
      </c>
      <c r="K56" s="247">
        <f t="shared" si="11"/>
        <v>0</v>
      </c>
      <c r="L56" s="247">
        <f t="shared" si="11"/>
        <v>0</v>
      </c>
      <c r="M56" s="246">
        <f t="shared" si="11"/>
        <v>0</v>
      </c>
      <c r="N56" s="247">
        <f t="shared" si="11"/>
        <v>0</v>
      </c>
      <c r="O56" s="247">
        <f t="shared" si="11"/>
        <v>0</v>
      </c>
      <c r="P56" s="246">
        <f t="shared" si="11"/>
        <v>6000</v>
      </c>
      <c r="Q56" s="247">
        <f t="shared" si="11"/>
        <v>849.99999999999989</v>
      </c>
      <c r="R56" s="247">
        <f t="shared" si="11"/>
        <v>849.99999999999989</v>
      </c>
      <c r="S56" s="246">
        <f t="shared" si="11"/>
        <v>2850</v>
      </c>
      <c r="T56" s="247">
        <f t="shared" si="11"/>
        <v>849.99999999999989</v>
      </c>
      <c r="U56" s="247">
        <f t="shared" si="11"/>
        <v>1287.5</v>
      </c>
      <c r="V56" s="246">
        <f t="shared" si="11"/>
        <v>2787.5000000000005</v>
      </c>
      <c r="W56" s="247">
        <f t="shared" si="11"/>
        <v>1620.8333333333333</v>
      </c>
      <c r="X56" s="247">
        <f t="shared" si="11"/>
        <v>1620.8333333333333</v>
      </c>
      <c r="Y56" s="246">
        <f t="shared" si="11"/>
        <v>1620.8333333333333</v>
      </c>
      <c r="Z56" s="247">
        <f t="shared" si="11"/>
        <v>1620.8333333333333</v>
      </c>
      <c r="AA56" s="247">
        <f t="shared" si="11"/>
        <v>1620.8333333333333</v>
      </c>
      <c r="AB56" s="246">
        <f t="shared" si="11"/>
        <v>1620.8333333333333</v>
      </c>
      <c r="AC56" s="247">
        <f t="shared" si="11"/>
        <v>1999.9999999999998</v>
      </c>
      <c r="AD56" s="247">
        <f t="shared" si="11"/>
        <v>1999.9999999999998</v>
      </c>
      <c r="AE56" s="3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</row>
    <row r="57" spans="2:69" ht="15" customHeight="1" outlineLevel="1"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</row>
    <row r="58" spans="2:69" ht="15" customHeight="1" outlineLevel="1"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</row>
    <row r="59" spans="2:69" ht="15" customHeight="1" outlineLevel="1">
      <c r="B59" s="270"/>
      <c r="C59" s="270"/>
      <c r="D59" s="270"/>
      <c r="E59" s="270"/>
      <c r="F59" s="270"/>
      <c r="G59" s="270"/>
      <c r="H59" s="270"/>
      <c r="I59" s="270"/>
      <c r="J59" s="270"/>
      <c r="K59" s="270"/>
      <c r="L59" s="270"/>
      <c r="M59" s="270"/>
      <c r="N59" s="270"/>
      <c r="O59" s="270"/>
      <c r="P59" s="270"/>
      <c r="Q59" s="270"/>
      <c r="R59" s="270"/>
      <c r="S59" s="270"/>
      <c r="T59" s="270"/>
      <c r="U59" s="270"/>
      <c r="V59" s="270"/>
      <c r="W59" s="270"/>
      <c r="X59" s="270"/>
      <c r="Y59" s="270"/>
      <c r="Z59" s="270"/>
      <c r="AA59" s="270"/>
      <c r="AB59" s="270"/>
      <c r="AC59" s="270"/>
      <c r="AD59" s="270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</row>
    <row r="60" spans="2:69" s="44" customFormat="1" ht="15" customHeight="1" outlineLevel="1">
      <c r="B60" s="271" t="s">
        <v>36</v>
      </c>
      <c r="F60" s="23"/>
      <c r="G60" s="42" t="s">
        <v>34</v>
      </c>
      <c r="H60" s="23"/>
      <c r="AD60" s="45"/>
      <c r="AG60" s="23"/>
      <c r="AH60" s="23"/>
      <c r="AI60" s="23"/>
      <c r="AJ60" s="23"/>
      <c r="AK60" s="23"/>
      <c r="AL60" s="23"/>
      <c r="AM60" s="23"/>
      <c r="AN60" s="23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</row>
    <row r="61" spans="2:69" ht="15" customHeight="1" outlineLevel="1">
      <c r="B61" s="224" t="s">
        <v>37</v>
      </c>
      <c r="G61" s="266">
        <v>4560</v>
      </c>
      <c r="H61" s="247">
        <f>G64</f>
        <v>5293.333333333333</v>
      </c>
      <c r="I61" s="247">
        <f t="shared" ref="I61:AD61" si="12">H64</f>
        <v>6026.6666666666661</v>
      </c>
      <c r="J61" s="246">
        <f t="shared" si="12"/>
        <v>6759.9999999999991</v>
      </c>
      <c r="K61" s="247">
        <f t="shared" si="12"/>
        <v>5782.2222222222208</v>
      </c>
      <c r="L61" s="247">
        <f t="shared" si="12"/>
        <v>7140.8080808080795</v>
      </c>
      <c r="M61" s="246">
        <f t="shared" si="12"/>
        <v>8499.3939393939381</v>
      </c>
      <c r="N61" s="247">
        <f t="shared" si="12"/>
        <v>9857.9797979797968</v>
      </c>
      <c r="O61" s="247">
        <f t="shared" si="12"/>
        <v>11216.565656565655</v>
      </c>
      <c r="P61" s="246">
        <f t="shared" si="12"/>
        <v>12575.151515151514</v>
      </c>
      <c r="Q61" s="247">
        <f t="shared" si="12"/>
        <v>7783.7373737373728</v>
      </c>
      <c r="R61" s="247">
        <f t="shared" si="12"/>
        <v>8142.3232323232314</v>
      </c>
      <c r="S61" s="246">
        <f t="shared" si="12"/>
        <v>8500.9090909090901</v>
      </c>
      <c r="T61" s="247">
        <f t="shared" si="12"/>
        <v>6637.2727272727261</v>
      </c>
      <c r="U61" s="247">
        <f t="shared" si="12"/>
        <v>7211.1363636363621</v>
      </c>
      <c r="V61" s="246">
        <f t="shared" si="12"/>
        <v>7347.4999999999982</v>
      </c>
      <c r="W61" s="247">
        <f t="shared" si="12"/>
        <v>6180.8333333333321</v>
      </c>
      <c r="X61" s="247">
        <f t="shared" si="12"/>
        <v>6180.8333333333321</v>
      </c>
      <c r="Y61" s="246">
        <f t="shared" si="12"/>
        <v>6180.8333333333321</v>
      </c>
      <c r="Z61" s="247">
        <f t="shared" si="12"/>
        <v>6180.8333333333321</v>
      </c>
      <c r="AA61" s="247">
        <f t="shared" si="12"/>
        <v>6180.8333333333321</v>
      </c>
      <c r="AB61" s="246">
        <f t="shared" si="12"/>
        <v>6180.8333333333321</v>
      </c>
      <c r="AC61" s="247">
        <f t="shared" si="12"/>
        <v>6559.9999999999991</v>
      </c>
      <c r="AD61" s="247">
        <f t="shared" si="12"/>
        <v>6559.9999999999982</v>
      </c>
      <c r="AE61" s="3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</row>
    <row r="62" spans="2:69" ht="15" customHeight="1" outlineLevel="1">
      <c r="B62" s="224" t="s">
        <v>38</v>
      </c>
      <c r="G62" s="252">
        <f>G34</f>
        <v>733.33333333333326</v>
      </c>
      <c r="H62" s="34">
        <f t="shared" ref="H62:AD62" si="13">H34</f>
        <v>733.33333333333326</v>
      </c>
      <c r="I62" s="34">
        <f t="shared" si="13"/>
        <v>733.33333333333326</v>
      </c>
      <c r="J62" s="252">
        <f t="shared" si="13"/>
        <v>1222.2222222222222</v>
      </c>
      <c r="K62" s="34">
        <f t="shared" si="13"/>
        <v>1358.5858585858587</v>
      </c>
      <c r="L62" s="34">
        <f t="shared" si="13"/>
        <v>1358.5858585858587</v>
      </c>
      <c r="M62" s="252">
        <f t="shared" si="13"/>
        <v>1358.5858585858587</v>
      </c>
      <c r="N62" s="34">
        <f t="shared" si="13"/>
        <v>1358.5858585858587</v>
      </c>
      <c r="O62" s="34">
        <f t="shared" si="13"/>
        <v>1358.5858585858587</v>
      </c>
      <c r="P62" s="252">
        <f t="shared" si="13"/>
        <v>1208.5858585858587</v>
      </c>
      <c r="Q62" s="34">
        <f t="shared" si="13"/>
        <v>1208.5858585858587</v>
      </c>
      <c r="R62" s="34">
        <f t="shared" si="13"/>
        <v>1208.5858585858587</v>
      </c>
      <c r="S62" s="252">
        <f t="shared" si="13"/>
        <v>986.36363636363637</v>
      </c>
      <c r="T62" s="34">
        <f t="shared" si="13"/>
        <v>1423.8636363636365</v>
      </c>
      <c r="U62" s="34">
        <f t="shared" si="13"/>
        <v>1423.8636363636365</v>
      </c>
      <c r="V62" s="252">
        <f t="shared" si="13"/>
        <v>1620.8333333333333</v>
      </c>
      <c r="W62" s="34">
        <f t="shared" si="13"/>
        <v>1620.8333333333333</v>
      </c>
      <c r="X62" s="34">
        <f t="shared" si="13"/>
        <v>1620.8333333333333</v>
      </c>
      <c r="Y62" s="252">
        <f t="shared" si="13"/>
        <v>1620.8333333333333</v>
      </c>
      <c r="Z62" s="34">
        <f t="shared" si="13"/>
        <v>1620.8333333333333</v>
      </c>
      <c r="AA62" s="34">
        <f t="shared" si="13"/>
        <v>1620.8333333333333</v>
      </c>
      <c r="AB62" s="252">
        <f t="shared" si="13"/>
        <v>1999.9999999999998</v>
      </c>
      <c r="AC62" s="34">
        <f t="shared" si="13"/>
        <v>1999.9999999999998</v>
      </c>
      <c r="AD62" s="34">
        <f t="shared" si="13"/>
        <v>1999.9999999999998</v>
      </c>
      <c r="AE62" s="3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</row>
    <row r="63" spans="2:69" ht="15" customHeight="1" outlineLevel="1">
      <c r="B63" s="224" t="s">
        <v>39</v>
      </c>
      <c r="G63" s="252">
        <f>-G56</f>
        <v>0</v>
      </c>
      <c r="H63" s="34">
        <f t="shared" ref="H63:AD63" si="14">-H56</f>
        <v>0</v>
      </c>
      <c r="I63" s="34">
        <f t="shared" si="14"/>
        <v>0</v>
      </c>
      <c r="J63" s="252">
        <f t="shared" si="14"/>
        <v>-2200</v>
      </c>
      <c r="K63" s="34">
        <f t="shared" si="14"/>
        <v>0</v>
      </c>
      <c r="L63" s="34">
        <f t="shared" si="14"/>
        <v>0</v>
      </c>
      <c r="M63" s="252">
        <f t="shared" si="14"/>
        <v>0</v>
      </c>
      <c r="N63" s="34">
        <f t="shared" si="14"/>
        <v>0</v>
      </c>
      <c r="O63" s="34">
        <f t="shared" si="14"/>
        <v>0</v>
      </c>
      <c r="P63" s="252">
        <f t="shared" si="14"/>
        <v>-6000</v>
      </c>
      <c r="Q63" s="34">
        <f t="shared" si="14"/>
        <v>-849.99999999999989</v>
      </c>
      <c r="R63" s="34">
        <f t="shared" si="14"/>
        <v>-849.99999999999989</v>
      </c>
      <c r="S63" s="252">
        <f t="shared" si="14"/>
        <v>-2850</v>
      </c>
      <c r="T63" s="34">
        <f t="shared" si="14"/>
        <v>-849.99999999999989</v>
      </c>
      <c r="U63" s="34">
        <f t="shared" si="14"/>
        <v>-1287.5</v>
      </c>
      <c r="V63" s="252">
        <f t="shared" si="14"/>
        <v>-2787.5000000000005</v>
      </c>
      <c r="W63" s="34">
        <f t="shared" si="14"/>
        <v>-1620.8333333333333</v>
      </c>
      <c r="X63" s="34">
        <f t="shared" si="14"/>
        <v>-1620.8333333333333</v>
      </c>
      <c r="Y63" s="252">
        <f t="shared" si="14"/>
        <v>-1620.8333333333333</v>
      </c>
      <c r="Z63" s="34">
        <f t="shared" si="14"/>
        <v>-1620.8333333333333</v>
      </c>
      <c r="AA63" s="34">
        <f t="shared" si="14"/>
        <v>-1620.8333333333333</v>
      </c>
      <c r="AB63" s="252">
        <f t="shared" si="14"/>
        <v>-1620.8333333333333</v>
      </c>
      <c r="AC63" s="34">
        <f t="shared" si="14"/>
        <v>-1999.9999999999998</v>
      </c>
      <c r="AD63" s="34">
        <f t="shared" si="14"/>
        <v>-1999.9999999999998</v>
      </c>
      <c r="AE63" s="3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</row>
    <row r="64" spans="2:69" ht="15" customHeight="1" outlineLevel="1">
      <c r="B64" s="224" t="s">
        <v>40</v>
      </c>
      <c r="G64" s="246">
        <f>SUM(G61:G63)</f>
        <v>5293.333333333333</v>
      </c>
      <c r="H64" s="247">
        <f t="shared" ref="H64:AD64" si="15">SUM(H61:H63)</f>
        <v>6026.6666666666661</v>
      </c>
      <c r="I64" s="247">
        <f t="shared" si="15"/>
        <v>6759.9999999999991</v>
      </c>
      <c r="J64" s="246">
        <f t="shared" si="15"/>
        <v>5782.2222222222208</v>
      </c>
      <c r="K64" s="247">
        <f t="shared" si="15"/>
        <v>7140.8080808080795</v>
      </c>
      <c r="L64" s="247">
        <f t="shared" si="15"/>
        <v>8499.3939393939381</v>
      </c>
      <c r="M64" s="246">
        <f t="shared" si="15"/>
        <v>9857.9797979797968</v>
      </c>
      <c r="N64" s="247">
        <f t="shared" si="15"/>
        <v>11216.565656565655</v>
      </c>
      <c r="O64" s="247">
        <f t="shared" si="15"/>
        <v>12575.151515151514</v>
      </c>
      <c r="P64" s="246">
        <f t="shared" si="15"/>
        <v>7783.7373737373728</v>
      </c>
      <c r="Q64" s="247">
        <f t="shared" si="15"/>
        <v>8142.3232323232314</v>
      </c>
      <c r="R64" s="247">
        <f t="shared" si="15"/>
        <v>8500.9090909090901</v>
      </c>
      <c r="S64" s="246">
        <f t="shared" si="15"/>
        <v>6637.2727272727261</v>
      </c>
      <c r="T64" s="247">
        <f t="shared" si="15"/>
        <v>7211.1363636363621</v>
      </c>
      <c r="U64" s="247">
        <f t="shared" si="15"/>
        <v>7347.4999999999982</v>
      </c>
      <c r="V64" s="246">
        <f t="shared" si="15"/>
        <v>6180.8333333333321</v>
      </c>
      <c r="W64" s="247">
        <f t="shared" si="15"/>
        <v>6180.8333333333321</v>
      </c>
      <c r="X64" s="247">
        <f t="shared" si="15"/>
        <v>6180.8333333333321</v>
      </c>
      <c r="Y64" s="246">
        <f t="shared" si="15"/>
        <v>6180.8333333333321</v>
      </c>
      <c r="Z64" s="247">
        <f t="shared" si="15"/>
        <v>6180.8333333333321</v>
      </c>
      <c r="AA64" s="247">
        <f t="shared" si="15"/>
        <v>6180.8333333333321</v>
      </c>
      <c r="AB64" s="246">
        <f t="shared" si="15"/>
        <v>6559.9999999999991</v>
      </c>
      <c r="AC64" s="247">
        <f t="shared" si="15"/>
        <v>6559.9999999999982</v>
      </c>
      <c r="AD64" s="247">
        <f t="shared" si="15"/>
        <v>6559.9999999999982</v>
      </c>
      <c r="AE64" s="3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</row>
    <row r="65" spans="1:69" ht="15" customHeight="1" outlineLevel="1">
      <c r="B65" s="224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</row>
    <row r="66" spans="1:69" ht="15" customHeight="1" outlineLevel="1">
      <c r="B66" s="22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</row>
    <row r="67" spans="1:69" ht="15" customHeight="1" outlineLevel="1" thickBot="1">
      <c r="B67" s="224" t="s">
        <v>41</v>
      </c>
      <c r="G67" s="272">
        <f>G61-G64</f>
        <v>-733.33333333333303</v>
      </c>
      <c r="H67" s="273">
        <f t="shared" ref="H67:AD67" si="16">H61-H64</f>
        <v>-733.33333333333303</v>
      </c>
      <c r="I67" s="273">
        <f t="shared" si="16"/>
        <v>-733.33333333333303</v>
      </c>
      <c r="J67" s="274">
        <f t="shared" si="16"/>
        <v>977.77777777777828</v>
      </c>
      <c r="K67" s="273">
        <f t="shared" si="16"/>
        <v>-1358.5858585858587</v>
      </c>
      <c r="L67" s="273">
        <f t="shared" si="16"/>
        <v>-1358.5858585858587</v>
      </c>
      <c r="M67" s="274">
        <f t="shared" si="16"/>
        <v>-1358.5858585858587</v>
      </c>
      <c r="N67" s="273">
        <f t="shared" si="16"/>
        <v>-1358.5858585858587</v>
      </c>
      <c r="O67" s="273">
        <f t="shared" si="16"/>
        <v>-1358.5858585858587</v>
      </c>
      <c r="P67" s="274">
        <f t="shared" si="16"/>
        <v>4791.4141414141413</v>
      </c>
      <c r="Q67" s="273">
        <f t="shared" si="16"/>
        <v>-358.58585858585866</v>
      </c>
      <c r="R67" s="273">
        <f t="shared" si="16"/>
        <v>-358.58585858585866</v>
      </c>
      <c r="S67" s="274">
        <f t="shared" si="16"/>
        <v>1863.636363636364</v>
      </c>
      <c r="T67" s="273">
        <f t="shared" si="16"/>
        <v>-573.86363636363603</v>
      </c>
      <c r="U67" s="273">
        <f t="shared" si="16"/>
        <v>-136.36363636363603</v>
      </c>
      <c r="V67" s="274">
        <f t="shared" si="16"/>
        <v>1166.6666666666661</v>
      </c>
      <c r="W67" s="273">
        <f t="shared" si="16"/>
        <v>0</v>
      </c>
      <c r="X67" s="273">
        <f t="shared" si="16"/>
        <v>0</v>
      </c>
      <c r="Y67" s="274">
        <f t="shared" si="16"/>
        <v>0</v>
      </c>
      <c r="Z67" s="273">
        <f t="shared" si="16"/>
        <v>0</v>
      </c>
      <c r="AA67" s="273">
        <f t="shared" si="16"/>
        <v>0</v>
      </c>
      <c r="AB67" s="274">
        <f t="shared" si="16"/>
        <v>-379.16666666666697</v>
      </c>
      <c r="AC67" s="273">
        <f t="shared" si="16"/>
        <v>0</v>
      </c>
      <c r="AD67" s="275">
        <f t="shared" si="16"/>
        <v>0</v>
      </c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</row>
    <row r="68" spans="1:69" ht="15" customHeight="1" outlineLevel="1">
      <c r="B68" s="22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</row>
    <row r="69" spans="1:69" s="44" customFormat="1" ht="15" customHeight="1" outlineLevel="1">
      <c r="F69" s="23"/>
      <c r="G69" s="23"/>
      <c r="H69" s="23"/>
      <c r="AD69" s="45" t="s">
        <v>210</v>
      </c>
      <c r="AG69" s="23"/>
      <c r="AH69" s="23"/>
      <c r="AI69" s="23"/>
      <c r="AJ69" s="23"/>
      <c r="AK69" s="23"/>
      <c r="AL69" s="23"/>
      <c r="AM69" s="23"/>
      <c r="AN69" s="23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</row>
    <row r="70" spans="1:69" ht="15" customHeight="1" outlineLevel="1">
      <c r="B70" s="22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276" t="s">
        <v>42</v>
      </c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</row>
    <row r="71" spans="1:69" s="44" customFormat="1" ht="15" customHeight="1" outlineLevel="1">
      <c r="G71" s="23"/>
      <c r="AG71" s="23"/>
      <c r="AH71" s="23"/>
      <c r="AI71" s="23"/>
      <c r="AJ71" s="23"/>
      <c r="AK71" s="23"/>
      <c r="AL71" s="23"/>
      <c r="AM71" s="23"/>
      <c r="AN71" s="23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</row>
    <row r="72" spans="1:69" ht="15" customHeight="1" outlineLevel="1"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</row>
    <row r="73" spans="1:69" ht="15" customHeight="1"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</row>
    <row r="74" spans="1:69" s="27" customFormat="1" ht="15" customHeight="1">
      <c r="A74" s="152" t="s">
        <v>11</v>
      </c>
      <c r="B74" s="24" t="s">
        <v>43</v>
      </c>
      <c r="C74" s="24"/>
      <c r="D74" s="24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3"/>
    </row>
    <row r="75" spans="1:69" s="27" customFormat="1" ht="15" customHeight="1" outlineLevel="1">
      <c r="A75" s="152"/>
      <c r="B75" s="28"/>
      <c r="C75" s="28"/>
      <c r="D75" s="28"/>
      <c r="E75" s="29"/>
      <c r="F75" s="29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</row>
    <row r="76" spans="1:69" s="27" customFormat="1" ht="15" customHeight="1" outlineLevel="1">
      <c r="A76" s="152"/>
      <c r="B76" s="31" t="s">
        <v>13</v>
      </c>
      <c r="C76" s="28"/>
      <c r="D76" s="28"/>
      <c r="E76" s="29"/>
      <c r="F76" s="29"/>
      <c r="G76" s="48">
        <f t="shared" ref="G76:AD76" si="17">G$5</f>
        <v>2024</v>
      </c>
      <c r="H76" s="49">
        <f t="shared" si="17"/>
        <v>2024</v>
      </c>
      <c r="I76" s="49">
        <f t="shared" si="17"/>
        <v>2024</v>
      </c>
      <c r="J76" s="50">
        <f t="shared" si="17"/>
        <v>2024</v>
      </c>
      <c r="K76" s="49">
        <f t="shared" si="17"/>
        <v>2024</v>
      </c>
      <c r="L76" s="49">
        <f t="shared" si="17"/>
        <v>2024</v>
      </c>
      <c r="M76" s="50">
        <f t="shared" si="17"/>
        <v>2024</v>
      </c>
      <c r="N76" s="49">
        <f t="shared" si="17"/>
        <v>2024</v>
      </c>
      <c r="O76" s="49">
        <f t="shared" si="17"/>
        <v>2024</v>
      </c>
      <c r="P76" s="50">
        <f t="shared" si="17"/>
        <v>2024</v>
      </c>
      <c r="Q76" s="51">
        <f t="shared" si="17"/>
        <v>2024</v>
      </c>
      <c r="R76" s="255">
        <f t="shared" si="17"/>
        <v>2024</v>
      </c>
      <c r="S76" s="52">
        <f t="shared" si="17"/>
        <v>2025</v>
      </c>
      <c r="T76" s="51">
        <f t="shared" si="17"/>
        <v>2025</v>
      </c>
      <c r="U76" s="51">
        <f t="shared" si="17"/>
        <v>2025</v>
      </c>
      <c r="V76" s="53">
        <f t="shared" si="17"/>
        <v>2025</v>
      </c>
      <c r="W76" s="51">
        <f t="shared" si="17"/>
        <v>2025</v>
      </c>
      <c r="X76" s="51">
        <f t="shared" si="17"/>
        <v>2025</v>
      </c>
      <c r="Y76" s="53">
        <f t="shared" si="17"/>
        <v>2025</v>
      </c>
      <c r="Z76" s="51">
        <f t="shared" si="17"/>
        <v>2025</v>
      </c>
      <c r="AA76" s="51">
        <f t="shared" si="17"/>
        <v>2025</v>
      </c>
      <c r="AB76" s="53">
        <f t="shared" si="17"/>
        <v>2025</v>
      </c>
      <c r="AC76" s="51">
        <f t="shared" si="17"/>
        <v>2025</v>
      </c>
      <c r="AD76" s="255">
        <f t="shared" si="17"/>
        <v>2025</v>
      </c>
      <c r="AE76" s="40"/>
    </row>
    <row r="77" spans="1:69" ht="15" customHeight="1" outlineLevel="1">
      <c r="C77" s="31"/>
      <c r="D77" s="31"/>
      <c r="E77" s="32"/>
      <c r="F77" s="32"/>
      <c r="G77" s="256">
        <f t="shared" ref="G77:AD77" si="18">G$6</f>
        <v>1</v>
      </c>
      <c r="H77" s="257">
        <f t="shared" si="18"/>
        <v>1</v>
      </c>
      <c r="I77" s="54">
        <f t="shared" si="18"/>
        <v>1</v>
      </c>
      <c r="J77" s="258">
        <f t="shared" si="18"/>
        <v>2</v>
      </c>
      <c r="K77" s="257">
        <f t="shared" si="18"/>
        <v>2</v>
      </c>
      <c r="L77" s="215">
        <f t="shared" si="18"/>
        <v>2</v>
      </c>
      <c r="M77" s="258">
        <f t="shared" si="18"/>
        <v>3</v>
      </c>
      <c r="N77" s="257">
        <f t="shared" si="18"/>
        <v>3</v>
      </c>
      <c r="O77" s="215">
        <f t="shared" si="18"/>
        <v>3</v>
      </c>
      <c r="P77" s="216">
        <f t="shared" si="18"/>
        <v>4</v>
      </c>
      <c r="Q77" s="214">
        <f t="shared" si="18"/>
        <v>4</v>
      </c>
      <c r="R77" s="215">
        <f t="shared" si="18"/>
        <v>4</v>
      </c>
      <c r="S77" s="213">
        <f t="shared" si="18"/>
        <v>1</v>
      </c>
      <c r="T77" s="214">
        <f t="shared" si="18"/>
        <v>1</v>
      </c>
      <c r="U77" s="215">
        <f t="shared" si="18"/>
        <v>1</v>
      </c>
      <c r="V77" s="216">
        <f t="shared" si="18"/>
        <v>2</v>
      </c>
      <c r="W77" s="214">
        <f t="shared" si="18"/>
        <v>2</v>
      </c>
      <c r="X77" s="215">
        <f t="shared" si="18"/>
        <v>2</v>
      </c>
      <c r="Y77" s="216">
        <f t="shared" si="18"/>
        <v>3</v>
      </c>
      <c r="Z77" s="214">
        <f t="shared" si="18"/>
        <v>3</v>
      </c>
      <c r="AA77" s="215">
        <f t="shared" si="18"/>
        <v>3</v>
      </c>
      <c r="AB77" s="216">
        <f t="shared" si="18"/>
        <v>4</v>
      </c>
      <c r="AC77" s="214">
        <f t="shared" si="18"/>
        <v>4</v>
      </c>
      <c r="AD77" s="215">
        <f t="shared" si="18"/>
        <v>4</v>
      </c>
      <c r="AE77" s="40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</row>
    <row r="78" spans="1:69" ht="15" customHeight="1" outlineLevel="1" thickBot="1">
      <c r="G78" s="218">
        <f t="shared" ref="G78:AD78" si="19">G$7</f>
        <v>45322</v>
      </c>
      <c r="H78" s="219">
        <f t="shared" si="19"/>
        <v>45351</v>
      </c>
      <c r="I78" s="219">
        <f t="shared" si="19"/>
        <v>45382</v>
      </c>
      <c r="J78" s="220">
        <f t="shared" si="19"/>
        <v>45412</v>
      </c>
      <c r="K78" s="219">
        <f t="shared" si="19"/>
        <v>45443</v>
      </c>
      <c r="L78" s="219">
        <f t="shared" si="19"/>
        <v>45473</v>
      </c>
      <c r="M78" s="220">
        <f t="shared" si="19"/>
        <v>45504</v>
      </c>
      <c r="N78" s="219">
        <f t="shared" si="19"/>
        <v>45535</v>
      </c>
      <c r="O78" s="219">
        <f t="shared" si="19"/>
        <v>45565</v>
      </c>
      <c r="P78" s="220">
        <f t="shared" si="19"/>
        <v>45596</v>
      </c>
      <c r="Q78" s="219">
        <f t="shared" si="19"/>
        <v>45626</v>
      </c>
      <c r="R78" s="219">
        <f t="shared" si="19"/>
        <v>45657</v>
      </c>
      <c r="S78" s="218">
        <f t="shared" si="19"/>
        <v>45688</v>
      </c>
      <c r="T78" s="219">
        <f t="shared" si="19"/>
        <v>45716</v>
      </c>
      <c r="U78" s="219">
        <f t="shared" si="19"/>
        <v>45747</v>
      </c>
      <c r="V78" s="220">
        <f t="shared" si="19"/>
        <v>45777</v>
      </c>
      <c r="W78" s="219">
        <f t="shared" si="19"/>
        <v>45808</v>
      </c>
      <c r="X78" s="219">
        <f t="shared" si="19"/>
        <v>45838</v>
      </c>
      <c r="Y78" s="220">
        <f t="shared" si="19"/>
        <v>45869</v>
      </c>
      <c r="Z78" s="219">
        <f t="shared" si="19"/>
        <v>45900</v>
      </c>
      <c r="AA78" s="219">
        <f t="shared" si="19"/>
        <v>45930</v>
      </c>
      <c r="AB78" s="220">
        <f t="shared" si="19"/>
        <v>45961</v>
      </c>
      <c r="AC78" s="219">
        <f t="shared" si="19"/>
        <v>45991</v>
      </c>
      <c r="AD78" s="219">
        <f t="shared" si="19"/>
        <v>46022</v>
      </c>
      <c r="AE78" s="40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</row>
    <row r="79" spans="1:69" ht="15" customHeight="1" outlineLevel="1">
      <c r="G79" s="277"/>
      <c r="H79" s="278"/>
      <c r="I79" s="278"/>
      <c r="J79" s="278"/>
      <c r="K79" s="278"/>
      <c r="L79" s="278"/>
      <c r="M79" s="278"/>
      <c r="N79" s="278"/>
      <c r="O79" s="279"/>
      <c r="P79" s="279"/>
      <c r="Q79" s="279"/>
      <c r="R79" s="279"/>
      <c r="S79" s="279"/>
      <c r="T79" s="279"/>
      <c r="U79" s="280"/>
      <c r="V79" s="280"/>
      <c r="W79" s="280"/>
      <c r="X79" s="279"/>
      <c r="Y79" s="279"/>
      <c r="Z79" s="279"/>
      <c r="AA79" s="279"/>
      <c r="AB79" s="279"/>
      <c r="AC79" s="279"/>
      <c r="AD79" s="279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</row>
    <row r="80" spans="1:69" s="36" customFormat="1" ht="15" customHeight="1" outlineLevel="1">
      <c r="B80" s="190" t="s">
        <v>44</v>
      </c>
      <c r="C80" s="260"/>
      <c r="D80" s="190"/>
      <c r="F80" s="227"/>
      <c r="G80" s="55">
        <f t="shared" ref="G80:AD80" si="20">G$8</f>
        <v>1</v>
      </c>
      <c r="H80" s="55">
        <f t="shared" si="20"/>
        <v>1</v>
      </c>
      <c r="I80" s="55">
        <f t="shared" si="20"/>
        <v>1</v>
      </c>
      <c r="J80" s="55">
        <f t="shared" si="20"/>
        <v>1</v>
      </c>
      <c r="K80" s="55">
        <f t="shared" si="20"/>
        <v>1</v>
      </c>
      <c r="L80" s="55">
        <f t="shared" si="20"/>
        <v>1</v>
      </c>
      <c r="M80" s="55">
        <f t="shared" si="20"/>
        <v>1</v>
      </c>
      <c r="N80" s="55">
        <f t="shared" si="20"/>
        <v>1</v>
      </c>
      <c r="O80" s="55">
        <f t="shared" si="20"/>
        <v>1</v>
      </c>
      <c r="P80" s="55">
        <f t="shared" si="20"/>
        <v>1</v>
      </c>
      <c r="Q80" s="55">
        <f t="shared" si="20"/>
        <v>1</v>
      </c>
      <c r="R80" s="55">
        <f t="shared" si="20"/>
        <v>1</v>
      </c>
      <c r="S80" s="55">
        <f t="shared" si="20"/>
        <v>0</v>
      </c>
      <c r="T80" s="55">
        <f t="shared" si="20"/>
        <v>0</v>
      </c>
      <c r="U80" s="55">
        <f t="shared" si="20"/>
        <v>0</v>
      </c>
      <c r="V80" s="55">
        <f t="shared" si="20"/>
        <v>0</v>
      </c>
      <c r="W80" s="55">
        <f t="shared" si="20"/>
        <v>0</v>
      </c>
      <c r="X80" s="55">
        <f t="shared" si="20"/>
        <v>0</v>
      </c>
      <c r="Y80" s="55">
        <f t="shared" si="20"/>
        <v>0</v>
      </c>
      <c r="Z80" s="55">
        <f t="shared" si="20"/>
        <v>0</v>
      </c>
      <c r="AA80" s="55">
        <f t="shared" si="20"/>
        <v>0</v>
      </c>
      <c r="AB80" s="55">
        <f t="shared" si="20"/>
        <v>0</v>
      </c>
      <c r="AC80" s="55">
        <f t="shared" si="20"/>
        <v>0</v>
      </c>
      <c r="AD80" s="55">
        <f t="shared" si="20"/>
        <v>0</v>
      </c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</row>
    <row r="81" spans="1:53" s="36" customFormat="1" ht="15" customHeight="1" outlineLevel="1">
      <c r="B81" s="35" t="s">
        <v>45</v>
      </c>
      <c r="C81" s="33"/>
      <c r="D81" s="33"/>
      <c r="E81" s="281"/>
      <c r="F81" s="227"/>
      <c r="G81" s="282">
        <v>31</v>
      </c>
      <c r="H81" s="283">
        <v>29</v>
      </c>
      <c r="I81" s="283">
        <v>31</v>
      </c>
      <c r="J81" s="282">
        <v>30</v>
      </c>
      <c r="K81" s="283">
        <v>31</v>
      </c>
      <c r="L81" s="283">
        <v>30</v>
      </c>
      <c r="M81" s="282">
        <v>31</v>
      </c>
      <c r="N81" s="283">
        <v>31</v>
      </c>
      <c r="O81" s="283">
        <v>30</v>
      </c>
      <c r="P81" s="282">
        <v>31</v>
      </c>
      <c r="Q81" s="283">
        <v>30</v>
      </c>
      <c r="R81" s="283">
        <v>31</v>
      </c>
      <c r="S81" s="282">
        <v>31</v>
      </c>
      <c r="T81" s="283">
        <v>28</v>
      </c>
      <c r="U81" s="283">
        <v>31</v>
      </c>
      <c r="V81" s="282">
        <v>30</v>
      </c>
      <c r="W81" s="283">
        <v>31</v>
      </c>
      <c r="X81" s="283">
        <v>30</v>
      </c>
      <c r="Y81" s="282">
        <v>31</v>
      </c>
      <c r="Z81" s="283">
        <v>31</v>
      </c>
      <c r="AA81" s="283">
        <v>30</v>
      </c>
      <c r="AB81" s="282">
        <v>31</v>
      </c>
      <c r="AC81" s="283">
        <v>30</v>
      </c>
      <c r="AD81" s="283">
        <v>31</v>
      </c>
      <c r="AE81" s="43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</row>
    <row r="82" spans="1:53" s="36" customFormat="1" ht="15" customHeight="1" outlineLevel="1">
      <c r="B82" s="35" t="s">
        <v>46</v>
      </c>
      <c r="C82" s="33"/>
      <c r="D82" s="33"/>
      <c r="E82" s="281"/>
      <c r="F82" s="227"/>
      <c r="G82" s="284">
        <v>31</v>
      </c>
      <c r="H82" s="285">
        <v>29</v>
      </c>
      <c r="I82" s="285">
        <v>31</v>
      </c>
      <c r="J82" s="284">
        <v>30</v>
      </c>
      <c r="K82" s="285">
        <v>31</v>
      </c>
      <c r="L82" s="285">
        <v>30</v>
      </c>
      <c r="M82" s="284">
        <v>31</v>
      </c>
      <c r="N82" s="285">
        <v>31</v>
      </c>
      <c r="O82" s="285">
        <v>30</v>
      </c>
      <c r="P82" s="284">
        <v>31</v>
      </c>
      <c r="Q82" s="285">
        <v>30</v>
      </c>
      <c r="R82" s="285">
        <v>31</v>
      </c>
      <c r="S82" s="284">
        <v>31</v>
      </c>
      <c r="T82" s="285">
        <v>28</v>
      </c>
      <c r="U82" s="285">
        <v>31</v>
      </c>
      <c r="V82" s="284">
        <v>30</v>
      </c>
      <c r="W82" s="285">
        <v>31</v>
      </c>
      <c r="X82" s="285">
        <v>30</v>
      </c>
      <c r="Y82" s="284">
        <v>31</v>
      </c>
      <c r="Z82" s="285">
        <v>31</v>
      </c>
      <c r="AA82" s="285">
        <v>30</v>
      </c>
      <c r="AB82" s="284">
        <v>31</v>
      </c>
      <c r="AC82" s="285">
        <v>30</v>
      </c>
      <c r="AD82" s="285">
        <v>31</v>
      </c>
      <c r="AE82" s="43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</row>
    <row r="83" spans="1:53" s="36" customFormat="1" ht="15" customHeight="1" outlineLevel="1">
      <c r="B83" s="35" t="s">
        <v>47</v>
      </c>
      <c r="C83" s="33"/>
      <c r="D83" s="33"/>
      <c r="E83" s="281"/>
      <c r="F83" s="227"/>
      <c r="G83" s="284">
        <v>31</v>
      </c>
      <c r="H83" s="285">
        <v>29</v>
      </c>
      <c r="I83" s="285">
        <v>31</v>
      </c>
      <c r="J83" s="284">
        <v>30</v>
      </c>
      <c r="K83" s="285">
        <v>31</v>
      </c>
      <c r="L83" s="285">
        <v>30</v>
      </c>
      <c r="M83" s="284">
        <v>31</v>
      </c>
      <c r="N83" s="285">
        <v>31</v>
      </c>
      <c r="O83" s="285">
        <v>30</v>
      </c>
      <c r="P83" s="284">
        <v>31</v>
      </c>
      <c r="Q83" s="285">
        <v>30</v>
      </c>
      <c r="R83" s="285">
        <v>31</v>
      </c>
      <c r="S83" s="284">
        <v>31</v>
      </c>
      <c r="T83" s="285">
        <v>28</v>
      </c>
      <c r="U83" s="285">
        <v>31</v>
      </c>
      <c r="V83" s="284">
        <v>30</v>
      </c>
      <c r="W83" s="285">
        <v>31</v>
      </c>
      <c r="X83" s="285">
        <v>30</v>
      </c>
      <c r="Y83" s="284">
        <v>31</v>
      </c>
      <c r="Z83" s="285">
        <v>31</v>
      </c>
      <c r="AA83" s="285">
        <v>30</v>
      </c>
      <c r="AB83" s="284">
        <v>31</v>
      </c>
      <c r="AC83" s="285">
        <v>30</v>
      </c>
      <c r="AD83" s="285">
        <v>31</v>
      </c>
      <c r="AE83" s="43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</row>
    <row r="84" spans="1:53" s="36" customFormat="1" ht="15" customHeight="1" outlineLevel="1">
      <c r="B84" s="35" t="s">
        <v>48</v>
      </c>
      <c r="C84" s="33"/>
      <c r="D84" s="33"/>
      <c r="E84" s="286"/>
      <c r="F84" s="227"/>
      <c r="G84" s="284">
        <v>0</v>
      </c>
      <c r="H84" s="285">
        <v>0</v>
      </c>
      <c r="I84" s="285">
        <v>0</v>
      </c>
      <c r="J84" s="284">
        <v>0</v>
      </c>
      <c r="K84" s="285">
        <v>0</v>
      </c>
      <c r="L84" s="285">
        <v>0</v>
      </c>
      <c r="M84" s="284">
        <v>0</v>
      </c>
      <c r="N84" s="285">
        <v>22</v>
      </c>
      <c r="O84" s="285">
        <v>30</v>
      </c>
      <c r="P84" s="284">
        <v>31</v>
      </c>
      <c r="Q84" s="285">
        <v>30</v>
      </c>
      <c r="R84" s="285">
        <v>31</v>
      </c>
      <c r="S84" s="284">
        <v>31</v>
      </c>
      <c r="T84" s="285">
        <v>28</v>
      </c>
      <c r="U84" s="285">
        <v>31</v>
      </c>
      <c r="V84" s="284">
        <v>30</v>
      </c>
      <c r="W84" s="285">
        <v>31</v>
      </c>
      <c r="X84" s="285">
        <v>30</v>
      </c>
      <c r="Y84" s="284">
        <v>31</v>
      </c>
      <c r="Z84" s="285">
        <v>31</v>
      </c>
      <c r="AA84" s="285">
        <v>30</v>
      </c>
      <c r="AB84" s="284">
        <v>31</v>
      </c>
      <c r="AC84" s="285">
        <v>30</v>
      </c>
      <c r="AD84" s="285">
        <v>31</v>
      </c>
      <c r="AE84" s="43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</row>
    <row r="85" spans="1:53" ht="15" customHeight="1" outlineLevel="1">
      <c r="B85" s="35" t="s">
        <v>49</v>
      </c>
      <c r="C85" s="33"/>
      <c r="D85" s="33"/>
      <c r="G85" s="284">
        <v>0</v>
      </c>
      <c r="H85" s="285">
        <v>0</v>
      </c>
      <c r="I85" s="285">
        <v>0</v>
      </c>
      <c r="J85" s="284">
        <v>0</v>
      </c>
      <c r="K85" s="285">
        <v>0</v>
      </c>
      <c r="L85" s="285">
        <v>0</v>
      </c>
      <c r="M85" s="284">
        <v>0</v>
      </c>
      <c r="N85" s="285">
        <v>10</v>
      </c>
      <c r="O85" s="285">
        <v>30</v>
      </c>
      <c r="P85" s="284">
        <v>31</v>
      </c>
      <c r="Q85" s="285">
        <v>30</v>
      </c>
      <c r="R85" s="285">
        <v>31</v>
      </c>
      <c r="S85" s="284">
        <v>31</v>
      </c>
      <c r="T85" s="285">
        <v>28</v>
      </c>
      <c r="U85" s="285">
        <v>31</v>
      </c>
      <c r="V85" s="284">
        <v>30</v>
      </c>
      <c r="W85" s="285">
        <v>31</v>
      </c>
      <c r="X85" s="285">
        <v>30</v>
      </c>
      <c r="Y85" s="284">
        <v>31</v>
      </c>
      <c r="Z85" s="285">
        <v>31</v>
      </c>
      <c r="AA85" s="285">
        <v>30</v>
      </c>
      <c r="AB85" s="284">
        <v>31</v>
      </c>
      <c r="AC85" s="285">
        <v>30</v>
      </c>
      <c r="AD85" s="285">
        <v>31</v>
      </c>
      <c r="AE85" s="3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</row>
    <row r="86" spans="1:53" ht="15" customHeight="1" outlineLevel="1">
      <c r="B86" s="35" t="s">
        <v>50</v>
      </c>
      <c r="C86" s="33"/>
      <c r="D86" s="33"/>
      <c r="E86" s="281"/>
      <c r="F86" s="227"/>
      <c r="G86" s="284">
        <v>31</v>
      </c>
      <c r="H86" s="285">
        <v>29</v>
      </c>
      <c r="I86" s="285">
        <v>31</v>
      </c>
      <c r="J86" s="284">
        <v>30</v>
      </c>
      <c r="K86" s="285">
        <v>31</v>
      </c>
      <c r="L86" s="285">
        <v>30</v>
      </c>
      <c r="M86" s="284">
        <v>31</v>
      </c>
      <c r="N86" s="285">
        <v>31</v>
      </c>
      <c r="O86" s="285">
        <v>30</v>
      </c>
      <c r="P86" s="284">
        <v>31</v>
      </c>
      <c r="Q86" s="285">
        <v>30</v>
      </c>
      <c r="R86" s="285">
        <v>31</v>
      </c>
      <c r="S86" s="284">
        <v>31</v>
      </c>
      <c r="T86" s="285">
        <v>28</v>
      </c>
      <c r="U86" s="285">
        <v>31</v>
      </c>
      <c r="V86" s="284">
        <v>30</v>
      </c>
      <c r="W86" s="285">
        <v>31</v>
      </c>
      <c r="X86" s="285">
        <v>30</v>
      </c>
      <c r="Y86" s="284">
        <v>31</v>
      </c>
      <c r="Z86" s="285">
        <v>31</v>
      </c>
      <c r="AA86" s="285">
        <v>30</v>
      </c>
      <c r="AB86" s="284">
        <v>31</v>
      </c>
      <c r="AC86" s="285">
        <v>30</v>
      </c>
      <c r="AD86" s="285">
        <v>31</v>
      </c>
      <c r="AE86" s="3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</row>
    <row r="87" spans="1:53" ht="15" customHeight="1" outlineLevel="1">
      <c r="B87" s="287" t="s">
        <v>51</v>
      </c>
      <c r="C87" s="33"/>
      <c r="D87" s="33"/>
      <c r="E87" s="281"/>
      <c r="F87" s="227"/>
      <c r="G87" s="284">
        <v>31</v>
      </c>
      <c r="H87" s="285">
        <v>29</v>
      </c>
      <c r="I87" s="285">
        <v>31</v>
      </c>
      <c r="J87" s="284">
        <v>30</v>
      </c>
      <c r="K87" s="285">
        <v>31</v>
      </c>
      <c r="L87" s="285">
        <v>30</v>
      </c>
      <c r="M87" s="284">
        <v>31</v>
      </c>
      <c r="N87" s="285">
        <v>31</v>
      </c>
      <c r="O87" s="285">
        <v>30</v>
      </c>
      <c r="P87" s="284">
        <v>31</v>
      </c>
      <c r="Q87" s="285">
        <v>30</v>
      </c>
      <c r="R87" s="285">
        <v>31</v>
      </c>
      <c r="S87" s="284">
        <v>31</v>
      </c>
      <c r="T87" s="285">
        <v>28</v>
      </c>
      <c r="U87" s="285">
        <v>31</v>
      </c>
      <c r="V87" s="284">
        <v>30</v>
      </c>
      <c r="W87" s="285">
        <v>31</v>
      </c>
      <c r="X87" s="285">
        <v>30</v>
      </c>
      <c r="Y87" s="284">
        <v>31</v>
      </c>
      <c r="Z87" s="285">
        <v>31</v>
      </c>
      <c r="AA87" s="285">
        <v>30</v>
      </c>
      <c r="AB87" s="284">
        <v>31</v>
      </c>
      <c r="AC87" s="285">
        <v>30</v>
      </c>
      <c r="AD87" s="285">
        <v>31</v>
      </c>
      <c r="AE87" s="3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</row>
    <row r="88" spans="1:53" ht="15" customHeight="1" outlineLevel="1">
      <c r="B88" s="287" t="s">
        <v>51</v>
      </c>
      <c r="C88" s="33"/>
      <c r="D88" s="33"/>
      <c r="E88" s="281"/>
      <c r="F88" s="227"/>
      <c r="G88" s="284">
        <v>0</v>
      </c>
      <c r="H88" s="285">
        <v>0</v>
      </c>
      <c r="I88" s="285">
        <v>0</v>
      </c>
      <c r="J88" s="284">
        <v>0</v>
      </c>
      <c r="K88" s="285">
        <v>0</v>
      </c>
      <c r="L88" s="285">
        <v>0</v>
      </c>
      <c r="M88" s="284">
        <v>0</v>
      </c>
      <c r="N88" s="285">
        <v>0</v>
      </c>
      <c r="O88" s="285">
        <v>30</v>
      </c>
      <c r="P88" s="284">
        <v>31</v>
      </c>
      <c r="Q88" s="285">
        <v>30</v>
      </c>
      <c r="R88" s="285">
        <v>31</v>
      </c>
      <c r="S88" s="284">
        <v>31</v>
      </c>
      <c r="T88" s="285">
        <v>28</v>
      </c>
      <c r="U88" s="285">
        <v>31</v>
      </c>
      <c r="V88" s="284">
        <v>30</v>
      </c>
      <c r="W88" s="285">
        <v>31</v>
      </c>
      <c r="X88" s="285">
        <v>30</v>
      </c>
      <c r="Y88" s="284">
        <v>31</v>
      </c>
      <c r="Z88" s="285">
        <v>31</v>
      </c>
      <c r="AA88" s="285">
        <v>30</v>
      </c>
      <c r="AB88" s="284">
        <v>31</v>
      </c>
      <c r="AC88" s="285">
        <v>30</v>
      </c>
      <c r="AD88" s="285">
        <v>31</v>
      </c>
      <c r="AE88" s="3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</row>
    <row r="89" spans="1:53" ht="15" customHeight="1" outlineLevel="1">
      <c r="B89" s="224" t="s">
        <v>52</v>
      </c>
      <c r="G89" s="288">
        <f>G78-EOMONTH(G78,-1)</f>
        <v>31</v>
      </c>
      <c r="H89" s="289">
        <f t="shared" ref="H89:AD89" si="21">H78-EOMONTH(H78,-1)</f>
        <v>29</v>
      </c>
      <c r="I89" s="289">
        <f t="shared" si="21"/>
        <v>31</v>
      </c>
      <c r="J89" s="288">
        <f t="shared" si="21"/>
        <v>30</v>
      </c>
      <c r="K89" s="289">
        <f t="shared" si="21"/>
        <v>31</v>
      </c>
      <c r="L89" s="289">
        <f t="shared" si="21"/>
        <v>30</v>
      </c>
      <c r="M89" s="288">
        <f t="shared" si="21"/>
        <v>31</v>
      </c>
      <c r="N89" s="289">
        <f t="shared" si="21"/>
        <v>31</v>
      </c>
      <c r="O89" s="289">
        <f t="shared" si="21"/>
        <v>30</v>
      </c>
      <c r="P89" s="288">
        <f t="shared" si="21"/>
        <v>31</v>
      </c>
      <c r="Q89" s="289">
        <f t="shared" si="21"/>
        <v>30</v>
      </c>
      <c r="R89" s="289">
        <f t="shared" si="21"/>
        <v>31</v>
      </c>
      <c r="S89" s="288">
        <f t="shared" si="21"/>
        <v>31</v>
      </c>
      <c r="T89" s="289">
        <f t="shared" si="21"/>
        <v>28</v>
      </c>
      <c r="U89" s="289">
        <f t="shared" si="21"/>
        <v>31</v>
      </c>
      <c r="V89" s="288">
        <f t="shared" si="21"/>
        <v>30</v>
      </c>
      <c r="W89" s="289">
        <f t="shared" si="21"/>
        <v>31</v>
      </c>
      <c r="X89" s="289">
        <f t="shared" si="21"/>
        <v>30</v>
      </c>
      <c r="Y89" s="288">
        <f t="shared" si="21"/>
        <v>31</v>
      </c>
      <c r="Z89" s="289">
        <f t="shared" si="21"/>
        <v>31</v>
      </c>
      <c r="AA89" s="289">
        <f t="shared" si="21"/>
        <v>30</v>
      </c>
      <c r="AB89" s="288">
        <f t="shared" si="21"/>
        <v>31</v>
      </c>
      <c r="AC89" s="289">
        <f t="shared" si="21"/>
        <v>30</v>
      </c>
      <c r="AD89" s="289">
        <f t="shared" si="21"/>
        <v>31</v>
      </c>
      <c r="AE89" s="3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</row>
    <row r="90" spans="1:53" ht="15" customHeight="1" outlineLevel="1">
      <c r="G90" s="290"/>
      <c r="H90" s="291"/>
      <c r="I90" s="38"/>
      <c r="J90" s="38"/>
      <c r="K90" s="38"/>
      <c r="L90" s="38"/>
      <c r="M90" s="291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</row>
    <row r="91" spans="1:53" ht="15" customHeight="1" outlineLevel="1">
      <c r="G91" s="292"/>
      <c r="H91" s="293"/>
      <c r="M91" s="293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</row>
    <row r="92" spans="1:53" ht="15" customHeight="1" outlineLevel="1">
      <c r="A92" s="190"/>
      <c r="B92" s="190" t="s">
        <v>53</v>
      </c>
      <c r="C92" s="190"/>
      <c r="D92" s="190"/>
      <c r="G92" s="55">
        <f t="shared" ref="G92:AD92" si="22">G$8</f>
        <v>1</v>
      </c>
      <c r="H92" s="55">
        <f t="shared" si="22"/>
        <v>1</v>
      </c>
      <c r="I92" s="55">
        <f t="shared" si="22"/>
        <v>1</v>
      </c>
      <c r="J92" s="55">
        <f t="shared" si="22"/>
        <v>1</v>
      </c>
      <c r="K92" s="55">
        <f t="shared" si="22"/>
        <v>1</v>
      </c>
      <c r="L92" s="55">
        <f t="shared" si="22"/>
        <v>1</v>
      </c>
      <c r="M92" s="55">
        <f t="shared" si="22"/>
        <v>1</v>
      </c>
      <c r="N92" s="55">
        <f t="shared" si="22"/>
        <v>1</v>
      </c>
      <c r="O92" s="55">
        <f t="shared" si="22"/>
        <v>1</v>
      </c>
      <c r="P92" s="55">
        <f t="shared" si="22"/>
        <v>1</v>
      </c>
      <c r="Q92" s="55">
        <f t="shared" si="22"/>
        <v>1</v>
      </c>
      <c r="R92" s="55">
        <f t="shared" si="22"/>
        <v>1</v>
      </c>
      <c r="S92" s="55">
        <f t="shared" si="22"/>
        <v>0</v>
      </c>
      <c r="T92" s="55">
        <f t="shared" si="22"/>
        <v>0</v>
      </c>
      <c r="U92" s="55">
        <f t="shared" si="22"/>
        <v>0</v>
      </c>
      <c r="V92" s="55">
        <f t="shared" si="22"/>
        <v>0</v>
      </c>
      <c r="W92" s="55">
        <f t="shared" si="22"/>
        <v>0</v>
      </c>
      <c r="X92" s="55">
        <f t="shared" si="22"/>
        <v>0</v>
      </c>
      <c r="Y92" s="55">
        <f t="shared" si="22"/>
        <v>0</v>
      </c>
      <c r="Z92" s="55">
        <f t="shared" si="22"/>
        <v>0</v>
      </c>
      <c r="AA92" s="55">
        <f t="shared" si="22"/>
        <v>0</v>
      </c>
      <c r="AB92" s="55">
        <f t="shared" si="22"/>
        <v>0</v>
      </c>
      <c r="AC92" s="55">
        <f t="shared" si="22"/>
        <v>0</v>
      </c>
      <c r="AD92" s="55">
        <f t="shared" si="22"/>
        <v>0</v>
      </c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</row>
    <row r="93" spans="1:53" s="36" customFormat="1" ht="15" customHeight="1" outlineLevel="1">
      <c r="B93" s="46" t="str">
        <f>Model!$B$81</f>
        <v>Director</v>
      </c>
      <c r="C93" s="33"/>
      <c r="D93" s="33"/>
      <c r="E93" s="23"/>
      <c r="F93" s="227"/>
      <c r="G93" s="282">
        <v>900</v>
      </c>
      <c r="H93" s="283">
        <v>900</v>
      </c>
      <c r="I93" s="283">
        <v>900</v>
      </c>
      <c r="J93" s="282">
        <v>900</v>
      </c>
      <c r="K93" s="283">
        <v>900</v>
      </c>
      <c r="L93" s="283">
        <v>900</v>
      </c>
      <c r="M93" s="282">
        <v>900</v>
      </c>
      <c r="N93" s="283">
        <v>900</v>
      </c>
      <c r="O93" s="283">
        <v>900</v>
      </c>
      <c r="P93" s="282">
        <v>900</v>
      </c>
      <c r="Q93" s="283">
        <v>900</v>
      </c>
      <c r="R93" s="283">
        <v>900</v>
      </c>
      <c r="S93" s="282">
        <v>900</v>
      </c>
      <c r="T93" s="283">
        <v>900</v>
      </c>
      <c r="U93" s="283">
        <v>900</v>
      </c>
      <c r="V93" s="282">
        <v>925</v>
      </c>
      <c r="W93" s="283">
        <v>925</v>
      </c>
      <c r="X93" s="283">
        <v>925</v>
      </c>
      <c r="Y93" s="282">
        <v>925</v>
      </c>
      <c r="Z93" s="283">
        <v>925</v>
      </c>
      <c r="AA93" s="283">
        <v>925</v>
      </c>
      <c r="AB93" s="282">
        <v>925</v>
      </c>
      <c r="AC93" s="283">
        <v>925</v>
      </c>
      <c r="AD93" s="294">
        <v>925</v>
      </c>
      <c r="AF93" s="23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</row>
    <row r="94" spans="1:53" s="36" customFormat="1" ht="15" customHeight="1" outlineLevel="1">
      <c r="B94" s="46" t="str">
        <f>Model!$B$82</f>
        <v>Partner</v>
      </c>
      <c r="C94" s="33"/>
      <c r="D94" s="33"/>
      <c r="E94" s="23"/>
      <c r="F94" s="227"/>
      <c r="G94" s="284">
        <v>825</v>
      </c>
      <c r="H94" s="285">
        <v>825</v>
      </c>
      <c r="I94" s="285">
        <v>825</v>
      </c>
      <c r="J94" s="284">
        <v>825</v>
      </c>
      <c r="K94" s="285">
        <v>825</v>
      </c>
      <c r="L94" s="285">
        <v>825</v>
      </c>
      <c r="M94" s="284">
        <v>825</v>
      </c>
      <c r="N94" s="285">
        <v>825</v>
      </c>
      <c r="O94" s="285">
        <v>825</v>
      </c>
      <c r="P94" s="284">
        <v>825</v>
      </c>
      <c r="Q94" s="285">
        <v>825</v>
      </c>
      <c r="R94" s="285">
        <v>825</v>
      </c>
      <c r="S94" s="284">
        <v>825</v>
      </c>
      <c r="T94" s="285">
        <v>825</v>
      </c>
      <c r="U94" s="285">
        <v>825</v>
      </c>
      <c r="V94" s="284">
        <v>850</v>
      </c>
      <c r="W94" s="285">
        <v>850</v>
      </c>
      <c r="X94" s="285">
        <v>850</v>
      </c>
      <c r="Y94" s="284">
        <v>850</v>
      </c>
      <c r="Z94" s="285">
        <v>850</v>
      </c>
      <c r="AA94" s="285">
        <v>850</v>
      </c>
      <c r="AB94" s="284">
        <v>850</v>
      </c>
      <c r="AC94" s="285">
        <v>850</v>
      </c>
      <c r="AD94" s="295">
        <v>850</v>
      </c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</row>
    <row r="95" spans="1:53" s="36" customFormat="1" ht="15" customHeight="1" outlineLevel="1">
      <c r="B95" s="46" t="str">
        <f>Model!$B$83</f>
        <v>Principal</v>
      </c>
      <c r="C95" s="33"/>
      <c r="D95" s="33"/>
      <c r="E95" s="23"/>
      <c r="F95" s="227"/>
      <c r="G95" s="284">
        <v>750</v>
      </c>
      <c r="H95" s="285">
        <v>750</v>
      </c>
      <c r="I95" s="285">
        <v>750</v>
      </c>
      <c r="J95" s="284">
        <v>750</v>
      </c>
      <c r="K95" s="285">
        <v>750</v>
      </c>
      <c r="L95" s="285">
        <v>750</v>
      </c>
      <c r="M95" s="284">
        <v>750</v>
      </c>
      <c r="N95" s="285">
        <v>750</v>
      </c>
      <c r="O95" s="285">
        <v>750</v>
      </c>
      <c r="P95" s="284">
        <v>750</v>
      </c>
      <c r="Q95" s="285">
        <v>750</v>
      </c>
      <c r="R95" s="285">
        <v>750</v>
      </c>
      <c r="S95" s="284">
        <v>750</v>
      </c>
      <c r="T95" s="285">
        <v>750</v>
      </c>
      <c r="U95" s="285">
        <v>750</v>
      </c>
      <c r="V95" s="284">
        <v>775</v>
      </c>
      <c r="W95" s="285">
        <v>775</v>
      </c>
      <c r="X95" s="285">
        <v>775</v>
      </c>
      <c r="Y95" s="284">
        <v>775</v>
      </c>
      <c r="Z95" s="285">
        <v>775</v>
      </c>
      <c r="AA95" s="285">
        <v>775</v>
      </c>
      <c r="AB95" s="284">
        <v>775</v>
      </c>
      <c r="AC95" s="285">
        <v>775</v>
      </c>
      <c r="AD95" s="295">
        <v>775</v>
      </c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</row>
    <row r="96" spans="1:53" s="36" customFormat="1" ht="15" customHeight="1" outlineLevel="1">
      <c r="B96" s="46" t="str">
        <f>Model!$B$84</f>
        <v>Manager</v>
      </c>
      <c r="C96" s="33"/>
      <c r="D96" s="33"/>
      <c r="E96" s="23"/>
      <c r="F96" s="227"/>
      <c r="G96" s="284">
        <v>375</v>
      </c>
      <c r="H96" s="285">
        <v>375</v>
      </c>
      <c r="I96" s="285">
        <v>375</v>
      </c>
      <c r="J96" s="284">
        <v>375</v>
      </c>
      <c r="K96" s="285">
        <v>375</v>
      </c>
      <c r="L96" s="285">
        <v>375</v>
      </c>
      <c r="M96" s="284">
        <v>375</v>
      </c>
      <c r="N96" s="285">
        <v>375</v>
      </c>
      <c r="O96" s="285">
        <v>375</v>
      </c>
      <c r="P96" s="284">
        <v>375</v>
      </c>
      <c r="Q96" s="285">
        <v>375</v>
      </c>
      <c r="R96" s="285">
        <v>375</v>
      </c>
      <c r="S96" s="284">
        <v>375</v>
      </c>
      <c r="T96" s="285">
        <v>375</v>
      </c>
      <c r="U96" s="285">
        <v>375</v>
      </c>
      <c r="V96" s="284">
        <v>400</v>
      </c>
      <c r="W96" s="285">
        <v>400</v>
      </c>
      <c r="X96" s="285">
        <v>400</v>
      </c>
      <c r="Y96" s="284">
        <v>400</v>
      </c>
      <c r="Z96" s="285">
        <v>400</v>
      </c>
      <c r="AA96" s="285">
        <v>400</v>
      </c>
      <c r="AB96" s="284">
        <v>400</v>
      </c>
      <c r="AC96" s="285">
        <v>400</v>
      </c>
      <c r="AD96" s="295">
        <v>400</v>
      </c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</row>
    <row r="97" spans="2:53" ht="15" customHeight="1" outlineLevel="1">
      <c r="B97" s="46" t="str">
        <f>Model!$B$85</f>
        <v>Sr Associate</v>
      </c>
      <c r="C97" s="33"/>
      <c r="D97" s="33"/>
      <c r="G97" s="284">
        <v>175</v>
      </c>
      <c r="H97" s="285">
        <v>175</v>
      </c>
      <c r="I97" s="285">
        <v>175</v>
      </c>
      <c r="J97" s="284">
        <v>175</v>
      </c>
      <c r="K97" s="285">
        <v>175</v>
      </c>
      <c r="L97" s="285">
        <v>175</v>
      </c>
      <c r="M97" s="284">
        <v>175</v>
      </c>
      <c r="N97" s="285">
        <v>175</v>
      </c>
      <c r="O97" s="285">
        <v>175</v>
      </c>
      <c r="P97" s="284">
        <v>175</v>
      </c>
      <c r="Q97" s="285">
        <v>175</v>
      </c>
      <c r="R97" s="285">
        <v>175</v>
      </c>
      <c r="S97" s="284">
        <v>175</v>
      </c>
      <c r="T97" s="285">
        <v>175</v>
      </c>
      <c r="U97" s="285">
        <v>175</v>
      </c>
      <c r="V97" s="284">
        <v>175</v>
      </c>
      <c r="W97" s="285">
        <v>175</v>
      </c>
      <c r="X97" s="285">
        <v>175</v>
      </c>
      <c r="Y97" s="284">
        <v>175</v>
      </c>
      <c r="Z97" s="285">
        <v>175</v>
      </c>
      <c r="AA97" s="285">
        <v>175</v>
      </c>
      <c r="AB97" s="284">
        <v>175</v>
      </c>
      <c r="AC97" s="285">
        <v>175</v>
      </c>
      <c r="AD97" s="295">
        <v>175</v>
      </c>
      <c r="AF97" s="36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</row>
    <row r="98" spans="2:53" ht="15" customHeight="1" outlineLevel="1">
      <c r="B98" s="46" t="str">
        <f>Model!$B$86</f>
        <v>Associate</v>
      </c>
      <c r="C98" s="33"/>
      <c r="D98" s="33"/>
      <c r="F98" s="227"/>
      <c r="G98" s="284">
        <v>150</v>
      </c>
      <c r="H98" s="285">
        <v>150</v>
      </c>
      <c r="I98" s="285">
        <v>150</v>
      </c>
      <c r="J98" s="284">
        <v>150</v>
      </c>
      <c r="K98" s="285">
        <v>150</v>
      </c>
      <c r="L98" s="285">
        <v>150</v>
      </c>
      <c r="M98" s="284">
        <v>150</v>
      </c>
      <c r="N98" s="285">
        <v>150</v>
      </c>
      <c r="O98" s="285">
        <v>150</v>
      </c>
      <c r="P98" s="284">
        <v>150</v>
      </c>
      <c r="Q98" s="285">
        <v>150</v>
      </c>
      <c r="R98" s="285">
        <v>150</v>
      </c>
      <c r="S98" s="284">
        <v>165</v>
      </c>
      <c r="T98" s="285">
        <v>165</v>
      </c>
      <c r="U98" s="285">
        <v>165</v>
      </c>
      <c r="V98" s="284">
        <v>165</v>
      </c>
      <c r="W98" s="285">
        <v>165</v>
      </c>
      <c r="X98" s="285">
        <v>165</v>
      </c>
      <c r="Y98" s="284">
        <v>165</v>
      </c>
      <c r="Z98" s="285">
        <v>165</v>
      </c>
      <c r="AA98" s="285">
        <v>165</v>
      </c>
      <c r="AB98" s="284">
        <v>165</v>
      </c>
      <c r="AC98" s="285">
        <v>165</v>
      </c>
      <c r="AD98" s="295">
        <v>165</v>
      </c>
      <c r="AF98" s="296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</row>
    <row r="99" spans="2:53" ht="15" customHeight="1" outlineLevel="1">
      <c r="B99" s="46" t="str">
        <f>Model!$B$87</f>
        <v>Analyst</v>
      </c>
      <c r="C99" s="33"/>
      <c r="D99" s="33"/>
      <c r="F99" s="227"/>
      <c r="G99" s="284">
        <v>84</v>
      </c>
      <c r="H99" s="285">
        <v>84</v>
      </c>
      <c r="I99" s="285">
        <v>84</v>
      </c>
      <c r="J99" s="284">
        <v>84</v>
      </c>
      <c r="K99" s="285">
        <v>84</v>
      </c>
      <c r="L99" s="285">
        <v>84</v>
      </c>
      <c r="M99" s="284">
        <v>84</v>
      </c>
      <c r="N99" s="285">
        <v>84</v>
      </c>
      <c r="O99" s="285">
        <v>84</v>
      </c>
      <c r="P99" s="284">
        <v>84</v>
      </c>
      <c r="Q99" s="285">
        <v>84</v>
      </c>
      <c r="R99" s="285">
        <v>84</v>
      </c>
      <c r="S99" s="284">
        <v>95</v>
      </c>
      <c r="T99" s="285">
        <v>95</v>
      </c>
      <c r="U99" s="285">
        <v>95</v>
      </c>
      <c r="V99" s="284">
        <v>95</v>
      </c>
      <c r="W99" s="285">
        <v>95</v>
      </c>
      <c r="X99" s="285">
        <v>95</v>
      </c>
      <c r="Y99" s="284">
        <v>95</v>
      </c>
      <c r="Z99" s="285">
        <v>95</v>
      </c>
      <c r="AA99" s="285">
        <v>95</v>
      </c>
      <c r="AB99" s="284">
        <v>95</v>
      </c>
      <c r="AC99" s="285">
        <v>95</v>
      </c>
      <c r="AD99" s="295">
        <v>95</v>
      </c>
      <c r="AF99" s="296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</row>
    <row r="100" spans="2:53" ht="15" customHeight="1" outlineLevel="1">
      <c r="B100" s="46" t="str">
        <f>Model!$B$88</f>
        <v>Analyst</v>
      </c>
      <c r="C100" s="33"/>
      <c r="D100" s="33"/>
      <c r="F100" s="227"/>
      <c r="G100" s="297">
        <v>84</v>
      </c>
      <c r="H100" s="298">
        <v>84</v>
      </c>
      <c r="I100" s="298">
        <v>84</v>
      </c>
      <c r="J100" s="297">
        <v>84</v>
      </c>
      <c r="K100" s="298">
        <v>84</v>
      </c>
      <c r="L100" s="298">
        <v>84</v>
      </c>
      <c r="M100" s="297">
        <v>84</v>
      </c>
      <c r="N100" s="298">
        <v>84</v>
      </c>
      <c r="O100" s="298">
        <v>84</v>
      </c>
      <c r="P100" s="297">
        <v>84</v>
      </c>
      <c r="Q100" s="298">
        <v>84</v>
      </c>
      <c r="R100" s="298">
        <v>84</v>
      </c>
      <c r="S100" s="297">
        <v>90</v>
      </c>
      <c r="T100" s="298">
        <v>90</v>
      </c>
      <c r="U100" s="298">
        <v>90</v>
      </c>
      <c r="V100" s="297">
        <v>90</v>
      </c>
      <c r="W100" s="298">
        <v>90</v>
      </c>
      <c r="X100" s="298">
        <v>90</v>
      </c>
      <c r="Y100" s="297">
        <v>90</v>
      </c>
      <c r="Z100" s="298">
        <v>90</v>
      </c>
      <c r="AA100" s="298">
        <v>90</v>
      </c>
      <c r="AB100" s="297">
        <v>90</v>
      </c>
      <c r="AC100" s="298">
        <v>90</v>
      </c>
      <c r="AD100" s="299">
        <v>90</v>
      </c>
      <c r="AF100" s="296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</row>
    <row r="101" spans="2:53" ht="15" customHeight="1" outlineLevel="1">
      <c r="B101" s="46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</row>
    <row r="102" spans="2:53" ht="15" customHeight="1" outlineLevel="1">
      <c r="B102" s="46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</row>
    <row r="103" spans="2:53" ht="15" customHeight="1" outlineLevel="1">
      <c r="B103" s="190" t="s">
        <v>54</v>
      </c>
      <c r="G103" s="55">
        <f t="shared" ref="G103:AD103" si="23">G$8</f>
        <v>1</v>
      </c>
      <c r="H103" s="55">
        <f t="shared" si="23"/>
        <v>1</v>
      </c>
      <c r="I103" s="55">
        <f t="shared" si="23"/>
        <v>1</v>
      </c>
      <c r="J103" s="55">
        <f t="shared" si="23"/>
        <v>1</v>
      </c>
      <c r="K103" s="55">
        <f t="shared" si="23"/>
        <v>1</v>
      </c>
      <c r="L103" s="55">
        <f t="shared" si="23"/>
        <v>1</v>
      </c>
      <c r="M103" s="55">
        <f t="shared" si="23"/>
        <v>1</v>
      </c>
      <c r="N103" s="55">
        <f t="shared" si="23"/>
        <v>1</v>
      </c>
      <c r="O103" s="55">
        <f t="shared" si="23"/>
        <v>1</v>
      </c>
      <c r="P103" s="55">
        <f t="shared" si="23"/>
        <v>1</v>
      </c>
      <c r="Q103" s="55">
        <f t="shared" si="23"/>
        <v>1</v>
      </c>
      <c r="R103" s="55">
        <f t="shared" si="23"/>
        <v>1</v>
      </c>
      <c r="S103" s="55">
        <f t="shared" si="23"/>
        <v>0</v>
      </c>
      <c r="T103" s="55">
        <f t="shared" si="23"/>
        <v>0</v>
      </c>
      <c r="U103" s="55">
        <f t="shared" si="23"/>
        <v>0</v>
      </c>
      <c r="V103" s="55">
        <f t="shared" si="23"/>
        <v>0</v>
      </c>
      <c r="W103" s="55">
        <f t="shared" si="23"/>
        <v>0</v>
      </c>
      <c r="X103" s="55">
        <f t="shared" si="23"/>
        <v>0</v>
      </c>
      <c r="Y103" s="55">
        <f t="shared" si="23"/>
        <v>0</v>
      </c>
      <c r="Z103" s="55">
        <f t="shared" si="23"/>
        <v>0</v>
      </c>
      <c r="AA103" s="55">
        <f t="shared" si="23"/>
        <v>0</v>
      </c>
      <c r="AB103" s="55">
        <f t="shared" si="23"/>
        <v>0</v>
      </c>
      <c r="AC103" s="55">
        <f t="shared" si="23"/>
        <v>0</v>
      </c>
      <c r="AD103" s="55">
        <f t="shared" si="23"/>
        <v>0</v>
      </c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</row>
    <row r="104" spans="2:53" ht="15" customHeight="1" outlineLevel="1">
      <c r="B104" s="46" t="str">
        <f>Model!$B$81</f>
        <v>Director</v>
      </c>
      <c r="G104" s="300">
        <f>G93*(G81/SUM($G$89:$R$89))</f>
        <v>76.229508196721312</v>
      </c>
      <c r="H104" s="301">
        <f t="shared" ref="H104:Q104" si="24">H93*(H81/SUM($G$89:$R$89))</f>
        <v>71.311475409836063</v>
      </c>
      <c r="I104" s="301">
        <f t="shared" si="24"/>
        <v>76.229508196721312</v>
      </c>
      <c r="J104" s="300">
        <f t="shared" si="24"/>
        <v>73.770491803278688</v>
      </c>
      <c r="K104" s="301">
        <f t="shared" si="24"/>
        <v>76.229508196721312</v>
      </c>
      <c r="L104" s="301">
        <f>L93*(L81/SUM($G$89:$R$89))</f>
        <v>73.770491803278688</v>
      </c>
      <c r="M104" s="300">
        <f t="shared" si="24"/>
        <v>76.229508196721312</v>
      </c>
      <c r="N104" s="301">
        <f t="shared" si="24"/>
        <v>76.229508196721312</v>
      </c>
      <c r="O104" s="301">
        <f t="shared" si="24"/>
        <v>73.770491803278688</v>
      </c>
      <c r="P104" s="300">
        <f t="shared" si="24"/>
        <v>76.229508196721312</v>
      </c>
      <c r="Q104" s="301">
        <f t="shared" si="24"/>
        <v>73.770491803278688</v>
      </c>
      <c r="R104" s="301">
        <f>R93*(R81/SUM($G$89:$R$89))</f>
        <v>76.229508196721312</v>
      </c>
      <c r="S104" s="300">
        <f t="shared" ref="S104:AD111" si="25">S93*(S81/SUM($S$89:$AD$89))</f>
        <v>76.438356164383563</v>
      </c>
      <c r="T104" s="301">
        <f t="shared" si="25"/>
        <v>69.041095890410958</v>
      </c>
      <c r="U104" s="301">
        <f>U93*(U81/SUM($S$89:$AD$89))</f>
        <v>76.438356164383563</v>
      </c>
      <c r="V104" s="300">
        <f t="shared" si="25"/>
        <v>76.027397260273972</v>
      </c>
      <c r="W104" s="301">
        <f t="shared" si="25"/>
        <v>78.561643835616437</v>
      </c>
      <c r="X104" s="301">
        <f t="shared" si="25"/>
        <v>76.027397260273972</v>
      </c>
      <c r="Y104" s="300">
        <f>Y93*(Y81/SUM($S$89:$AD$89))</f>
        <v>78.561643835616437</v>
      </c>
      <c r="Z104" s="301">
        <f t="shared" si="25"/>
        <v>78.561643835616437</v>
      </c>
      <c r="AA104" s="301">
        <f t="shared" si="25"/>
        <v>76.027397260273972</v>
      </c>
      <c r="AB104" s="300">
        <f t="shared" si="25"/>
        <v>78.561643835616437</v>
      </c>
      <c r="AC104" s="301">
        <f t="shared" si="25"/>
        <v>76.027397260273972</v>
      </c>
      <c r="AD104" s="301">
        <f t="shared" si="25"/>
        <v>78.561643835616437</v>
      </c>
      <c r="AE104" s="3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</row>
    <row r="105" spans="2:53" ht="15" customHeight="1" outlineLevel="1">
      <c r="B105" s="46" t="str">
        <f>Model!$B$82</f>
        <v>Partner</v>
      </c>
      <c r="G105" s="302">
        <f t="shared" ref="G105:R111" si="26">G94*(G82/SUM($G$89:$R$89))</f>
        <v>69.877049180327873</v>
      </c>
      <c r="H105" s="303">
        <f t="shared" si="26"/>
        <v>65.368852459016395</v>
      </c>
      <c r="I105" s="303">
        <f t="shared" si="26"/>
        <v>69.877049180327873</v>
      </c>
      <c r="J105" s="302">
        <f t="shared" si="26"/>
        <v>67.622950819672127</v>
      </c>
      <c r="K105" s="303">
        <f t="shared" si="26"/>
        <v>69.877049180327873</v>
      </c>
      <c r="L105" s="303">
        <f t="shared" si="26"/>
        <v>67.622950819672127</v>
      </c>
      <c r="M105" s="302">
        <f t="shared" si="26"/>
        <v>69.877049180327873</v>
      </c>
      <c r="N105" s="303">
        <f t="shared" si="26"/>
        <v>69.877049180327873</v>
      </c>
      <c r="O105" s="303">
        <f t="shared" si="26"/>
        <v>67.622950819672127</v>
      </c>
      <c r="P105" s="302">
        <f t="shared" si="26"/>
        <v>69.877049180327873</v>
      </c>
      <c r="Q105" s="303">
        <f t="shared" si="26"/>
        <v>67.622950819672127</v>
      </c>
      <c r="R105" s="303">
        <f t="shared" si="26"/>
        <v>69.877049180327873</v>
      </c>
      <c r="S105" s="302">
        <f t="shared" si="25"/>
        <v>70.06849315068493</v>
      </c>
      <c r="T105" s="303">
        <f t="shared" si="25"/>
        <v>63.287671232876718</v>
      </c>
      <c r="U105" s="303">
        <f t="shared" si="25"/>
        <v>70.06849315068493</v>
      </c>
      <c r="V105" s="302">
        <f t="shared" si="25"/>
        <v>69.863013698630127</v>
      </c>
      <c r="W105" s="303">
        <f t="shared" si="25"/>
        <v>72.191780821917803</v>
      </c>
      <c r="X105" s="303">
        <f t="shared" si="25"/>
        <v>69.863013698630127</v>
      </c>
      <c r="Y105" s="302">
        <f t="shared" si="25"/>
        <v>72.191780821917803</v>
      </c>
      <c r="Z105" s="303">
        <f t="shared" si="25"/>
        <v>72.191780821917803</v>
      </c>
      <c r="AA105" s="303">
        <f t="shared" si="25"/>
        <v>69.863013698630127</v>
      </c>
      <c r="AB105" s="302">
        <f t="shared" si="25"/>
        <v>72.191780821917803</v>
      </c>
      <c r="AC105" s="303">
        <f t="shared" si="25"/>
        <v>69.863013698630127</v>
      </c>
      <c r="AD105" s="303">
        <f t="shared" si="25"/>
        <v>72.191780821917803</v>
      </c>
      <c r="AE105" s="3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</row>
    <row r="106" spans="2:53" ht="15" customHeight="1" outlineLevel="1">
      <c r="B106" s="46" t="str">
        <f>Model!$B$83</f>
        <v>Principal</v>
      </c>
      <c r="G106" s="302">
        <f t="shared" si="26"/>
        <v>63.524590163934427</v>
      </c>
      <c r="H106" s="303">
        <f t="shared" si="26"/>
        <v>59.426229508196727</v>
      </c>
      <c r="I106" s="303">
        <f t="shared" si="26"/>
        <v>63.524590163934427</v>
      </c>
      <c r="J106" s="302">
        <f t="shared" si="26"/>
        <v>61.475409836065566</v>
      </c>
      <c r="K106" s="303">
        <f t="shared" si="26"/>
        <v>63.524590163934427</v>
      </c>
      <c r="L106" s="303">
        <f t="shared" si="26"/>
        <v>61.475409836065566</v>
      </c>
      <c r="M106" s="302">
        <f t="shared" si="26"/>
        <v>63.524590163934427</v>
      </c>
      <c r="N106" s="303">
        <f t="shared" si="26"/>
        <v>63.524590163934427</v>
      </c>
      <c r="O106" s="303">
        <f t="shared" si="26"/>
        <v>61.475409836065566</v>
      </c>
      <c r="P106" s="302">
        <f t="shared" si="26"/>
        <v>63.524590163934427</v>
      </c>
      <c r="Q106" s="303">
        <f t="shared" si="26"/>
        <v>61.475409836065566</v>
      </c>
      <c r="R106" s="303">
        <f t="shared" si="26"/>
        <v>63.524590163934427</v>
      </c>
      <c r="S106" s="302">
        <f t="shared" si="25"/>
        <v>63.698630136986303</v>
      </c>
      <c r="T106" s="303">
        <f t="shared" si="25"/>
        <v>57.534246575342472</v>
      </c>
      <c r="U106" s="303">
        <f t="shared" si="25"/>
        <v>63.698630136986303</v>
      </c>
      <c r="V106" s="302">
        <f t="shared" si="25"/>
        <v>63.698630136986296</v>
      </c>
      <c r="W106" s="303">
        <f t="shared" si="25"/>
        <v>65.821917808219183</v>
      </c>
      <c r="X106" s="303">
        <f t="shared" si="25"/>
        <v>63.698630136986296</v>
      </c>
      <c r="Y106" s="302">
        <f t="shared" si="25"/>
        <v>65.821917808219183</v>
      </c>
      <c r="Z106" s="303">
        <f t="shared" si="25"/>
        <v>65.821917808219183</v>
      </c>
      <c r="AA106" s="303">
        <f t="shared" si="25"/>
        <v>63.698630136986296</v>
      </c>
      <c r="AB106" s="302">
        <f t="shared" si="25"/>
        <v>65.821917808219183</v>
      </c>
      <c r="AC106" s="303">
        <f t="shared" si="25"/>
        <v>63.698630136986296</v>
      </c>
      <c r="AD106" s="303">
        <f t="shared" si="25"/>
        <v>65.821917808219183</v>
      </c>
      <c r="AE106" s="3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</row>
    <row r="107" spans="2:53" ht="15" customHeight="1" outlineLevel="1">
      <c r="B107" s="46" t="str">
        <f>Model!$B$84</f>
        <v>Manager</v>
      </c>
      <c r="G107" s="302">
        <f t="shared" si="26"/>
        <v>0</v>
      </c>
      <c r="H107" s="303">
        <f t="shared" si="26"/>
        <v>0</v>
      </c>
      <c r="I107" s="303">
        <f t="shared" si="26"/>
        <v>0</v>
      </c>
      <c r="J107" s="302">
        <f t="shared" si="26"/>
        <v>0</v>
      </c>
      <c r="K107" s="303">
        <f t="shared" si="26"/>
        <v>0</v>
      </c>
      <c r="L107" s="303">
        <f t="shared" si="26"/>
        <v>0</v>
      </c>
      <c r="M107" s="302">
        <f t="shared" si="26"/>
        <v>0</v>
      </c>
      <c r="N107" s="303">
        <f t="shared" si="26"/>
        <v>22.540983606557376</v>
      </c>
      <c r="O107" s="303">
        <f t="shared" si="26"/>
        <v>30.737704918032783</v>
      </c>
      <c r="P107" s="302">
        <f t="shared" si="26"/>
        <v>31.762295081967213</v>
      </c>
      <c r="Q107" s="303">
        <f t="shared" si="26"/>
        <v>30.737704918032783</v>
      </c>
      <c r="R107" s="303">
        <f t="shared" si="26"/>
        <v>31.762295081967213</v>
      </c>
      <c r="S107" s="302">
        <f t="shared" si="25"/>
        <v>31.849315068493151</v>
      </c>
      <c r="T107" s="303">
        <f t="shared" si="25"/>
        <v>28.767123287671236</v>
      </c>
      <c r="U107" s="303">
        <f t="shared" si="25"/>
        <v>31.849315068493151</v>
      </c>
      <c r="V107" s="302">
        <f t="shared" si="25"/>
        <v>32.87671232876712</v>
      </c>
      <c r="W107" s="303">
        <f t="shared" si="25"/>
        <v>33.972602739726028</v>
      </c>
      <c r="X107" s="303">
        <f t="shared" si="25"/>
        <v>32.87671232876712</v>
      </c>
      <c r="Y107" s="302">
        <f t="shared" si="25"/>
        <v>33.972602739726028</v>
      </c>
      <c r="Z107" s="303">
        <f t="shared" si="25"/>
        <v>33.972602739726028</v>
      </c>
      <c r="AA107" s="303">
        <f t="shared" si="25"/>
        <v>32.87671232876712</v>
      </c>
      <c r="AB107" s="302">
        <f t="shared" si="25"/>
        <v>33.972602739726028</v>
      </c>
      <c r="AC107" s="303">
        <f t="shared" si="25"/>
        <v>32.87671232876712</v>
      </c>
      <c r="AD107" s="303">
        <f t="shared" si="25"/>
        <v>33.972602739726028</v>
      </c>
      <c r="AE107" s="3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</row>
    <row r="108" spans="2:53" ht="15" customHeight="1" outlineLevel="1">
      <c r="B108" s="46" t="str">
        <f>Model!$B$85</f>
        <v>Sr Associate</v>
      </c>
      <c r="G108" s="302">
        <f t="shared" si="26"/>
        <v>0</v>
      </c>
      <c r="H108" s="303">
        <f t="shared" si="26"/>
        <v>0</v>
      </c>
      <c r="I108" s="303">
        <f t="shared" si="26"/>
        <v>0</v>
      </c>
      <c r="J108" s="302">
        <f t="shared" si="26"/>
        <v>0</v>
      </c>
      <c r="K108" s="303">
        <f t="shared" si="26"/>
        <v>0</v>
      </c>
      <c r="L108" s="303">
        <f t="shared" si="26"/>
        <v>0</v>
      </c>
      <c r="M108" s="302">
        <f t="shared" si="26"/>
        <v>0</v>
      </c>
      <c r="N108" s="303">
        <f t="shared" si="26"/>
        <v>4.7814207650273222</v>
      </c>
      <c r="O108" s="303">
        <f t="shared" si="26"/>
        <v>14.344262295081966</v>
      </c>
      <c r="P108" s="302">
        <f t="shared" si="26"/>
        <v>14.8224043715847</v>
      </c>
      <c r="Q108" s="303">
        <f t="shared" si="26"/>
        <v>14.344262295081966</v>
      </c>
      <c r="R108" s="303">
        <f t="shared" si="26"/>
        <v>14.8224043715847</v>
      </c>
      <c r="S108" s="302">
        <f t="shared" si="25"/>
        <v>14.863013698630137</v>
      </c>
      <c r="T108" s="303">
        <f t="shared" si="25"/>
        <v>13.424657534246576</v>
      </c>
      <c r="U108" s="303">
        <f t="shared" si="25"/>
        <v>14.863013698630137</v>
      </c>
      <c r="V108" s="302">
        <f t="shared" si="25"/>
        <v>14.383561643835616</v>
      </c>
      <c r="W108" s="303">
        <f t="shared" si="25"/>
        <v>14.863013698630137</v>
      </c>
      <c r="X108" s="303">
        <f t="shared" si="25"/>
        <v>14.383561643835616</v>
      </c>
      <c r="Y108" s="302">
        <f t="shared" si="25"/>
        <v>14.863013698630137</v>
      </c>
      <c r="Z108" s="303">
        <f t="shared" si="25"/>
        <v>14.863013698630137</v>
      </c>
      <c r="AA108" s="303">
        <f t="shared" si="25"/>
        <v>14.383561643835616</v>
      </c>
      <c r="AB108" s="302">
        <f t="shared" si="25"/>
        <v>14.863013698630137</v>
      </c>
      <c r="AC108" s="303">
        <f t="shared" si="25"/>
        <v>14.383561643835616</v>
      </c>
      <c r="AD108" s="303">
        <f t="shared" si="25"/>
        <v>14.863013698630137</v>
      </c>
      <c r="AE108" s="3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</row>
    <row r="109" spans="2:53" ht="15" customHeight="1" outlineLevel="1">
      <c r="B109" s="46" t="str">
        <f>Model!$B$86</f>
        <v>Associate</v>
      </c>
      <c r="G109" s="302">
        <f t="shared" si="26"/>
        <v>12.704918032786885</v>
      </c>
      <c r="H109" s="303">
        <f t="shared" si="26"/>
        <v>11.885245901639346</v>
      </c>
      <c r="I109" s="303">
        <f t="shared" si="26"/>
        <v>12.704918032786885</v>
      </c>
      <c r="J109" s="302">
        <f t="shared" si="26"/>
        <v>12.295081967213115</v>
      </c>
      <c r="K109" s="303">
        <f t="shared" si="26"/>
        <v>12.704918032786885</v>
      </c>
      <c r="L109" s="303">
        <f t="shared" si="26"/>
        <v>12.295081967213115</v>
      </c>
      <c r="M109" s="302">
        <f t="shared" si="26"/>
        <v>12.704918032786885</v>
      </c>
      <c r="N109" s="303">
        <f t="shared" si="26"/>
        <v>12.704918032786885</v>
      </c>
      <c r="O109" s="303">
        <f t="shared" si="26"/>
        <v>12.295081967213115</v>
      </c>
      <c r="P109" s="302">
        <f t="shared" si="26"/>
        <v>12.704918032786885</v>
      </c>
      <c r="Q109" s="303">
        <f t="shared" si="26"/>
        <v>12.295081967213115</v>
      </c>
      <c r="R109" s="303">
        <f t="shared" si="26"/>
        <v>12.704918032786885</v>
      </c>
      <c r="S109" s="302">
        <f t="shared" si="25"/>
        <v>14.013698630136986</v>
      </c>
      <c r="T109" s="303">
        <f t="shared" si="25"/>
        <v>12.657534246575343</v>
      </c>
      <c r="U109" s="303">
        <f t="shared" si="25"/>
        <v>14.013698630136986</v>
      </c>
      <c r="V109" s="302">
        <f t="shared" si="25"/>
        <v>13.561643835616438</v>
      </c>
      <c r="W109" s="303">
        <f t="shared" si="25"/>
        <v>14.013698630136986</v>
      </c>
      <c r="X109" s="303">
        <f t="shared" si="25"/>
        <v>13.561643835616438</v>
      </c>
      <c r="Y109" s="302">
        <f t="shared" si="25"/>
        <v>14.013698630136986</v>
      </c>
      <c r="Z109" s="303">
        <f t="shared" si="25"/>
        <v>14.013698630136986</v>
      </c>
      <c r="AA109" s="303">
        <f t="shared" si="25"/>
        <v>13.561643835616438</v>
      </c>
      <c r="AB109" s="302">
        <f t="shared" si="25"/>
        <v>14.013698630136986</v>
      </c>
      <c r="AC109" s="303">
        <f t="shared" si="25"/>
        <v>13.561643835616438</v>
      </c>
      <c r="AD109" s="303">
        <f t="shared" si="25"/>
        <v>14.013698630136986</v>
      </c>
      <c r="AE109" s="3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</row>
    <row r="110" spans="2:53" ht="15" customHeight="1" outlineLevel="1">
      <c r="B110" s="46" t="str">
        <f>Model!$B$87</f>
        <v>Analyst</v>
      </c>
      <c r="G110" s="302">
        <f t="shared" si="26"/>
        <v>7.1147540983606552</v>
      </c>
      <c r="H110" s="303">
        <f t="shared" si="26"/>
        <v>6.6557377049180335</v>
      </c>
      <c r="I110" s="303">
        <f t="shared" si="26"/>
        <v>7.1147540983606552</v>
      </c>
      <c r="J110" s="302">
        <f t="shared" si="26"/>
        <v>6.8852459016393439</v>
      </c>
      <c r="K110" s="303">
        <f t="shared" si="26"/>
        <v>7.1147540983606552</v>
      </c>
      <c r="L110" s="303">
        <f t="shared" si="26"/>
        <v>6.8852459016393439</v>
      </c>
      <c r="M110" s="302">
        <f t="shared" si="26"/>
        <v>7.1147540983606552</v>
      </c>
      <c r="N110" s="303">
        <f t="shared" si="26"/>
        <v>7.1147540983606552</v>
      </c>
      <c r="O110" s="303">
        <f t="shared" si="26"/>
        <v>6.8852459016393439</v>
      </c>
      <c r="P110" s="302">
        <f t="shared" si="26"/>
        <v>7.1147540983606552</v>
      </c>
      <c r="Q110" s="303">
        <f t="shared" si="26"/>
        <v>6.8852459016393439</v>
      </c>
      <c r="R110" s="303">
        <f t="shared" si="26"/>
        <v>7.1147540983606552</v>
      </c>
      <c r="S110" s="302">
        <f t="shared" si="25"/>
        <v>8.0684931506849313</v>
      </c>
      <c r="T110" s="303">
        <f t="shared" si="25"/>
        <v>7.287671232876713</v>
      </c>
      <c r="U110" s="303">
        <f t="shared" si="25"/>
        <v>8.0684931506849313</v>
      </c>
      <c r="V110" s="302">
        <f t="shared" si="25"/>
        <v>7.808219178082191</v>
      </c>
      <c r="W110" s="303">
        <f t="shared" si="25"/>
        <v>8.0684931506849313</v>
      </c>
      <c r="X110" s="303">
        <f t="shared" si="25"/>
        <v>7.808219178082191</v>
      </c>
      <c r="Y110" s="302">
        <f t="shared" si="25"/>
        <v>8.0684931506849313</v>
      </c>
      <c r="Z110" s="303">
        <f t="shared" si="25"/>
        <v>8.0684931506849313</v>
      </c>
      <c r="AA110" s="303">
        <f t="shared" si="25"/>
        <v>7.808219178082191</v>
      </c>
      <c r="AB110" s="302">
        <f t="shared" si="25"/>
        <v>8.0684931506849313</v>
      </c>
      <c r="AC110" s="303">
        <f t="shared" si="25"/>
        <v>7.808219178082191</v>
      </c>
      <c r="AD110" s="303">
        <f t="shared" si="25"/>
        <v>8.0684931506849313</v>
      </c>
      <c r="AE110" s="3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</row>
    <row r="111" spans="2:53" ht="15" customHeight="1" outlineLevel="1">
      <c r="B111" s="46" t="str">
        <f>Model!$B$88</f>
        <v>Analyst</v>
      </c>
      <c r="G111" s="302">
        <f t="shared" si="26"/>
        <v>0</v>
      </c>
      <c r="H111" s="303">
        <f t="shared" si="26"/>
        <v>0</v>
      </c>
      <c r="I111" s="303">
        <f t="shared" si="26"/>
        <v>0</v>
      </c>
      <c r="J111" s="302">
        <f t="shared" si="26"/>
        <v>0</v>
      </c>
      <c r="K111" s="303">
        <f t="shared" si="26"/>
        <v>0</v>
      </c>
      <c r="L111" s="303">
        <f t="shared" si="26"/>
        <v>0</v>
      </c>
      <c r="M111" s="302">
        <f t="shared" si="26"/>
        <v>0</v>
      </c>
      <c r="N111" s="303">
        <f t="shared" si="26"/>
        <v>0</v>
      </c>
      <c r="O111" s="303">
        <f t="shared" si="26"/>
        <v>6.8852459016393439</v>
      </c>
      <c r="P111" s="302">
        <f t="shared" si="26"/>
        <v>7.1147540983606552</v>
      </c>
      <c r="Q111" s="303">
        <f t="shared" si="26"/>
        <v>6.8852459016393439</v>
      </c>
      <c r="R111" s="303">
        <f>R100*(R88/SUM($G$89:$R$89))</f>
        <v>7.1147540983606552</v>
      </c>
      <c r="S111" s="302">
        <f>S100*(S88/SUM($S$89:$AD$89))</f>
        <v>7.6438356164383556</v>
      </c>
      <c r="T111" s="303">
        <f t="shared" si="25"/>
        <v>6.904109589041096</v>
      </c>
      <c r="U111" s="303">
        <f t="shared" si="25"/>
        <v>7.6438356164383556</v>
      </c>
      <c r="V111" s="302">
        <f t="shared" si="25"/>
        <v>7.3972602739726021</v>
      </c>
      <c r="W111" s="303">
        <f t="shared" si="25"/>
        <v>7.6438356164383556</v>
      </c>
      <c r="X111" s="303">
        <f t="shared" si="25"/>
        <v>7.3972602739726021</v>
      </c>
      <c r="Y111" s="302">
        <f t="shared" si="25"/>
        <v>7.6438356164383556</v>
      </c>
      <c r="Z111" s="303">
        <f t="shared" si="25"/>
        <v>7.6438356164383556</v>
      </c>
      <c r="AA111" s="303">
        <f t="shared" si="25"/>
        <v>7.3972602739726021</v>
      </c>
      <c r="AB111" s="302">
        <f t="shared" si="25"/>
        <v>7.6438356164383556</v>
      </c>
      <c r="AC111" s="303">
        <f t="shared" si="25"/>
        <v>7.3972602739726021</v>
      </c>
      <c r="AD111" s="303">
        <f t="shared" si="25"/>
        <v>7.6438356164383556</v>
      </c>
      <c r="AE111" s="3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</row>
    <row r="112" spans="2:53" ht="15" customHeight="1" outlineLevel="1">
      <c r="B112" s="46" t="s">
        <v>55</v>
      </c>
      <c r="G112" s="304">
        <f>SUM(G104:G111)</f>
        <v>229.45081967213113</v>
      </c>
      <c r="H112" s="305">
        <f t="shared" ref="H112:AD112" si="27">SUM(H104:H111)</f>
        <v>214.64754098360655</v>
      </c>
      <c r="I112" s="305">
        <f t="shared" si="27"/>
        <v>229.45081967213113</v>
      </c>
      <c r="J112" s="304">
        <f t="shared" si="27"/>
        <v>222.04918032786887</v>
      </c>
      <c r="K112" s="305">
        <f t="shared" si="27"/>
        <v>229.45081967213113</v>
      </c>
      <c r="L112" s="305">
        <f t="shared" si="27"/>
        <v>222.04918032786887</v>
      </c>
      <c r="M112" s="304">
        <f t="shared" si="27"/>
        <v>229.45081967213113</v>
      </c>
      <c r="N112" s="305">
        <f t="shared" si="27"/>
        <v>256.7732240437158</v>
      </c>
      <c r="O112" s="305">
        <f t="shared" si="27"/>
        <v>274.01639344262293</v>
      </c>
      <c r="P112" s="304">
        <f t="shared" si="27"/>
        <v>283.15027322404376</v>
      </c>
      <c r="Q112" s="305">
        <f t="shared" si="27"/>
        <v>274.01639344262293</v>
      </c>
      <c r="R112" s="305">
        <f t="shared" si="27"/>
        <v>283.15027322404376</v>
      </c>
      <c r="S112" s="304">
        <f t="shared" si="27"/>
        <v>286.64383561643837</v>
      </c>
      <c r="T112" s="305">
        <f t="shared" si="27"/>
        <v>258.90410958904107</v>
      </c>
      <c r="U112" s="305">
        <f t="shared" si="27"/>
        <v>286.64383561643837</v>
      </c>
      <c r="V112" s="304">
        <f t="shared" si="27"/>
        <v>285.61643835616445</v>
      </c>
      <c r="W112" s="305">
        <f t="shared" si="27"/>
        <v>295.13698630136986</v>
      </c>
      <c r="X112" s="305">
        <f t="shared" si="27"/>
        <v>285.61643835616445</v>
      </c>
      <c r="Y112" s="304">
        <f t="shared" si="27"/>
        <v>295.13698630136986</v>
      </c>
      <c r="Z112" s="305">
        <f t="shared" si="27"/>
        <v>295.13698630136986</v>
      </c>
      <c r="AA112" s="305">
        <f t="shared" si="27"/>
        <v>285.61643835616445</v>
      </c>
      <c r="AB112" s="304">
        <f t="shared" si="27"/>
        <v>295.13698630136986</v>
      </c>
      <c r="AC112" s="305">
        <f t="shared" si="27"/>
        <v>285.61643835616445</v>
      </c>
      <c r="AD112" s="254">
        <f t="shared" si="27"/>
        <v>295.13698630136986</v>
      </c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</row>
    <row r="113" spans="1:53" ht="15" customHeight="1" outlineLevel="1">
      <c r="B113" s="33"/>
      <c r="C113" s="33"/>
      <c r="D113" s="33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</row>
    <row r="114" spans="1:53" ht="15" customHeight="1" outlineLevel="1">
      <c r="B114" s="306"/>
      <c r="D114" s="33"/>
      <c r="G114" s="306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</row>
    <row r="115" spans="1:53" ht="15" customHeight="1" outlineLevel="1">
      <c r="B115" s="190" t="s">
        <v>56</v>
      </c>
      <c r="C115" s="33"/>
      <c r="D115" s="33"/>
      <c r="G115" s="307">
        <f>COUNTIF(G81:G88,"&lt;&gt;0")</f>
        <v>5</v>
      </c>
      <c r="H115" s="308">
        <f t="shared" ref="H115:AD115" si="28">COUNTIF(H81:H88,"&lt;&gt;0")</f>
        <v>5</v>
      </c>
      <c r="I115" s="308">
        <f t="shared" si="28"/>
        <v>5</v>
      </c>
      <c r="J115" s="307">
        <f t="shared" si="28"/>
        <v>5</v>
      </c>
      <c r="K115" s="308">
        <f t="shared" si="28"/>
        <v>5</v>
      </c>
      <c r="L115" s="308">
        <f t="shared" si="28"/>
        <v>5</v>
      </c>
      <c r="M115" s="307">
        <f t="shared" si="28"/>
        <v>5</v>
      </c>
      <c r="N115" s="308">
        <f t="shared" si="28"/>
        <v>7</v>
      </c>
      <c r="O115" s="308">
        <f t="shared" si="28"/>
        <v>8</v>
      </c>
      <c r="P115" s="307">
        <f t="shared" si="28"/>
        <v>8</v>
      </c>
      <c r="Q115" s="308">
        <f t="shared" si="28"/>
        <v>8</v>
      </c>
      <c r="R115" s="308">
        <f t="shared" si="28"/>
        <v>8</v>
      </c>
      <c r="S115" s="307">
        <f t="shared" si="28"/>
        <v>8</v>
      </c>
      <c r="T115" s="308">
        <f t="shared" si="28"/>
        <v>8</v>
      </c>
      <c r="U115" s="308">
        <f t="shared" si="28"/>
        <v>8</v>
      </c>
      <c r="V115" s="307">
        <f t="shared" si="28"/>
        <v>8</v>
      </c>
      <c r="W115" s="308">
        <f t="shared" si="28"/>
        <v>8</v>
      </c>
      <c r="X115" s="308">
        <f t="shared" si="28"/>
        <v>8</v>
      </c>
      <c r="Y115" s="307">
        <f t="shared" si="28"/>
        <v>8</v>
      </c>
      <c r="Z115" s="308">
        <f t="shared" si="28"/>
        <v>8</v>
      </c>
      <c r="AA115" s="308">
        <f t="shared" si="28"/>
        <v>8</v>
      </c>
      <c r="AB115" s="307">
        <f t="shared" si="28"/>
        <v>8</v>
      </c>
      <c r="AC115" s="308">
        <f t="shared" si="28"/>
        <v>8</v>
      </c>
      <c r="AD115" s="254">
        <f t="shared" si="28"/>
        <v>8</v>
      </c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</row>
    <row r="116" spans="1:53" ht="15" customHeight="1" outlineLevel="1">
      <c r="B116" s="190"/>
      <c r="C116" s="33"/>
      <c r="D116" s="33"/>
      <c r="G116" s="309"/>
      <c r="H116" s="309"/>
      <c r="I116" s="309"/>
      <c r="J116" s="309"/>
      <c r="K116" s="309"/>
      <c r="L116" s="309"/>
      <c r="M116" s="309"/>
      <c r="N116" s="309"/>
      <c r="O116" s="309"/>
      <c r="P116" s="309"/>
      <c r="Q116" s="309"/>
      <c r="R116" s="309"/>
      <c r="S116" s="309"/>
      <c r="T116" s="309"/>
      <c r="U116" s="309"/>
      <c r="V116" s="309"/>
      <c r="W116" s="309"/>
      <c r="X116" s="309"/>
      <c r="Y116" s="309"/>
      <c r="Z116" s="309"/>
      <c r="AA116" s="309"/>
      <c r="AB116" s="309"/>
      <c r="AC116" s="309"/>
      <c r="AD116" s="310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</row>
    <row r="117" spans="1:53" ht="15" customHeight="1" outlineLevel="1">
      <c r="B117" s="190" t="s">
        <v>57</v>
      </c>
      <c r="C117" s="33"/>
      <c r="D117" s="33"/>
      <c r="E117" s="311">
        <f>SUM(G117:AD117)</f>
        <v>0</v>
      </c>
      <c r="G117" s="312">
        <f>MAX(G81:G88)-G89</f>
        <v>0</v>
      </c>
      <c r="H117" s="313">
        <f t="shared" ref="H117:AD117" si="29">MAX(H81:H88)-H89</f>
        <v>0</v>
      </c>
      <c r="I117" s="313">
        <f t="shared" si="29"/>
        <v>0</v>
      </c>
      <c r="J117" s="314">
        <f t="shared" si="29"/>
        <v>0</v>
      </c>
      <c r="K117" s="313">
        <f t="shared" si="29"/>
        <v>0</v>
      </c>
      <c r="L117" s="313">
        <f t="shared" si="29"/>
        <v>0</v>
      </c>
      <c r="M117" s="314">
        <f t="shared" si="29"/>
        <v>0</v>
      </c>
      <c r="N117" s="313">
        <f t="shared" si="29"/>
        <v>0</v>
      </c>
      <c r="O117" s="313">
        <f t="shared" si="29"/>
        <v>0</v>
      </c>
      <c r="P117" s="314">
        <f t="shared" si="29"/>
        <v>0</v>
      </c>
      <c r="Q117" s="313">
        <f t="shared" si="29"/>
        <v>0</v>
      </c>
      <c r="R117" s="313">
        <f t="shared" si="29"/>
        <v>0</v>
      </c>
      <c r="S117" s="314">
        <f t="shared" si="29"/>
        <v>0</v>
      </c>
      <c r="T117" s="313">
        <f t="shared" si="29"/>
        <v>0</v>
      </c>
      <c r="U117" s="313">
        <f t="shared" si="29"/>
        <v>0</v>
      </c>
      <c r="V117" s="314">
        <f t="shared" si="29"/>
        <v>0</v>
      </c>
      <c r="W117" s="313">
        <f t="shared" si="29"/>
        <v>0</v>
      </c>
      <c r="X117" s="313">
        <f t="shared" si="29"/>
        <v>0</v>
      </c>
      <c r="Y117" s="314">
        <f t="shared" si="29"/>
        <v>0</v>
      </c>
      <c r="Z117" s="313">
        <f t="shared" si="29"/>
        <v>0</v>
      </c>
      <c r="AA117" s="313">
        <f t="shared" si="29"/>
        <v>0</v>
      </c>
      <c r="AB117" s="314">
        <f t="shared" si="29"/>
        <v>0</v>
      </c>
      <c r="AC117" s="313">
        <f t="shared" si="29"/>
        <v>0</v>
      </c>
      <c r="AD117" s="315">
        <f t="shared" si="29"/>
        <v>0</v>
      </c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</row>
    <row r="118" spans="1:53" ht="15" customHeight="1" outlineLevel="1"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</row>
    <row r="119" spans="1:53" ht="15" customHeight="1" outlineLevel="1"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</row>
    <row r="120" spans="1:53" ht="15" customHeight="1" outlineLevel="1"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</row>
    <row r="121" spans="1:53" ht="15" customHeight="1"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</row>
    <row r="122" spans="1:53" s="27" customFormat="1" ht="15" customHeight="1">
      <c r="A122" s="152" t="s">
        <v>11</v>
      </c>
      <c r="B122" s="24" t="s">
        <v>58</v>
      </c>
      <c r="C122" s="24"/>
      <c r="D122" s="24"/>
      <c r="E122" s="25"/>
      <c r="F122" s="25"/>
      <c r="G122" s="25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24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24"/>
      <c r="AE122" s="23"/>
    </row>
    <row r="123" spans="1:53" s="27" customFormat="1" ht="15" customHeight="1" outlineLevel="1">
      <c r="A123" s="152"/>
      <c r="B123" s="28"/>
      <c r="C123" s="28"/>
      <c r="D123" s="28"/>
      <c r="E123" s="29"/>
      <c r="F123" s="29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</row>
    <row r="124" spans="1:53" s="27" customFormat="1" ht="15" customHeight="1" outlineLevel="1">
      <c r="A124" s="152"/>
      <c r="B124" s="31" t="s">
        <v>13</v>
      </c>
      <c r="C124" s="28"/>
      <c r="D124" s="28"/>
      <c r="E124" s="29"/>
      <c r="F124" s="29"/>
      <c r="G124" s="48">
        <f t="shared" ref="G124:AD124" si="30">G$5</f>
        <v>2024</v>
      </c>
      <c r="H124" s="49">
        <f t="shared" si="30"/>
        <v>2024</v>
      </c>
      <c r="I124" s="49">
        <f t="shared" si="30"/>
        <v>2024</v>
      </c>
      <c r="J124" s="50">
        <f t="shared" si="30"/>
        <v>2024</v>
      </c>
      <c r="K124" s="49">
        <f t="shared" si="30"/>
        <v>2024</v>
      </c>
      <c r="L124" s="49">
        <f t="shared" si="30"/>
        <v>2024</v>
      </c>
      <c r="M124" s="50">
        <f t="shared" si="30"/>
        <v>2024</v>
      </c>
      <c r="N124" s="49">
        <f t="shared" si="30"/>
        <v>2024</v>
      </c>
      <c r="O124" s="49">
        <f t="shared" si="30"/>
        <v>2024</v>
      </c>
      <c r="P124" s="50">
        <f t="shared" si="30"/>
        <v>2024</v>
      </c>
      <c r="Q124" s="51">
        <f t="shared" si="30"/>
        <v>2024</v>
      </c>
      <c r="R124" s="255">
        <f t="shared" si="30"/>
        <v>2024</v>
      </c>
      <c r="S124" s="52">
        <f t="shared" si="30"/>
        <v>2025</v>
      </c>
      <c r="T124" s="51">
        <f t="shared" si="30"/>
        <v>2025</v>
      </c>
      <c r="U124" s="51">
        <f t="shared" si="30"/>
        <v>2025</v>
      </c>
      <c r="V124" s="53">
        <f t="shared" si="30"/>
        <v>2025</v>
      </c>
      <c r="W124" s="51">
        <f t="shared" si="30"/>
        <v>2025</v>
      </c>
      <c r="X124" s="51">
        <f t="shared" si="30"/>
        <v>2025</v>
      </c>
      <c r="Y124" s="53">
        <f t="shared" si="30"/>
        <v>2025</v>
      </c>
      <c r="Z124" s="51">
        <f t="shared" si="30"/>
        <v>2025</v>
      </c>
      <c r="AA124" s="51">
        <f t="shared" si="30"/>
        <v>2025</v>
      </c>
      <c r="AB124" s="53">
        <f t="shared" si="30"/>
        <v>2025</v>
      </c>
      <c r="AC124" s="51">
        <f t="shared" si="30"/>
        <v>2025</v>
      </c>
      <c r="AD124" s="255">
        <f t="shared" si="30"/>
        <v>2025</v>
      </c>
      <c r="AE124" s="40"/>
    </row>
    <row r="125" spans="1:53" ht="15" customHeight="1" outlineLevel="1">
      <c r="C125" s="31"/>
      <c r="D125" s="31"/>
      <c r="E125" s="32"/>
      <c r="F125" s="32"/>
      <c r="G125" s="256">
        <f t="shared" ref="G125:AD125" si="31">G$6</f>
        <v>1</v>
      </c>
      <c r="H125" s="257">
        <f t="shared" si="31"/>
        <v>1</v>
      </c>
      <c r="I125" s="54">
        <f t="shared" si="31"/>
        <v>1</v>
      </c>
      <c r="J125" s="258">
        <f t="shared" si="31"/>
        <v>2</v>
      </c>
      <c r="K125" s="257">
        <f t="shared" si="31"/>
        <v>2</v>
      </c>
      <c r="L125" s="215">
        <f t="shared" si="31"/>
        <v>2</v>
      </c>
      <c r="M125" s="258">
        <f t="shared" si="31"/>
        <v>3</v>
      </c>
      <c r="N125" s="257">
        <f t="shared" si="31"/>
        <v>3</v>
      </c>
      <c r="O125" s="215">
        <f t="shared" si="31"/>
        <v>3</v>
      </c>
      <c r="P125" s="216">
        <f t="shared" si="31"/>
        <v>4</v>
      </c>
      <c r="Q125" s="214">
        <f t="shared" si="31"/>
        <v>4</v>
      </c>
      <c r="R125" s="215">
        <f t="shared" si="31"/>
        <v>4</v>
      </c>
      <c r="S125" s="213">
        <f t="shared" si="31"/>
        <v>1</v>
      </c>
      <c r="T125" s="214">
        <f t="shared" si="31"/>
        <v>1</v>
      </c>
      <c r="U125" s="215">
        <f t="shared" si="31"/>
        <v>1</v>
      </c>
      <c r="V125" s="216">
        <f t="shared" si="31"/>
        <v>2</v>
      </c>
      <c r="W125" s="214">
        <f t="shared" si="31"/>
        <v>2</v>
      </c>
      <c r="X125" s="215">
        <f t="shared" si="31"/>
        <v>2</v>
      </c>
      <c r="Y125" s="216">
        <f t="shared" si="31"/>
        <v>3</v>
      </c>
      <c r="Z125" s="214">
        <f t="shared" si="31"/>
        <v>3</v>
      </c>
      <c r="AA125" s="215">
        <f t="shared" si="31"/>
        <v>3</v>
      </c>
      <c r="AB125" s="216">
        <f t="shared" si="31"/>
        <v>4</v>
      </c>
      <c r="AC125" s="214">
        <f t="shared" si="31"/>
        <v>4</v>
      </c>
      <c r="AD125" s="215">
        <f t="shared" si="31"/>
        <v>4</v>
      </c>
      <c r="AE125" s="40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</row>
    <row r="126" spans="1:53" ht="15" customHeight="1" outlineLevel="1" thickBot="1">
      <c r="G126" s="218">
        <f t="shared" ref="G126:AD126" si="32">G$7</f>
        <v>45322</v>
      </c>
      <c r="H126" s="219">
        <f t="shared" si="32"/>
        <v>45351</v>
      </c>
      <c r="I126" s="219">
        <f t="shared" si="32"/>
        <v>45382</v>
      </c>
      <c r="J126" s="220">
        <f t="shared" si="32"/>
        <v>45412</v>
      </c>
      <c r="K126" s="219">
        <f t="shared" si="32"/>
        <v>45443</v>
      </c>
      <c r="L126" s="219">
        <f t="shared" si="32"/>
        <v>45473</v>
      </c>
      <c r="M126" s="220">
        <f t="shared" si="32"/>
        <v>45504</v>
      </c>
      <c r="N126" s="219">
        <f t="shared" si="32"/>
        <v>45535</v>
      </c>
      <c r="O126" s="219">
        <f t="shared" si="32"/>
        <v>45565</v>
      </c>
      <c r="P126" s="220">
        <f t="shared" si="32"/>
        <v>45596</v>
      </c>
      <c r="Q126" s="219">
        <f t="shared" si="32"/>
        <v>45626</v>
      </c>
      <c r="R126" s="219">
        <f t="shared" si="32"/>
        <v>45657</v>
      </c>
      <c r="S126" s="218">
        <f t="shared" si="32"/>
        <v>45688</v>
      </c>
      <c r="T126" s="219">
        <f t="shared" si="32"/>
        <v>45716</v>
      </c>
      <c r="U126" s="219">
        <f t="shared" si="32"/>
        <v>45747</v>
      </c>
      <c r="V126" s="220">
        <f t="shared" si="32"/>
        <v>45777</v>
      </c>
      <c r="W126" s="219">
        <f t="shared" si="32"/>
        <v>45808</v>
      </c>
      <c r="X126" s="219">
        <f t="shared" si="32"/>
        <v>45838</v>
      </c>
      <c r="Y126" s="220">
        <f t="shared" si="32"/>
        <v>45869</v>
      </c>
      <c r="Z126" s="219">
        <f t="shared" si="32"/>
        <v>45900</v>
      </c>
      <c r="AA126" s="219">
        <f t="shared" si="32"/>
        <v>45930</v>
      </c>
      <c r="AB126" s="220">
        <f t="shared" si="32"/>
        <v>45961</v>
      </c>
      <c r="AC126" s="219">
        <f t="shared" si="32"/>
        <v>45991</v>
      </c>
      <c r="AD126" s="219">
        <f t="shared" si="32"/>
        <v>46022</v>
      </c>
      <c r="AE126" s="40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</row>
    <row r="127" spans="1:53" ht="15" customHeight="1" outlineLevel="1">
      <c r="G127" s="278"/>
      <c r="H127" s="278"/>
      <c r="I127" s="278"/>
      <c r="J127" s="278"/>
      <c r="K127" s="278"/>
      <c r="L127" s="278"/>
      <c r="M127" s="278"/>
      <c r="N127" s="278"/>
      <c r="O127" s="279"/>
      <c r="P127" s="279"/>
      <c r="Q127" s="279"/>
      <c r="R127" s="279"/>
      <c r="S127" s="279"/>
      <c r="T127" s="279"/>
      <c r="U127" s="280"/>
      <c r="V127" s="280"/>
      <c r="W127" s="280"/>
      <c r="X127" s="279"/>
      <c r="Y127" s="279"/>
      <c r="Z127" s="279"/>
      <c r="AA127" s="279"/>
      <c r="AB127" s="279"/>
      <c r="AC127" s="279"/>
      <c r="AD127" s="279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</row>
    <row r="128" spans="1:53" ht="15" customHeight="1" outlineLevel="1">
      <c r="B128" s="316" t="s">
        <v>59</v>
      </c>
      <c r="C128" s="190"/>
      <c r="D128" s="190"/>
      <c r="E128" s="191" t="s">
        <v>34</v>
      </c>
      <c r="G128" s="55">
        <f t="shared" ref="G128:AD128" si="33">G$8</f>
        <v>1</v>
      </c>
      <c r="H128" s="55">
        <f t="shared" si="33"/>
        <v>1</v>
      </c>
      <c r="I128" s="55">
        <f t="shared" si="33"/>
        <v>1</v>
      </c>
      <c r="J128" s="55">
        <f t="shared" si="33"/>
        <v>1</v>
      </c>
      <c r="K128" s="55">
        <f t="shared" si="33"/>
        <v>1</v>
      </c>
      <c r="L128" s="55">
        <f t="shared" si="33"/>
        <v>1</v>
      </c>
      <c r="M128" s="55">
        <f t="shared" si="33"/>
        <v>1</v>
      </c>
      <c r="N128" s="55">
        <f t="shared" si="33"/>
        <v>1</v>
      </c>
      <c r="O128" s="55">
        <f t="shared" si="33"/>
        <v>1</v>
      </c>
      <c r="P128" s="55">
        <f t="shared" si="33"/>
        <v>1</v>
      </c>
      <c r="Q128" s="55">
        <f t="shared" si="33"/>
        <v>1</v>
      </c>
      <c r="R128" s="55">
        <f t="shared" si="33"/>
        <v>1</v>
      </c>
      <c r="S128" s="55">
        <f t="shared" si="33"/>
        <v>0</v>
      </c>
      <c r="T128" s="55">
        <f t="shared" si="33"/>
        <v>0</v>
      </c>
      <c r="U128" s="55">
        <f t="shared" si="33"/>
        <v>0</v>
      </c>
      <c r="V128" s="55">
        <f t="shared" si="33"/>
        <v>0</v>
      </c>
      <c r="W128" s="55">
        <f t="shared" si="33"/>
        <v>0</v>
      </c>
      <c r="X128" s="55">
        <f t="shared" si="33"/>
        <v>0</v>
      </c>
      <c r="Y128" s="55">
        <f t="shared" si="33"/>
        <v>0</v>
      </c>
      <c r="Z128" s="55">
        <f t="shared" si="33"/>
        <v>0</v>
      </c>
      <c r="AA128" s="55">
        <f t="shared" si="33"/>
        <v>0</v>
      </c>
      <c r="AB128" s="55">
        <f t="shared" si="33"/>
        <v>0</v>
      </c>
      <c r="AC128" s="55">
        <f t="shared" si="33"/>
        <v>0</v>
      </c>
      <c r="AD128" s="55">
        <f t="shared" si="33"/>
        <v>0</v>
      </c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</row>
    <row r="129" spans="2:53" ht="15" customHeight="1" outlineLevel="1">
      <c r="B129" s="46" t="str">
        <f>Model!$B$81</f>
        <v>Director</v>
      </c>
      <c r="C129" s="33"/>
      <c r="D129" s="33"/>
      <c r="E129" s="317">
        <v>0.3</v>
      </c>
      <c r="F129" s="37"/>
      <c r="G129" s="300">
        <f>G104*$E129</f>
        <v>22.868852459016392</v>
      </c>
      <c r="H129" s="301">
        <f t="shared" ref="H129:AD129" si="34">H104*$E129</f>
        <v>21.393442622950818</v>
      </c>
      <c r="I129" s="301">
        <f t="shared" si="34"/>
        <v>22.868852459016392</v>
      </c>
      <c r="J129" s="300">
        <f t="shared" si="34"/>
        <v>22.131147540983605</v>
      </c>
      <c r="K129" s="301">
        <f t="shared" si="34"/>
        <v>22.868852459016392</v>
      </c>
      <c r="L129" s="301">
        <f t="shared" si="34"/>
        <v>22.131147540983605</v>
      </c>
      <c r="M129" s="300">
        <f t="shared" si="34"/>
        <v>22.868852459016392</v>
      </c>
      <c r="N129" s="301">
        <f t="shared" si="34"/>
        <v>22.868852459016392</v>
      </c>
      <c r="O129" s="301">
        <f t="shared" si="34"/>
        <v>22.131147540983605</v>
      </c>
      <c r="P129" s="300">
        <f t="shared" si="34"/>
        <v>22.868852459016392</v>
      </c>
      <c r="Q129" s="301">
        <f t="shared" si="34"/>
        <v>22.131147540983605</v>
      </c>
      <c r="R129" s="301">
        <f t="shared" si="34"/>
        <v>22.868852459016392</v>
      </c>
      <c r="S129" s="300">
        <f t="shared" si="34"/>
        <v>22.931506849315067</v>
      </c>
      <c r="T129" s="301">
        <f t="shared" si="34"/>
        <v>20.712328767123285</v>
      </c>
      <c r="U129" s="301">
        <f t="shared" si="34"/>
        <v>22.931506849315067</v>
      </c>
      <c r="V129" s="300">
        <f t="shared" si="34"/>
        <v>22.80821917808219</v>
      </c>
      <c r="W129" s="301">
        <f t="shared" si="34"/>
        <v>23.56849315068493</v>
      </c>
      <c r="X129" s="301">
        <f t="shared" si="34"/>
        <v>22.80821917808219</v>
      </c>
      <c r="Y129" s="300">
        <f t="shared" si="34"/>
        <v>23.56849315068493</v>
      </c>
      <c r="Z129" s="301">
        <f t="shared" si="34"/>
        <v>23.56849315068493</v>
      </c>
      <c r="AA129" s="301">
        <f t="shared" si="34"/>
        <v>22.80821917808219</v>
      </c>
      <c r="AB129" s="300">
        <f t="shared" si="34"/>
        <v>23.56849315068493</v>
      </c>
      <c r="AC129" s="301">
        <f t="shared" si="34"/>
        <v>22.80821917808219</v>
      </c>
      <c r="AD129" s="301">
        <f t="shared" si="34"/>
        <v>23.56849315068493</v>
      </c>
      <c r="AE129" s="3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</row>
    <row r="130" spans="2:53" ht="15" customHeight="1" outlineLevel="1">
      <c r="B130" s="46" t="str">
        <f>Model!$B$82</f>
        <v>Partner</v>
      </c>
      <c r="C130" s="33"/>
      <c r="D130" s="33"/>
      <c r="E130" s="318">
        <v>0.3</v>
      </c>
      <c r="F130" s="37"/>
      <c r="G130" s="302">
        <f t="shared" ref="G130:AD136" si="35">G105*$E130</f>
        <v>20.96311475409836</v>
      </c>
      <c r="H130" s="303">
        <f t="shared" si="35"/>
        <v>19.610655737704917</v>
      </c>
      <c r="I130" s="303">
        <f t="shared" si="35"/>
        <v>20.96311475409836</v>
      </c>
      <c r="J130" s="302">
        <f t="shared" si="35"/>
        <v>20.286885245901637</v>
      </c>
      <c r="K130" s="303">
        <f t="shared" si="35"/>
        <v>20.96311475409836</v>
      </c>
      <c r="L130" s="303">
        <f t="shared" si="35"/>
        <v>20.286885245901637</v>
      </c>
      <c r="M130" s="302">
        <f t="shared" si="35"/>
        <v>20.96311475409836</v>
      </c>
      <c r="N130" s="303">
        <f t="shared" si="35"/>
        <v>20.96311475409836</v>
      </c>
      <c r="O130" s="303">
        <f t="shared" si="35"/>
        <v>20.286885245901637</v>
      </c>
      <c r="P130" s="302">
        <f t="shared" si="35"/>
        <v>20.96311475409836</v>
      </c>
      <c r="Q130" s="303">
        <f t="shared" si="35"/>
        <v>20.286885245901637</v>
      </c>
      <c r="R130" s="303">
        <f t="shared" si="35"/>
        <v>20.96311475409836</v>
      </c>
      <c r="S130" s="302">
        <f t="shared" si="35"/>
        <v>21.020547945205479</v>
      </c>
      <c r="T130" s="303">
        <f t="shared" si="35"/>
        <v>18.986301369863014</v>
      </c>
      <c r="U130" s="303">
        <f t="shared" si="35"/>
        <v>21.020547945205479</v>
      </c>
      <c r="V130" s="302">
        <f t="shared" si="35"/>
        <v>20.958904109589039</v>
      </c>
      <c r="W130" s="303">
        <f t="shared" si="35"/>
        <v>21.657534246575342</v>
      </c>
      <c r="X130" s="303">
        <f t="shared" si="35"/>
        <v>20.958904109589039</v>
      </c>
      <c r="Y130" s="302">
        <f t="shared" si="35"/>
        <v>21.657534246575342</v>
      </c>
      <c r="Z130" s="303">
        <f t="shared" si="35"/>
        <v>21.657534246575342</v>
      </c>
      <c r="AA130" s="303">
        <f t="shared" si="35"/>
        <v>20.958904109589039</v>
      </c>
      <c r="AB130" s="302">
        <f t="shared" si="35"/>
        <v>21.657534246575342</v>
      </c>
      <c r="AC130" s="303">
        <f t="shared" si="35"/>
        <v>20.958904109589039</v>
      </c>
      <c r="AD130" s="303">
        <f t="shared" si="35"/>
        <v>21.657534246575342</v>
      </c>
      <c r="AE130" s="3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</row>
    <row r="131" spans="2:53" ht="15" customHeight="1" outlineLevel="1">
      <c r="B131" s="46" t="str">
        <f>Model!$B$83</f>
        <v>Principal</v>
      </c>
      <c r="C131" s="33"/>
      <c r="D131" s="33"/>
      <c r="E131" s="318">
        <v>0.3</v>
      </c>
      <c r="F131" s="37"/>
      <c r="G131" s="302">
        <f t="shared" si="35"/>
        <v>19.057377049180328</v>
      </c>
      <c r="H131" s="303">
        <f t="shared" si="35"/>
        <v>17.827868852459016</v>
      </c>
      <c r="I131" s="303">
        <f t="shared" si="35"/>
        <v>19.057377049180328</v>
      </c>
      <c r="J131" s="302">
        <f t="shared" si="35"/>
        <v>18.442622950819668</v>
      </c>
      <c r="K131" s="303">
        <f t="shared" si="35"/>
        <v>19.057377049180328</v>
      </c>
      <c r="L131" s="303">
        <f t="shared" si="35"/>
        <v>18.442622950819668</v>
      </c>
      <c r="M131" s="302">
        <f t="shared" si="35"/>
        <v>19.057377049180328</v>
      </c>
      <c r="N131" s="303">
        <f t="shared" si="35"/>
        <v>19.057377049180328</v>
      </c>
      <c r="O131" s="303">
        <f t="shared" si="35"/>
        <v>18.442622950819668</v>
      </c>
      <c r="P131" s="302">
        <f t="shared" si="35"/>
        <v>19.057377049180328</v>
      </c>
      <c r="Q131" s="303">
        <f t="shared" si="35"/>
        <v>18.442622950819668</v>
      </c>
      <c r="R131" s="303">
        <f t="shared" si="35"/>
        <v>19.057377049180328</v>
      </c>
      <c r="S131" s="302">
        <f t="shared" si="35"/>
        <v>19.109589041095891</v>
      </c>
      <c r="T131" s="303">
        <f t="shared" si="35"/>
        <v>17.260273972602739</v>
      </c>
      <c r="U131" s="303">
        <f t="shared" si="35"/>
        <v>19.109589041095891</v>
      </c>
      <c r="V131" s="302">
        <f t="shared" si="35"/>
        <v>19.109589041095887</v>
      </c>
      <c r="W131" s="303">
        <f t="shared" si="35"/>
        <v>19.746575342465754</v>
      </c>
      <c r="X131" s="303">
        <f t="shared" si="35"/>
        <v>19.109589041095887</v>
      </c>
      <c r="Y131" s="302">
        <f t="shared" si="35"/>
        <v>19.746575342465754</v>
      </c>
      <c r="Z131" s="303">
        <f t="shared" si="35"/>
        <v>19.746575342465754</v>
      </c>
      <c r="AA131" s="303">
        <f t="shared" si="35"/>
        <v>19.109589041095887</v>
      </c>
      <c r="AB131" s="302">
        <f t="shared" si="35"/>
        <v>19.746575342465754</v>
      </c>
      <c r="AC131" s="303">
        <f t="shared" si="35"/>
        <v>19.109589041095887</v>
      </c>
      <c r="AD131" s="303">
        <f t="shared" si="35"/>
        <v>19.746575342465754</v>
      </c>
      <c r="AE131" s="3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</row>
    <row r="132" spans="2:53" ht="15" customHeight="1" outlineLevel="1">
      <c r="B132" s="46" t="str">
        <f>Model!$B$84</f>
        <v>Manager</v>
      </c>
      <c r="C132" s="33"/>
      <c r="D132" s="33"/>
      <c r="E132" s="318">
        <v>0.3</v>
      </c>
      <c r="F132" s="37"/>
      <c r="G132" s="302">
        <f t="shared" si="35"/>
        <v>0</v>
      </c>
      <c r="H132" s="303">
        <f t="shared" si="35"/>
        <v>0</v>
      </c>
      <c r="I132" s="303">
        <f t="shared" si="35"/>
        <v>0</v>
      </c>
      <c r="J132" s="302">
        <f t="shared" si="35"/>
        <v>0</v>
      </c>
      <c r="K132" s="303">
        <f t="shared" si="35"/>
        <v>0</v>
      </c>
      <c r="L132" s="303">
        <f t="shared" si="35"/>
        <v>0</v>
      </c>
      <c r="M132" s="302">
        <f t="shared" si="35"/>
        <v>0</v>
      </c>
      <c r="N132" s="303">
        <f t="shared" si="35"/>
        <v>6.7622950819672125</v>
      </c>
      <c r="O132" s="303">
        <f t="shared" si="35"/>
        <v>9.2213114754098342</v>
      </c>
      <c r="P132" s="302">
        <f t="shared" si="35"/>
        <v>9.528688524590164</v>
      </c>
      <c r="Q132" s="303">
        <f t="shared" si="35"/>
        <v>9.2213114754098342</v>
      </c>
      <c r="R132" s="303">
        <f t="shared" si="35"/>
        <v>9.528688524590164</v>
      </c>
      <c r="S132" s="302">
        <f t="shared" si="35"/>
        <v>9.5547945205479454</v>
      </c>
      <c r="T132" s="303">
        <f t="shared" si="35"/>
        <v>8.6301369863013697</v>
      </c>
      <c r="U132" s="303">
        <f t="shared" si="35"/>
        <v>9.5547945205479454</v>
      </c>
      <c r="V132" s="302">
        <f t="shared" si="35"/>
        <v>9.8630136986301356</v>
      </c>
      <c r="W132" s="303">
        <f t="shared" si="35"/>
        <v>10.191780821917808</v>
      </c>
      <c r="X132" s="303">
        <f t="shared" si="35"/>
        <v>9.8630136986301356</v>
      </c>
      <c r="Y132" s="302">
        <f t="shared" si="35"/>
        <v>10.191780821917808</v>
      </c>
      <c r="Z132" s="303">
        <f t="shared" si="35"/>
        <v>10.191780821917808</v>
      </c>
      <c r="AA132" s="303">
        <f t="shared" si="35"/>
        <v>9.8630136986301356</v>
      </c>
      <c r="AB132" s="302">
        <f t="shared" si="35"/>
        <v>10.191780821917808</v>
      </c>
      <c r="AC132" s="303">
        <f t="shared" si="35"/>
        <v>9.8630136986301356</v>
      </c>
      <c r="AD132" s="303">
        <f t="shared" si="35"/>
        <v>10.191780821917808</v>
      </c>
      <c r="AE132" s="3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</row>
    <row r="133" spans="2:53" ht="15" customHeight="1" outlineLevel="1">
      <c r="B133" s="46" t="str">
        <f>Model!$B$85</f>
        <v>Sr Associate</v>
      </c>
      <c r="C133" s="33"/>
      <c r="D133" s="33"/>
      <c r="E133" s="318">
        <v>0.25</v>
      </c>
      <c r="F133" s="37"/>
      <c r="G133" s="302">
        <f t="shared" si="35"/>
        <v>0</v>
      </c>
      <c r="H133" s="303">
        <f t="shared" si="35"/>
        <v>0</v>
      </c>
      <c r="I133" s="303">
        <f t="shared" si="35"/>
        <v>0</v>
      </c>
      <c r="J133" s="302">
        <f t="shared" si="35"/>
        <v>0</v>
      </c>
      <c r="K133" s="303">
        <f t="shared" si="35"/>
        <v>0</v>
      </c>
      <c r="L133" s="303">
        <f t="shared" si="35"/>
        <v>0</v>
      </c>
      <c r="M133" s="302">
        <f t="shared" si="35"/>
        <v>0</v>
      </c>
      <c r="N133" s="303">
        <f t="shared" si="35"/>
        <v>1.1953551912568305</v>
      </c>
      <c r="O133" s="303">
        <f t="shared" si="35"/>
        <v>3.5860655737704916</v>
      </c>
      <c r="P133" s="302">
        <f t="shared" si="35"/>
        <v>3.7056010928961749</v>
      </c>
      <c r="Q133" s="303">
        <f t="shared" si="35"/>
        <v>3.5860655737704916</v>
      </c>
      <c r="R133" s="303">
        <f t="shared" si="35"/>
        <v>3.7056010928961749</v>
      </c>
      <c r="S133" s="302">
        <f t="shared" si="35"/>
        <v>3.7157534246575343</v>
      </c>
      <c r="T133" s="303">
        <f t="shared" si="35"/>
        <v>3.3561643835616439</v>
      </c>
      <c r="U133" s="303">
        <f t="shared" si="35"/>
        <v>3.7157534246575343</v>
      </c>
      <c r="V133" s="302">
        <f t="shared" si="35"/>
        <v>3.595890410958904</v>
      </c>
      <c r="W133" s="303">
        <f t="shared" si="35"/>
        <v>3.7157534246575343</v>
      </c>
      <c r="X133" s="303">
        <f t="shared" si="35"/>
        <v>3.595890410958904</v>
      </c>
      <c r="Y133" s="302">
        <f t="shared" si="35"/>
        <v>3.7157534246575343</v>
      </c>
      <c r="Z133" s="303">
        <f t="shared" si="35"/>
        <v>3.7157534246575343</v>
      </c>
      <c r="AA133" s="303">
        <f t="shared" si="35"/>
        <v>3.595890410958904</v>
      </c>
      <c r="AB133" s="302">
        <f t="shared" si="35"/>
        <v>3.7157534246575343</v>
      </c>
      <c r="AC133" s="303">
        <f t="shared" si="35"/>
        <v>3.595890410958904</v>
      </c>
      <c r="AD133" s="303">
        <f t="shared" si="35"/>
        <v>3.7157534246575343</v>
      </c>
      <c r="AE133" s="3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</row>
    <row r="134" spans="2:53" ht="15" customHeight="1" outlineLevel="1">
      <c r="B134" s="46" t="str">
        <f>Model!$B$86</f>
        <v>Associate</v>
      </c>
      <c r="C134" s="33"/>
      <c r="D134" s="33"/>
      <c r="E134" s="318">
        <v>0.25</v>
      </c>
      <c r="F134" s="37"/>
      <c r="G134" s="302">
        <f t="shared" si="35"/>
        <v>3.1762295081967213</v>
      </c>
      <c r="H134" s="303">
        <f t="shared" si="35"/>
        <v>2.9713114754098364</v>
      </c>
      <c r="I134" s="303">
        <f t="shared" si="35"/>
        <v>3.1762295081967213</v>
      </c>
      <c r="J134" s="302">
        <f t="shared" si="35"/>
        <v>3.0737704918032787</v>
      </c>
      <c r="K134" s="303">
        <f t="shared" si="35"/>
        <v>3.1762295081967213</v>
      </c>
      <c r="L134" s="303">
        <f t="shared" si="35"/>
        <v>3.0737704918032787</v>
      </c>
      <c r="M134" s="302">
        <f t="shared" si="35"/>
        <v>3.1762295081967213</v>
      </c>
      <c r="N134" s="303">
        <f t="shared" si="35"/>
        <v>3.1762295081967213</v>
      </c>
      <c r="O134" s="303">
        <f t="shared" si="35"/>
        <v>3.0737704918032787</v>
      </c>
      <c r="P134" s="302">
        <f t="shared" si="35"/>
        <v>3.1762295081967213</v>
      </c>
      <c r="Q134" s="303">
        <f t="shared" si="35"/>
        <v>3.0737704918032787</v>
      </c>
      <c r="R134" s="303">
        <f t="shared" si="35"/>
        <v>3.1762295081967213</v>
      </c>
      <c r="S134" s="302">
        <f t="shared" si="35"/>
        <v>3.5034246575342465</v>
      </c>
      <c r="T134" s="303">
        <f t="shared" si="35"/>
        <v>3.1643835616438358</v>
      </c>
      <c r="U134" s="303">
        <f t="shared" si="35"/>
        <v>3.5034246575342465</v>
      </c>
      <c r="V134" s="302">
        <f t="shared" si="35"/>
        <v>3.3904109589041096</v>
      </c>
      <c r="W134" s="303">
        <f t="shared" si="35"/>
        <v>3.5034246575342465</v>
      </c>
      <c r="X134" s="303">
        <f t="shared" si="35"/>
        <v>3.3904109589041096</v>
      </c>
      <c r="Y134" s="302">
        <f t="shared" si="35"/>
        <v>3.5034246575342465</v>
      </c>
      <c r="Z134" s="303">
        <f t="shared" si="35"/>
        <v>3.5034246575342465</v>
      </c>
      <c r="AA134" s="303">
        <f t="shared" si="35"/>
        <v>3.3904109589041096</v>
      </c>
      <c r="AB134" s="302">
        <f t="shared" si="35"/>
        <v>3.5034246575342465</v>
      </c>
      <c r="AC134" s="303">
        <f t="shared" si="35"/>
        <v>3.3904109589041096</v>
      </c>
      <c r="AD134" s="303">
        <f t="shared" si="35"/>
        <v>3.5034246575342465</v>
      </c>
      <c r="AE134" s="3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</row>
    <row r="135" spans="2:53" ht="15" customHeight="1" outlineLevel="1">
      <c r="B135" s="46" t="str">
        <f>Model!$B$87</f>
        <v>Analyst</v>
      </c>
      <c r="C135" s="33"/>
      <c r="D135" s="33"/>
      <c r="E135" s="318">
        <v>0.2</v>
      </c>
      <c r="F135" s="37"/>
      <c r="G135" s="302">
        <f t="shared" si="35"/>
        <v>1.4229508196721312</v>
      </c>
      <c r="H135" s="303">
        <f t="shared" si="35"/>
        <v>1.3311475409836069</v>
      </c>
      <c r="I135" s="303">
        <f t="shared" si="35"/>
        <v>1.4229508196721312</v>
      </c>
      <c r="J135" s="302">
        <f t="shared" si="35"/>
        <v>1.3770491803278688</v>
      </c>
      <c r="K135" s="303">
        <f t="shared" si="35"/>
        <v>1.4229508196721312</v>
      </c>
      <c r="L135" s="303">
        <f t="shared" si="35"/>
        <v>1.3770491803278688</v>
      </c>
      <c r="M135" s="302">
        <f t="shared" si="35"/>
        <v>1.4229508196721312</v>
      </c>
      <c r="N135" s="303">
        <f t="shared" si="35"/>
        <v>1.4229508196721312</v>
      </c>
      <c r="O135" s="303">
        <f t="shared" si="35"/>
        <v>1.3770491803278688</v>
      </c>
      <c r="P135" s="302">
        <f t="shared" si="35"/>
        <v>1.4229508196721312</v>
      </c>
      <c r="Q135" s="303">
        <f t="shared" si="35"/>
        <v>1.3770491803278688</v>
      </c>
      <c r="R135" s="303">
        <f t="shared" si="35"/>
        <v>1.4229508196721312</v>
      </c>
      <c r="S135" s="302">
        <f t="shared" si="35"/>
        <v>1.6136986301369864</v>
      </c>
      <c r="T135" s="303">
        <f t="shared" si="35"/>
        <v>1.4575342465753427</v>
      </c>
      <c r="U135" s="303">
        <f t="shared" si="35"/>
        <v>1.6136986301369864</v>
      </c>
      <c r="V135" s="302">
        <f t="shared" si="35"/>
        <v>1.5616438356164384</v>
      </c>
      <c r="W135" s="303">
        <f t="shared" si="35"/>
        <v>1.6136986301369864</v>
      </c>
      <c r="X135" s="303">
        <f t="shared" si="35"/>
        <v>1.5616438356164384</v>
      </c>
      <c r="Y135" s="302">
        <f t="shared" si="35"/>
        <v>1.6136986301369864</v>
      </c>
      <c r="Z135" s="303">
        <f t="shared" si="35"/>
        <v>1.6136986301369864</v>
      </c>
      <c r="AA135" s="303">
        <f t="shared" si="35"/>
        <v>1.5616438356164384</v>
      </c>
      <c r="AB135" s="302">
        <f t="shared" si="35"/>
        <v>1.6136986301369864</v>
      </c>
      <c r="AC135" s="303">
        <f t="shared" si="35"/>
        <v>1.5616438356164384</v>
      </c>
      <c r="AD135" s="303">
        <f t="shared" si="35"/>
        <v>1.6136986301369864</v>
      </c>
      <c r="AE135" s="3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</row>
    <row r="136" spans="2:53" ht="15" customHeight="1" outlineLevel="1">
      <c r="B136" s="46" t="str">
        <f>Model!$B$88</f>
        <v>Analyst</v>
      </c>
      <c r="C136" s="33"/>
      <c r="D136" s="33"/>
      <c r="E136" s="318">
        <v>0.2</v>
      </c>
      <c r="F136" s="37"/>
      <c r="G136" s="302">
        <f t="shared" si="35"/>
        <v>0</v>
      </c>
      <c r="H136" s="303">
        <f t="shared" si="35"/>
        <v>0</v>
      </c>
      <c r="I136" s="303">
        <f t="shared" si="35"/>
        <v>0</v>
      </c>
      <c r="J136" s="302">
        <f t="shared" si="35"/>
        <v>0</v>
      </c>
      <c r="K136" s="303">
        <f t="shared" si="35"/>
        <v>0</v>
      </c>
      <c r="L136" s="303">
        <f t="shared" si="35"/>
        <v>0</v>
      </c>
      <c r="M136" s="302">
        <f t="shared" si="35"/>
        <v>0</v>
      </c>
      <c r="N136" s="303">
        <f t="shared" si="35"/>
        <v>0</v>
      </c>
      <c r="O136" s="303">
        <f t="shared" si="35"/>
        <v>1.3770491803278688</v>
      </c>
      <c r="P136" s="302">
        <f t="shared" si="35"/>
        <v>1.4229508196721312</v>
      </c>
      <c r="Q136" s="303">
        <f t="shared" si="35"/>
        <v>1.3770491803278688</v>
      </c>
      <c r="R136" s="303">
        <f t="shared" si="35"/>
        <v>1.4229508196721312</v>
      </c>
      <c r="S136" s="302">
        <f t="shared" si="35"/>
        <v>1.5287671232876712</v>
      </c>
      <c r="T136" s="303">
        <f t="shared" si="35"/>
        <v>1.3808219178082193</v>
      </c>
      <c r="U136" s="303">
        <f t="shared" si="35"/>
        <v>1.5287671232876712</v>
      </c>
      <c r="V136" s="302">
        <f t="shared" si="35"/>
        <v>1.4794520547945205</v>
      </c>
      <c r="W136" s="303">
        <f t="shared" si="35"/>
        <v>1.5287671232876712</v>
      </c>
      <c r="X136" s="303">
        <f t="shared" si="35"/>
        <v>1.4794520547945205</v>
      </c>
      <c r="Y136" s="302">
        <f t="shared" si="35"/>
        <v>1.5287671232876712</v>
      </c>
      <c r="Z136" s="303">
        <f t="shared" si="35"/>
        <v>1.5287671232876712</v>
      </c>
      <c r="AA136" s="303">
        <f t="shared" si="35"/>
        <v>1.4794520547945205</v>
      </c>
      <c r="AB136" s="302">
        <f t="shared" si="35"/>
        <v>1.5287671232876712</v>
      </c>
      <c r="AC136" s="303">
        <f t="shared" si="35"/>
        <v>1.4794520547945205</v>
      </c>
      <c r="AD136" s="303">
        <f t="shared" si="35"/>
        <v>1.5287671232876712</v>
      </c>
      <c r="AE136" s="3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</row>
    <row r="137" spans="2:53" ht="15" customHeight="1" outlineLevel="1">
      <c r="B137" s="46" t="s">
        <v>55</v>
      </c>
      <c r="C137" s="33"/>
      <c r="D137" s="33"/>
      <c r="E137" s="38"/>
      <c r="G137" s="246">
        <f>SUM(G129:G136)</f>
        <v>67.488524590163934</v>
      </c>
      <c r="H137" s="247">
        <f t="shared" ref="H137:AD137" si="36">SUM(H129:H136)</f>
        <v>63.134426229508193</v>
      </c>
      <c r="I137" s="247">
        <f t="shared" si="36"/>
        <v>67.488524590163934</v>
      </c>
      <c r="J137" s="246">
        <f t="shared" si="36"/>
        <v>65.311475409836063</v>
      </c>
      <c r="K137" s="247">
        <f t="shared" si="36"/>
        <v>67.488524590163934</v>
      </c>
      <c r="L137" s="247">
        <f t="shared" si="36"/>
        <v>65.311475409836063</v>
      </c>
      <c r="M137" s="246">
        <f t="shared" si="36"/>
        <v>67.488524590163934</v>
      </c>
      <c r="N137" s="247">
        <f t="shared" si="36"/>
        <v>75.446174863387995</v>
      </c>
      <c r="O137" s="247">
        <f t="shared" si="36"/>
        <v>79.495901639344268</v>
      </c>
      <c r="P137" s="246">
        <f t="shared" si="36"/>
        <v>82.145765027322426</v>
      </c>
      <c r="Q137" s="247">
        <f t="shared" si="36"/>
        <v>79.495901639344268</v>
      </c>
      <c r="R137" s="247">
        <f t="shared" si="36"/>
        <v>82.145765027322426</v>
      </c>
      <c r="S137" s="246">
        <f t="shared" si="36"/>
        <v>82.978082191780814</v>
      </c>
      <c r="T137" s="247">
        <f t="shared" si="36"/>
        <v>74.947945205479456</v>
      </c>
      <c r="U137" s="247">
        <f t="shared" si="36"/>
        <v>82.978082191780814</v>
      </c>
      <c r="V137" s="246">
        <f t="shared" si="36"/>
        <v>82.767123287671225</v>
      </c>
      <c r="W137" s="247">
        <f t="shared" si="36"/>
        <v>85.52602739726025</v>
      </c>
      <c r="X137" s="247">
        <f t="shared" si="36"/>
        <v>82.767123287671225</v>
      </c>
      <c r="Y137" s="246">
        <f t="shared" si="36"/>
        <v>85.52602739726025</v>
      </c>
      <c r="Z137" s="247">
        <f t="shared" si="36"/>
        <v>85.52602739726025</v>
      </c>
      <c r="AA137" s="247">
        <f t="shared" si="36"/>
        <v>82.767123287671225</v>
      </c>
      <c r="AB137" s="246">
        <f t="shared" si="36"/>
        <v>85.52602739726025</v>
      </c>
      <c r="AC137" s="247">
        <f t="shared" si="36"/>
        <v>82.767123287671225</v>
      </c>
      <c r="AD137" s="247">
        <f t="shared" si="36"/>
        <v>85.52602739726025</v>
      </c>
      <c r="AE137" s="3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</row>
    <row r="138" spans="2:53" ht="15" customHeight="1" outlineLevel="1">
      <c r="B138" s="33"/>
      <c r="C138" s="33"/>
      <c r="D138" s="33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</row>
    <row r="139" spans="2:53" ht="15" customHeight="1" outlineLevel="1">
      <c r="B139" s="190"/>
      <c r="F139" s="227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</row>
    <row r="140" spans="2:53" ht="15" customHeight="1" outlineLevel="1">
      <c r="B140" s="190" t="s">
        <v>60</v>
      </c>
      <c r="C140" s="225">
        <f>R124</f>
        <v>2024</v>
      </c>
      <c r="D140" s="190"/>
      <c r="E140" s="225">
        <f>AD124</f>
        <v>2025</v>
      </c>
      <c r="G140" s="55">
        <f t="shared" ref="G140:AD140" si="37">G$8</f>
        <v>1</v>
      </c>
      <c r="H140" s="55">
        <f t="shared" si="37"/>
        <v>1</v>
      </c>
      <c r="I140" s="55">
        <f t="shared" si="37"/>
        <v>1</v>
      </c>
      <c r="J140" s="55">
        <f t="shared" si="37"/>
        <v>1</v>
      </c>
      <c r="K140" s="55">
        <f t="shared" si="37"/>
        <v>1</v>
      </c>
      <c r="L140" s="55">
        <f t="shared" si="37"/>
        <v>1</v>
      </c>
      <c r="M140" s="55">
        <f t="shared" si="37"/>
        <v>1</v>
      </c>
      <c r="N140" s="55">
        <f t="shared" si="37"/>
        <v>1</v>
      </c>
      <c r="O140" s="55">
        <f t="shared" si="37"/>
        <v>1</v>
      </c>
      <c r="P140" s="55">
        <f t="shared" si="37"/>
        <v>1</v>
      </c>
      <c r="Q140" s="55">
        <f t="shared" si="37"/>
        <v>1</v>
      </c>
      <c r="R140" s="55">
        <f t="shared" si="37"/>
        <v>1</v>
      </c>
      <c r="S140" s="55">
        <f t="shared" si="37"/>
        <v>0</v>
      </c>
      <c r="T140" s="55">
        <f t="shared" si="37"/>
        <v>0</v>
      </c>
      <c r="U140" s="55">
        <f t="shared" si="37"/>
        <v>0</v>
      </c>
      <c r="V140" s="55">
        <f t="shared" si="37"/>
        <v>0</v>
      </c>
      <c r="W140" s="55">
        <f t="shared" si="37"/>
        <v>0</v>
      </c>
      <c r="X140" s="55">
        <f t="shared" si="37"/>
        <v>0</v>
      </c>
      <c r="Y140" s="55">
        <f t="shared" si="37"/>
        <v>0</v>
      </c>
      <c r="Z140" s="55">
        <f t="shared" si="37"/>
        <v>0</v>
      </c>
      <c r="AA140" s="55">
        <f t="shared" si="37"/>
        <v>0</v>
      </c>
      <c r="AB140" s="55">
        <f t="shared" si="37"/>
        <v>0</v>
      </c>
      <c r="AC140" s="55">
        <f t="shared" si="37"/>
        <v>0</v>
      </c>
      <c r="AD140" s="55">
        <f t="shared" si="37"/>
        <v>0</v>
      </c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</row>
    <row r="141" spans="2:53" ht="15" customHeight="1" outlineLevel="1">
      <c r="B141" s="46" t="str">
        <f>Model!$B$81</f>
        <v>Director</v>
      </c>
      <c r="C141" s="317">
        <v>0.3</v>
      </c>
      <c r="D141" s="236"/>
      <c r="E141" s="317">
        <v>0.32</v>
      </c>
      <c r="F141" s="37"/>
      <c r="G141" s="300">
        <f>G104*$C141</f>
        <v>22.868852459016392</v>
      </c>
      <c r="H141" s="301">
        <f t="shared" ref="H141:R141" si="38">H104*$C141</f>
        <v>21.393442622950818</v>
      </c>
      <c r="I141" s="301">
        <f t="shared" si="38"/>
        <v>22.868852459016392</v>
      </c>
      <c r="J141" s="300">
        <f t="shared" si="38"/>
        <v>22.131147540983605</v>
      </c>
      <c r="K141" s="301">
        <f t="shared" si="38"/>
        <v>22.868852459016392</v>
      </c>
      <c r="L141" s="301">
        <f t="shared" si="38"/>
        <v>22.131147540983605</v>
      </c>
      <c r="M141" s="300">
        <f t="shared" si="38"/>
        <v>22.868852459016392</v>
      </c>
      <c r="N141" s="301">
        <f t="shared" si="38"/>
        <v>22.868852459016392</v>
      </c>
      <c r="O141" s="301">
        <f t="shared" si="38"/>
        <v>22.131147540983605</v>
      </c>
      <c r="P141" s="300">
        <f t="shared" si="38"/>
        <v>22.868852459016392</v>
      </c>
      <c r="Q141" s="301">
        <f t="shared" si="38"/>
        <v>22.131147540983605</v>
      </c>
      <c r="R141" s="301">
        <f t="shared" si="38"/>
        <v>22.868852459016392</v>
      </c>
      <c r="S141" s="300">
        <f>S104*$E141</f>
        <v>24.460273972602742</v>
      </c>
      <c r="T141" s="301">
        <f t="shared" ref="T141:AC141" si="39">T104*$E141</f>
        <v>22.093150684931508</v>
      </c>
      <c r="U141" s="301">
        <f t="shared" si="39"/>
        <v>24.460273972602742</v>
      </c>
      <c r="V141" s="300">
        <f t="shared" si="39"/>
        <v>24.328767123287673</v>
      </c>
      <c r="W141" s="301">
        <f t="shared" si="39"/>
        <v>25.139726027397259</v>
      </c>
      <c r="X141" s="301">
        <f t="shared" si="39"/>
        <v>24.328767123287673</v>
      </c>
      <c r="Y141" s="300">
        <f t="shared" si="39"/>
        <v>25.139726027397259</v>
      </c>
      <c r="Z141" s="301">
        <f t="shared" si="39"/>
        <v>25.139726027397259</v>
      </c>
      <c r="AA141" s="301">
        <f t="shared" si="39"/>
        <v>24.328767123287673</v>
      </c>
      <c r="AB141" s="300">
        <f t="shared" si="39"/>
        <v>25.139726027397259</v>
      </c>
      <c r="AC141" s="301">
        <f t="shared" si="39"/>
        <v>24.328767123287673</v>
      </c>
      <c r="AD141" s="301">
        <f>AD104*$E141</f>
        <v>25.139726027397259</v>
      </c>
      <c r="AE141" s="3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</row>
    <row r="142" spans="2:53" ht="15" customHeight="1" outlineLevel="1">
      <c r="B142" s="46" t="str">
        <f>Model!$B$82</f>
        <v>Partner</v>
      </c>
      <c r="C142" s="318">
        <v>0.25</v>
      </c>
      <c r="D142" s="236"/>
      <c r="E142" s="318">
        <v>0.25</v>
      </c>
      <c r="F142" s="37"/>
      <c r="G142" s="302">
        <f t="shared" ref="G142:R148" si="40">G105*$C142</f>
        <v>17.469262295081968</v>
      </c>
      <c r="H142" s="303">
        <f t="shared" si="40"/>
        <v>16.342213114754099</v>
      </c>
      <c r="I142" s="303">
        <f t="shared" si="40"/>
        <v>17.469262295081968</v>
      </c>
      <c r="J142" s="302">
        <f t="shared" si="40"/>
        <v>16.905737704918032</v>
      </c>
      <c r="K142" s="303">
        <f t="shared" si="40"/>
        <v>17.469262295081968</v>
      </c>
      <c r="L142" s="303">
        <f t="shared" si="40"/>
        <v>16.905737704918032</v>
      </c>
      <c r="M142" s="302">
        <f t="shared" si="40"/>
        <v>17.469262295081968</v>
      </c>
      <c r="N142" s="303">
        <f t="shared" si="40"/>
        <v>17.469262295081968</v>
      </c>
      <c r="O142" s="303">
        <f t="shared" si="40"/>
        <v>16.905737704918032</v>
      </c>
      <c r="P142" s="302">
        <f t="shared" si="40"/>
        <v>17.469262295081968</v>
      </c>
      <c r="Q142" s="303">
        <f t="shared" si="40"/>
        <v>16.905737704918032</v>
      </c>
      <c r="R142" s="303">
        <f t="shared" si="40"/>
        <v>17.469262295081968</v>
      </c>
      <c r="S142" s="302">
        <f t="shared" ref="S142:AD148" si="41">S105*$E142</f>
        <v>17.517123287671232</v>
      </c>
      <c r="T142" s="303">
        <f t="shared" si="41"/>
        <v>15.82191780821918</v>
      </c>
      <c r="U142" s="303">
        <f t="shared" si="41"/>
        <v>17.517123287671232</v>
      </c>
      <c r="V142" s="302">
        <f t="shared" si="41"/>
        <v>17.465753424657532</v>
      </c>
      <c r="W142" s="303">
        <f t="shared" si="41"/>
        <v>18.047945205479451</v>
      </c>
      <c r="X142" s="303">
        <f t="shared" si="41"/>
        <v>17.465753424657532</v>
      </c>
      <c r="Y142" s="302">
        <f t="shared" si="41"/>
        <v>18.047945205479451</v>
      </c>
      <c r="Z142" s="303">
        <f t="shared" si="41"/>
        <v>18.047945205479451</v>
      </c>
      <c r="AA142" s="303">
        <f t="shared" si="41"/>
        <v>17.465753424657532</v>
      </c>
      <c r="AB142" s="302">
        <f t="shared" si="41"/>
        <v>18.047945205479451</v>
      </c>
      <c r="AC142" s="303">
        <f t="shared" si="41"/>
        <v>17.465753424657532</v>
      </c>
      <c r="AD142" s="303">
        <f t="shared" si="41"/>
        <v>18.047945205479451</v>
      </c>
      <c r="AE142" s="3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</row>
    <row r="143" spans="2:53" ht="15" customHeight="1" outlineLevel="1">
      <c r="B143" s="46" t="str">
        <f>Model!$B$83</f>
        <v>Principal</v>
      </c>
      <c r="C143" s="318">
        <v>0.22</v>
      </c>
      <c r="D143" s="236"/>
      <c r="E143" s="318">
        <v>0.22</v>
      </c>
      <c r="F143" s="37"/>
      <c r="G143" s="302">
        <f t="shared" si="40"/>
        <v>13.975409836065573</v>
      </c>
      <c r="H143" s="303">
        <f t="shared" si="40"/>
        <v>13.07377049180328</v>
      </c>
      <c r="I143" s="303">
        <f t="shared" si="40"/>
        <v>13.975409836065573</v>
      </c>
      <c r="J143" s="302">
        <f t="shared" si="40"/>
        <v>13.524590163934425</v>
      </c>
      <c r="K143" s="303">
        <f t="shared" si="40"/>
        <v>13.975409836065573</v>
      </c>
      <c r="L143" s="303">
        <f t="shared" si="40"/>
        <v>13.524590163934425</v>
      </c>
      <c r="M143" s="302">
        <f t="shared" si="40"/>
        <v>13.975409836065573</v>
      </c>
      <c r="N143" s="303">
        <f t="shared" si="40"/>
        <v>13.975409836065573</v>
      </c>
      <c r="O143" s="303">
        <f t="shared" si="40"/>
        <v>13.524590163934425</v>
      </c>
      <c r="P143" s="302">
        <f t="shared" si="40"/>
        <v>13.975409836065573</v>
      </c>
      <c r="Q143" s="303">
        <f t="shared" si="40"/>
        <v>13.524590163934425</v>
      </c>
      <c r="R143" s="303">
        <f t="shared" si="40"/>
        <v>13.975409836065573</v>
      </c>
      <c r="S143" s="302">
        <f t="shared" si="41"/>
        <v>14.013698630136986</v>
      </c>
      <c r="T143" s="303">
        <f t="shared" si="41"/>
        <v>12.657534246575343</v>
      </c>
      <c r="U143" s="303">
        <f t="shared" si="41"/>
        <v>14.013698630136986</v>
      </c>
      <c r="V143" s="302">
        <f t="shared" si="41"/>
        <v>14.013698630136986</v>
      </c>
      <c r="W143" s="303">
        <f t="shared" si="41"/>
        <v>14.480821917808221</v>
      </c>
      <c r="X143" s="303">
        <f t="shared" si="41"/>
        <v>14.013698630136986</v>
      </c>
      <c r="Y143" s="302">
        <f t="shared" si="41"/>
        <v>14.480821917808221</v>
      </c>
      <c r="Z143" s="303">
        <f t="shared" si="41"/>
        <v>14.480821917808221</v>
      </c>
      <c r="AA143" s="303">
        <f t="shared" si="41"/>
        <v>14.013698630136986</v>
      </c>
      <c r="AB143" s="302">
        <f t="shared" si="41"/>
        <v>14.480821917808221</v>
      </c>
      <c r="AC143" s="303">
        <f t="shared" si="41"/>
        <v>14.013698630136986</v>
      </c>
      <c r="AD143" s="303">
        <f t="shared" si="41"/>
        <v>14.480821917808221</v>
      </c>
      <c r="AE143" s="3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</row>
    <row r="144" spans="2:53" ht="15" customHeight="1" outlineLevel="1">
      <c r="B144" s="46" t="str">
        <f>Model!$B$84</f>
        <v>Manager</v>
      </c>
      <c r="C144" s="318">
        <v>0.2</v>
      </c>
      <c r="D144" s="236"/>
      <c r="E144" s="318">
        <v>0.2</v>
      </c>
      <c r="F144" s="37"/>
      <c r="G144" s="302">
        <f t="shared" si="40"/>
        <v>0</v>
      </c>
      <c r="H144" s="303">
        <f t="shared" si="40"/>
        <v>0</v>
      </c>
      <c r="I144" s="303">
        <f t="shared" si="40"/>
        <v>0</v>
      </c>
      <c r="J144" s="302">
        <f t="shared" si="40"/>
        <v>0</v>
      </c>
      <c r="K144" s="303">
        <f t="shared" si="40"/>
        <v>0</v>
      </c>
      <c r="L144" s="303">
        <f t="shared" si="40"/>
        <v>0</v>
      </c>
      <c r="M144" s="302">
        <f t="shared" si="40"/>
        <v>0</v>
      </c>
      <c r="N144" s="303">
        <f t="shared" si="40"/>
        <v>4.5081967213114753</v>
      </c>
      <c r="O144" s="303">
        <f t="shared" si="40"/>
        <v>6.1475409836065573</v>
      </c>
      <c r="P144" s="302">
        <f t="shared" si="40"/>
        <v>6.3524590163934427</v>
      </c>
      <c r="Q144" s="303">
        <f t="shared" si="40"/>
        <v>6.1475409836065573</v>
      </c>
      <c r="R144" s="303">
        <f t="shared" si="40"/>
        <v>6.3524590163934427</v>
      </c>
      <c r="S144" s="302">
        <f t="shared" si="41"/>
        <v>6.3698630136986303</v>
      </c>
      <c r="T144" s="303">
        <f t="shared" si="41"/>
        <v>5.7534246575342474</v>
      </c>
      <c r="U144" s="303">
        <f t="shared" si="41"/>
        <v>6.3698630136986303</v>
      </c>
      <c r="V144" s="302">
        <f t="shared" si="41"/>
        <v>6.5753424657534243</v>
      </c>
      <c r="W144" s="303">
        <f t="shared" si="41"/>
        <v>6.794520547945206</v>
      </c>
      <c r="X144" s="303">
        <f t="shared" si="41"/>
        <v>6.5753424657534243</v>
      </c>
      <c r="Y144" s="302">
        <f t="shared" si="41"/>
        <v>6.794520547945206</v>
      </c>
      <c r="Z144" s="303">
        <f t="shared" si="41"/>
        <v>6.794520547945206</v>
      </c>
      <c r="AA144" s="303">
        <f t="shared" si="41"/>
        <v>6.5753424657534243</v>
      </c>
      <c r="AB144" s="302">
        <f t="shared" si="41"/>
        <v>6.794520547945206</v>
      </c>
      <c r="AC144" s="303">
        <f t="shared" si="41"/>
        <v>6.5753424657534243</v>
      </c>
      <c r="AD144" s="303">
        <f t="shared" si="41"/>
        <v>6.794520547945206</v>
      </c>
      <c r="AE144" s="3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</row>
    <row r="145" spans="2:53" ht="15" customHeight="1" outlineLevel="1">
      <c r="B145" s="46" t="str">
        <f>Model!$B$85</f>
        <v>Sr Associate</v>
      </c>
      <c r="C145" s="318">
        <v>0.22</v>
      </c>
      <c r="D145" s="236"/>
      <c r="E145" s="318">
        <v>0.25</v>
      </c>
      <c r="F145" s="37"/>
      <c r="G145" s="302">
        <f t="shared" si="40"/>
        <v>0</v>
      </c>
      <c r="H145" s="303">
        <f t="shared" si="40"/>
        <v>0</v>
      </c>
      <c r="I145" s="303">
        <f t="shared" si="40"/>
        <v>0</v>
      </c>
      <c r="J145" s="302">
        <f t="shared" si="40"/>
        <v>0</v>
      </c>
      <c r="K145" s="303">
        <f t="shared" si="40"/>
        <v>0</v>
      </c>
      <c r="L145" s="303">
        <f t="shared" si="40"/>
        <v>0</v>
      </c>
      <c r="M145" s="302">
        <f t="shared" si="40"/>
        <v>0</v>
      </c>
      <c r="N145" s="303">
        <f t="shared" si="40"/>
        <v>1.0519125683060109</v>
      </c>
      <c r="O145" s="303">
        <f t="shared" si="40"/>
        <v>3.1557377049180326</v>
      </c>
      <c r="P145" s="302">
        <f t="shared" si="40"/>
        <v>3.2609289617486339</v>
      </c>
      <c r="Q145" s="303">
        <f t="shared" si="40"/>
        <v>3.1557377049180326</v>
      </c>
      <c r="R145" s="303">
        <f t="shared" si="40"/>
        <v>3.2609289617486339</v>
      </c>
      <c r="S145" s="302">
        <f t="shared" si="41"/>
        <v>3.7157534246575343</v>
      </c>
      <c r="T145" s="303">
        <f t="shared" si="41"/>
        <v>3.3561643835616439</v>
      </c>
      <c r="U145" s="303">
        <f t="shared" si="41"/>
        <v>3.7157534246575343</v>
      </c>
      <c r="V145" s="302">
        <f t="shared" si="41"/>
        <v>3.595890410958904</v>
      </c>
      <c r="W145" s="303">
        <f t="shared" si="41"/>
        <v>3.7157534246575343</v>
      </c>
      <c r="X145" s="303">
        <f t="shared" si="41"/>
        <v>3.595890410958904</v>
      </c>
      <c r="Y145" s="302">
        <f t="shared" si="41"/>
        <v>3.7157534246575343</v>
      </c>
      <c r="Z145" s="303">
        <f t="shared" si="41"/>
        <v>3.7157534246575343</v>
      </c>
      <c r="AA145" s="303">
        <f t="shared" si="41"/>
        <v>3.595890410958904</v>
      </c>
      <c r="AB145" s="302">
        <f t="shared" si="41"/>
        <v>3.7157534246575343</v>
      </c>
      <c r="AC145" s="303">
        <f t="shared" si="41"/>
        <v>3.595890410958904</v>
      </c>
      <c r="AD145" s="303">
        <f t="shared" si="41"/>
        <v>3.7157534246575343</v>
      </c>
      <c r="AE145" s="3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</row>
    <row r="146" spans="2:53" ht="15" customHeight="1" outlineLevel="1">
      <c r="B146" s="46" t="str">
        <f>Model!$B$86</f>
        <v>Associate</v>
      </c>
      <c r="C146" s="318">
        <v>0.2</v>
      </c>
      <c r="D146" s="236"/>
      <c r="E146" s="318">
        <v>0.22</v>
      </c>
      <c r="F146" s="37"/>
      <c r="G146" s="302">
        <f t="shared" si="40"/>
        <v>2.5409836065573774</v>
      </c>
      <c r="H146" s="303">
        <f t="shared" si="40"/>
        <v>2.377049180327869</v>
      </c>
      <c r="I146" s="303">
        <f t="shared" si="40"/>
        <v>2.5409836065573774</v>
      </c>
      <c r="J146" s="302">
        <f t="shared" si="40"/>
        <v>2.459016393442623</v>
      </c>
      <c r="K146" s="303">
        <f t="shared" si="40"/>
        <v>2.5409836065573774</v>
      </c>
      <c r="L146" s="303">
        <f t="shared" si="40"/>
        <v>2.459016393442623</v>
      </c>
      <c r="M146" s="302">
        <f t="shared" si="40"/>
        <v>2.5409836065573774</v>
      </c>
      <c r="N146" s="303">
        <f t="shared" si="40"/>
        <v>2.5409836065573774</v>
      </c>
      <c r="O146" s="303">
        <f t="shared" si="40"/>
        <v>2.459016393442623</v>
      </c>
      <c r="P146" s="302">
        <f t="shared" si="40"/>
        <v>2.5409836065573774</v>
      </c>
      <c r="Q146" s="303">
        <f t="shared" si="40"/>
        <v>2.459016393442623</v>
      </c>
      <c r="R146" s="303">
        <f t="shared" si="40"/>
        <v>2.5409836065573774</v>
      </c>
      <c r="S146" s="302">
        <f t="shared" si="41"/>
        <v>3.0830136986301371</v>
      </c>
      <c r="T146" s="303">
        <f t="shared" si="41"/>
        <v>2.7846575342465756</v>
      </c>
      <c r="U146" s="303">
        <f t="shared" si="41"/>
        <v>3.0830136986301371</v>
      </c>
      <c r="V146" s="302">
        <f t="shared" si="41"/>
        <v>2.9835616438356163</v>
      </c>
      <c r="W146" s="303">
        <f t="shared" si="41"/>
        <v>3.0830136986301371</v>
      </c>
      <c r="X146" s="303">
        <f t="shared" si="41"/>
        <v>2.9835616438356163</v>
      </c>
      <c r="Y146" s="302">
        <f t="shared" si="41"/>
        <v>3.0830136986301371</v>
      </c>
      <c r="Z146" s="303">
        <f t="shared" si="41"/>
        <v>3.0830136986301371</v>
      </c>
      <c r="AA146" s="303">
        <f t="shared" si="41"/>
        <v>2.9835616438356163</v>
      </c>
      <c r="AB146" s="302">
        <f t="shared" si="41"/>
        <v>3.0830136986301371</v>
      </c>
      <c r="AC146" s="303">
        <f t="shared" si="41"/>
        <v>2.9835616438356163</v>
      </c>
      <c r="AD146" s="303">
        <f t="shared" si="41"/>
        <v>3.0830136986301371</v>
      </c>
      <c r="AE146" s="3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</row>
    <row r="147" spans="2:53" ht="15" customHeight="1" outlineLevel="1">
      <c r="B147" s="46" t="str">
        <f>Model!$B$87</f>
        <v>Analyst</v>
      </c>
      <c r="C147" s="318">
        <v>0.16</v>
      </c>
      <c r="D147" s="236"/>
      <c r="E147" s="318">
        <v>0.18</v>
      </c>
      <c r="F147" s="37"/>
      <c r="G147" s="302">
        <f t="shared" si="40"/>
        <v>1.1383606557377048</v>
      </c>
      <c r="H147" s="303">
        <f t="shared" si="40"/>
        <v>1.0649180327868855</v>
      </c>
      <c r="I147" s="303">
        <f t="shared" si="40"/>
        <v>1.1383606557377048</v>
      </c>
      <c r="J147" s="302">
        <f t="shared" si="40"/>
        <v>1.1016393442622952</v>
      </c>
      <c r="K147" s="303">
        <f t="shared" si="40"/>
        <v>1.1383606557377048</v>
      </c>
      <c r="L147" s="303">
        <f t="shared" si="40"/>
        <v>1.1016393442622952</v>
      </c>
      <c r="M147" s="302">
        <f t="shared" si="40"/>
        <v>1.1383606557377048</v>
      </c>
      <c r="N147" s="303">
        <f t="shared" si="40"/>
        <v>1.1383606557377048</v>
      </c>
      <c r="O147" s="303">
        <f t="shared" si="40"/>
        <v>1.1016393442622952</v>
      </c>
      <c r="P147" s="302">
        <f t="shared" si="40"/>
        <v>1.1383606557377048</v>
      </c>
      <c r="Q147" s="303">
        <f t="shared" si="40"/>
        <v>1.1016393442622952</v>
      </c>
      <c r="R147" s="303">
        <f t="shared" si="40"/>
        <v>1.1383606557377048</v>
      </c>
      <c r="S147" s="302">
        <f t="shared" si="41"/>
        <v>1.4523287671232876</v>
      </c>
      <c r="T147" s="303">
        <f t="shared" si="41"/>
        <v>1.3117808219178082</v>
      </c>
      <c r="U147" s="303">
        <f t="shared" si="41"/>
        <v>1.4523287671232876</v>
      </c>
      <c r="V147" s="302">
        <f t="shared" si="41"/>
        <v>1.4054794520547944</v>
      </c>
      <c r="W147" s="303">
        <f t="shared" si="41"/>
        <v>1.4523287671232876</v>
      </c>
      <c r="X147" s="303">
        <f t="shared" si="41"/>
        <v>1.4054794520547944</v>
      </c>
      <c r="Y147" s="302">
        <f t="shared" si="41"/>
        <v>1.4523287671232876</v>
      </c>
      <c r="Z147" s="303">
        <f t="shared" si="41"/>
        <v>1.4523287671232876</v>
      </c>
      <c r="AA147" s="303">
        <f t="shared" si="41"/>
        <v>1.4054794520547944</v>
      </c>
      <c r="AB147" s="302">
        <f t="shared" si="41"/>
        <v>1.4523287671232876</v>
      </c>
      <c r="AC147" s="303">
        <f t="shared" si="41"/>
        <v>1.4054794520547944</v>
      </c>
      <c r="AD147" s="303">
        <f t="shared" si="41"/>
        <v>1.4523287671232876</v>
      </c>
      <c r="AE147" s="3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</row>
    <row r="148" spans="2:53" ht="15" customHeight="1" outlineLevel="1">
      <c r="B148" s="46" t="str">
        <f>Model!$B$88</f>
        <v>Analyst</v>
      </c>
      <c r="C148" s="318">
        <v>0.16</v>
      </c>
      <c r="D148" s="236"/>
      <c r="E148" s="318">
        <v>0.18</v>
      </c>
      <c r="F148" s="37"/>
      <c r="G148" s="302">
        <f t="shared" si="40"/>
        <v>0</v>
      </c>
      <c r="H148" s="303">
        <f t="shared" si="40"/>
        <v>0</v>
      </c>
      <c r="I148" s="303">
        <f t="shared" si="40"/>
        <v>0</v>
      </c>
      <c r="J148" s="302">
        <f t="shared" si="40"/>
        <v>0</v>
      </c>
      <c r="K148" s="303">
        <f t="shared" si="40"/>
        <v>0</v>
      </c>
      <c r="L148" s="303">
        <f t="shared" si="40"/>
        <v>0</v>
      </c>
      <c r="M148" s="302">
        <f t="shared" si="40"/>
        <v>0</v>
      </c>
      <c r="N148" s="303">
        <f t="shared" si="40"/>
        <v>0</v>
      </c>
      <c r="O148" s="303">
        <f t="shared" si="40"/>
        <v>1.1016393442622952</v>
      </c>
      <c r="P148" s="302">
        <f t="shared" si="40"/>
        <v>1.1383606557377048</v>
      </c>
      <c r="Q148" s="303">
        <f t="shared" si="40"/>
        <v>1.1016393442622952</v>
      </c>
      <c r="R148" s="303">
        <f t="shared" si="40"/>
        <v>1.1383606557377048</v>
      </c>
      <c r="S148" s="302">
        <f t="shared" si="41"/>
        <v>1.3758904109589039</v>
      </c>
      <c r="T148" s="303">
        <f t="shared" si="41"/>
        <v>1.2427397260273971</v>
      </c>
      <c r="U148" s="303">
        <f t="shared" si="41"/>
        <v>1.3758904109589039</v>
      </c>
      <c r="V148" s="302">
        <f t="shared" si="41"/>
        <v>1.3315068493150684</v>
      </c>
      <c r="W148" s="303">
        <f t="shared" si="41"/>
        <v>1.3758904109589039</v>
      </c>
      <c r="X148" s="303">
        <f t="shared" si="41"/>
        <v>1.3315068493150684</v>
      </c>
      <c r="Y148" s="302">
        <f t="shared" si="41"/>
        <v>1.3758904109589039</v>
      </c>
      <c r="Z148" s="303">
        <f t="shared" si="41"/>
        <v>1.3758904109589039</v>
      </c>
      <c r="AA148" s="303">
        <f t="shared" si="41"/>
        <v>1.3315068493150684</v>
      </c>
      <c r="AB148" s="302">
        <f t="shared" si="41"/>
        <v>1.3758904109589039</v>
      </c>
      <c r="AC148" s="303">
        <f t="shared" si="41"/>
        <v>1.3315068493150684</v>
      </c>
      <c r="AD148" s="303">
        <f t="shared" si="41"/>
        <v>1.3758904109589039</v>
      </c>
      <c r="AE148" s="3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</row>
    <row r="149" spans="2:53" ht="15" customHeight="1" outlineLevel="1">
      <c r="B149" s="46" t="s">
        <v>55</v>
      </c>
      <c r="C149" s="38"/>
      <c r="E149" s="38"/>
      <c r="G149" s="246">
        <f>SUM(G141:G148)</f>
        <v>57.992868852459011</v>
      </c>
      <c r="H149" s="247">
        <f t="shared" ref="H149:AD149" si="42">SUM(H141:H148)</f>
        <v>54.251393442622948</v>
      </c>
      <c r="I149" s="247">
        <f t="shared" si="42"/>
        <v>57.992868852459011</v>
      </c>
      <c r="J149" s="246">
        <f t="shared" si="42"/>
        <v>56.122131147540983</v>
      </c>
      <c r="K149" s="247">
        <f t="shared" si="42"/>
        <v>57.992868852459011</v>
      </c>
      <c r="L149" s="247">
        <f t="shared" si="42"/>
        <v>56.122131147540983</v>
      </c>
      <c r="M149" s="246">
        <f t="shared" si="42"/>
        <v>57.992868852459011</v>
      </c>
      <c r="N149" s="247">
        <f t="shared" si="42"/>
        <v>63.552978142076498</v>
      </c>
      <c r="O149" s="247">
        <f t="shared" si="42"/>
        <v>66.527049180327865</v>
      </c>
      <c r="P149" s="246">
        <f t="shared" si="42"/>
        <v>68.744617486338782</v>
      </c>
      <c r="Q149" s="247">
        <f t="shared" si="42"/>
        <v>66.527049180327865</v>
      </c>
      <c r="R149" s="247">
        <f t="shared" si="42"/>
        <v>68.744617486338782</v>
      </c>
      <c r="S149" s="246">
        <f t="shared" si="42"/>
        <v>71.987945205479463</v>
      </c>
      <c r="T149" s="247">
        <f t="shared" si="42"/>
        <v>65.021369863013703</v>
      </c>
      <c r="U149" s="247">
        <f t="shared" si="42"/>
        <v>71.987945205479463</v>
      </c>
      <c r="V149" s="246">
        <f t="shared" si="42"/>
        <v>71.699999999999989</v>
      </c>
      <c r="W149" s="247">
        <f t="shared" si="42"/>
        <v>74.09</v>
      </c>
      <c r="X149" s="247">
        <f t="shared" si="42"/>
        <v>71.699999999999989</v>
      </c>
      <c r="Y149" s="246">
        <f t="shared" si="42"/>
        <v>74.09</v>
      </c>
      <c r="Z149" s="247">
        <f t="shared" si="42"/>
        <v>74.09</v>
      </c>
      <c r="AA149" s="247">
        <f t="shared" si="42"/>
        <v>71.699999999999989</v>
      </c>
      <c r="AB149" s="246">
        <f t="shared" si="42"/>
        <v>74.09</v>
      </c>
      <c r="AC149" s="247">
        <f t="shared" si="42"/>
        <v>71.699999999999989</v>
      </c>
      <c r="AD149" s="247">
        <f t="shared" si="42"/>
        <v>74.09</v>
      </c>
      <c r="AE149" s="3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</row>
    <row r="150" spans="2:53" ht="15" customHeight="1" outlineLevel="1">
      <c r="B150" s="33"/>
      <c r="C150" s="33"/>
      <c r="D150" s="33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</row>
    <row r="151" spans="2:53" ht="15" customHeight="1" outlineLevel="1">
      <c r="B151" s="33"/>
      <c r="C151" s="33"/>
      <c r="D151" s="33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</row>
    <row r="152" spans="2:53" ht="15" customHeight="1" outlineLevel="1">
      <c r="B152" s="190" t="s">
        <v>61</v>
      </c>
      <c r="C152" s="33"/>
      <c r="D152" s="33"/>
      <c r="G152" s="55">
        <f t="shared" ref="G152:AD152" si="43">G$8</f>
        <v>1</v>
      </c>
      <c r="H152" s="55">
        <f t="shared" si="43"/>
        <v>1</v>
      </c>
      <c r="I152" s="55">
        <f t="shared" si="43"/>
        <v>1</v>
      </c>
      <c r="J152" s="55">
        <f t="shared" si="43"/>
        <v>1</v>
      </c>
      <c r="K152" s="55">
        <f t="shared" si="43"/>
        <v>1</v>
      </c>
      <c r="L152" s="55">
        <f t="shared" si="43"/>
        <v>1</v>
      </c>
      <c r="M152" s="55">
        <f t="shared" si="43"/>
        <v>1</v>
      </c>
      <c r="N152" s="55">
        <f t="shared" si="43"/>
        <v>1</v>
      </c>
      <c r="O152" s="55">
        <f t="shared" si="43"/>
        <v>1</v>
      </c>
      <c r="P152" s="55">
        <f t="shared" si="43"/>
        <v>1</v>
      </c>
      <c r="Q152" s="55">
        <f t="shared" si="43"/>
        <v>1</v>
      </c>
      <c r="R152" s="55">
        <f t="shared" si="43"/>
        <v>1</v>
      </c>
      <c r="S152" s="55">
        <f t="shared" si="43"/>
        <v>0</v>
      </c>
      <c r="T152" s="55">
        <f t="shared" si="43"/>
        <v>0</v>
      </c>
      <c r="U152" s="55">
        <f t="shared" si="43"/>
        <v>0</v>
      </c>
      <c r="V152" s="55">
        <f t="shared" si="43"/>
        <v>0</v>
      </c>
      <c r="W152" s="55">
        <f t="shared" si="43"/>
        <v>0</v>
      </c>
      <c r="X152" s="55">
        <f t="shared" si="43"/>
        <v>0</v>
      </c>
      <c r="Y152" s="55">
        <f t="shared" si="43"/>
        <v>0</v>
      </c>
      <c r="Z152" s="55">
        <f t="shared" si="43"/>
        <v>0</v>
      </c>
      <c r="AA152" s="55">
        <f t="shared" si="43"/>
        <v>0</v>
      </c>
      <c r="AB152" s="55">
        <f t="shared" si="43"/>
        <v>0</v>
      </c>
      <c r="AC152" s="55">
        <f t="shared" si="43"/>
        <v>0</v>
      </c>
      <c r="AD152" s="55">
        <f t="shared" si="43"/>
        <v>0</v>
      </c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</row>
    <row r="153" spans="2:53" ht="15" customHeight="1" outlineLevel="1">
      <c r="B153" s="46" t="str">
        <f>Model!$B$81</f>
        <v>Director</v>
      </c>
      <c r="C153" s="33"/>
      <c r="D153" s="33"/>
      <c r="G153" s="300">
        <f>G141+G129+G104</f>
        <v>121.96721311475409</v>
      </c>
      <c r="H153" s="301">
        <f t="shared" ref="H153:AD153" si="44">H141+H129+H104</f>
        <v>114.09836065573771</v>
      </c>
      <c r="I153" s="301">
        <f t="shared" si="44"/>
        <v>121.96721311475409</v>
      </c>
      <c r="J153" s="300">
        <f t="shared" si="44"/>
        <v>118.0327868852459</v>
      </c>
      <c r="K153" s="301">
        <f t="shared" si="44"/>
        <v>121.96721311475409</v>
      </c>
      <c r="L153" s="301">
        <f>L141+L129+L104</f>
        <v>118.0327868852459</v>
      </c>
      <c r="M153" s="300">
        <f t="shared" si="44"/>
        <v>121.96721311475409</v>
      </c>
      <c r="N153" s="301">
        <f t="shared" si="44"/>
        <v>121.96721311475409</v>
      </c>
      <c r="O153" s="301">
        <f t="shared" si="44"/>
        <v>118.0327868852459</v>
      </c>
      <c r="P153" s="300">
        <f t="shared" si="44"/>
        <v>121.96721311475409</v>
      </c>
      <c r="Q153" s="301">
        <f t="shared" si="44"/>
        <v>118.0327868852459</v>
      </c>
      <c r="R153" s="301">
        <f t="shared" si="44"/>
        <v>121.96721311475409</v>
      </c>
      <c r="S153" s="300">
        <f t="shared" si="44"/>
        <v>123.83013698630137</v>
      </c>
      <c r="T153" s="301">
        <f t="shared" si="44"/>
        <v>111.84657534246575</v>
      </c>
      <c r="U153" s="301">
        <f t="shared" si="44"/>
        <v>123.83013698630137</v>
      </c>
      <c r="V153" s="300">
        <f>V141+V129+V104</f>
        <v>123.16438356164383</v>
      </c>
      <c r="W153" s="301">
        <f t="shared" si="44"/>
        <v>127.26986301369863</v>
      </c>
      <c r="X153" s="301">
        <f t="shared" si="44"/>
        <v>123.16438356164383</v>
      </c>
      <c r="Y153" s="300">
        <f t="shared" si="44"/>
        <v>127.26986301369863</v>
      </c>
      <c r="Z153" s="301">
        <f t="shared" si="44"/>
        <v>127.26986301369863</v>
      </c>
      <c r="AA153" s="301">
        <f t="shared" si="44"/>
        <v>123.16438356164383</v>
      </c>
      <c r="AB153" s="300">
        <f t="shared" si="44"/>
        <v>127.26986301369863</v>
      </c>
      <c r="AC153" s="301">
        <f t="shared" si="44"/>
        <v>123.16438356164383</v>
      </c>
      <c r="AD153" s="301">
        <f t="shared" si="44"/>
        <v>127.26986301369863</v>
      </c>
      <c r="AE153" s="3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</row>
    <row r="154" spans="2:53" ht="15" customHeight="1" outlineLevel="1">
      <c r="B154" s="46" t="str">
        <f>Model!$B$82</f>
        <v>Partner</v>
      </c>
      <c r="C154" s="33"/>
      <c r="D154" s="33"/>
      <c r="G154" s="302">
        <f t="shared" ref="G154:AD160" si="45">G142+G130+G105</f>
        <v>108.3094262295082</v>
      </c>
      <c r="H154" s="303">
        <f t="shared" si="45"/>
        <v>101.32172131147541</v>
      </c>
      <c r="I154" s="303">
        <f t="shared" si="45"/>
        <v>108.3094262295082</v>
      </c>
      <c r="J154" s="302">
        <f t="shared" si="45"/>
        <v>104.8155737704918</v>
      </c>
      <c r="K154" s="303">
        <f t="shared" si="45"/>
        <v>108.3094262295082</v>
      </c>
      <c r="L154" s="303">
        <f t="shared" si="45"/>
        <v>104.8155737704918</v>
      </c>
      <c r="M154" s="302">
        <f t="shared" si="45"/>
        <v>108.3094262295082</v>
      </c>
      <c r="N154" s="303">
        <f t="shared" si="45"/>
        <v>108.3094262295082</v>
      </c>
      <c r="O154" s="303">
        <f t="shared" si="45"/>
        <v>104.8155737704918</v>
      </c>
      <c r="P154" s="302">
        <f t="shared" si="45"/>
        <v>108.3094262295082</v>
      </c>
      <c r="Q154" s="303">
        <f t="shared" si="45"/>
        <v>104.8155737704918</v>
      </c>
      <c r="R154" s="303">
        <f t="shared" si="45"/>
        <v>108.3094262295082</v>
      </c>
      <c r="S154" s="302">
        <f t="shared" si="45"/>
        <v>108.60616438356163</v>
      </c>
      <c r="T154" s="303">
        <f t="shared" si="45"/>
        <v>98.095890410958916</v>
      </c>
      <c r="U154" s="303">
        <f t="shared" si="45"/>
        <v>108.60616438356163</v>
      </c>
      <c r="V154" s="302">
        <f t="shared" si="45"/>
        <v>108.2876712328767</v>
      </c>
      <c r="W154" s="303">
        <f t="shared" si="45"/>
        <v>111.89726027397259</v>
      </c>
      <c r="X154" s="303">
        <f t="shared" si="45"/>
        <v>108.2876712328767</v>
      </c>
      <c r="Y154" s="302">
        <f t="shared" si="45"/>
        <v>111.89726027397259</v>
      </c>
      <c r="Z154" s="303">
        <f t="shared" si="45"/>
        <v>111.89726027397259</v>
      </c>
      <c r="AA154" s="303">
        <f t="shared" si="45"/>
        <v>108.2876712328767</v>
      </c>
      <c r="AB154" s="302">
        <f t="shared" si="45"/>
        <v>111.89726027397259</v>
      </c>
      <c r="AC154" s="303">
        <f t="shared" si="45"/>
        <v>108.2876712328767</v>
      </c>
      <c r="AD154" s="303">
        <f t="shared" si="45"/>
        <v>111.89726027397259</v>
      </c>
      <c r="AE154" s="3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</row>
    <row r="155" spans="2:53" ht="15" customHeight="1" outlineLevel="1">
      <c r="B155" s="46" t="str">
        <f>Model!$B$83</f>
        <v>Principal</v>
      </c>
      <c r="C155" s="33"/>
      <c r="D155" s="33"/>
      <c r="G155" s="302">
        <f t="shared" si="45"/>
        <v>96.557377049180332</v>
      </c>
      <c r="H155" s="303">
        <f t="shared" si="45"/>
        <v>90.327868852459019</v>
      </c>
      <c r="I155" s="303">
        <f t="shared" si="45"/>
        <v>96.557377049180332</v>
      </c>
      <c r="J155" s="302">
        <f t="shared" si="45"/>
        <v>93.442622950819668</v>
      </c>
      <c r="K155" s="303">
        <f t="shared" si="45"/>
        <v>96.557377049180332</v>
      </c>
      <c r="L155" s="303">
        <f t="shared" si="45"/>
        <v>93.442622950819668</v>
      </c>
      <c r="M155" s="302">
        <f t="shared" si="45"/>
        <v>96.557377049180332</v>
      </c>
      <c r="N155" s="303">
        <f t="shared" si="45"/>
        <v>96.557377049180332</v>
      </c>
      <c r="O155" s="303">
        <f t="shared" si="45"/>
        <v>93.442622950819668</v>
      </c>
      <c r="P155" s="302">
        <f t="shared" si="45"/>
        <v>96.557377049180332</v>
      </c>
      <c r="Q155" s="303">
        <f t="shared" si="45"/>
        <v>93.442622950819668</v>
      </c>
      <c r="R155" s="303">
        <f t="shared" si="45"/>
        <v>96.557377049180332</v>
      </c>
      <c r="S155" s="302">
        <f t="shared" si="45"/>
        <v>96.821917808219183</v>
      </c>
      <c r="T155" s="303">
        <f t="shared" si="45"/>
        <v>87.452054794520564</v>
      </c>
      <c r="U155" s="303">
        <f t="shared" si="45"/>
        <v>96.821917808219183</v>
      </c>
      <c r="V155" s="302">
        <f t="shared" si="45"/>
        <v>96.821917808219169</v>
      </c>
      <c r="W155" s="303">
        <f t="shared" si="45"/>
        <v>100.04931506849316</v>
      </c>
      <c r="X155" s="303">
        <f t="shared" si="45"/>
        <v>96.821917808219169</v>
      </c>
      <c r="Y155" s="302">
        <f t="shared" si="45"/>
        <v>100.04931506849316</v>
      </c>
      <c r="Z155" s="303">
        <f t="shared" si="45"/>
        <v>100.04931506849316</v>
      </c>
      <c r="AA155" s="303">
        <f t="shared" si="45"/>
        <v>96.821917808219169</v>
      </c>
      <c r="AB155" s="302">
        <f t="shared" si="45"/>
        <v>100.04931506849316</v>
      </c>
      <c r="AC155" s="303">
        <f t="shared" si="45"/>
        <v>96.821917808219169</v>
      </c>
      <c r="AD155" s="303">
        <f t="shared" si="45"/>
        <v>100.04931506849316</v>
      </c>
      <c r="AE155" s="3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</row>
    <row r="156" spans="2:53" ht="15" customHeight="1" outlineLevel="1">
      <c r="B156" s="46" t="str">
        <f>Model!$B$84</f>
        <v>Manager</v>
      </c>
      <c r="C156" s="33"/>
      <c r="D156" s="33"/>
      <c r="G156" s="302">
        <f t="shared" si="45"/>
        <v>0</v>
      </c>
      <c r="H156" s="303">
        <f t="shared" si="45"/>
        <v>0</v>
      </c>
      <c r="I156" s="303">
        <f t="shared" si="45"/>
        <v>0</v>
      </c>
      <c r="J156" s="302">
        <f t="shared" si="45"/>
        <v>0</v>
      </c>
      <c r="K156" s="303">
        <f t="shared" si="45"/>
        <v>0</v>
      </c>
      <c r="L156" s="303">
        <f t="shared" si="45"/>
        <v>0</v>
      </c>
      <c r="M156" s="302">
        <f t="shared" si="45"/>
        <v>0</v>
      </c>
      <c r="N156" s="303">
        <f t="shared" si="45"/>
        <v>33.811475409836063</v>
      </c>
      <c r="O156" s="303">
        <f t="shared" si="45"/>
        <v>46.106557377049171</v>
      </c>
      <c r="P156" s="302">
        <f t="shared" si="45"/>
        <v>47.643442622950822</v>
      </c>
      <c r="Q156" s="303">
        <f t="shared" si="45"/>
        <v>46.106557377049171</v>
      </c>
      <c r="R156" s="303">
        <f t="shared" si="45"/>
        <v>47.643442622950822</v>
      </c>
      <c r="S156" s="302">
        <f t="shared" si="45"/>
        <v>47.773972602739725</v>
      </c>
      <c r="T156" s="303">
        <f t="shared" si="45"/>
        <v>43.150684931506852</v>
      </c>
      <c r="U156" s="303">
        <f t="shared" si="45"/>
        <v>47.773972602739725</v>
      </c>
      <c r="V156" s="302">
        <f t="shared" si="45"/>
        <v>49.315068493150676</v>
      </c>
      <c r="W156" s="303">
        <f t="shared" si="45"/>
        <v>50.958904109589042</v>
      </c>
      <c r="X156" s="303">
        <f t="shared" si="45"/>
        <v>49.315068493150676</v>
      </c>
      <c r="Y156" s="302">
        <f t="shared" si="45"/>
        <v>50.958904109589042</v>
      </c>
      <c r="Z156" s="303">
        <f t="shared" si="45"/>
        <v>50.958904109589042</v>
      </c>
      <c r="AA156" s="303">
        <f t="shared" si="45"/>
        <v>49.315068493150676</v>
      </c>
      <c r="AB156" s="302">
        <f t="shared" si="45"/>
        <v>50.958904109589042</v>
      </c>
      <c r="AC156" s="303">
        <f t="shared" si="45"/>
        <v>49.315068493150676</v>
      </c>
      <c r="AD156" s="303">
        <f t="shared" si="45"/>
        <v>50.958904109589042</v>
      </c>
      <c r="AE156" s="3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</row>
    <row r="157" spans="2:53" ht="15" customHeight="1" outlineLevel="1">
      <c r="B157" s="46" t="str">
        <f>Model!$B$85</f>
        <v>Sr Associate</v>
      </c>
      <c r="C157" s="33"/>
      <c r="D157" s="33"/>
      <c r="G157" s="302">
        <f t="shared" si="45"/>
        <v>0</v>
      </c>
      <c r="H157" s="303">
        <f t="shared" si="45"/>
        <v>0</v>
      </c>
      <c r="I157" s="303">
        <f t="shared" si="45"/>
        <v>0</v>
      </c>
      <c r="J157" s="302">
        <f t="shared" si="45"/>
        <v>0</v>
      </c>
      <c r="K157" s="303">
        <f t="shared" si="45"/>
        <v>0</v>
      </c>
      <c r="L157" s="303">
        <f t="shared" si="45"/>
        <v>0</v>
      </c>
      <c r="M157" s="302">
        <f t="shared" si="45"/>
        <v>0</v>
      </c>
      <c r="N157" s="303">
        <f t="shared" si="45"/>
        <v>7.028688524590164</v>
      </c>
      <c r="O157" s="303">
        <f t="shared" si="45"/>
        <v>21.08606557377049</v>
      </c>
      <c r="P157" s="302">
        <f t="shared" si="45"/>
        <v>21.78893442622951</v>
      </c>
      <c r="Q157" s="303">
        <f t="shared" si="45"/>
        <v>21.08606557377049</v>
      </c>
      <c r="R157" s="303">
        <f t="shared" si="45"/>
        <v>21.78893442622951</v>
      </c>
      <c r="S157" s="302">
        <f t="shared" si="45"/>
        <v>22.294520547945204</v>
      </c>
      <c r="T157" s="303">
        <f t="shared" si="45"/>
        <v>20.136986301369863</v>
      </c>
      <c r="U157" s="303">
        <f t="shared" si="45"/>
        <v>22.294520547945204</v>
      </c>
      <c r="V157" s="302">
        <f t="shared" si="45"/>
        <v>21.575342465753423</v>
      </c>
      <c r="W157" s="303">
        <f t="shared" si="45"/>
        <v>22.294520547945204</v>
      </c>
      <c r="X157" s="303">
        <f t="shared" si="45"/>
        <v>21.575342465753423</v>
      </c>
      <c r="Y157" s="302">
        <f t="shared" si="45"/>
        <v>22.294520547945204</v>
      </c>
      <c r="Z157" s="303">
        <f t="shared" si="45"/>
        <v>22.294520547945204</v>
      </c>
      <c r="AA157" s="303">
        <f t="shared" si="45"/>
        <v>21.575342465753423</v>
      </c>
      <c r="AB157" s="302">
        <f t="shared" si="45"/>
        <v>22.294520547945204</v>
      </c>
      <c r="AC157" s="303">
        <f t="shared" si="45"/>
        <v>21.575342465753423</v>
      </c>
      <c r="AD157" s="303">
        <f t="shared" si="45"/>
        <v>22.294520547945204</v>
      </c>
      <c r="AE157" s="3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</row>
    <row r="158" spans="2:53" ht="15" customHeight="1" outlineLevel="1">
      <c r="B158" s="46" t="str">
        <f>Model!$B$86</f>
        <v>Associate</v>
      </c>
      <c r="C158" s="33"/>
      <c r="D158" s="33"/>
      <c r="G158" s="302">
        <f t="shared" si="45"/>
        <v>18.422131147540984</v>
      </c>
      <c r="H158" s="303">
        <f t="shared" si="45"/>
        <v>17.233606557377051</v>
      </c>
      <c r="I158" s="303">
        <f t="shared" si="45"/>
        <v>18.422131147540984</v>
      </c>
      <c r="J158" s="302">
        <f t="shared" si="45"/>
        <v>17.827868852459016</v>
      </c>
      <c r="K158" s="303">
        <f t="shared" si="45"/>
        <v>18.422131147540984</v>
      </c>
      <c r="L158" s="303">
        <f t="shared" si="45"/>
        <v>17.827868852459016</v>
      </c>
      <c r="M158" s="302">
        <f t="shared" si="45"/>
        <v>18.422131147540984</v>
      </c>
      <c r="N158" s="303">
        <f t="shared" si="45"/>
        <v>18.422131147540984</v>
      </c>
      <c r="O158" s="303">
        <f t="shared" si="45"/>
        <v>17.827868852459016</v>
      </c>
      <c r="P158" s="302">
        <f t="shared" si="45"/>
        <v>18.422131147540984</v>
      </c>
      <c r="Q158" s="303">
        <f t="shared" si="45"/>
        <v>17.827868852459016</v>
      </c>
      <c r="R158" s="303">
        <f t="shared" si="45"/>
        <v>18.422131147540984</v>
      </c>
      <c r="S158" s="302">
        <f t="shared" si="45"/>
        <v>20.600136986301369</v>
      </c>
      <c r="T158" s="303">
        <f t="shared" si="45"/>
        <v>18.606575342465753</v>
      </c>
      <c r="U158" s="303">
        <f t="shared" si="45"/>
        <v>20.600136986301369</v>
      </c>
      <c r="V158" s="302">
        <f t="shared" si="45"/>
        <v>19.935616438356163</v>
      </c>
      <c r="W158" s="303">
        <f t="shared" si="45"/>
        <v>20.600136986301369</v>
      </c>
      <c r="X158" s="303">
        <f t="shared" si="45"/>
        <v>19.935616438356163</v>
      </c>
      <c r="Y158" s="302">
        <f t="shared" si="45"/>
        <v>20.600136986301369</v>
      </c>
      <c r="Z158" s="303">
        <f t="shared" si="45"/>
        <v>20.600136986301369</v>
      </c>
      <c r="AA158" s="303">
        <f t="shared" si="45"/>
        <v>19.935616438356163</v>
      </c>
      <c r="AB158" s="302">
        <f t="shared" si="45"/>
        <v>20.600136986301369</v>
      </c>
      <c r="AC158" s="303">
        <f t="shared" si="45"/>
        <v>19.935616438356163</v>
      </c>
      <c r="AD158" s="303">
        <f t="shared" si="45"/>
        <v>20.600136986301369</v>
      </c>
      <c r="AE158" s="3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</row>
    <row r="159" spans="2:53" ht="15" customHeight="1" outlineLevel="1">
      <c r="B159" s="46" t="str">
        <f>Model!$B$87</f>
        <v>Analyst</v>
      </c>
      <c r="C159" s="33"/>
      <c r="D159" s="33"/>
      <c r="G159" s="302">
        <f t="shared" si="45"/>
        <v>9.6760655737704901</v>
      </c>
      <c r="H159" s="303">
        <f t="shared" si="45"/>
        <v>9.0518032786885261</v>
      </c>
      <c r="I159" s="303">
        <f t="shared" si="45"/>
        <v>9.6760655737704901</v>
      </c>
      <c r="J159" s="302">
        <f t="shared" si="45"/>
        <v>9.363934426229509</v>
      </c>
      <c r="K159" s="303">
        <f t="shared" si="45"/>
        <v>9.6760655737704901</v>
      </c>
      <c r="L159" s="303">
        <f t="shared" si="45"/>
        <v>9.363934426229509</v>
      </c>
      <c r="M159" s="302">
        <f t="shared" si="45"/>
        <v>9.6760655737704901</v>
      </c>
      <c r="N159" s="303">
        <f t="shared" si="45"/>
        <v>9.6760655737704901</v>
      </c>
      <c r="O159" s="303">
        <f t="shared" si="45"/>
        <v>9.363934426229509</v>
      </c>
      <c r="P159" s="302">
        <f t="shared" si="45"/>
        <v>9.6760655737704901</v>
      </c>
      <c r="Q159" s="303">
        <f t="shared" si="45"/>
        <v>9.363934426229509</v>
      </c>
      <c r="R159" s="303">
        <f t="shared" si="45"/>
        <v>9.6760655737704901</v>
      </c>
      <c r="S159" s="302">
        <f t="shared" si="45"/>
        <v>11.134520547945206</v>
      </c>
      <c r="T159" s="303">
        <f t="shared" si="45"/>
        <v>10.056986301369864</v>
      </c>
      <c r="U159" s="303">
        <f t="shared" si="45"/>
        <v>11.134520547945206</v>
      </c>
      <c r="V159" s="302">
        <f t="shared" si="45"/>
        <v>10.775342465753424</v>
      </c>
      <c r="W159" s="303">
        <f t="shared" si="45"/>
        <v>11.134520547945206</v>
      </c>
      <c r="X159" s="303">
        <f t="shared" si="45"/>
        <v>10.775342465753424</v>
      </c>
      <c r="Y159" s="302">
        <f t="shared" si="45"/>
        <v>11.134520547945206</v>
      </c>
      <c r="Z159" s="303">
        <f t="shared" si="45"/>
        <v>11.134520547945206</v>
      </c>
      <c r="AA159" s="303">
        <f t="shared" si="45"/>
        <v>10.775342465753424</v>
      </c>
      <c r="AB159" s="302">
        <f t="shared" si="45"/>
        <v>11.134520547945206</v>
      </c>
      <c r="AC159" s="303">
        <f t="shared" si="45"/>
        <v>10.775342465753424</v>
      </c>
      <c r="AD159" s="303">
        <f t="shared" si="45"/>
        <v>11.134520547945206</v>
      </c>
      <c r="AE159" s="3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</row>
    <row r="160" spans="2:53" ht="15" customHeight="1" outlineLevel="1">
      <c r="B160" s="46" t="str">
        <f>Model!$B$88</f>
        <v>Analyst</v>
      </c>
      <c r="C160" s="33"/>
      <c r="D160" s="33"/>
      <c r="G160" s="302">
        <f t="shared" si="45"/>
        <v>0</v>
      </c>
      <c r="H160" s="303">
        <f t="shared" si="45"/>
        <v>0</v>
      </c>
      <c r="I160" s="303">
        <f t="shared" si="45"/>
        <v>0</v>
      </c>
      <c r="J160" s="302">
        <f t="shared" si="45"/>
        <v>0</v>
      </c>
      <c r="K160" s="303">
        <f t="shared" si="45"/>
        <v>0</v>
      </c>
      <c r="L160" s="303">
        <f t="shared" si="45"/>
        <v>0</v>
      </c>
      <c r="M160" s="302">
        <f t="shared" si="45"/>
        <v>0</v>
      </c>
      <c r="N160" s="303">
        <f t="shared" si="45"/>
        <v>0</v>
      </c>
      <c r="O160" s="303">
        <f t="shared" si="45"/>
        <v>9.363934426229509</v>
      </c>
      <c r="P160" s="302">
        <f t="shared" si="45"/>
        <v>9.6760655737704901</v>
      </c>
      <c r="Q160" s="303">
        <f t="shared" si="45"/>
        <v>9.363934426229509</v>
      </c>
      <c r="R160" s="303">
        <f t="shared" si="45"/>
        <v>9.6760655737704901</v>
      </c>
      <c r="S160" s="302">
        <f t="shared" si="45"/>
        <v>10.54849315068493</v>
      </c>
      <c r="T160" s="303">
        <f t="shared" si="45"/>
        <v>9.5276712328767132</v>
      </c>
      <c r="U160" s="303">
        <f t="shared" si="45"/>
        <v>10.54849315068493</v>
      </c>
      <c r="V160" s="302">
        <f t="shared" si="45"/>
        <v>10.20821917808219</v>
      </c>
      <c r="W160" s="303">
        <f t="shared" si="45"/>
        <v>10.54849315068493</v>
      </c>
      <c r="X160" s="303">
        <f t="shared" si="45"/>
        <v>10.20821917808219</v>
      </c>
      <c r="Y160" s="302">
        <f t="shared" si="45"/>
        <v>10.54849315068493</v>
      </c>
      <c r="Z160" s="303">
        <f t="shared" si="45"/>
        <v>10.54849315068493</v>
      </c>
      <c r="AA160" s="303">
        <f t="shared" si="45"/>
        <v>10.20821917808219</v>
      </c>
      <c r="AB160" s="302">
        <f t="shared" si="45"/>
        <v>10.54849315068493</v>
      </c>
      <c r="AC160" s="303">
        <f t="shared" si="45"/>
        <v>10.20821917808219</v>
      </c>
      <c r="AD160" s="303">
        <f t="shared" si="45"/>
        <v>10.54849315068493</v>
      </c>
      <c r="AE160" s="3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</row>
    <row r="161" spans="1:61" ht="15" customHeight="1" outlineLevel="1">
      <c r="B161" s="46" t="s">
        <v>55</v>
      </c>
      <c r="C161" s="33"/>
      <c r="D161" s="33"/>
      <c r="G161" s="246">
        <f>SUM(G153:G160)</f>
        <v>354.93221311475412</v>
      </c>
      <c r="H161" s="247">
        <f t="shared" ref="H161:AD161" si="46">SUM(H153:H160)</f>
        <v>332.03336065573774</v>
      </c>
      <c r="I161" s="247">
        <f t="shared" si="46"/>
        <v>354.93221311475412</v>
      </c>
      <c r="J161" s="246">
        <f t="shared" si="46"/>
        <v>343.48278688524584</v>
      </c>
      <c r="K161" s="247">
        <f t="shared" si="46"/>
        <v>354.93221311475412</v>
      </c>
      <c r="L161" s="247">
        <f t="shared" si="46"/>
        <v>343.48278688524584</v>
      </c>
      <c r="M161" s="246">
        <f t="shared" si="46"/>
        <v>354.93221311475412</v>
      </c>
      <c r="N161" s="247">
        <f t="shared" si="46"/>
        <v>395.77237704918036</v>
      </c>
      <c r="O161" s="247">
        <f t="shared" si="46"/>
        <v>420.039344262295</v>
      </c>
      <c r="P161" s="246">
        <f t="shared" si="46"/>
        <v>434.04065573770492</v>
      </c>
      <c r="Q161" s="247">
        <f t="shared" si="46"/>
        <v>420.039344262295</v>
      </c>
      <c r="R161" s="247">
        <f t="shared" si="46"/>
        <v>434.04065573770492</v>
      </c>
      <c r="S161" s="246">
        <f t="shared" si="46"/>
        <v>441.6098630136986</v>
      </c>
      <c r="T161" s="247">
        <f t="shared" si="46"/>
        <v>398.87342465753431</v>
      </c>
      <c r="U161" s="247">
        <f t="shared" si="46"/>
        <v>441.6098630136986</v>
      </c>
      <c r="V161" s="246">
        <f t="shared" si="46"/>
        <v>440.08356164383548</v>
      </c>
      <c r="W161" s="247">
        <f t="shared" si="46"/>
        <v>454.75301369863007</v>
      </c>
      <c r="X161" s="247">
        <f t="shared" si="46"/>
        <v>440.08356164383548</v>
      </c>
      <c r="Y161" s="246">
        <f t="shared" si="46"/>
        <v>454.75301369863007</v>
      </c>
      <c r="Z161" s="247">
        <f t="shared" si="46"/>
        <v>454.75301369863007</v>
      </c>
      <c r="AA161" s="247">
        <f t="shared" si="46"/>
        <v>440.08356164383548</v>
      </c>
      <c r="AB161" s="246">
        <f t="shared" si="46"/>
        <v>454.75301369863007</v>
      </c>
      <c r="AC161" s="247">
        <f t="shared" si="46"/>
        <v>440.08356164383548</v>
      </c>
      <c r="AD161" s="247">
        <f t="shared" si="46"/>
        <v>454.75301369863007</v>
      </c>
      <c r="AE161" s="3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</row>
    <row r="162" spans="1:61" ht="15" customHeight="1" outlineLevel="1">
      <c r="B162" s="33"/>
      <c r="C162" s="33"/>
      <c r="D162" s="33"/>
      <c r="G162" s="247"/>
      <c r="H162" s="247"/>
      <c r="I162" s="247"/>
      <c r="J162" s="247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  <c r="AD162" s="24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</row>
    <row r="163" spans="1:61" s="44" customFormat="1" ht="15" customHeight="1" outlineLevel="1">
      <c r="F163" s="23"/>
      <c r="G163" s="23"/>
      <c r="H163" s="23"/>
      <c r="AD163" s="45" t="s">
        <v>62</v>
      </c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3"/>
      <c r="BC163" s="23"/>
      <c r="BD163" s="23"/>
      <c r="BE163" s="23"/>
      <c r="BF163" s="23"/>
      <c r="BG163" s="23"/>
      <c r="BH163" s="23"/>
      <c r="BI163" s="23"/>
    </row>
    <row r="164" spans="1:61" ht="15" customHeight="1" outlineLevel="1"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</row>
    <row r="165" spans="1:61" ht="15" customHeight="1" outlineLevel="1"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</row>
    <row r="166" spans="1:61" ht="15" customHeight="1"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</row>
    <row r="167" spans="1:61" s="27" customFormat="1" ht="15" customHeight="1">
      <c r="A167" s="152" t="s">
        <v>11</v>
      </c>
      <c r="B167" s="24" t="s">
        <v>63</v>
      </c>
      <c r="C167" s="24"/>
      <c r="D167" s="24"/>
      <c r="E167" s="25"/>
      <c r="F167" s="25"/>
      <c r="G167" s="25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24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24"/>
      <c r="AE167" s="23"/>
      <c r="BB167" s="23"/>
      <c r="BC167" s="23"/>
      <c r="BD167" s="23"/>
      <c r="BE167" s="23"/>
      <c r="BF167" s="23"/>
      <c r="BG167" s="23"/>
      <c r="BH167" s="23"/>
      <c r="BI167" s="23"/>
    </row>
    <row r="168" spans="1:61" s="27" customFormat="1" ht="15" customHeight="1" outlineLevel="1">
      <c r="A168" s="152"/>
      <c r="B168" s="28"/>
      <c r="C168" s="28"/>
      <c r="D168" s="28"/>
      <c r="E168" s="29"/>
      <c r="F168" s="29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BB168" s="23"/>
      <c r="BC168" s="23"/>
      <c r="BD168" s="23"/>
      <c r="BE168" s="23"/>
      <c r="BF168" s="23"/>
      <c r="BG168" s="23"/>
      <c r="BH168" s="23"/>
      <c r="BI168" s="23"/>
    </row>
    <row r="169" spans="1:61" s="27" customFormat="1" ht="15" customHeight="1" outlineLevel="1">
      <c r="A169" s="152"/>
      <c r="B169" s="31" t="s">
        <v>13</v>
      </c>
      <c r="C169" s="28"/>
      <c r="D169" s="28"/>
      <c r="E169" s="29"/>
      <c r="F169" s="29"/>
      <c r="G169" s="48">
        <f t="shared" ref="G169:AD169" si="47">G$5</f>
        <v>2024</v>
      </c>
      <c r="H169" s="49">
        <f t="shared" si="47"/>
        <v>2024</v>
      </c>
      <c r="I169" s="49">
        <f t="shared" si="47"/>
        <v>2024</v>
      </c>
      <c r="J169" s="50">
        <f t="shared" si="47"/>
        <v>2024</v>
      </c>
      <c r="K169" s="49">
        <f t="shared" si="47"/>
        <v>2024</v>
      </c>
      <c r="L169" s="49">
        <f t="shared" si="47"/>
        <v>2024</v>
      </c>
      <c r="M169" s="50">
        <f t="shared" si="47"/>
        <v>2024</v>
      </c>
      <c r="N169" s="49">
        <f t="shared" si="47"/>
        <v>2024</v>
      </c>
      <c r="O169" s="49">
        <f t="shared" si="47"/>
        <v>2024</v>
      </c>
      <c r="P169" s="50">
        <f t="shared" si="47"/>
        <v>2024</v>
      </c>
      <c r="Q169" s="51">
        <f t="shared" si="47"/>
        <v>2024</v>
      </c>
      <c r="R169" s="255">
        <f t="shared" si="47"/>
        <v>2024</v>
      </c>
      <c r="S169" s="52">
        <f t="shared" si="47"/>
        <v>2025</v>
      </c>
      <c r="T169" s="51">
        <f t="shared" si="47"/>
        <v>2025</v>
      </c>
      <c r="U169" s="51">
        <f t="shared" si="47"/>
        <v>2025</v>
      </c>
      <c r="V169" s="53">
        <f t="shared" si="47"/>
        <v>2025</v>
      </c>
      <c r="W169" s="51">
        <f t="shared" si="47"/>
        <v>2025</v>
      </c>
      <c r="X169" s="51">
        <f t="shared" si="47"/>
        <v>2025</v>
      </c>
      <c r="Y169" s="53">
        <f t="shared" si="47"/>
        <v>2025</v>
      </c>
      <c r="Z169" s="51">
        <f t="shared" si="47"/>
        <v>2025</v>
      </c>
      <c r="AA169" s="51">
        <f t="shared" si="47"/>
        <v>2025</v>
      </c>
      <c r="AB169" s="53">
        <f t="shared" si="47"/>
        <v>2025</v>
      </c>
      <c r="AC169" s="51">
        <f t="shared" si="47"/>
        <v>2025</v>
      </c>
      <c r="AD169" s="255">
        <f t="shared" si="47"/>
        <v>2025</v>
      </c>
      <c r="AE169" s="40"/>
      <c r="BB169" s="23"/>
      <c r="BC169" s="23"/>
      <c r="BD169" s="23"/>
      <c r="BE169" s="23"/>
      <c r="BF169" s="23"/>
      <c r="BG169" s="23"/>
      <c r="BH169" s="23"/>
      <c r="BI169" s="23"/>
    </row>
    <row r="170" spans="1:61" ht="15" customHeight="1" outlineLevel="1">
      <c r="C170" s="31"/>
      <c r="D170" s="31"/>
      <c r="E170" s="32"/>
      <c r="F170" s="32"/>
      <c r="G170" s="256">
        <f t="shared" ref="G170:AD170" si="48">G$6</f>
        <v>1</v>
      </c>
      <c r="H170" s="257">
        <f t="shared" si="48"/>
        <v>1</v>
      </c>
      <c r="I170" s="54">
        <f t="shared" si="48"/>
        <v>1</v>
      </c>
      <c r="J170" s="258">
        <f t="shared" si="48"/>
        <v>2</v>
      </c>
      <c r="K170" s="257">
        <f t="shared" si="48"/>
        <v>2</v>
      </c>
      <c r="L170" s="215">
        <f t="shared" si="48"/>
        <v>2</v>
      </c>
      <c r="M170" s="258">
        <f t="shared" si="48"/>
        <v>3</v>
      </c>
      <c r="N170" s="257">
        <f t="shared" si="48"/>
        <v>3</v>
      </c>
      <c r="O170" s="215">
        <f t="shared" si="48"/>
        <v>3</v>
      </c>
      <c r="P170" s="216">
        <f t="shared" si="48"/>
        <v>4</v>
      </c>
      <c r="Q170" s="214">
        <f t="shared" si="48"/>
        <v>4</v>
      </c>
      <c r="R170" s="215">
        <f t="shared" si="48"/>
        <v>4</v>
      </c>
      <c r="S170" s="213">
        <f t="shared" si="48"/>
        <v>1</v>
      </c>
      <c r="T170" s="214">
        <f t="shared" si="48"/>
        <v>1</v>
      </c>
      <c r="U170" s="215">
        <f t="shared" si="48"/>
        <v>1</v>
      </c>
      <c r="V170" s="216">
        <f t="shared" si="48"/>
        <v>2</v>
      </c>
      <c r="W170" s="214">
        <f t="shared" si="48"/>
        <v>2</v>
      </c>
      <c r="X170" s="215">
        <f t="shared" si="48"/>
        <v>2</v>
      </c>
      <c r="Y170" s="216">
        <f t="shared" si="48"/>
        <v>3</v>
      </c>
      <c r="Z170" s="214">
        <f t="shared" si="48"/>
        <v>3</v>
      </c>
      <c r="AA170" s="215">
        <f t="shared" si="48"/>
        <v>3</v>
      </c>
      <c r="AB170" s="216">
        <f t="shared" si="48"/>
        <v>4</v>
      </c>
      <c r="AC170" s="214">
        <f t="shared" si="48"/>
        <v>4</v>
      </c>
      <c r="AD170" s="215">
        <f t="shared" si="48"/>
        <v>4</v>
      </c>
      <c r="AE170" s="40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</row>
    <row r="171" spans="1:61" ht="15" customHeight="1" outlineLevel="1" thickBot="1">
      <c r="C171" s="31"/>
      <c r="D171" s="31"/>
      <c r="E171" s="32"/>
      <c r="G171" s="218">
        <f t="shared" ref="G171:AD171" si="49">G$7</f>
        <v>45322</v>
      </c>
      <c r="H171" s="219">
        <f t="shared" si="49"/>
        <v>45351</v>
      </c>
      <c r="I171" s="219">
        <f t="shared" si="49"/>
        <v>45382</v>
      </c>
      <c r="J171" s="220">
        <f t="shared" si="49"/>
        <v>45412</v>
      </c>
      <c r="K171" s="219">
        <f t="shared" si="49"/>
        <v>45443</v>
      </c>
      <c r="L171" s="219">
        <f t="shared" si="49"/>
        <v>45473</v>
      </c>
      <c r="M171" s="220">
        <f t="shared" si="49"/>
        <v>45504</v>
      </c>
      <c r="N171" s="219">
        <f t="shared" si="49"/>
        <v>45535</v>
      </c>
      <c r="O171" s="219">
        <f t="shared" si="49"/>
        <v>45565</v>
      </c>
      <c r="P171" s="220">
        <f t="shared" si="49"/>
        <v>45596</v>
      </c>
      <c r="Q171" s="219">
        <f t="shared" si="49"/>
        <v>45626</v>
      </c>
      <c r="R171" s="219">
        <f t="shared" si="49"/>
        <v>45657</v>
      </c>
      <c r="S171" s="218">
        <f t="shared" si="49"/>
        <v>45688</v>
      </c>
      <c r="T171" s="219">
        <f t="shared" si="49"/>
        <v>45716</v>
      </c>
      <c r="U171" s="219">
        <f t="shared" si="49"/>
        <v>45747</v>
      </c>
      <c r="V171" s="220">
        <f t="shared" si="49"/>
        <v>45777</v>
      </c>
      <c r="W171" s="219">
        <f t="shared" si="49"/>
        <v>45808</v>
      </c>
      <c r="X171" s="219">
        <f t="shared" si="49"/>
        <v>45838</v>
      </c>
      <c r="Y171" s="220">
        <f t="shared" si="49"/>
        <v>45869</v>
      </c>
      <c r="Z171" s="219">
        <f t="shared" si="49"/>
        <v>45900</v>
      </c>
      <c r="AA171" s="219">
        <f t="shared" si="49"/>
        <v>45930</v>
      </c>
      <c r="AB171" s="220">
        <f t="shared" si="49"/>
        <v>45961</v>
      </c>
      <c r="AC171" s="219">
        <f t="shared" si="49"/>
        <v>45991</v>
      </c>
      <c r="AD171" s="219">
        <f t="shared" si="49"/>
        <v>46022</v>
      </c>
      <c r="AE171" s="40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</row>
    <row r="172" spans="1:61" ht="15" customHeight="1" outlineLevel="1">
      <c r="G172" s="278"/>
      <c r="H172" s="278"/>
      <c r="I172" s="278"/>
      <c r="J172" s="278"/>
      <c r="K172" s="278"/>
      <c r="L172" s="278"/>
      <c r="M172" s="278"/>
      <c r="N172" s="278"/>
      <c r="O172" s="279"/>
      <c r="P172" s="279"/>
      <c r="Q172" s="279"/>
      <c r="R172" s="279"/>
      <c r="S172" s="279"/>
      <c r="T172" s="279"/>
      <c r="U172" s="280"/>
      <c r="V172" s="280"/>
      <c r="W172" s="280"/>
      <c r="X172" s="279"/>
      <c r="Y172" s="279"/>
      <c r="Z172" s="279"/>
      <c r="AA172" s="279"/>
      <c r="AB172" s="279"/>
      <c r="AC172" s="279"/>
      <c r="AD172" s="279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</row>
    <row r="173" spans="1:61" s="36" customFormat="1" ht="15" customHeight="1" outlineLevel="1">
      <c r="B173" s="190"/>
      <c r="C173" s="225">
        <f>YEAR(C174)</f>
        <v>2024</v>
      </c>
      <c r="D173" s="23"/>
      <c r="E173" s="225">
        <f>YEAR(E174)</f>
        <v>2025</v>
      </c>
      <c r="F173" s="2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3"/>
      <c r="BC173" s="23"/>
      <c r="BD173" s="23"/>
      <c r="BE173" s="23"/>
      <c r="BF173" s="23"/>
      <c r="BG173" s="23"/>
      <c r="BH173" s="23"/>
      <c r="BI173" s="23"/>
    </row>
    <row r="174" spans="1:61" ht="15" customHeight="1" outlineLevel="1">
      <c r="B174" s="190" t="s">
        <v>64</v>
      </c>
      <c r="C174" s="319">
        <v>45657</v>
      </c>
      <c r="D174" s="320"/>
      <c r="E174" s="319">
        <v>46022</v>
      </c>
      <c r="G174" s="55">
        <f t="shared" ref="G174:AD174" si="50">G$8</f>
        <v>1</v>
      </c>
      <c r="H174" s="55">
        <f t="shared" si="50"/>
        <v>1</v>
      </c>
      <c r="I174" s="55">
        <f t="shared" si="50"/>
        <v>1</v>
      </c>
      <c r="J174" s="55">
        <f t="shared" si="50"/>
        <v>1</v>
      </c>
      <c r="K174" s="55">
        <f t="shared" si="50"/>
        <v>1</v>
      </c>
      <c r="L174" s="55">
        <f t="shared" si="50"/>
        <v>1</v>
      </c>
      <c r="M174" s="55">
        <f t="shared" si="50"/>
        <v>1</v>
      </c>
      <c r="N174" s="55">
        <f t="shared" si="50"/>
        <v>1</v>
      </c>
      <c r="O174" s="55">
        <f t="shared" si="50"/>
        <v>1</v>
      </c>
      <c r="P174" s="55">
        <f t="shared" si="50"/>
        <v>1</v>
      </c>
      <c r="Q174" s="55">
        <f t="shared" si="50"/>
        <v>1</v>
      </c>
      <c r="R174" s="55">
        <f t="shared" si="50"/>
        <v>1</v>
      </c>
      <c r="S174" s="55">
        <f t="shared" si="50"/>
        <v>0</v>
      </c>
      <c r="T174" s="55">
        <f t="shared" si="50"/>
        <v>0</v>
      </c>
      <c r="U174" s="55">
        <f t="shared" si="50"/>
        <v>0</v>
      </c>
      <c r="V174" s="55">
        <f t="shared" si="50"/>
        <v>0</v>
      </c>
      <c r="W174" s="55">
        <f t="shared" si="50"/>
        <v>0</v>
      </c>
      <c r="X174" s="55">
        <f t="shared" si="50"/>
        <v>0</v>
      </c>
      <c r="Y174" s="55">
        <f t="shared" si="50"/>
        <v>0</v>
      </c>
      <c r="Z174" s="55">
        <f t="shared" si="50"/>
        <v>0</v>
      </c>
      <c r="AA174" s="55">
        <f t="shared" si="50"/>
        <v>0</v>
      </c>
      <c r="AB174" s="55">
        <f t="shared" si="50"/>
        <v>0</v>
      </c>
      <c r="AC174" s="55">
        <f t="shared" si="50"/>
        <v>0</v>
      </c>
      <c r="AD174" s="55">
        <f t="shared" si="50"/>
        <v>0</v>
      </c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</row>
    <row r="175" spans="1:61" ht="15" customHeight="1" outlineLevel="1">
      <c r="B175" s="46" t="str">
        <f>Model!$B$81</f>
        <v>Director</v>
      </c>
      <c r="C175" s="321">
        <f>C141</f>
        <v>0.3</v>
      </c>
      <c r="D175" s="322"/>
      <c r="E175" s="321">
        <f>E141</f>
        <v>0.32</v>
      </c>
      <c r="F175" s="37"/>
      <c r="G175" s="300">
        <f>IF(G$171=$C$174,SUM($G141:$R141),0)</f>
        <v>0</v>
      </c>
      <c r="H175" s="301">
        <f t="shared" ref="H175:Q175" si="51">IF(H$171=$C$174,SUM($G141:$R141),0)</f>
        <v>0</v>
      </c>
      <c r="I175" s="301">
        <f t="shared" si="51"/>
        <v>0</v>
      </c>
      <c r="J175" s="300">
        <f t="shared" si="51"/>
        <v>0</v>
      </c>
      <c r="K175" s="301">
        <f t="shared" si="51"/>
        <v>0</v>
      </c>
      <c r="L175" s="301">
        <f t="shared" si="51"/>
        <v>0</v>
      </c>
      <c r="M175" s="300">
        <f t="shared" si="51"/>
        <v>0</v>
      </c>
      <c r="N175" s="301">
        <f t="shared" si="51"/>
        <v>0</v>
      </c>
      <c r="O175" s="301">
        <f t="shared" si="51"/>
        <v>0</v>
      </c>
      <c r="P175" s="300">
        <f t="shared" si="51"/>
        <v>0</v>
      </c>
      <c r="Q175" s="301">
        <f t="shared" si="51"/>
        <v>0</v>
      </c>
      <c r="R175" s="301">
        <f>IF(R$171=$C$174,SUM($G141:$R141),0)</f>
        <v>270</v>
      </c>
      <c r="S175" s="300">
        <f>IF(S$171=$E$174,SUM($S141:$AD141),0)</f>
        <v>0</v>
      </c>
      <c r="T175" s="301">
        <f t="shared" ref="T175:AC175" si="52">IF(T$171=$E$174,SUM($S141:$AD141),0)</f>
        <v>0</v>
      </c>
      <c r="U175" s="301">
        <f t="shared" si="52"/>
        <v>0</v>
      </c>
      <c r="V175" s="300">
        <f t="shared" si="52"/>
        <v>0</v>
      </c>
      <c r="W175" s="301">
        <f t="shared" si="52"/>
        <v>0</v>
      </c>
      <c r="X175" s="301">
        <f t="shared" si="52"/>
        <v>0</v>
      </c>
      <c r="Y175" s="300">
        <f t="shared" si="52"/>
        <v>0</v>
      </c>
      <c r="Z175" s="301">
        <f t="shared" si="52"/>
        <v>0</v>
      </c>
      <c r="AA175" s="301">
        <f t="shared" si="52"/>
        <v>0</v>
      </c>
      <c r="AB175" s="300">
        <f t="shared" si="52"/>
        <v>0</v>
      </c>
      <c r="AC175" s="301">
        <f t="shared" si="52"/>
        <v>0</v>
      </c>
      <c r="AD175" s="301">
        <f>IF(AD$171=$E$174,SUM($S141:$AD141),0)</f>
        <v>294.02739726027397</v>
      </c>
      <c r="AE175" s="3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</row>
    <row r="176" spans="1:61" ht="15" customHeight="1" outlineLevel="1">
      <c r="B176" s="46" t="str">
        <f>Model!$B$82</f>
        <v>Partner</v>
      </c>
      <c r="C176" s="323">
        <f t="shared" ref="C176:C182" si="53">C142</f>
        <v>0.25</v>
      </c>
      <c r="D176" s="322"/>
      <c r="E176" s="323">
        <f t="shared" ref="E176:E182" si="54">E142</f>
        <v>0.25</v>
      </c>
      <c r="F176" s="37"/>
      <c r="G176" s="302">
        <f t="shared" ref="G176:R182" si="55">IF(G$171=$C$174,SUM($G142:$R142),0)</f>
        <v>0</v>
      </c>
      <c r="H176" s="303">
        <f t="shared" si="55"/>
        <v>0</v>
      </c>
      <c r="I176" s="303">
        <f t="shared" si="55"/>
        <v>0</v>
      </c>
      <c r="J176" s="302">
        <f t="shared" si="55"/>
        <v>0</v>
      </c>
      <c r="K176" s="303">
        <f t="shared" si="55"/>
        <v>0</v>
      </c>
      <c r="L176" s="303">
        <f t="shared" si="55"/>
        <v>0</v>
      </c>
      <c r="M176" s="302">
        <f t="shared" si="55"/>
        <v>0</v>
      </c>
      <c r="N176" s="303">
        <f t="shared" si="55"/>
        <v>0</v>
      </c>
      <c r="O176" s="303">
        <f t="shared" si="55"/>
        <v>0</v>
      </c>
      <c r="P176" s="302">
        <f t="shared" si="55"/>
        <v>0</v>
      </c>
      <c r="Q176" s="303">
        <f t="shared" si="55"/>
        <v>0</v>
      </c>
      <c r="R176" s="303">
        <f t="shared" si="55"/>
        <v>206.25</v>
      </c>
      <c r="S176" s="302">
        <f t="shared" ref="S176:AD182" si="56">IF(S$171=$E$174,SUM($S142:$AD142),0)</f>
        <v>0</v>
      </c>
      <c r="T176" s="303">
        <f t="shared" si="56"/>
        <v>0</v>
      </c>
      <c r="U176" s="303">
        <f t="shared" si="56"/>
        <v>0</v>
      </c>
      <c r="V176" s="302">
        <f t="shared" si="56"/>
        <v>0</v>
      </c>
      <c r="W176" s="303">
        <f t="shared" si="56"/>
        <v>0</v>
      </c>
      <c r="X176" s="303">
        <f t="shared" si="56"/>
        <v>0</v>
      </c>
      <c r="Y176" s="302">
        <f t="shared" si="56"/>
        <v>0</v>
      </c>
      <c r="Z176" s="303">
        <f t="shared" si="56"/>
        <v>0</v>
      </c>
      <c r="AA176" s="303">
        <f t="shared" si="56"/>
        <v>0</v>
      </c>
      <c r="AB176" s="302">
        <f t="shared" si="56"/>
        <v>0</v>
      </c>
      <c r="AC176" s="303">
        <f t="shared" si="56"/>
        <v>0</v>
      </c>
      <c r="AD176" s="303">
        <f t="shared" si="56"/>
        <v>210.95890410958896</v>
      </c>
      <c r="AE176" s="3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</row>
    <row r="177" spans="2:61" ht="15" customHeight="1" outlineLevel="1">
      <c r="B177" s="46" t="str">
        <f>Model!$B$83</f>
        <v>Principal</v>
      </c>
      <c r="C177" s="323">
        <f t="shared" si="53"/>
        <v>0.22</v>
      </c>
      <c r="D177" s="322"/>
      <c r="E177" s="323">
        <f t="shared" si="54"/>
        <v>0.22</v>
      </c>
      <c r="F177" s="37"/>
      <c r="G177" s="302">
        <f t="shared" si="55"/>
        <v>0</v>
      </c>
      <c r="H177" s="303">
        <f t="shared" si="55"/>
        <v>0</v>
      </c>
      <c r="I177" s="303">
        <f t="shared" si="55"/>
        <v>0</v>
      </c>
      <c r="J177" s="302">
        <f t="shared" si="55"/>
        <v>0</v>
      </c>
      <c r="K177" s="303">
        <f t="shared" si="55"/>
        <v>0</v>
      </c>
      <c r="L177" s="303">
        <f t="shared" si="55"/>
        <v>0</v>
      </c>
      <c r="M177" s="302">
        <f t="shared" si="55"/>
        <v>0</v>
      </c>
      <c r="N177" s="303">
        <f t="shared" si="55"/>
        <v>0</v>
      </c>
      <c r="O177" s="303">
        <f t="shared" si="55"/>
        <v>0</v>
      </c>
      <c r="P177" s="302">
        <f t="shared" si="55"/>
        <v>0</v>
      </c>
      <c r="Q177" s="303">
        <f t="shared" si="55"/>
        <v>0</v>
      </c>
      <c r="R177" s="303">
        <f t="shared" si="55"/>
        <v>165</v>
      </c>
      <c r="S177" s="302">
        <f t="shared" si="56"/>
        <v>0</v>
      </c>
      <c r="T177" s="303">
        <f t="shared" si="56"/>
        <v>0</v>
      </c>
      <c r="U177" s="303">
        <f t="shared" si="56"/>
        <v>0</v>
      </c>
      <c r="V177" s="302">
        <f t="shared" si="56"/>
        <v>0</v>
      </c>
      <c r="W177" s="303">
        <f t="shared" si="56"/>
        <v>0</v>
      </c>
      <c r="X177" s="303">
        <f t="shared" si="56"/>
        <v>0</v>
      </c>
      <c r="Y177" s="302">
        <f t="shared" si="56"/>
        <v>0</v>
      </c>
      <c r="Z177" s="303">
        <f t="shared" si="56"/>
        <v>0</v>
      </c>
      <c r="AA177" s="303">
        <f t="shared" si="56"/>
        <v>0</v>
      </c>
      <c r="AB177" s="302">
        <f t="shared" si="56"/>
        <v>0</v>
      </c>
      <c r="AC177" s="303">
        <f t="shared" si="56"/>
        <v>0</v>
      </c>
      <c r="AD177" s="303">
        <f t="shared" si="56"/>
        <v>169.14383561643834</v>
      </c>
      <c r="AE177" s="3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</row>
    <row r="178" spans="2:61" ht="15" customHeight="1" outlineLevel="1">
      <c r="B178" s="46" t="str">
        <f>Model!$B$84</f>
        <v>Manager</v>
      </c>
      <c r="C178" s="323">
        <f t="shared" si="53"/>
        <v>0.2</v>
      </c>
      <c r="D178" s="322"/>
      <c r="E178" s="323">
        <f t="shared" si="54"/>
        <v>0.2</v>
      </c>
      <c r="F178" s="37"/>
      <c r="G178" s="302">
        <f t="shared" si="55"/>
        <v>0</v>
      </c>
      <c r="H178" s="303">
        <f t="shared" si="55"/>
        <v>0</v>
      </c>
      <c r="I178" s="303">
        <f t="shared" si="55"/>
        <v>0</v>
      </c>
      <c r="J178" s="302">
        <f t="shared" si="55"/>
        <v>0</v>
      </c>
      <c r="K178" s="303">
        <f t="shared" si="55"/>
        <v>0</v>
      </c>
      <c r="L178" s="303">
        <f t="shared" si="55"/>
        <v>0</v>
      </c>
      <c r="M178" s="302">
        <f t="shared" si="55"/>
        <v>0</v>
      </c>
      <c r="N178" s="303">
        <f t="shared" si="55"/>
        <v>0</v>
      </c>
      <c r="O178" s="303">
        <f t="shared" si="55"/>
        <v>0</v>
      </c>
      <c r="P178" s="302">
        <f t="shared" si="55"/>
        <v>0</v>
      </c>
      <c r="Q178" s="303">
        <f t="shared" si="55"/>
        <v>0</v>
      </c>
      <c r="R178" s="303">
        <f t="shared" si="55"/>
        <v>29.508196721311474</v>
      </c>
      <c r="S178" s="302">
        <f t="shared" si="56"/>
        <v>0</v>
      </c>
      <c r="T178" s="303">
        <f t="shared" si="56"/>
        <v>0</v>
      </c>
      <c r="U178" s="303">
        <f t="shared" si="56"/>
        <v>0</v>
      </c>
      <c r="V178" s="302">
        <f t="shared" si="56"/>
        <v>0</v>
      </c>
      <c r="W178" s="303">
        <f t="shared" si="56"/>
        <v>0</v>
      </c>
      <c r="X178" s="303">
        <f t="shared" si="56"/>
        <v>0</v>
      </c>
      <c r="Y178" s="302">
        <f t="shared" si="56"/>
        <v>0</v>
      </c>
      <c r="Z178" s="303">
        <f t="shared" si="56"/>
        <v>0</v>
      </c>
      <c r="AA178" s="303">
        <f t="shared" si="56"/>
        <v>0</v>
      </c>
      <c r="AB178" s="302">
        <f t="shared" si="56"/>
        <v>0</v>
      </c>
      <c r="AC178" s="303">
        <f t="shared" si="56"/>
        <v>0</v>
      </c>
      <c r="AD178" s="303">
        <f t="shared" si="56"/>
        <v>78.767123287671225</v>
      </c>
      <c r="AE178" s="3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</row>
    <row r="179" spans="2:61" ht="15" customHeight="1" outlineLevel="1">
      <c r="B179" s="46" t="str">
        <f>Model!$B$85</f>
        <v>Sr Associate</v>
      </c>
      <c r="C179" s="323">
        <f t="shared" si="53"/>
        <v>0.22</v>
      </c>
      <c r="D179" s="322"/>
      <c r="E179" s="323">
        <f t="shared" si="54"/>
        <v>0.25</v>
      </c>
      <c r="F179" s="37"/>
      <c r="G179" s="302">
        <f t="shared" si="55"/>
        <v>0</v>
      </c>
      <c r="H179" s="303">
        <f t="shared" si="55"/>
        <v>0</v>
      </c>
      <c r="I179" s="303">
        <f t="shared" si="55"/>
        <v>0</v>
      </c>
      <c r="J179" s="302">
        <f t="shared" si="55"/>
        <v>0</v>
      </c>
      <c r="K179" s="303">
        <f t="shared" si="55"/>
        <v>0</v>
      </c>
      <c r="L179" s="303">
        <f t="shared" si="55"/>
        <v>0</v>
      </c>
      <c r="M179" s="302">
        <f t="shared" si="55"/>
        <v>0</v>
      </c>
      <c r="N179" s="303">
        <f t="shared" si="55"/>
        <v>0</v>
      </c>
      <c r="O179" s="303">
        <f t="shared" si="55"/>
        <v>0</v>
      </c>
      <c r="P179" s="302">
        <f t="shared" si="55"/>
        <v>0</v>
      </c>
      <c r="Q179" s="303">
        <f t="shared" si="55"/>
        <v>0</v>
      </c>
      <c r="R179" s="303">
        <f t="shared" si="55"/>
        <v>13.885245901639346</v>
      </c>
      <c r="S179" s="302">
        <f t="shared" si="56"/>
        <v>0</v>
      </c>
      <c r="T179" s="303">
        <f t="shared" si="56"/>
        <v>0</v>
      </c>
      <c r="U179" s="303">
        <f t="shared" si="56"/>
        <v>0</v>
      </c>
      <c r="V179" s="302">
        <f t="shared" si="56"/>
        <v>0</v>
      </c>
      <c r="W179" s="303">
        <f t="shared" si="56"/>
        <v>0</v>
      </c>
      <c r="X179" s="303">
        <f t="shared" si="56"/>
        <v>0</v>
      </c>
      <c r="Y179" s="302">
        <f t="shared" si="56"/>
        <v>0</v>
      </c>
      <c r="Z179" s="303">
        <f t="shared" si="56"/>
        <v>0</v>
      </c>
      <c r="AA179" s="303">
        <f t="shared" si="56"/>
        <v>0</v>
      </c>
      <c r="AB179" s="302">
        <f t="shared" si="56"/>
        <v>0</v>
      </c>
      <c r="AC179" s="303">
        <f t="shared" si="56"/>
        <v>0</v>
      </c>
      <c r="AD179" s="303">
        <f t="shared" si="56"/>
        <v>43.75</v>
      </c>
      <c r="AE179" s="3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</row>
    <row r="180" spans="2:61" ht="15" customHeight="1" outlineLevel="1">
      <c r="B180" s="46" t="str">
        <f>Model!$B$86</f>
        <v>Associate</v>
      </c>
      <c r="C180" s="323">
        <f t="shared" si="53"/>
        <v>0.2</v>
      </c>
      <c r="D180" s="322"/>
      <c r="E180" s="323">
        <f t="shared" si="54"/>
        <v>0.22</v>
      </c>
      <c r="F180" s="37"/>
      <c r="G180" s="302">
        <f t="shared" si="55"/>
        <v>0</v>
      </c>
      <c r="H180" s="303">
        <f t="shared" si="55"/>
        <v>0</v>
      </c>
      <c r="I180" s="303">
        <f t="shared" si="55"/>
        <v>0</v>
      </c>
      <c r="J180" s="302">
        <f t="shared" si="55"/>
        <v>0</v>
      </c>
      <c r="K180" s="303">
        <f t="shared" si="55"/>
        <v>0</v>
      </c>
      <c r="L180" s="303">
        <f t="shared" si="55"/>
        <v>0</v>
      </c>
      <c r="M180" s="302">
        <f t="shared" si="55"/>
        <v>0</v>
      </c>
      <c r="N180" s="303">
        <f t="shared" si="55"/>
        <v>0</v>
      </c>
      <c r="O180" s="303">
        <f t="shared" si="55"/>
        <v>0</v>
      </c>
      <c r="P180" s="302">
        <f t="shared" si="55"/>
        <v>0</v>
      </c>
      <c r="Q180" s="303">
        <f t="shared" si="55"/>
        <v>0</v>
      </c>
      <c r="R180" s="303">
        <f t="shared" si="55"/>
        <v>30</v>
      </c>
      <c r="S180" s="302">
        <f t="shared" si="56"/>
        <v>0</v>
      </c>
      <c r="T180" s="303">
        <f t="shared" si="56"/>
        <v>0</v>
      </c>
      <c r="U180" s="303">
        <f t="shared" si="56"/>
        <v>0</v>
      </c>
      <c r="V180" s="302">
        <f t="shared" si="56"/>
        <v>0</v>
      </c>
      <c r="W180" s="303">
        <f t="shared" si="56"/>
        <v>0</v>
      </c>
      <c r="X180" s="303">
        <f t="shared" si="56"/>
        <v>0</v>
      </c>
      <c r="Y180" s="302">
        <f t="shared" si="56"/>
        <v>0</v>
      </c>
      <c r="Z180" s="303">
        <f t="shared" si="56"/>
        <v>0</v>
      </c>
      <c r="AA180" s="303">
        <f t="shared" si="56"/>
        <v>0</v>
      </c>
      <c r="AB180" s="302">
        <f t="shared" si="56"/>
        <v>0</v>
      </c>
      <c r="AC180" s="303">
        <f t="shared" si="56"/>
        <v>0</v>
      </c>
      <c r="AD180" s="303">
        <f t="shared" si="56"/>
        <v>36.300000000000004</v>
      </c>
      <c r="AE180" s="3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</row>
    <row r="181" spans="2:61" ht="15" customHeight="1" outlineLevel="1">
      <c r="B181" s="46" t="str">
        <f>Model!$B$87</f>
        <v>Analyst</v>
      </c>
      <c r="C181" s="323">
        <f t="shared" si="53"/>
        <v>0.16</v>
      </c>
      <c r="D181" s="322"/>
      <c r="E181" s="323">
        <f t="shared" si="54"/>
        <v>0.18</v>
      </c>
      <c r="F181" s="37"/>
      <c r="G181" s="302">
        <f t="shared" si="55"/>
        <v>0</v>
      </c>
      <c r="H181" s="303">
        <f t="shared" si="55"/>
        <v>0</v>
      </c>
      <c r="I181" s="303">
        <f t="shared" si="55"/>
        <v>0</v>
      </c>
      <c r="J181" s="302">
        <f t="shared" si="55"/>
        <v>0</v>
      </c>
      <c r="K181" s="303">
        <f t="shared" si="55"/>
        <v>0</v>
      </c>
      <c r="L181" s="303">
        <f t="shared" si="55"/>
        <v>0</v>
      </c>
      <c r="M181" s="302">
        <f t="shared" si="55"/>
        <v>0</v>
      </c>
      <c r="N181" s="303">
        <f t="shared" si="55"/>
        <v>0</v>
      </c>
      <c r="O181" s="303">
        <f t="shared" si="55"/>
        <v>0</v>
      </c>
      <c r="P181" s="302">
        <f t="shared" si="55"/>
        <v>0</v>
      </c>
      <c r="Q181" s="303">
        <f t="shared" si="55"/>
        <v>0</v>
      </c>
      <c r="R181" s="303">
        <f t="shared" si="55"/>
        <v>13.44</v>
      </c>
      <c r="S181" s="302">
        <f t="shared" si="56"/>
        <v>0</v>
      </c>
      <c r="T181" s="303">
        <f t="shared" si="56"/>
        <v>0</v>
      </c>
      <c r="U181" s="303">
        <f t="shared" si="56"/>
        <v>0</v>
      </c>
      <c r="V181" s="302">
        <f t="shared" si="56"/>
        <v>0</v>
      </c>
      <c r="W181" s="303">
        <f t="shared" si="56"/>
        <v>0</v>
      </c>
      <c r="X181" s="303">
        <f t="shared" si="56"/>
        <v>0</v>
      </c>
      <c r="Y181" s="302">
        <f t="shared" si="56"/>
        <v>0</v>
      </c>
      <c r="Z181" s="303">
        <f t="shared" si="56"/>
        <v>0</v>
      </c>
      <c r="AA181" s="303">
        <f t="shared" si="56"/>
        <v>0</v>
      </c>
      <c r="AB181" s="302">
        <f t="shared" si="56"/>
        <v>0</v>
      </c>
      <c r="AC181" s="303">
        <f t="shared" si="56"/>
        <v>0</v>
      </c>
      <c r="AD181" s="303">
        <f t="shared" si="56"/>
        <v>17.100000000000001</v>
      </c>
      <c r="AE181" s="3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</row>
    <row r="182" spans="2:61" ht="15" customHeight="1" outlineLevel="1">
      <c r="B182" s="46" t="str">
        <f>Model!$B$88</f>
        <v>Analyst</v>
      </c>
      <c r="C182" s="323">
        <f t="shared" si="53"/>
        <v>0.16</v>
      </c>
      <c r="D182" s="322"/>
      <c r="E182" s="323">
        <f t="shared" si="54"/>
        <v>0.18</v>
      </c>
      <c r="F182" s="37"/>
      <c r="G182" s="302">
        <f t="shared" si="55"/>
        <v>0</v>
      </c>
      <c r="H182" s="303">
        <f t="shared" si="55"/>
        <v>0</v>
      </c>
      <c r="I182" s="303">
        <f t="shared" si="55"/>
        <v>0</v>
      </c>
      <c r="J182" s="302">
        <f t="shared" si="55"/>
        <v>0</v>
      </c>
      <c r="K182" s="303">
        <f t="shared" si="55"/>
        <v>0</v>
      </c>
      <c r="L182" s="303">
        <f t="shared" si="55"/>
        <v>0</v>
      </c>
      <c r="M182" s="302">
        <f t="shared" si="55"/>
        <v>0</v>
      </c>
      <c r="N182" s="303">
        <f t="shared" si="55"/>
        <v>0</v>
      </c>
      <c r="O182" s="303">
        <f t="shared" si="55"/>
        <v>0</v>
      </c>
      <c r="P182" s="302">
        <f t="shared" si="55"/>
        <v>0</v>
      </c>
      <c r="Q182" s="303">
        <f t="shared" si="55"/>
        <v>0</v>
      </c>
      <c r="R182" s="303">
        <f>IF(R$171=$C$174,SUM($G148:$R148),0)</f>
        <v>4.4800000000000004</v>
      </c>
      <c r="S182" s="302">
        <f t="shared" si="56"/>
        <v>0</v>
      </c>
      <c r="T182" s="303">
        <f t="shared" si="56"/>
        <v>0</v>
      </c>
      <c r="U182" s="303">
        <f t="shared" si="56"/>
        <v>0</v>
      </c>
      <c r="V182" s="302">
        <f t="shared" si="56"/>
        <v>0</v>
      </c>
      <c r="W182" s="303">
        <f t="shared" si="56"/>
        <v>0</v>
      </c>
      <c r="X182" s="303">
        <f t="shared" si="56"/>
        <v>0</v>
      </c>
      <c r="Y182" s="302">
        <f t="shared" si="56"/>
        <v>0</v>
      </c>
      <c r="Z182" s="303">
        <f t="shared" si="56"/>
        <v>0</v>
      </c>
      <c r="AA182" s="303">
        <f t="shared" si="56"/>
        <v>0</v>
      </c>
      <c r="AB182" s="302">
        <f t="shared" si="56"/>
        <v>0</v>
      </c>
      <c r="AC182" s="303">
        <f t="shared" si="56"/>
        <v>0</v>
      </c>
      <c r="AD182" s="303">
        <f>IF(AD$171=$E$174,SUM($S148:$AD148),0)</f>
        <v>16.2</v>
      </c>
      <c r="AE182" s="3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</row>
    <row r="183" spans="2:61" ht="15" customHeight="1" outlineLevel="1">
      <c r="B183" s="46" t="s">
        <v>55</v>
      </c>
      <c r="C183" s="38"/>
      <c r="E183" s="38"/>
      <c r="G183" s="246">
        <f>SUM(G175:G182)</f>
        <v>0</v>
      </c>
      <c r="H183" s="247">
        <f t="shared" ref="H183:AC183" si="57">SUM(H175:H182)</f>
        <v>0</v>
      </c>
      <c r="I183" s="247">
        <f t="shared" si="57"/>
        <v>0</v>
      </c>
      <c r="J183" s="246">
        <f t="shared" si="57"/>
        <v>0</v>
      </c>
      <c r="K183" s="247">
        <f t="shared" si="57"/>
        <v>0</v>
      </c>
      <c r="L183" s="247">
        <f t="shared" si="57"/>
        <v>0</v>
      </c>
      <c r="M183" s="246">
        <f t="shared" si="57"/>
        <v>0</v>
      </c>
      <c r="N183" s="247">
        <f t="shared" si="57"/>
        <v>0</v>
      </c>
      <c r="O183" s="247">
        <f t="shared" si="57"/>
        <v>0</v>
      </c>
      <c r="P183" s="246">
        <f t="shared" si="57"/>
        <v>0</v>
      </c>
      <c r="Q183" s="247">
        <f t="shared" si="57"/>
        <v>0</v>
      </c>
      <c r="R183" s="247">
        <f t="shared" si="57"/>
        <v>732.5634426229509</v>
      </c>
      <c r="S183" s="246">
        <f t="shared" si="57"/>
        <v>0</v>
      </c>
      <c r="T183" s="247">
        <f t="shared" si="57"/>
        <v>0</v>
      </c>
      <c r="U183" s="247">
        <f t="shared" si="57"/>
        <v>0</v>
      </c>
      <c r="V183" s="246">
        <f t="shared" si="57"/>
        <v>0</v>
      </c>
      <c r="W183" s="247">
        <f t="shared" si="57"/>
        <v>0</v>
      </c>
      <c r="X183" s="247">
        <f t="shared" si="57"/>
        <v>0</v>
      </c>
      <c r="Y183" s="246">
        <f t="shared" si="57"/>
        <v>0</v>
      </c>
      <c r="Z183" s="247">
        <f t="shared" si="57"/>
        <v>0</v>
      </c>
      <c r="AA183" s="247">
        <f t="shared" si="57"/>
        <v>0</v>
      </c>
      <c r="AB183" s="246">
        <f t="shared" si="57"/>
        <v>0</v>
      </c>
      <c r="AC183" s="247">
        <f t="shared" si="57"/>
        <v>0</v>
      </c>
      <c r="AD183" s="247">
        <f>SUM(AD175:AD182)</f>
        <v>866.24726027397253</v>
      </c>
      <c r="AE183" s="3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</row>
    <row r="184" spans="2:61" ht="15" customHeight="1" outlineLevel="1">
      <c r="B184" s="33"/>
      <c r="C184" s="33"/>
      <c r="D184" s="33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</row>
    <row r="185" spans="2:61" ht="15" customHeight="1" outlineLevel="1">
      <c r="B185" s="33"/>
      <c r="C185" s="33"/>
      <c r="D185" s="33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</row>
    <row r="186" spans="2:61" ht="15" customHeight="1" outlineLevel="1">
      <c r="B186" s="324"/>
      <c r="C186" s="324"/>
      <c r="D186" s="324"/>
      <c r="E186" s="270"/>
      <c r="F186" s="270"/>
      <c r="G186" s="270"/>
      <c r="H186" s="270"/>
      <c r="I186" s="270"/>
      <c r="J186" s="270"/>
      <c r="K186" s="270"/>
      <c r="L186" s="270"/>
      <c r="M186" s="270"/>
      <c r="N186" s="270"/>
      <c r="O186" s="270"/>
      <c r="P186" s="270"/>
      <c r="Q186" s="270"/>
      <c r="R186" s="270"/>
      <c r="S186" s="270"/>
      <c r="T186" s="270"/>
      <c r="U186" s="270"/>
      <c r="V186" s="270"/>
      <c r="W186" s="270"/>
      <c r="X186" s="270"/>
      <c r="Y186" s="270"/>
      <c r="Z186" s="270"/>
      <c r="AA186" s="270"/>
      <c r="AB186" s="270"/>
      <c r="AC186" s="270"/>
      <c r="AD186" s="270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</row>
    <row r="187" spans="2:61" s="44" customFormat="1" ht="15" customHeight="1" outlineLevel="1">
      <c r="B187" s="271" t="s">
        <v>65</v>
      </c>
      <c r="F187" s="23"/>
      <c r="G187" s="42" t="s">
        <v>34</v>
      </c>
      <c r="H187" s="23"/>
      <c r="AD187" s="45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3"/>
      <c r="BC187" s="23"/>
      <c r="BD187" s="23"/>
      <c r="BE187" s="23"/>
      <c r="BF187" s="23"/>
      <c r="BG187" s="23"/>
      <c r="BH187" s="23"/>
      <c r="BI187" s="23"/>
    </row>
    <row r="188" spans="2:61" ht="15" customHeight="1" outlineLevel="1">
      <c r="B188" s="224" t="s">
        <v>37</v>
      </c>
      <c r="G188" s="266">
        <v>0</v>
      </c>
      <c r="H188" s="247">
        <f>G191</f>
        <v>57.992868852459011</v>
      </c>
      <c r="I188" s="247">
        <f t="shared" ref="I188:AD188" si="58">H191</f>
        <v>112.24426229508197</v>
      </c>
      <c r="J188" s="246">
        <f t="shared" si="58"/>
        <v>170.23713114754099</v>
      </c>
      <c r="K188" s="247">
        <f t="shared" si="58"/>
        <v>226.35926229508198</v>
      </c>
      <c r="L188" s="247">
        <f t="shared" si="58"/>
        <v>284.352131147541</v>
      </c>
      <c r="M188" s="246">
        <f t="shared" si="58"/>
        <v>340.47426229508199</v>
      </c>
      <c r="N188" s="247">
        <f t="shared" si="58"/>
        <v>398.46713114754101</v>
      </c>
      <c r="O188" s="247">
        <f t="shared" si="58"/>
        <v>462.02010928961749</v>
      </c>
      <c r="P188" s="246">
        <f t="shared" si="58"/>
        <v>528.54715846994532</v>
      </c>
      <c r="Q188" s="247">
        <f t="shared" si="58"/>
        <v>597.29177595628414</v>
      </c>
      <c r="R188" s="247">
        <f t="shared" si="58"/>
        <v>663.81882513661196</v>
      </c>
      <c r="S188" s="246">
        <f t="shared" si="58"/>
        <v>0</v>
      </c>
      <c r="T188" s="247">
        <f t="shared" si="58"/>
        <v>71.987945205479463</v>
      </c>
      <c r="U188" s="247">
        <f t="shared" si="58"/>
        <v>137.00931506849315</v>
      </c>
      <c r="V188" s="246">
        <f t="shared" si="58"/>
        <v>208.99726027397261</v>
      </c>
      <c r="W188" s="247">
        <f t="shared" si="58"/>
        <v>280.69726027397257</v>
      </c>
      <c r="X188" s="247">
        <f t="shared" si="58"/>
        <v>354.78726027397261</v>
      </c>
      <c r="Y188" s="246">
        <f t="shared" si="58"/>
        <v>426.48726027397259</v>
      </c>
      <c r="Z188" s="247">
        <f t="shared" si="58"/>
        <v>500.57726027397257</v>
      </c>
      <c r="AA188" s="247">
        <f t="shared" si="58"/>
        <v>574.6672602739726</v>
      </c>
      <c r="AB188" s="246">
        <f t="shared" si="58"/>
        <v>646.36726027397253</v>
      </c>
      <c r="AC188" s="247">
        <f t="shared" si="58"/>
        <v>720.45726027397257</v>
      </c>
      <c r="AD188" s="247">
        <f t="shared" si="58"/>
        <v>792.1572602739725</v>
      </c>
      <c r="AE188" s="3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</row>
    <row r="189" spans="2:61" ht="15" customHeight="1" outlineLevel="1">
      <c r="B189" s="224" t="s">
        <v>66</v>
      </c>
      <c r="G189" s="252">
        <f>G149</f>
        <v>57.992868852459011</v>
      </c>
      <c r="H189" s="34">
        <f t="shared" ref="H189:AD189" si="59">H149</f>
        <v>54.251393442622948</v>
      </c>
      <c r="I189" s="34">
        <f t="shared" si="59"/>
        <v>57.992868852459011</v>
      </c>
      <c r="J189" s="252">
        <f t="shared" si="59"/>
        <v>56.122131147540983</v>
      </c>
      <c r="K189" s="34">
        <f t="shared" si="59"/>
        <v>57.992868852459011</v>
      </c>
      <c r="L189" s="34">
        <f t="shared" si="59"/>
        <v>56.122131147540983</v>
      </c>
      <c r="M189" s="252">
        <f t="shared" si="59"/>
        <v>57.992868852459011</v>
      </c>
      <c r="N189" s="34">
        <f t="shared" si="59"/>
        <v>63.552978142076498</v>
      </c>
      <c r="O189" s="34">
        <f t="shared" si="59"/>
        <v>66.527049180327865</v>
      </c>
      <c r="P189" s="252">
        <f t="shared" si="59"/>
        <v>68.744617486338782</v>
      </c>
      <c r="Q189" s="34">
        <f t="shared" si="59"/>
        <v>66.527049180327865</v>
      </c>
      <c r="R189" s="34">
        <f t="shared" si="59"/>
        <v>68.744617486338782</v>
      </c>
      <c r="S189" s="252">
        <f t="shared" si="59"/>
        <v>71.987945205479463</v>
      </c>
      <c r="T189" s="34">
        <f t="shared" si="59"/>
        <v>65.021369863013703</v>
      </c>
      <c r="U189" s="34">
        <f t="shared" si="59"/>
        <v>71.987945205479463</v>
      </c>
      <c r="V189" s="252">
        <f t="shared" si="59"/>
        <v>71.699999999999989</v>
      </c>
      <c r="W189" s="34">
        <f t="shared" si="59"/>
        <v>74.09</v>
      </c>
      <c r="X189" s="34">
        <f t="shared" si="59"/>
        <v>71.699999999999989</v>
      </c>
      <c r="Y189" s="252">
        <f t="shared" si="59"/>
        <v>74.09</v>
      </c>
      <c r="Z189" s="34">
        <f t="shared" si="59"/>
        <v>74.09</v>
      </c>
      <c r="AA189" s="34">
        <f t="shared" si="59"/>
        <v>71.699999999999989</v>
      </c>
      <c r="AB189" s="252">
        <f t="shared" si="59"/>
        <v>74.09</v>
      </c>
      <c r="AC189" s="34">
        <f t="shared" si="59"/>
        <v>71.699999999999989</v>
      </c>
      <c r="AD189" s="34">
        <f t="shared" si="59"/>
        <v>74.09</v>
      </c>
      <c r="AE189" s="3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</row>
    <row r="190" spans="2:61" ht="15" customHeight="1" outlineLevel="1">
      <c r="B190" s="224" t="s">
        <v>67</v>
      </c>
      <c r="G190" s="252">
        <f>-G183</f>
        <v>0</v>
      </c>
      <c r="H190" s="34">
        <f t="shared" ref="H190:AD190" si="60">-H183</f>
        <v>0</v>
      </c>
      <c r="I190" s="34">
        <f t="shared" si="60"/>
        <v>0</v>
      </c>
      <c r="J190" s="252">
        <f t="shared" si="60"/>
        <v>0</v>
      </c>
      <c r="K190" s="34">
        <f t="shared" si="60"/>
        <v>0</v>
      </c>
      <c r="L190" s="34">
        <f t="shared" si="60"/>
        <v>0</v>
      </c>
      <c r="M190" s="252">
        <f t="shared" si="60"/>
        <v>0</v>
      </c>
      <c r="N190" s="34">
        <f t="shared" si="60"/>
        <v>0</v>
      </c>
      <c r="O190" s="34">
        <f t="shared" si="60"/>
        <v>0</v>
      </c>
      <c r="P190" s="252">
        <f t="shared" si="60"/>
        <v>0</v>
      </c>
      <c r="Q190" s="34">
        <f t="shared" si="60"/>
        <v>0</v>
      </c>
      <c r="R190" s="34">
        <f>-R183</f>
        <v>-732.5634426229509</v>
      </c>
      <c r="S190" s="252">
        <f t="shared" si="60"/>
        <v>0</v>
      </c>
      <c r="T190" s="34">
        <f t="shared" si="60"/>
        <v>0</v>
      </c>
      <c r="U190" s="34">
        <f t="shared" si="60"/>
        <v>0</v>
      </c>
      <c r="V190" s="252">
        <f t="shared" si="60"/>
        <v>0</v>
      </c>
      <c r="W190" s="34">
        <f t="shared" si="60"/>
        <v>0</v>
      </c>
      <c r="X190" s="34">
        <f t="shared" si="60"/>
        <v>0</v>
      </c>
      <c r="Y190" s="252">
        <f t="shared" si="60"/>
        <v>0</v>
      </c>
      <c r="Z190" s="34">
        <f t="shared" si="60"/>
        <v>0</v>
      </c>
      <c r="AA190" s="34">
        <f t="shared" si="60"/>
        <v>0</v>
      </c>
      <c r="AB190" s="252">
        <f t="shared" si="60"/>
        <v>0</v>
      </c>
      <c r="AC190" s="34">
        <f t="shared" si="60"/>
        <v>0</v>
      </c>
      <c r="AD190" s="34">
        <f t="shared" si="60"/>
        <v>-866.24726027397253</v>
      </c>
      <c r="AE190" s="3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</row>
    <row r="191" spans="2:61" ht="15" customHeight="1" outlineLevel="1">
      <c r="B191" s="224" t="s">
        <v>40</v>
      </c>
      <c r="G191" s="246">
        <f>SUM(G188:G190)</f>
        <v>57.992868852459011</v>
      </c>
      <c r="H191" s="247">
        <f t="shared" ref="H191:AD191" si="61">SUM(H188:H190)</f>
        <v>112.24426229508197</v>
      </c>
      <c r="I191" s="247">
        <f t="shared" si="61"/>
        <v>170.23713114754099</v>
      </c>
      <c r="J191" s="246">
        <f t="shared" si="61"/>
        <v>226.35926229508198</v>
      </c>
      <c r="K191" s="247">
        <f t="shared" si="61"/>
        <v>284.352131147541</v>
      </c>
      <c r="L191" s="247">
        <f t="shared" si="61"/>
        <v>340.47426229508199</v>
      </c>
      <c r="M191" s="246">
        <f t="shared" si="61"/>
        <v>398.46713114754101</v>
      </c>
      <c r="N191" s="247">
        <f t="shared" si="61"/>
        <v>462.02010928961749</v>
      </c>
      <c r="O191" s="247">
        <f t="shared" si="61"/>
        <v>528.54715846994532</v>
      </c>
      <c r="P191" s="246">
        <f t="shared" si="61"/>
        <v>597.29177595628414</v>
      </c>
      <c r="Q191" s="247">
        <f t="shared" si="61"/>
        <v>663.81882513661196</v>
      </c>
      <c r="R191" s="247">
        <f t="shared" si="61"/>
        <v>0</v>
      </c>
      <c r="S191" s="246">
        <f t="shared" si="61"/>
        <v>71.987945205479463</v>
      </c>
      <c r="T191" s="247">
        <f t="shared" si="61"/>
        <v>137.00931506849315</v>
      </c>
      <c r="U191" s="247">
        <f t="shared" si="61"/>
        <v>208.99726027397261</v>
      </c>
      <c r="V191" s="246">
        <f t="shared" si="61"/>
        <v>280.69726027397257</v>
      </c>
      <c r="W191" s="247">
        <f t="shared" si="61"/>
        <v>354.78726027397261</v>
      </c>
      <c r="X191" s="247">
        <f t="shared" si="61"/>
        <v>426.48726027397259</v>
      </c>
      <c r="Y191" s="246">
        <f t="shared" si="61"/>
        <v>500.57726027397257</v>
      </c>
      <c r="Z191" s="247">
        <f t="shared" si="61"/>
        <v>574.6672602739726</v>
      </c>
      <c r="AA191" s="247">
        <f t="shared" si="61"/>
        <v>646.36726027397253</v>
      </c>
      <c r="AB191" s="246">
        <f t="shared" si="61"/>
        <v>720.45726027397257</v>
      </c>
      <c r="AC191" s="247">
        <f t="shared" si="61"/>
        <v>792.1572602739725</v>
      </c>
      <c r="AD191" s="247">
        <f t="shared" si="61"/>
        <v>0</v>
      </c>
      <c r="AE191" s="3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</row>
    <row r="192" spans="2:61" ht="15" customHeight="1" outlineLevel="1">
      <c r="B192" s="224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  <c r="AC192" s="247"/>
      <c r="AD192" s="24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</row>
    <row r="193" spans="1:61" ht="15" customHeight="1" outlineLevel="1">
      <c r="B193" s="22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</row>
    <row r="194" spans="1:61" ht="15" customHeight="1" outlineLevel="1" thickBot="1">
      <c r="B194" s="224" t="s">
        <v>68</v>
      </c>
      <c r="G194" s="325">
        <f>G191-G188</f>
        <v>57.992868852459011</v>
      </c>
      <c r="H194" s="326">
        <f t="shared" ref="H194:AD194" si="62">H191-H188</f>
        <v>54.251393442622955</v>
      </c>
      <c r="I194" s="326">
        <f t="shared" si="62"/>
        <v>57.992868852459026</v>
      </c>
      <c r="J194" s="327">
        <f t="shared" si="62"/>
        <v>56.122131147540983</v>
      </c>
      <c r="K194" s="326">
        <f t="shared" si="62"/>
        <v>57.992868852459026</v>
      </c>
      <c r="L194" s="326">
        <f t="shared" si="62"/>
        <v>56.122131147540983</v>
      </c>
      <c r="M194" s="327">
        <f t="shared" si="62"/>
        <v>57.992868852459026</v>
      </c>
      <c r="N194" s="326">
        <f t="shared" si="62"/>
        <v>63.552978142076483</v>
      </c>
      <c r="O194" s="326">
        <f t="shared" si="62"/>
        <v>66.527049180327822</v>
      </c>
      <c r="P194" s="327">
        <f t="shared" si="62"/>
        <v>68.744617486338825</v>
      </c>
      <c r="Q194" s="326">
        <f t="shared" si="62"/>
        <v>66.527049180327822</v>
      </c>
      <c r="R194" s="326">
        <f t="shared" si="62"/>
        <v>-663.81882513661196</v>
      </c>
      <c r="S194" s="327">
        <f t="shared" si="62"/>
        <v>71.987945205479463</v>
      </c>
      <c r="T194" s="326">
        <f t="shared" si="62"/>
        <v>65.021369863013689</v>
      </c>
      <c r="U194" s="326">
        <f t="shared" si="62"/>
        <v>71.987945205479463</v>
      </c>
      <c r="V194" s="327">
        <f t="shared" si="62"/>
        <v>71.69999999999996</v>
      </c>
      <c r="W194" s="326">
        <f t="shared" si="62"/>
        <v>74.090000000000032</v>
      </c>
      <c r="X194" s="326">
        <f t="shared" si="62"/>
        <v>71.699999999999989</v>
      </c>
      <c r="Y194" s="327">
        <f t="shared" si="62"/>
        <v>74.089999999999975</v>
      </c>
      <c r="Z194" s="326">
        <f t="shared" si="62"/>
        <v>74.090000000000032</v>
      </c>
      <c r="AA194" s="326">
        <f t="shared" si="62"/>
        <v>71.699999999999932</v>
      </c>
      <c r="AB194" s="327">
        <f t="shared" si="62"/>
        <v>74.090000000000032</v>
      </c>
      <c r="AC194" s="326">
        <f t="shared" si="62"/>
        <v>71.699999999999932</v>
      </c>
      <c r="AD194" s="326">
        <f t="shared" si="62"/>
        <v>-792.1572602739725</v>
      </c>
      <c r="AE194" s="328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</row>
    <row r="195" spans="1:61" s="44" customFormat="1" ht="15" customHeight="1" outlineLevel="1">
      <c r="G195" s="329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30"/>
      <c r="AB195" s="330"/>
      <c r="AC195" s="330"/>
      <c r="AD195" s="330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3"/>
      <c r="BC195" s="23"/>
      <c r="BD195" s="23"/>
      <c r="BE195" s="23"/>
      <c r="BF195" s="23"/>
      <c r="BG195" s="23"/>
      <c r="BH195" s="23"/>
      <c r="BI195" s="23"/>
    </row>
    <row r="196" spans="1:61" ht="15" customHeight="1" outlineLevel="1">
      <c r="B196" s="46"/>
      <c r="C196" s="190"/>
      <c r="D196" s="190"/>
      <c r="G196" s="303"/>
      <c r="H196" s="303"/>
      <c r="I196" s="303"/>
      <c r="J196" s="303"/>
      <c r="K196" s="303"/>
      <c r="L196" s="303"/>
      <c r="M196" s="303"/>
      <c r="N196" s="303"/>
      <c r="O196" s="303"/>
      <c r="P196" s="303"/>
      <c r="Q196" s="303"/>
      <c r="R196" s="303"/>
      <c r="S196" s="303"/>
      <c r="T196" s="303"/>
      <c r="U196" s="303"/>
      <c r="V196" s="303"/>
      <c r="W196" s="303"/>
      <c r="X196" s="303"/>
      <c r="Y196" s="303"/>
      <c r="Z196" s="303"/>
      <c r="AA196" s="303"/>
      <c r="AB196" s="303"/>
      <c r="AC196" s="303"/>
      <c r="AD196" s="45" t="s">
        <v>211</v>
      </c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</row>
    <row r="197" spans="1:61" s="44" customFormat="1" ht="15" customHeight="1" outlineLevel="1">
      <c r="F197" s="23"/>
      <c r="G197" s="23"/>
      <c r="H197" s="23"/>
      <c r="AD197" s="45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3"/>
      <c r="BC197" s="23"/>
      <c r="BD197" s="23"/>
      <c r="BE197" s="23"/>
      <c r="BF197" s="23"/>
      <c r="BG197" s="23"/>
      <c r="BH197" s="23"/>
      <c r="BI197" s="23"/>
    </row>
    <row r="198" spans="1:61" s="44" customFormat="1" ht="15" customHeight="1" outlineLevel="1">
      <c r="G198" s="23"/>
      <c r="AD198" s="56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3"/>
      <c r="BC198" s="23"/>
      <c r="BD198" s="23"/>
      <c r="BE198" s="23"/>
      <c r="BF198" s="23"/>
      <c r="BG198" s="23"/>
      <c r="BH198" s="23"/>
      <c r="BI198" s="23"/>
    </row>
    <row r="199" spans="1:61" ht="15" customHeight="1" outlineLevel="1">
      <c r="B199" s="57"/>
      <c r="C199" s="57"/>
      <c r="D199" s="57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</row>
    <row r="200" spans="1:61" ht="15" customHeight="1">
      <c r="B200" s="33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</row>
    <row r="201" spans="1:61" s="27" customFormat="1" ht="15" customHeight="1">
      <c r="A201" s="152" t="s">
        <v>11</v>
      </c>
      <c r="B201" s="24" t="s">
        <v>69</v>
      </c>
      <c r="C201" s="24"/>
      <c r="D201" s="24"/>
      <c r="E201" s="25"/>
      <c r="F201" s="25"/>
      <c r="G201" s="25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24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24"/>
      <c r="AE201" s="23"/>
      <c r="BB201" s="23"/>
      <c r="BC201" s="23"/>
      <c r="BD201" s="23"/>
      <c r="BE201" s="23"/>
      <c r="BF201" s="23"/>
      <c r="BG201" s="23"/>
      <c r="BH201" s="23"/>
      <c r="BI201" s="23"/>
    </row>
    <row r="202" spans="1:61" s="27" customFormat="1" ht="15" customHeight="1" outlineLevel="1">
      <c r="A202" s="152"/>
      <c r="B202" s="28"/>
      <c r="C202" s="28"/>
      <c r="D202" s="28"/>
      <c r="E202" s="29"/>
      <c r="F202" s="29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BB202" s="23"/>
      <c r="BC202" s="23"/>
      <c r="BD202" s="23"/>
      <c r="BE202" s="23"/>
      <c r="BF202" s="23"/>
      <c r="BG202" s="23"/>
      <c r="BH202" s="23"/>
      <c r="BI202" s="23"/>
    </row>
    <row r="203" spans="1:61" s="27" customFormat="1" ht="15" customHeight="1" outlineLevel="1">
      <c r="A203" s="152"/>
      <c r="B203" s="31" t="s">
        <v>13</v>
      </c>
      <c r="C203" s="28"/>
      <c r="D203" s="28"/>
      <c r="E203" s="29"/>
      <c r="F203" s="29"/>
      <c r="G203" s="48">
        <f t="shared" ref="G203:AD203" si="63">G$5</f>
        <v>2024</v>
      </c>
      <c r="H203" s="49">
        <f t="shared" si="63"/>
        <v>2024</v>
      </c>
      <c r="I203" s="49">
        <f t="shared" si="63"/>
        <v>2024</v>
      </c>
      <c r="J203" s="50">
        <f t="shared" si="63"/>
        <v>2024</v>
      </c>
      <c r="K203" s="49">
        <f t="shared" si="63"/>
        <v>2024</v>
      </c>
      <c r="L203" s="49">
        <f t="shared" si="63"/>
        <v>2024</v>
      </c>
      <c r="M203" s="50">
        <f t="shared" si="63"/>
        <v>2024</v>
      </c>
      <c r="N203" s="49">
        <f t="shared" si="63"/>
        <v>2024</v>
      </c>
      <c r="O203" s="49">
        <f t="shared" si="63"/>
        <v>2024</v>
      </c>
      <c r="P203" s="50">
        <f t="shared" si="63"/>
        <v>2024</v>
      </c>
      <c r="Q203" s="51">
        <f t="shared" si="63"/>
        <v>2024</v>
      </c>
      <c r="R203" s="255">
        <f t="shared" si="63"/>
        <v>2024</v>
      </c>
      <c r="S203" s="52">
        <f t="shared" si="63"/>
        <v>2025</v>
      </c>
      <c r="T203" s="51">
        <f t="shared" si="63"/>
        <v>2025</v>
      </c>
      <c r="U203" s="51">
        <f t="shared" si="63"/>
        <v>2025</v>
      </c>
      <c r="V203" s="53">
        <f t="shared" si="63"/>
        <v>2025</v>
      </c>
      <c r="W203" s="51">
        <f t="shared" si="63"/>
        <v>2025</v>
      </c>
      <c r="X203" s="51">
        <f t="shared" si="63"/>
        <v>2025</v>
      </c>
      <c r="Y203" s="53">
        <f t="shared" si="63"/>
        <v>2025</v>
      </c>
      <c r="Z203" s="51">
        <f t="shared" si="63"/>
        <v>2025</v>
      </c>
      <c r="AA203" s="51">
        <f t="shared" si="63"/>
        <v>2025</v>
      </c>
      <c r="AB203" s="53">
        <f t="shared" si="63"/>
        <v>2025</v>
      </c>
      <c r="AC203" s="51">
        <f t="shared" si="63"/>
        <v>2025</v>
      </c>
      <c r="AD203" s="255">
        <f t="shared" si="63"/>
        <v>2025</v>
      </c>
      <c r="AE203" s="40"/>
      <c r="BB203" s="23"/>
      <c r="BC203" s="23"/>
      <c r="BD203" s="23"/>
      <c r="BE203" s="23"/>
      <c r="BF203" s="23"/>
      <c r="BG203" s="23"/>
      <c r="BH203" s="23"/>
      <c r="BI203" s="23"/>
    </row>
    <row r="204" spans="1:61" ht="15" customHeight="1" outlineLevel="1">
      <c r="C204" s="31"/>
      <c r="D204" s="31"/>
      <c r="E204" s="32"/>
      <c r="F204" s="32"/>
      <c r="G204" s="256">
        <f t="shared" ref="G204:AD204" si="64">G$6</f>
        <v>1</v>
      </c>
      <c r="H204" s="257">
        <f t="shared" si="64"/>
        <v>1</v>
      </c>
      <c r="I204" s="54">
        <f t="shared" si="64"/>
        <v>1</v>
      </c>
      <c r="J204" s="258">
        <f t="shared" si="64"/>
        <v>2</v>
      </c>
      <c r="K204" s="257">
        <f t="shared" si="64"/>
        <v>2</v>
      </c>
      <c r="L204" s="215">
        <f t="shared" si="64"/>
        <v>2</v>
      </c>
      <c r="M204" s="258">
        <f t="shared" si="64"/>
        <v>3</v>
      </c>
      <c r="N204" s="257">
        <f t="shared" si="64"/>
        <v>3</v>
      </c>
      <c r="O204" s="215">
        <f t="shared" si="64"/>
        <v>3</v>
      </c>
      <c r="P204" s="216">
        <f t="shared" si="64"/>
        <v>4</v>
      </c>
      <c r="Q204" s="214">
        <f t="shared" si="64"/>
        <v>4</v>
      </c>
      <c r="R204" s="215">
        <f t="shared" si="64"/>
        <v>4</v>
      </c>
      <c r="S204" s="213">
        <f t="shared" si="64"/>
        <v>1</v>
      </c>
      <c r="T204" s="214">
        <f t="shared" si="64"/>
        <v>1</v>
      </c>
      <c r="U204" s="215">
        <f t="shared" si="64"/>
        <v>1</v>
      </c>
      <c r="V204" s="216">
        <f t="shared" si="64"/>
        <v>2</v>
      </c>
      <c r="W204" s="214">
        <f t="shared" si="64"/>
        <v>2</v>
      </c>
      <c r="X204" s="215">
        <f t="shared" si="64"/>
        <v>2</v>
      </c>
      <c r="Y204" s="216">
        <f t="shared" si="64"/>
        <v>3</v>
      </c>
      <c r="Z204" s="214">
        <f t="shared" si="64"/>
        <v>3</v>
      </c>
      <c r="AA204" s="215">
        <f t="shared" si="64"/>
        <v>3</v>
      </c>
      <c r="AB204" s="216">
        <f t="shared" si="64"/>
        <v>4</v>
      </c>
      <c r="AC204" s="214">
        <f t="shared" si="64"/>
        <v>4</v>
      </c>
      <c r="AD204" s="215">
        <f t="shared" si="64"/>
        <v>4</v>
      </c>
      <c r="AE204" s="40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  <c r="BA204" s="27"/>
    </row>
    <row r="205" spans="1:61" ht="15" customHeight="1" outlineLevel="1" thickBot="1">
      <c r="G205" s="218">
        <f t="shared" ref="G205:AD205" si="65">G$7</f>
        <v>45322</v>
      </c>
      <c r="H205" s="219">
        <f t="shared" si="65"/>
        <v>45351</v>
      </c>
      <c r="I205" s="219">
        <f t="shared" si="65"/>
        <v>45382</v>
      </c>
      <c r="J205" s="220">
        <f t="shared" si="65"/>
        <v>45412</v>
      </c>
      <c r="K205" s="219">
        <f t="shared" si="65"/>
        <v>45443</v>
      </c>
      <c r="L205" s="219">
        <f t="shared" si="65"/>
        <v>45473</v>
      </c>
      <c r="M205" s="220">
        <f t="shared" si="65"/>
        <v>45504</v>
      </c>
      <c r="N205" s="219">
        <f t="shared" si="65"/>
        <v>45535</v>
      </c>
      <c r="O205" s="219">
        <f t="shared" si="65"/>
        <v>45565</v>
      </c>
      <c r="P205" s="220">
        <f t="shared" si="65"/>
        <v>45596</v>
      </c>
      <c r="Q205" s="219">
        <f t="shared" si="65"/>
        <v>45626</v>
      </c>
      <c r="R205" s="219">
        <f t="shared" si="65"/>
        <v>45657</v>
      </c>
      <c r="S205" s="218">
        <f t="shared" si="65"/>
        <v>45688</v>
      </c>
      <c r="T205" s="219">
        <f t="shared" si="65"/>
        <v>45716</v>
      </c>
      <c r="U205" s="219">
        <f t="shared" si="65"/>
        <v>45747</v>
      </c>
      <c r="V205" s="220">
        <f t="shared" si="65"/>
        <v>45777</v>
      </c>
      <c r="W205" s="219">
        <f t="shared" si="65"/>
        <v>45808</v>
      </c>
      <c r="X205" s="219">
        <f t="shared" si="65"/>
        <v>45838</v>
      </c>
      <c r="Y205" s="220">
        <f t="shared" si="65"/>
        <v>45869</v>
      </c>
      <c r="Z205" s="219">
        <f t="shared" si="65"/>
        <v>45900</v>
      </c>
      <c r="AA205" s="219">
        <f t="shared" si="65"/>
        <v>45930</v>
      </c>
      <c r="AB205" s="220">
        <f t="shared" si="65"/>
        <v>45961</v>
      </c>
      <c r="AC205" s="219">
        <f t="shared" si="65"/>
        <v>45991</v>
      </c>
      <c r="AD205" s="219">
        <f t="shared" si="65"/>
        <v>46022</v>
      </c>
      <c r="AE205" s="40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  <c r="BA205" s="27"/>
    </row>
    <row r="206" spans="1:61" ht="15" customHeight="1" outlineLevel="1">
      <c r="G206" s="278"/>
      <c r="H206" s="278"/>
      <c r="I206" s="278"/>
      <c r="J206" s="278"/>
      <c r="K206" s="278"/>
      <c r="L206" s="278"/>
      <c r="M206" s="278"/>
      <c r="N206" s="278"/>
      <c r="O206" s="279"/>
      <c r="P206" s="279"/>
      <c r="Q206" s="279"/>
      <c r="R206" s="279"/>
      <c r="S206" s="279"/>
      <c r="T206" s="279"/>
      <c r="U206" s="280"/>
      <c r="V206" s="280"/>
      <c r="W206" s="280"/>
      <c r="X206" s="279"/>
      <c r="Y206" s="279"/>
      <c r="Z206" s="279"/>
      <c r="AA206" s="279"/>
      <c r="AB206" s="279"/>
      <c r="AC206" s="279"/>
      <c r="AD206" s="279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  <c r="BA206" s="27"/>
    </row>
    <row r="207" spans="1:61" s="36" customFormat="1" ht="15" customHeight="1" outlineLevel="1">
      <c r="B207" s="190" t="s">
        <v>44</v>
      </c>
      <c r="C207" s="190"/>
      <c r="D207" s="190"/>
      <c r="E207" s="281"/>
      <c r="F207" s="227"/>
      <c r="G207" s="55">
        <f t="shared" ref="G207:AD207" si="66">G$8</f>
        <v>1</v>
      </c>
      <c r="H207" s="55">
        <f t="shared" si="66"/>
        <v>1</v>
      </c>
      <c r="I207" s="55">
        <f t="shared" si="66"/>
        <v>1</v>
      </c>
      <c r="J207" s="55">
        <f t="shared" si="66"/>
        <v>1</v>
      </c>
      <c r="K207" s="55">
        <f t="shared" si="66"/>
        <v>1</v>
      </c>
      <c r="L207" s="55">
        <f t="shared" si="66"/>
        <v>1</v>
      </c>
      <c r="M207" s="55">
        <f t="shared" si="66"/>
        <v>1</v>
      </c>
      <c r="N207" s="55">
        <f t="shared" si="66"/>
        <v>1</v>
      </c>
      <c r="O207" s="55">
        <f t="shared" si="66"/>
        <v>1</v>
      </c>
      <c r="P207" s="55">
        <f t="shared" si="66"/>
        <v>1</v>
      </c>
      <c r="Q207" s="55">
        <f t="shared" si="66"/>
        <v>1</v>
      </c>
      <c r="R207" s="55">
        <f t="shared" si="66"/>
        <v>1</v>
      </c>
      <c r="S207" s="55">
        <f t="shared" si="66"/>
        <v>0</v>
      </c>
      <c r="T207" s="55">
        <f t="shared" si="66"/>
        <v>0</v>
      </c>
      <c r="U207" s="55">
        <f t="shared" si="66"/>
        <v>0</v>
      </c>
      <c r="V207" s="55">
        <f t="shared" si="66"/>
        <v>0</v>
      </c>
      <c r="W207" s="55">
        <f t="shared" si="66"/>
        <v>0</v>
      </c>
      <c r="X207" s="55">
        <f t="shared" si="66"/>
        <v>0</v>
      </c>
      <c r="Y207" s="55">
        <f t="shared" si="66"/>
        <v>0</v>
      </c>
      <c r="Z207" s="55">
        <f t="shared" si="66"/>
        <v>0</v>
      </c>
      <c r="AA207" s="55">
        <f t="shared" si="66"/>
        <v>0</v>
      </c>
      <c r="AB207" s="55">
        <f t="shared" si="66"/>
        <v>0</v>
      </c>
      <c r="AC207" s="55">
        <f t="shared" si="66"/>
        <v>0</v>
      </c>
      <c r="AD207" s="55">
        <f t="shared" si="66"/>
        <v>0</v>
      </c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  <c r="BA207" s="27"/>
      <c r="BB207" s="23"/>
      <c r="BC207" s="23"/>
      <c r="BD207" s="23"/>
      <c r="BE207" s="23"/>
      <c r="BF207" s="23"/>
      <c r="BG207" s="23"/>
      <c r="BH207" s="23"/>
      <c r="BI207" s="23"/>
    </row>
    <row r="208" spans="1:61" s="36" customFormat="1" ht="15" customHeight="1" outlineLevel="1">
      <c r="A208" s="191"/>
      <c r="B208" s="35" t="s">
        <v>70</v>
      </c>
      <c r="C208" s="33"/>
      <c r="D208" s="33"/>
      <c r="E208" s="281"/>
      <c r="F208" s="227"/>
      <c r="G208" s="282">
        <v>0</v>
      </c>
      <c r="H208" s="283">
        <v>21</v>
      </c>
      <c r="I208" s="283">
        <v>0</v>
      </c>
      <c r="J208" s="282">
        <v>0</v>
      </c>
      <c r="K208" s="283">
        <v>23</v>
      </c>
      <c r="L208" s="283">
        <v>0</v>
      </c>
      <c r="M208" s="282">
        <v>0</v>
      </c>
      <c r="N208" s="283">
        <v>22</v>
      </c>
      <c r="O208" s="283">
        <v>0</v>
      </c>
      <c r="P208" s="282">
        <v>0</v>
      </c>
      <c r="Q208" s="283">
        <v>21</v>
      </c>
      <c r="R208" s="283">
        <v>0</v>
      </c>
      <c r="S208" s="282">
        <v>0</v>
      </c>
      <c r="T208" s="283">
        <v>20</v>
      </c>
      <c r="U208" s="283">
        <v>0</v>
      </c>
      <c r="V208" s="282">
        <v>0</v>
      </c>
      <c r="W208" s="283">
        <v>22</v>
      </c>
      <c r="X208" s="283">
        <v>0</v>
      </c>
      <c r="Y208" s="282">
        <v>0</v>
      </c>
      <c r="Z208" s="283">
        <v>21</v>
      </c>
      <c r="AA208" s="283">
        <v>0</v>
      </c>
      <c r="AB208" s="282">
        <v>0</v>
      </c>
      <c r="AC208" s="283">
        <v>20</v>
      </c>
      <c r="AD208" s="283">
        <v>0</v>
      </c>
      <c r="AE208" s="43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  <c r="BA208" s="27"/>
      <c r="BB208" s="23"/>
      <c r="BC208" s="23"/>
      <c r="BD208" s="23"/>
      <c r="BE208" s="23"/>
      <c r="BF208" s="23"/>
      <c r="BG208" s="23"/>
      <c r="BH208" s="23"/>
      <c r="BI208" s="23"/>
    </row>
    <row r="209" spans="1:61" s="36" customFormat="1" ht="15" customHeight="1" outlineLevel="1">
      <c r="A209" s="191"/>
      <c r="B209" s="35" t="s">
        <v>70</v>
      </c>
      <c r="C209" s="33"/>
      <c r="D209" s="33"/>
      <c r="E209" s="331"/>
      <c r="F209" s="227"/>
      <c r="G209" s="284">
        <v>0</v>
      </c>
      <c r="H209" s="285">
        <v>0</v>
      </c>
      <c r="I209" s="285">
        <v>0</v>
      </c>
      <c r="J209" s="284">
        <v>0</v>
      </c>
      <c r="K209" s="285">
        <v>0</v>
      </c>
      <c r="L209" s="285">
        <v>0</v>
      </c>
      <c r="M209" s="284">
        <v>0</v>
      </c>
      <c r="N209" s="285">
        <v>0</v>
      </c>
      <c r="O209" s="285">
        <v>0</v>
      </c>
      <c r="P209" s="284">
        <v>0</v>
      </c>
      <c r="Q209" s="285">
        <v>0</v>
      </c>
      <c r="R209" s="285">
        <v>0</v>
      </c>
      <c r="S209" s="284">
        <v>0</v>
      </c>
      <c r="T209" s="285">
        <v>20</v>
      </c>
      <c r="U209" s="285">
        <v>0</v>
      </c>
      <c r="V209" s="284">
        <v>0</v>
      </c>
      <c r="W209" s="285">
        <v>22</v>
      </c>
      <c r="X209" s="285">
        <v>0</v>
      </c>
      <c r="Y209" s="284">
        <v>0</v>
      </c>
      <c r="Z209" s="285">
        <v>21</v>
      </c>
      <c r="AA209" s="285">
        <v>0</v>
      </c>
      <c r="AB209" s="284">
        <v>0</v>
      </c>
      <c r="AC209" s="285">
        <v>20</v>
      </c>
      <c r="AD209" s="285">
        <v>0</v>
      </c>
      <c r="AE209" s="43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  <c r="BA209" s="27"/>
      <c r="BB209" s="23"/>
      <c r="BC209" s="23"/>
      <c r="BD209" s="23"/>
      <c r="BE209" s="23"/>
      <c r="BF209" s="23"/>
      <c r="BG209" s="23"/>
      <c r="BH209" s="23"/>
      <c r="BI209" s="23"/>
    </row>
    <row r="210" spans="1:61" s="36" customFormat="1" ht="15" customHeight="1" outlineLevel="1">
      <c r="A210" s="191"/>
      <c r="B210" s="35" t="s">
        <v>71</v>
      </c>
      <c r="C210" s="33"/>
      <c r="D210" s="33"/>
      <c r="E210" s="331"/>
      <c r="F210" s="227"/>
      <c r="G210" s="284">
        <v>0</v>
      </c>
      <c r="H210" s="285">
        <v>21</v>
      </c>
      <c r="I210" s="285">
        <v>0</v>
      </c>
      <c r="J210" s="284">
        <v>0</v>
      </c>
      <c r="K210" s="285">
        <v>23</v>
      </c>
      <c r="L210" s="285">
        <v>0</v>
      </c>
      <c r="M210" s="284">
        <v>0</v>
      </c>
      <c r="N210" s="285">
        <v>22</v>
      </c>
      <c r="O210" s="285">
        <v>0</v>
      </c>
      <c r="P210" s="284">
        <v>0</v>
      </c>
      <c r="Q210" s="285">
        <v>21</v>
      </c>
      <c r="R210" s="285">
        <v>0</v>
      </c>
      <c r="S210" s="284">
        <v>0</v>
      </c>
      <c r="T210" s="285">
        <v>20</v>
      </c>
      <c r="U210" s="285">
        <v>0</v>
      </c>
      <c r="V210" s="284">
        <v>0</v>
      </c>
      <c r="W210" s="285">
        <v>22</v>
      </c>
      <c r="X210" s="285">
        <v>0</v>
      </c>
      <c r="Y210" s="284">
        <v>0</v>
      </c>
      <c r="Z210" s="285">
        <v>21</v>
      </c>
      <c r="AA210" s="285">
        <v>0</v>
      </c>
      <c r="AB210" s="284">
        <v>0</v>
      </c>
      <c r="AC210" s="285">
        <v>20</v>
      </c>
      <c r="AD210" s="285">
        <v>0</v>
      </c>
      <c r="AE210" s="43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3"/>
      <c r="BC210" s="23"/>
      <c r="BD210" s="23"/>
      <c r="BE210" s="23"/>
      <c r="BF210" s="23"/>
      <c r="BG210" s="23"/>
      <c r="BH210" s="23"/>
      <c r="BI210" s="23"/>
    </row>
    <row r="211" spans="1:61" s="36" customFormat="1" ht="15" customHeight="1" outlineLevel="1">
      <c r="A211" s="191"/>
      <c r="B211" s="35" t="s">
        <v>71</v>
      </c>
      <c r="C211" s="33"/>
      <c r="D211" s="33"/>
      <c r="E211" s="331"/>
      <c r="F211" s="227"/>
      <c r="G211" s="284">
        <v>0</v>
      </c>
      <c r="H211" s="285">
        <v>0</v>
      </c>
      <c r="I211" s="285">
        <v>0</v>
      </c>
      <c r="J211" s="284">
        <v>0</v>
      </c>
      <c r="K211" s="285">
        <v>0</v>
      </c>
      <c r="L211" s="285">
        <v>0</v>
      </c>
      <c r="M211" s="284">
        <v>0</v>
      </c>
      <c r="N211" s="285">
        <v>0</v>
      </c>
      <c r="O211" s="285">
        <v>0</v>
      </c>
      <c r="P211" s="284">
        <v>0</v>
      </c>
      <c r="Q211" s="285">
        <v>0</v>
      </c>
      <c r="R211" s="285">
        <v>0</v>
      </c>
      <c r="S211" s="284">
        <v>0</v>
      </c>
      <c r="T211" s="285">
        <v>20</v>
      </c>
      <c r="U211" s="285">
        <v>0</v>
      </c>
      <c r="V211" s="284">
        <v>0</v>
      </c>
      <c r="W211" s="285">
        <v>22</v>
      </c>
      <c r="X211" s="285">
        <v>0</v>
      </c>
      <c r="Y211" s="284">
        <v>0</v>
      </c>
      <c r="Z211" s="285">
        <v>21</v>
      </c>
      <c r="AA211" s="285">
        <v>0</v>
      </c>
      <c r="AB211" s="284">
        <v>0</v>
      </c>
      <c r="AC211" s="285">
        <v>20</v>
      </c>
      <c r="AD211" s="285">
        <v>0</v>
      </c>
      <c r="AE211" s="43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  <c r="BA211" s="27"/>
      <c r="BB211" s="23"/>
      <c r="BC211" s="23"/>
      <c r="BD211" s="23"/>
      <c r="BE211" s="23"/>
      <c r="BF211" s="23"/>
      <c r="BG211" s="23"/>
      <c r="BH211" s="23"/>
      <c r="BI211" s="23"/>
    </row>
    <row r="212" spans="1:61" ht="15" customHeight="1" outlineLevel="1">
      <c r="A212" s="191"/>
      <c r="B212" s="35" t="s">
        <v>72</v>
      </c>
      <c r="C212" s="33"/>
      <c r="D212" s="33"/>
      <c r="E212" s="331"/>
      <c r="G212" s="284">
        <v>0</v>
      </c>
      <c r="H212" s="285">
        <v>10</v>
      </c>
      <c r="I212" s="285">
        <v>0</v>
      </c>
      <c r="J212" s="284">
        <v>0</v>
      </c>
      <c r="K212" s="285">
        <v>10</v>
      </c>
      <c r="L212" s="285">
        <v>0</v>
      </c>
      <c r="M212" s="284">
        <v>0</v>
      </c>
      <c r="N212" s="285">
        <v>0</v>
      </c>
      <c r="O212" s="285">
        <v>0</v>
      </c>
      <c r="P212" s="284">
        <v>0</v>
      </c>
      <c r="Q212" s="285">
        <v>10</v>
      </c>
      <c r="R212" s="285">
        <v>0</v>
      </c>
      <c r="S212" s="284">
        <v>0</v>
      </c>
      <c r="T212" s="285">
        <v>20</v>
      </c>
      <c r="U212" s="285">
        <v>0</v>
      </c>
      <c r="V212" s="284">
        <v>0</v>
      </c>
      <c r="W212" s="285">
        <v>22</v>
      </c>
      <c r="X212" s="285">
        <v>0</v>
      </c>
      <c r="Y212" s="284">
        <v>0</v>
      </c>
      <c r="Z212" s="285">
        <v>21</v>
      </c>
      <c r="AA212" s="285">
        <v>0</v>
      </c>
      <c r="AB212" s="284">
        <v>0</v>
      </c>
      <c r="AC212" s="285">
        <v>20</v>
      </c>
      <c r="AD212" s="285">
        <v>0</v>
      </c>
      <c r="AE212" s="37"/>
      <c r="AF212" s="36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  <c r="BA212" s="27"/>
    </row>
    <row r="213" spans="1:61" ht="15" customHeight="1" outlineLevel="1">
      <c r="A213" s="191"/>
      <c r="B213" s="35" t="s">
        <v>72</v>
      </c>
      <c r="C213" s="33"/>
      <c r="D213" s="33"/>
      <c r="E213" s="331"/>
      <c r="F213" s="227"/>
      <c r="G213" s="284">
        <v>0</v>
      </c>
      <c r="H213" s="285">
        <v>0</v>
      </c>
      <c r="I213" s="285">
        <v>0</v>
      </c>
      <c r="J213" s="284">
        <v>0</v>
      </c>
      <c r="K213" s="285">
        <v>0</v>
      </c>
      <c r="L213" s="285">
        <v>0</v>
      </c>
      <c r="M213" s="284">
        <v>0</v>
      </c>
      <c r="N213" s="285">
        <v>0</v>
      </c>
      <c r="O213" s="285">
        <v>0</v>
      </c>
      <c r="P213" s="284">
        <v>0</v>
      </c>
      <c r="Q213" s="285">
        <v>0</v>
      </c>
      <c r="R213" s="285">
        <v>0</v>
      </c>
      <c r="S213" s="284">
        <v>0</v>
      </c>
      <c r="T213" s="285">
        <v>20</v>
      </c>
      <c r="U213" s="285">
        <v>0</v>
      </c>
      <c r="V213" s="284">
        <v>0</v>
      </c>
      <c r="W213" s="285">
        <v>22</v>
      </c>
      <c r="X213" s="285">
        <v>0</v>
      </c>
      <c r="Y213" s="284">
        <v>0</v>
      </c>
      <c r="Z213" s="285">
        <v>21</v>
      </c>
      <c r="AA213" s="285">
        <v>0</v>
      </c>
      <c r="AB213" s="284">
        <v>0</v>
      </c>
      <c r="AC213" s="285">
        <v>20</v>
      </c>
      <c r="AD213" s="285">
        <v>0</v>
      </c>
      <c r="AE213" s="37"/>
      <c r="AF213" s="36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  <c r="BA213" s="27"/>
    </row>
    <row r="214" spans="1:61" ht="15" customHeight="1" outlineLevel="1">
      <c r="A214" s="191"/>
      <c r="B214" s="35" t="s">
        <v>73</v>
      </c>
      <c r="C214" s="33"/>
      <c r="D214" s="33"/>
      <c r="E214" s="331"/>
      <c r="F214" s="227"/>
      <c r="G214" s="284">
        <v>0</v>
      </c>
      <c r="H214" s="285">
        <v>0</v>
      </c>
      <c r="I214" s="285">
        <v>0</v>
      </c>
      <c r="J214" s="284">
        <v>0</v>
      </c>
      <c r="K214" s="285">
        <v>23</v>
      </c>
      <c r="L214" s="285">
        <v>0</v>
      </c>
      <c r="M214" s="284">
        <v>0</v>
      </c>
      <c r="N214" s="285">
        <v>22</v>
      </c>
      <c r="O214" s="285">
        <v>0</v>
      </c>
      <c r="P214" s="284">
        <v>0</v>
      </c>
      <c r="Q214" s="285">
        <v>21</v>
      </c>
      <c r="R214" s="285">
        <v>0</v>
      </c>
      <c r="S214" s="284">
        <v>0</v>
      </c>
      <c r="T214" s="285">
        <v>20</v>
      </c>
      <c r="U214" s="285">
        <v>0</v>
      </c>
      <c r="V214" s="284">
        <v>0</v>
      </c>
      <c r="W214" s="285">
        <v>22</v>
      </c>
      <c r="X214" s="285">
        <v>0</v>
      </c>
      <c r="Y214" s="284">
        <v>0</v>
      </c>
      <c r="Z214" s="285">
        <v>21</v>
      </c>
      <c r="AA214" s="285">
        <v>0</v>
      </c>
      <c r="AB214" s="284">
        <v>0</v>
      </c>
      <c r="AC214" s="285">
        <v>20</v>
      </c>
      <c r="AD214" s="285">
        <v>0</v>
      </c>
      <c r="AE214" s="37"/>
      <c r="AF214" s="36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  <c r="BA214" s="27"/>
    </row>
    <row r="215" spans="1:61" ht="15" customHeight="1" outlineLevel="1">
      <c r="A215" s="191"/>
      <c r="B215" s="35" t="s">
        <v>73</v>
      </c>
      <c r="C215" s="33"/>
      <c r="D215" s="33"/>
      <c r="E215" s="331"/>
      <c r="F215" s="227"/>
      <c r="G215" s="284">
        <v>0</v>
      </c>
      <c r="H215" s="285">
        <v>0</v>
      </c>
      <c r="I215" s="285">
        <v>0</v>
      </c>
      <c r="J215" s="284">
        <v>0</v>
      </c>
      <c r="K215" s="285">
        <v>0</v>
      </c>
      <c r="L215" s="285">
        <v>0</v>
      </c>
      <c r="M215" s="284">
        <v>0</v>
      </c>
      <c r="N215" s="285">
        <v>22</v>
      </c>
      <c r="O215" s="285">
        <v>0</v>
      </c>
      <c r="P215" s="284">
        <v>0</v>
      </c>
      <c r="Q215" s="285">
        <v>21</v>
      </c>
      <c r="R215" s="285">
        <v>0</v>
      </c>
      <c r="S215" s="284">
        <v>0</v>
      </c>
      <c r="T215" s="285">
        <v>20</v>
      </c>
      <c r="U215" s="285">
        <v>0</v>
      </c>
      <c r="V215" s="284">
        <v>0</v>
      </c>
      <c r="W215" s="285">
        <v>22</v>
      </c>
      <c r="X215" s="285">
        <v>0</v>
      </c>
      <c r="Y215" s="284">
        <v>0</v>
      </c>
      <c r="Z215" s="285">
        <v>21</v>
      </c>
      <c r="AA215" s="285">
        <v>0</v>
      </c>
      <c r="AB215" s="284">
        <v>0</v>
      </c>
      <c r="AC215" s="285">
        <v>20</v>
      </c>
      <c r="AD215" s="285">
        <v>0</v>
      </c>
      <c r="AE215" s="37"/>
      <c r="AF215" s="36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  <c r="BA215" s="27"/>
    </row>
    <row r="216" spans="1:61" ht="15" customHeight="1" outlineLevel="1">
      <c r="A216" s="191"/>
      <c r="B216" s="35" t="s">
        <v>73</v>
      </c>
      <c r="C216" s="33"/>
      <c r="D216" s="33"/>
      <c r="E216" s="331"/>
      <c r="F216" s="227"/>
      <c r="G216" s="284">
        <v>0</v>
      </c>
      <c r="H216" s="285">
        <v>0</v>
      </c>
      <c r="I216" s="285">
        <v>0</v>
      </c>
      <c r="J216" s="284">
        <v>0</v>
      </c>
      <c r="K216" s="285">
        <v>0</v>
      </c>
      <c r="L216" s="285">
        <v>0</v>
      </c>
      <c r="M216" s="284">
        <v>0</v>
      </c>
      <c r="N216" s="285">
        <v>0</v>
      </c>
      <c r="O216" s="285">
        <v>0</v>
      </c>
      <c r="P216" s="284">
        <v>0</v>
      </c>
      <c r="Q216" s="285">
        <v>21</v>
      </c>
      <c r="R216" s="285">
        <v>0</v>
      </c>
      <c r="S216" s="284">
        <v>0</v>
      </c>
      <c r="T216" s="285">
        <v>20</v>
      </c>
      <c r="U216" s="285">
        <v>0</v>
      </c>
      <c r="V216" s="284">
        <v>0</v>
      </c>
      <c r="W216" s="285">
        <v>22</v>
      </c>
      <c r="X216" s="285">
        <v>0</v>
      </c>
      <c r="Y216" s="284">
        <v>0</v>
      </c>
      <c r="Z216" s="285">
        <v>21</v>
      </c>
      <c r="AA216" s="285">
        <v>0</v>
      </c>
      <c r="AB216" s="284">
        <v>0</v>
      </c>
      <c r="AC216" s="285">
        <v>20</v>
      </c>
      <c r="AD216" s="285">
        <v>0</v>
      </c>
      <c r="AE216" s="37"/>
      <c r="AF216" s="36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  <c r="BA216" s="27"/>
    </row>
    <row r="217" spans="1:61" ht="15" customHeight="1" outlineLevel="1">
      <c r="A217" s="191"/>
      <c r="B217" s="35" t="s">
        <v>73</v>
      </c>
      <c r="C217" s="33"/>
      <c r="D217" s="33"/>
      <c r="E217" s="331"/>
      <c r="G217" s="284">
        <v>0</v>
      </c>
      <c r="H217" s="285">
        <v>0</v>
      </c>
      <c r="I217" s="285">
        <v>0</v>
      </c>
      <c r="J217" s="284">
        <v>0</v>
      </c>
      <c r="K217" s="285">
        <v>0</v>
      </c>
      <c r="L217" s="285">
        <v>0</v>
      </c>
      <c r="M217" s="284">
        <v>0</v>
      </c>
      <c r="N217" s="285">
        <v>0</v>
      </c>
      <c r="O217" s="285">
        <v>0</v>
      </c>
      <c r="P217" s="284">
        <v>0</v>
      </c>
      <c r="Q217" s="285">
        <v>0</v>
      </c>
      <c r="R217" s="285">
        <v>0</v>
      </c>
      <c r="S217" s="284">
        <v>0</v>
      </c>
      <c r="T217" s="285">
        <v>20</v>
      </c>
      <c r="U217" s="285">
        <v>0</v>
      </c>
      <c r="V217" s="284">
        <v>0</v>
      </c>
      <c r="W217" s="285">
        <v>22</v>
      </c>
      <c r="X217" s="285">
        <v>0</v>
      </c>
      <c r="Y217" s="284">
        <v>0</v>
      </c>
      <c r="Z217" s="285">
        <v>21</v>
      </c>
      <c r="AA217" s="285">
        <v>0</v>
      </c>
      <c r="AB217" s="284">
        <v>0</v>
      </c>
      <c r="AC217" s="285">
        <v>20</v>
      </c>
      <c r="AD217" s="285">
        <v>0</v>
      </c>
      <c r="AE217" s="37"/>
      <c r="AF217" s="36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  <c r="BA217" s="27"/>
    </row>
    <row r="218" spans="1:61" ht="15" customHeight="1" outlineLevel="1">
      <c r="B218" s="224" t="s">
        <v>74</v>
      </c>
      <c r="G218" s="332">
        <f>NETWORKDAYS(EOMONTH(G205,-1)+1,G205)</f>
        <v>23</v>
      </c>
      <c r="H218" s="333">
        <f t="shared" ref="H218:AD218" si="67">NETWORKDAYS(EOMONTH(H205,-1)+1,H205)</f>
        <v>21</v>
      </c>
      <c r="I218" s="333">
        <f t="shared" si="67"/>
        <v>21</v>
      </c>
      <c r="J218" s="332">
        <f t="shared" si="67"/>
        <v>22</v>
      </c>
      <c r="K218" s="333">
        <f t="shared" si="67"/>
        <v>23</v>
      </c>
      <c r="L218" s="333">
        <f t="shared" si="67"/>
        <v>20</v>
      </c>
      <c r="M218" s="332">
        <f t="shared" si="67"/>
        <v>23</v>
      </c>
      <c r="N218" s="333">
        <f t="shared" si="67"/>
        <v>22</v>
      </c>
      <c r="O218" s="333">
        <f t="shared" si="67"/>
        <v>21</v>
      </c>
      <c r="P218" s="332">
        <f t="shared" si="67"/>
        <v>23</v>
      </c>
      <c r="Q218" s="333">
        <f t="shared" si="67"/>
        <v>21</v>
      </c>
      <c r="R218" s="333">
        <f t="shared" si="67"/>
        <v>22</v>
      </c>
      <c r="S218" s="332">
        <f t="shared" si="67"/>
        <v>23</v>
      </c>
      <c r="T218" s="333">
        <f t="shared" si="67"/>
        <v>20</v>
      </c>
      <c r="U218" s="333">
        <f t="shared" si="67"/>
        <v>21</v>
      </c>
      <c r="V218" s="332">
        <f t="shared" si="67"/>
        <v>22</v>
      </c>
      <c r="W218" s="333">
        <f t="shared" si="67"/>
        <v>22</v>
      </c>
      <c r="X218" s="333">
        <f t="shared" si="67"/>
        <v>21</v>
      </c>
      <c r="Y218" s="332">
        <f t="shared" si="67"/>
        <v>23</v>
      </c>
      <c r="Z218" s="333">
        <f t="shared" si="67"/>
        <v>21</v>
      </c>
      <c r="AA218" s="333">
        <f t="shared" si="67"/>
        <v>22</v>
      </c>
      <c r="AB218" s="332">
        <f t="shared" si="67"/>
        <v>23</v>
      </c>
      <c r="AC218" s="333">
        <f t="shared" si="67"/>
        <v>20</v>
      </c>
      <c r="AD218" s="334">
        <f t="shared" si="67"/>
        <v>23</v>
      </c>
      <c r="AF218" s="36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  <c r="BA218" s="27"/>
    </row>
    <row r="219" spans="1:61" ht="15" customHeight="1" outlineLevel="1">
      <c r="B219" s="303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</row>
    <row r="220" spans="1:61" ht="15" customHeight="1" outlineLevel="1">
      <c r="B220" s="303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</row>
    <row r="221" spans="1:61" ht="15" customHeight="1" outlineLevel="1">
      <c r="B221" s="190" t="s">
        <v>75</v>
      </c>
      <c r="C221" s="190"/>
      <c r="D221" s="190"/>
      <c r="G221" s="55">
        <f t="shared" ref="G221:AD221" si="68">G$8</f>
        <v>1</v>
      </c>
      <c r="H221" s="55">
        <f t="shared" si="68"/>
        <v>1</v>
      </c>
      <c r="I221" s="55">
        <f t="shared" si="68"/>
        <v>1</v>
      </c>
      <c r="J221" s="55">
        <f t="shared" si="68"/>
        <v>1</v>
      </c>
      <c r="K221" s="55">
        <f t="shared" si="68"/>
        <v>1</v>
      </c>
      <c r="L221" s="55">
        <f t="shared" si="68"/>
        <v>1</v>
      </c>
      <c r="M221" s="55">
        <f t="shared" si="68"/>
        <v>1</v>
      </c>
      <c r="N221" s="55">
        <f t="shared" si="68"/>
        <v>1</v>
      </c>
      <c r="O221" s="55">
        <f t="shared" si="68"/>
        <v>1</v>
      </c>
      <c r="P221" s="55">
        <f t="shared" si="68"/>
        <v>1</v>
      </c>
      <c r="Q221" s="55">
        <f t="shared" si="68"/>
        <v>1</v>
      </c>
      <c r="R221" s="55">
        <f t="shared" si="68"/>
        <v>1</v>
      </c>
      <c r="S221" s="55">
        <f t="shared" si="68"/>
        <v>0</v>
      </c>
      <c r="T221" s="55">
        <f t="shared" si="68"/>
        <v>0</v>
      </c>
      <c r="U221" s="55">
        <f t="shared" si="68"/>
        <v>0</v>
      </c>
      <c r="V221" s="55">
        <f t="shared" si="68"/>
        <v>0</v>
      </c>
      <c r="W221" s="55">
        <f t="shared" si="68"/>
        <v>0</v>
      </c>
      <c r="X221" s="55">
        <f t="shared" si="68"/>
        <v>0</v>
      </c>
      <c r="Y221" s="55">
        <f t="shared" si="68"/>
        <v>0</v>
      </c>
      <c r="Z221" s="55">
        <f t="shared" si="68"/>
        <v>0</v>
      </c>
      <c r="AA221" s="55">
        <f t="shared" si="68"/>
        <v>0</v>
      </c>
      <c r="AB221" s="55">
        <f t="shared" si="68"/>
        <v>0</v>
      </c>
      <c r="AC221" s="55">
        <f t="shared" si="68"/>
        <v>0</v>
      </c>
      <c r="AD221" s="55">
        <f t="shared" si="68"/>
        <v>0</v>
      </c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  <c r="BA221" s="27"/>
    </row>
    <row r="222" spans="1:61" s="36" customFormat="1" ht="15" customHeight="1" outlineLevel="1">
      <c r="B222" s="46" t="str">
        <f>$B$208</f>
        <v>Strategy Specialist</v>
      </c>
      <c r="C222" s="33"/>
      <c r="D222" s="33"/>
      <c r="F222" s="227"/>
      <c r="G222" s="282">
        <v>900</v>
      </c>
      <c r="H222" s="283">
        <v>900</v>
      </c>
      <c r="I222" s="283">
        <v>900</v>
      </c>
      <c r="J222" s="282">
        <v>900</v>
      </c>
      <c r="K222" s="283">
        <v>900</v>
      </c>
      <c r="L222" s="283">
        <v>900</v>
      </c>
      <c r="M222" s="282">
        <v>900</v>
      </c>
      <c r="N222" s="283">
        <v>900</v>
      </c>
      <c r="O222" s="283">
        <v>900</v>
      </c>
      <c r="P222" s="282">
        <v>900</v>
      </c>
      <c r="Q222" s="283">
        <v>900</v>
      </c>
      <c r="R222" s="283">
        <v>900</v>
      </c>
      <c r="S222" s="282">
        <v>925</v>
      </c>
      <c r="T222" s="283">
        <v>925</v>
      </c>
      <c r="U222" s="283">
        <v>925</v>
      </c>
      <c r="V222" s="282">
        <v>925</v>
      </c>
      <c r="W222" s="283">
        <v>925</v>
      </c>
      <c r="X222" s="283">
        <v>925</v>
      </c>
      <c r="Y222" s="282">
        <v>925</v>
      </c>
      <c r="Z222" s="283">
        <v>925</v>
      </c>
      <c r="AA222" s="283">
        <v>925</v>
      </c>
      <c r="AB222" s="282">
        <v>925</v>
      </c>
      <c r="AC222" s="283">
        <v>925</v>
      </c>
      <c r="AD222" s="283">
        <v>925</v>
      </c>
      <c r="AE222" s="43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  <c r="BA222" s="27"/>
      <c r="BB222" s="23"/>
      <c r="BC222" s="23"/>
      <c r="BD222" s="23"/>
      <c r="BE222" s="23"/>
      <c r="BF222" s="23"/>
      <c r="BG222" s="23"/>
      <c r="BH222" s="23"/>
      <c r="BI222" s="23"/>
    </row>
    <row r="223" spans="1:61" s="36" customFormat="1" ht="15" customHeight="1" outlineLevel="1">
      <c r="B223" s="46" t="str">
        <f>$B$209</f>
        <v>Strategy Specialist</v>
      </c>
      <c r="C223" s="33"/>
      <c r="D223" s="33"/>
      <c r="E223" s="23"/>
      <c r="F223" s="227"/>
      <c r="G223" s="284">
        <v>900</v>
      </c>
      <c r="H223" s="285">
        <v>900</v>
      </c>
      <c r="I223" s="285">
        <v>900</v>
      </c>
      <c r="J223" s="284">
        <v>900</v>
      </c>
      <c r="K223" s="285">
        <v>900</v>
      </c>
      <c r="L223" s="285">
        <v>900</v>
      </c>
      <c r="M223" s="284">
        <v>900</v>
      </c>
      <c r="N223" s="285">
        <v>900</v>
      </c>
      <c r="O223" s="285">
        <v>900</v>
      </c>
      <c r="P223" s="284">
        <v>900</v>
      </c>
      <c r="Q223" s="285">
        <v>900</v>
      </c>
      <c r="R223" s="285">
        <v>900</v>
      </c>
      <c r="S223" s="284">
        <v>925</v>
      </c>
      <c r="T223" s="285">
        <v>925</v>
      </c>
      <c r="U223" s="285">
        <v>925</v>
      </c>
      <c r="V223" s="284">
        <v>925</v>
      </c>
      <c r="W223" s="285">
        <v>925</v>
      </c>
      <c r="X223" s="285">
        <v>925</v>
      </c>
      <c r="Y223" s="284">
        <v>925</v>
      </c>
      <c r="Z223" s="285">
        <v>925</v>
      </c>
      <c r="AA223" s="285">
        <v>925</v>
      </c>
      <c r="AB223" s="284">
        <v>925</v>
      </c>
      <c r="AC223" s="285">
        <v>925</v>
      </c>
      <c r="AD223" s="285">
        <v>925</v>
      </c>
      <c r="AE223" s="43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  <c r="BA223" s="27"/>
      <c r="BB223" s="23"/>
      <c r="BC223" s="23"/>
      <c r="BD223" s="23"/>
      <c r="BE223" s="23"/>
      <c r="BF223" s="23"/>
      <c r="BG223" s="23"/>
      <c r="BH223" s="23"/>
      <c r="BI223" s="23"/>
    </row>
    <row r="224" spans="1:61" s="36" customFormat="1" ht="15" customHeight="1" outlineLevel="1">
      <c r="B224" s="46" t="str">
        <f>$B$210</f>
        <v>Marketing Specialist</v>
      </c>
      <c r="C224" s="33"/>
      <c r="D224" s="33"/>
      <c r="E224" s="23"/>
      <c r="F224" s="227"/>
      <c r="G224" s="284">
        <v>800</v>
      </c>
      <c r="H224" s="285">
        <v>800</v>
      </c>
      <c r="I224" s="285">
        <v>800</v>
      </c>
      <c r="J224" s="284">
        <v>800</v>
      </c>
      <c r="K224" s="285">
        <v>800</v>
      </c>
      <c r="L224" s="285">
        <v>800</v>
      </c>
      <c r="M224" s="284">
        <v>800</v>
      </c>
      <c r="N224" s="285">
        <v>800</v>
      </c>
      <c r="O224" s="285">
        <v>800</v>
      </c>
      <c r="P224" s="284">
        <v>800</v>
      </c>
      <c r="Q224" s="285">
        <v>800</v>
      </c>
      <c r="R224" s="285">
        <v>800</v>
      </c>
      <c r="S224" s="284">
        <v>825</v>
      </c>
      <c r="T224" s="285">
        <v>825</v>
      </c>
      <c r="U224" s="285">
        <v>825</v>
      </c>
      <c r="V224" s="284">
        <v>825</v>
      </c>
      <c r="W224" s="285">
        <v>825</v>
      </c>
      <c r="X224" s="285">
        <v>825</v>
      </c>
      <c r="Y224" s="284">
        <v>825</v>
      </c>
      <c r="Z224" s="285">
        <v>825</v>
      </c>
      <c r="AA224" s="285">
        <v>825</v>
      </c>
      <c r="AB224" s="284">
        <v>825</v>
      </c>
      <c r="AC224" s="285">
        <v>825</v>
      </c>
      <c r="AD224" s="285">
        <v>825</v>
      </c>
      <c r="AE224" s="43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  <c r="BA224" s="27"/>
      <c r="BB224" s="23"/>
      <c r="BC224" s="23"/>
      <c r="BD224" s="23"/>
      <c r="BE224" s="23"/>
      <c r="BF224" s="23"/>
      <c r="BG224" s="23"/>
      <c r="BH224" s="23"/>
      <c r="BI224" s="23"/>
    </row>
    <row r="225" spans="2:61" s="36" customFormat="1" ht="15" customHeight="1" outlineLevel="1">
      <c r="B225" s="46" t="str">
        <f>$B$211</f>
        <v>Marketing Specialist</v>
      </c>
      <c r="C225" s="33"/>
      <c r="D225" s="33"/>
      <c r="E225" s="23"/>
      <c r="F225" s="227"/>
      <c r="G225" s="284">
        <v>800</v>
      </c>
      <c r="H225" s="285">
        <v>800</v>
      </c>
      <c r="I225" s="285">
        <v>800</v>
      </c>
      <c r="J225" s="284">
        <v>800</v>
      </c>
      <c r="K225" s="285">
        <v>800</v>
      </c>
      <c r="L225" s="285">
        <v>800</v>
      </c>
      <c r="M225" s="284">
        <v>800</v>
      </c>
      <c r="N225" s="285">
        <v>800</v>
      </c>
      <c r="O225" s="285">
        <v>800</v>
      </c>
      <c r="P225" s="284">
        <v>800</v>
      </c>
      <c r="Q225" s="285">
        <v>800</v>
      </c>
      <c r="R225" s="285">
        <v>800</v>
      </c>
      <c r="S225" s="284">
        <v>825</v>
      </c>
      <c r="T225" s="285">
        <v>825</v>
      </c>
      <c r="U225" s="285">
        <v>825</v>
      </c>
      <c r="V225" s="284">
        <v>825</v>
      </c>
      <c r="W225" s="285">
        <v>825</v>
      </c>
      <c r="X225" s="285">
        <v>825</v>
      </c>
      <c r="Y225" s="284">
        <v>825</v>
      </c>
      <c r="Z225" s="285">
        <v>825</v>
      </c>
      <c r="AA225" s="285">
        <v>825</v>
      </c>
      <c r="AB225" s="284">
        <v>825</v>
      </c>
      <c r="AC225" s="285">
        <v>825</v>
      </c>
      <c r="AD225" s="285">
        <v>825</v>
      </c>
      <c r="AE225" s="43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  <c r="BA225" s="27"/>
      <c r="BB225" s="23"/>
      <c r="BC225" s="23"/>
      <c r="BD225" s="23"/>
      <c r="BE225" s="23"/>
      <c r="BF225" s="23"/>
      <c r="BG225" s="23"/>
      <c r="BH225" s="23"/>
      <c r="BI225" s="23"/>
    </row>
    <row r="226" spans="2:61" ht="15" customHeight="1" outlineLevel="1">
      <c r="B226" s="46" t="str">
        <f>$B$212</f>
        <v>Leadership Specialist</v>
      </c>
      <c r="C226" s="33"/>
      <c r="D226" s="33"/>
      <c r="G226" s="284">
        <v>700</v>
      </c>
      <c r="H226" s="285">
        <v>700</v>
      </c>
      <c r="I226" s="285">
        <v>700</v>
      </c>
      <c r="J226" s="284">
        <v>700</v>
      </c>
      <c r="K226" s="285">
        <v>700</v>
      </c>
      <c r="L226" s="285">
        <v>700</v>
      </c>
      <c r="M226" s="284">
        <v>700</v>
      </c>
      <c r="N226" s="285">
        <v>700</v>
      </c>
      <c r="O226" s="285">
        <v>700</v>
      </c>
      <c r="P226" s="284">
        <v>700</v>
      </c>
      <c r="Q226" s="285">
        <v>700</v>
      </c>
      <c r="R226" s="285">
        <v>700</v>
      </c>
      <c r="S226" s="284">
        <v>725</v>
      </c>
      <c r="T226" s="285">
        <v>725</v>
      </c>
      <c r="U226" s="285">
        <v>725</v>
      </c>
      <c r="V226" s="284">
        <v>725</v>
      </c>
      <c r="W226" s="285">
        <v>725</v>
      </c>
      <c r="X226" s="285">
        <v>725</v>
      </c>
      <c r="Y226" s="284">
        <v>725</v>
      </c>
      <c r="Z226" s="285">
        <v>725</v>
      </c>
      <c r="AA226" s="285">
        <v>725</v>
      </c>
      <c r="AB226" s="284">
        <v>725</v>
      </c>
      <c r="AC226" s="285">
        <v>725</v>
      </c>
      <c r="AD226" s="285">
        <v>725</v>
      </c>
      <c r="AE226" s="3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  <c r="BA226" s="27"/>
    </row>
    <row r="227" spans="2:61" ht="15" customHeight="1" outlineLevel="1">
      <c r="B227" s="46" t="str">
        <f>$B$213</f>
        <v>Leadership Specialist</v>
      </c>
      <c r="C227" s="33"/>
      <c r="D227" s="33"/>
      <c r="F227" s="227"/>
      <c r="G227" s="284">
        <v>700</v>
      </c>
      <c r="H227" s="285">
        <v>700</v>
      </c>
      <c r="I227" s="285">
        <v>700</v>
      </c>
      <c r="J227" s="284">
        <v>700</v>
      </c>
      <c r="K227" s="285">
        <v>700</v>
      </c>
      <c r="L227" s="285">
        <v>700</v>
      </c>
      <c r="M227" s="284">
        <v>700</v>
      </c>
      <c r="N227" s="285">
        <v>700</v>
      </c>
      <c r="O227" s="285">
        <v>700</v>
      </c>
      <c r="P227" s="284">
        <v>700</v>
      </c>
      <c r="Q227" s="285">
        <v>700</v>
      </c>
      <c r="R227" s="285">
        <v>700</v>
      </c>
      <c r="S227" s="284">
        <v>725</v>
      </c>
      <c r="T227" s="285">
        <v>725</v>
      </c>
      <c r="U227" s="285">
        <v>725</v>
      </c>
      <c r="V227" s="284">
        <v>725</v>
      </c>
      <c r="W227" s="285">
        <v>725</v>
      </c>
      <c r="X227" s="285">
        <v>725</v>
      </c>
      <c r="Y227" s="284">
        <v>725</v>
      </c>
      <c r="Z227" s="285">
        <v>725</v>
      </c>
      <c r="AA227" s="285">
        <v>725</v>
      </c>
      <c r="AB227" s="284">
        <v>725</v>
      </c>
      <c r="AC227" s="285">
        <v>725</v>
      </c>
      <c r="AD227" s="285">
        <v>725</v>
      </c>
      <c r="AE227" s="3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  <c r="BA227" s="27"/>
    </row>
    <row r="228" spans="2:61" ht="15" customHeight="1" outlineLevel="1">
      <c r="B228" s="46" t="str">
        <f>$B$214</f>
        <v>Business Analyst</v>
      </c>
      <c r="C228" s="33"/>
      <c r="D228" s="33"/>
      <c r="F228" s="227"/>
      <c r="G228" s="284">
        <v>400</v>
      </c>
      <c r="H228" s="285">
        <v>400</v>
      </c>
      <c r="I228" s="285">
        <v>400</v>
      </c>
      <c r="J228" s="284">
        <v>400</v>
      </c>
      <c r="K228" s="285">
        <v>400</v>
      </c>
      <c r="L228" s="285">
        <v>400</v>
      </c>
      <c r="M228" s="284">
        <v>400</v>
      </c>
      <c r="N228" s="285">
        <v>400</v>
      </c>
      <c r="O228" s="285">
        <v>400</v>
      </c>
      <c r="P228" s="284">
        <v>400</v>
      </c>
      <c r="Q228" s="285">
        <v>400</v>
      </c>
      <c r="R228" s="285">
        <v>400</v>
      </c>
      <c r="S228" s="284">
        <v>425</v>
      </c>
      <c r="T228" s="285">
        <v>425</v>
      </c>
      <c r="U228" s="285">
        <v>425</v>
      </c>
      <c r="V228" s="284">
        <v>425</v>
      </c>
      <c r="W228" s="285">
        <v>425</v>
      </c>
      <c r="X228" s="285">
        <v>425</v>
      </c>
      <c r="Y228" s="284">
        <v>425</v>
      </c>
      <c r="Z228" s="285">
        <v>425</v>
      </c>
      <c r="AA228" s="285">
        <v>425</v>
      </c>
      <c r="AB228" s="284">
        <v>425</v>
      </c>
      <c r="AC228" s="285">
        <v>425</v>
      </c>
      <c r="AD228" s="285">
        <v>425</v>
      </c>
      <c r="AE228" s="3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  <c r="BA228" s="27"/>
    </row>
    <row r="229" spans="2:61" ht="15" customHeight="1" outlineLevel="1">
      <c r="B229" s="46" t="str">
        <f>$B$215</f>
        <v>Business Analyst</v>
      </c>
      <c r="C229" s="33"/>
      <c r="D229" s="33"/>
      <c r="F229" s="227"/>
      <c r="G229" s="284">
        <v>400</v>
      </c>
      <c r="H229" s="285">
        <v>400</v>
      </c>
      <c r="I229" s="285">
        <v>400</v>
      </c>
      <c r="J229" s="284">
        <v>400</v>
      </c>
      <c r="K229" s="285">
        <v>400</v>
      </c>
      <c r="L229" s="285">
        <v>400</v>
      </c>
      <c r="M229" s="284">
        <v>400</v>
      </c>
      <c r="N229" s="285">
        <v>400</v>
      </c>
      <c r="O229" s="285">
        <v>400</v>
      </c>
      <c r="P229" s="284">
        <v>400</v>
      </c>
      <c r="Q229" s="285">
        <v>400</v>
      </c>
      <c r="R229" s="285">
        <v>400</v>
      </c>
      <c r="S229" s="284">
        <v>425</v>
      </c>
      <c r="T229" s="285">
        <v>425</v>
      </c>
      <c r="U229" s="285">
        <v>425</v>
      </c>
      <c r="V229" s="284">
        <v>425</v>
      </c>
      <c r="W229" s="285">
        <v>425</v>
      </c>
      <c r="X229" s="285">
        <v>425</v>
      </c>
      <c r="Y229" s="284">
        <v>425</v>
      </c>
      <c r="Z229" s="285">
        <v>425</v>
      </c>
      <c r="AA229" s="285">
        <v>425</v>
      </c>
      <c r="AB229" s="284">
        <v>425</v>
      </c>
      <c r="AC229" s="285">
        <v>425</v>
      </c>
      <c r="AD229" s="285">
        <v>425</v>
      </c>
      <c r="AE229" s="3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  <c r="BA229" s="27"/>
    </row>
    <row r="230" spans="2:61" ht="15" customHeight="1" outlineLevel="1">
      <c r="B230" s="46" t="str">
        <f>$B$216</f>
        <v>Business Analyst</v>
      </c>
      <c r="C230" s="33"/>
      <c r="D230" s="33"/>
      <c r="F230" s="227"/>
      <c r="G230" s="284">
        <v>400</v>
      </c>
      <c r="H230" s="285">
        <v>400</v>
      </c>
      <c r="I230" s="285">
        <v>400</v>
      </c>
      <c r="J230" s="284">
        <v>400</v>
      </c>
      <c r="K230" s="285">
        <v>400</v>
      </c>
      <c r="L230" s="285">
        <v>400</v>
      </c>
      <c r="M230" s="284">
        <v>400</v>
      </c>
      <c r="N230" s="285">
        <v>400</v>
      </c>
      <c r="O230" s="285">
        <v>400</v>
      </c>
      <c r="P230" s="284">
        <v>400</v>
      </c>
      <c r="Q230" s="285">
        <v>400</v>
      </c>
      <c r="R230" s="285">
        <v>400</v>
      </c>
      <c r="S230" s="284">
        <v>425</v>
      </c>
      <c r="T230" s="285">
        <v>425</v>
      </c>
      <c r="U230" s="285">
        <v>425</v>
      </c>
      <c r="V230" s="284">
        <v>425</v>
      </c>
      <c r="W230" s="285">
        <v>425</v>
      </c>
      <c r="X230" s="285">
        <v>425</v>
      </c>
      <c r="Y230" s="284">
        <v>425</v>
      </c>
      <c r="Z230" s="285">
        <v>425</v>
      </c>
      <c r="AA230" s="285">
        <v>425</v>
      </c>
      <c r="AB230" s="284">
        <v>425</v>
      </c>
      <c r="AC230" s="285">
        <v>425</v>
      </c>
      <c r="AD230" s="285">
        <v>425</v>
      </c>
      <c r="AE230" s="3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</row>
    <row r="231" spans="2:61" ht="15" customHeight="1" outlineLevel="1">
      <c r="B231" s="46" t="str">
        <f>$B$217</f>
        <v>Business Analyst</v>
      </c>
      <c r="C231" s="33"/>
      <c r="D231" s="33"/>
      <c r="G231" s="284">
        <v>400</v>
      </c>
      <c r="H231" s="285">
        <v>400</v>
      </c>
      <c r="I231" s="285">
        <v>400</v>
      </c>
      <c r="J231" s="284">
        <v>400</v>
      </c>
      <c r="K231" s="285">
        <v>400</v>
      </c>
      <c r="L231" s="285">
        <v>400</v>
      </c>
      <c r="M231" s="284">
        <v>400</v>
      </c>
      <c r="N231" s="285">
        <v>400</v>
      </c>
      <c r="O231" s="285">
        <v>400</v>
      </c>
      <c r="P231" s="284">
        <v>400</v>
      </c>
      <c r="Q231" s="285">
        <v>400</v>
      </c>
      <c r="R231" s="285">
        <v>400</v>
      </c>
      <c r="S231" s="284">
        <v>425</v>
      </c>
      <c r="T231" s="285">
        <v>425</v>
      </c>
      <c r="U231" s="285">
        <v>425</v>
      </c>
      <c r="V231" s="284">
        <v>425</v>
      </c>
      <c r="W231" s="285">
        <v>425</v>
      </c>
      <c r="X231" s="285">
        <v>425</v>
      </c>
      <c r="Y231" s="284">
        <v>425</v>
      </c>
      <c r="Z231" s="285">
        <v>425</v>
      </c>
      <c r="AA231" s="285">
        <v>425</v>
      </c>
      <c r="AB231" s="284">
        <v>425</v>
      </c>
      <c r="AC231" s="285">
        <v>425</v>
      </c>
      <c r="AD231" s="285">
        <v>425</v>
      </c>
      <c r="AE231" s="3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  <c r="BA231" s="27"/>
    </row>
    <row r="232" spans="2:61" ht="15" customHeight="1" outlineLevel="1">
      <c r="B232" s="33"/>
      <c r="C232" s="33"/>
      <c r="D232" s="33"/>
      <c r="G232" s="247"/>
      <c r="H232" s="247"/>
      <c r="I232" s="247"/>
      <c r="J232" s="247"/>
      <c r="K232" s="247"/>
      <c r="L232" s="247"/>
      <c r="M232" s="247"/>
      <c r="N232" s="247"/>
      <c r="O232" s="247"/>
      <c r="P232" s="247"/>
      <c r="Q232" s="247"/>
      <c r="R232" s="247"/>
      <c r="S232" s="247"/>
      <c r="T232" s="247"/>
      <c r="U232" s="247"/>
      <c r="V232" s="247"/>
      <c r="W232" s="247"/>
      <c r="X232" s="247"/>
      <c r="Y232" s="247"/>
      <c r="Z232" s="247"/>
      <c r="AA232" s="247"/>
      <c r="AB232" s="247"/>
      <c r="AC232" s="247"/>
      <c r="AD232" s="24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  <c r="BA232" s="27"/>
    </row>
    <row r="233" spans="2:61" ht="15" customHeight="1" outlineLevel="1">
      <c r="B233" s="33"/>
      <c r="C233" s="33"/>
      <c r="D233" s="33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  <c r="BA233" s="27"/>
    </row>
    <row r="234" spans="2:61" ht="15" customHeight="1" outlineLevel="1">
      <c r="B234" s="190" t="s">
        <v>76</v>
      </c>
      <c r="C234" s="190"/>
      <c r="D234" s="190"/>
      <c r="G234" s="55">
        <f t="shared" ref="G234:AD234" si="69">G$8</f>
        <v>1</v>
      </c>
      <c r="H234" s="55">
        <f t="shared" si="69"/>
        <v>1</v>
      </c>
      <c r="I234" s="55">
        <f t="shared" si="69"/>
        <v>1</v>
      </c>
      <c r="J234" s="55">
        <f t="shared" si="69"/>
        <v>1</v>
      </c>
      <c r="K234" s="55">
        <f t="shared" si="69"/>
        <v>1</v>
      </c>
      <c r="L234" s="55">
        <f t="shared" si="69"/>
        <v>1</v>
      </c>
      <c r="M234" s="55">
        <f t="shared" si="69"/>
        <v>1</v>
      </c>
      <c r="N234" s="55">
        <f t="shared" si="69"/>
        <v>1</v>
      </c>
      <c r="O234" s="55">
        <f t="shared" si="69"/>
        <v>1</v>
      </c>
      <c r="P234" s="55">
        <f t="shared" si="69"/>
        <v>1</v>
      </c>
      <c r="Q234" s="55">
        <f t="shared" si="69"/>
        <v>1</v>
      </c>
      <c r="R234" s="55">
        <f t="shared" si="69"/>
        <v>1</v>
      </c>
      <c r="S234" s="55">
        <f t="shared" si="69"/>
        <v>0</v>
      </c>
      <c r="T234" s="55">
        <f t="shared" si="69"/>
        <v>0</v>
      </c>
      <c r="U234" s="55">
        <f t="shared" si="69"/>
        <v>0</v>
      </c>
      <c r="V234" s="55">
        <f t="shared" si="69"/>
        <v>0</v>
      </c>
      <c r="W234" s="55">
        <f t="shared" si="69"/>
        <v>0</v>
      </c>
      <c r="X234" s="55">
        <f t="shared" si="69"/>
        <v>0</v>
      </c>
      <c r="Y234" s="55">
        <f t="shared" si="69"/>
        <v>0</v>
      </c>
      <c r="Z234" s="55">
        <f t="shared" si="69"/>
        <v>0</v>
      </c>
      <c r="AA234" s="55">
        <f t="shared" si="69"/>
        <v>0</v>
      </c>
      <c r="AB234" s="55">
        <f t="shared" si="69"/>
        <v>0</v>
      </c>
      <c r="AC234" s="55">
        <f t="shared" si="69"/>
        <v>0</v>
      </c>
      <c r="AD234" s="55">
        <f t="shared" si="69"/>
        <v>0</v>
      </c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  <c r="BA234" s="27"/>
    </row>
    <row r="235" spans="2:61" ht="15" customHeight="1" outlineLevel="1">
      <c r="B235" s="46" t="str">
        <f>$B$208</f>
        <v>Strategy Specialist</v>
      </c>
      <c r="C235" s="33"/>
      <c r="D235" s="33"/>
      <c r="G235" s="300">
        <f t="shared" ref="G235:AD244" si="70">G222*G208/1000</f>
        <v>0</v>
      </c>
      <c r="H235" s="301">
        <f>H222*H208/1000</f>
        <v>18.899999999999999</v>
      </c>
      <c r="I235" s="301">
        <f t="shared" si="70"/>
        <v>0</v>
      </c>
      <c r="J235" s="300">
        <f t="shared" si="70"/>
        <v>0</v>
      </c>
      <c r="K235" s="301">
        <f t="shared" si="70"/>
        <v>20.7</v>
      </c>
      <c r="L235" s="301">
        <f t="shared" si="70"/>
        <v>0</v>
      </c>
      <c r="M235" s="300">
        <f t="shared" si="70"/>
        <v>0</v>
      </c>
      <c r="N235" s="301">
        <f t="shared" si="70"/>
        <v>19.8</v>
      </c>
      <c r="O235" s="301">
        <f t="shared" si="70"/>
        <v>0</v>
      </c>
      <c r="P235" s="300">
        <f t="shared" si="70"/>
        <v>0</v>
      </c>
      <c r="Q235" s="301">
        <f t="shared" si="70"/>
        <v>18.899999999999999</v>
      </c>
      <c r="R235" s="301">
        <f t="shared" si="70"/>
        <v>0</v>
      </c>
      <c r="S235" s="300">
        <f t="shared" si="70"/>
        <v>0</v>
      </c>
      <c r="T235" s="301">
        <f t="shared" si="70"/>
        <v>18.5</v>
      </c>
      <c r="U235" s="301">
        <f t="shared" si="70"/>
        <v>0</v>
      </c>
      <c r="V235" s="300">
        <f t="shared" si="70"/>
        <v>0</v>
      </c>
      <c r="W235" s="301">
        <f t="shared" si="70"/>
        <v>20.350000000000001</v>
      </c>
      <c r="X235" s="301">
        <f t="shared" si="70"/>
        <v>0</v>
      </c>
      <c r="Y235" s="300">
        <f t="shared" si="70"/>
        <v>0</v>
      </c>
      <c r="Z235" s="301">
        <f t="shared" si="70"/>
        <v>19.425000000000001</v>
      </c>
      <c r="AA235" s="301">
        <f t="shared" si="70"/>
        <v>0</v>
      </c>
      <c r="AB235" s="300">
        <f t="shared" si="70"/>
        <v>0</v>
      </c>
      <c r="AC235" s="301">
        <f t="shared" si="70"/>
        <v>18.5</v>
      </c>
      <c r="AD235" s="301">
        <f t="shared" si="70"/>
        <v>0</v>
      </c>
      <c r="AE235" s="3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  <c r="BA235" s="27"/>
    </row>
    <row r="236" spans="2:61" ht="15" customHeight="1" outlineLevel="1">
      <c r="B236" s="46" t="str">
        <f>$B$209</f>
        <v>Strategy Specialist</v>
      </c>
      <c r="C236" s="33"/>
      <c r="D236" s="33"/>
      <c r="G236" s="302">
        <f t="shared" si="70"/>
        <v>0</v>
      </c>
      <c r="H236" s="303">
        <f t="shared" si="70"/>
        <v>0</v>
      </c>
      <c r="I236" s="303">
        <f t="shared" si="70"/>
        <v>0</v>
      </c>
      <c r="J236" s="302">
        <f t="shared" si="70"/>
        <v>0</v>
      </c>
      <c r="K236" s="303">
        <f t="shared" si="70"/>
        <v>0</v>
      </c>
      <c r="L236" s="303">
        <f t="shared" si="70"/>
        <v>0</v>
      </c>
      <c r="M236" s="302">
        <f t="shared" si="70"/>
        <v>0</v>
      </c>
      <c r="N236" s="303">
        <f t="shared" si="70"/>
        <v>0</v>
      </c>
      <c r="O236" s="303">
        <f t="shared" si="70"/>
        <v>0</v>
      </c>
      <c r="P236" s="302">
        <f t="shared" si="70"/>
        <v>0</v>
      </c>
      <c r="Q236" s="303">
        <f t="shared" si="70"/>
        <v>0</v>
      </c>
      <c r="R236" s="303">
        <f t="shared" si="70"/>
        <v>0</v>
      </c>
      <c r="S236" s="302">
        <f t="shared" si="70"/>
        <v>0</v>
      </c>
      <c r="T236" s="303">
        <f t="shared" si="70"/>
        <v>18.5</v>
      </c>
      <c r="U236" s="303">
        <f t="shared" si="70"/>
        <v>0</v>
      </c>
      <c r="V236" s="302">
        <f t="shared" si="70"/>
        <v>0</v>
      </c>
      <c r="W236" s="303">
        <f t="shared" si="70"/>
        <v>20.350000000000001</v>
      </c>
      <c r="X236" s="303">
        <f t="shared" si="70"/>
        <v>0</v>
      </c>
      <c r="Y236" s="302">
        <f t="shared" si="70"/>
        <v>0</v>
      </c>
      <c r="Z236" s="303">
        <f t="shared" si="70"/>
        <v>19.425000000000001</v>
      </c>
      <c r="AA236" s="303">
        <f t="shared" si="70"/>
        <v>0</v>
      </c>
      <c r="AB236" s="302">
        <f t="shared" si="70"/>
        <v>0</v>
      </c>
      <c r="AC236" s="303">
        <f t="shared" si="70"/>
        <v>18.5</v>
      </c>
      <c r="AD236" s="303">
        <f t="shared" si="70"/>
        <v>0</v>
      </c>
      <c r="AE236" s="3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  <c r="BA236" s="27"/>
    </row>
    <row r="237" spans="2:61" ht="15" customHeight="1" outlineLevel="1">
      <c r="B237" s="46" t="str">
        <f>$B$210</f>
        <v>Marketing Specialist</v>
      </c>
      <c r="C237" s="33"/>
      <c r="D237" s="33"/>
      <c r="G237" s="302">
        <f t="shared" si="70"/>
        <v>0</v>
      </c>
      <c r="H237" s="303">
        <f t="shared" si="70"/>
        <v>16.8</v>
      </c>
      <c r="I237" s="303">
        <f t="shared" si="70"/>
        <v>0</v>
      </c>
      <c r="J237" s="302">
        <f t="shared" si="70"/>
        <v>0</v>
      </c>
      <c r="K237" s="303">
        <f t="shared" si="70"/>
        <v>18.399999999999999</v>
      </c>
      <c r="L237" s="303">
        <f t="shared" si="70"/>
        <v>0</v>
      </c>
      <c r="M237" s="302">
        <f t="shared" si="70"/>
        <v>0</v>
      </c>
      <c r="N237" s="303">
        <f t="shared" si="70"/>
        <v>17.600000000000001</v>
      </c>
      <c r="O237" s="303">
        <f t="shared" si="70"/>
        <v>0</v>
      </c>
      <c r="P237" s="302">
        <f t="shared" si="70"/>
        <v>0</v>
      </c>
      <c r="Q237" s="303">
        <f t="shared" si="70"/>
        <v>16.8</v>
      </c>
      <c r="R237" s="303">
        <f t="shared" si="70"/>
        <v>0</v>
      </c>
      <c r="S237" s="302">
        <f t="shared" si="70"/>
        <v>0</v>
      </c>
      <c r="T237" s="303">
        <f t="shared" si="70"/>
        <v>16.5</v>
      </c>
      <c r="U237" s="303">
        <f t="shared" si="70"/>
        <v>0</v>
      </c>
      <c r="V237" s="302">
        <f t="shared" si="70"/>
        <v>0</v>
      </c>
      <c r="W237" s="303">
        <f t="shared" si="70"/>
        <v>18.149999999999999</v>
      </c>
      <c r="X237" s="303">
        <f t="shared" si="70"/>
        <v>0</v>
      </c>
      <c r="Y237" s="302">
        <f t="shared" si="70"/>
        <v>0</v>
      </c>
      <c r="Z237" s="303">
        <f t="shared" si="70"/>
        <v>17.324999999999999</v>
      </c>
      <c r="AA237" s="303">
        <f t="shared" si="70"/>
        <v>0</v>
      </c>
      <c r="AB237" s="302">
        <f t="shared" si="70"/>
        <v>0</v>
      </c>
      <c r="AC237" s="303">
        <f t="shared" si="70"/>
        <v>16.5</v>
      </c>
      <c r="AD237" s="303">
        <f t="shared" si="70"/>
        <v>0</v>
      </c>
      <c r="AE237" s="3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</row>
    <row r="238" spans="2:61" ht="15" customHeight="1" outlineLevel="1">
      <c r="B238" s="46" t="str">
        <f>$B$211</f>
        <v>Marketing Specialist</v>
      </c>
      <c r="C238" s="33"/>
      <c r="D238" s="33"/>
      <c r="G238" s="302">
        <f t="shared" si="70"/>
        <v>0</v>
      </c>
      <c r="H238" s="303">
        <f t="shared" si="70"/>
        <v>0</v>
      </c>
      <c r="I238" s="303">
        <f t="shared" si="70"/>
        <v>0</v>
      </c>
      <c r="J238" s="302">
        <f t="shared" si="70"/>
        <v>0</v>
      </c>
      <c r="K238" s="303">
        <f t="shared" si="70"/>
        <v>0</v>
      </c>
      <c r="L238" s="303">
        <f t="shared" si="70"/>
        <v>0</v>
      </c>
      <c r="M238" s="302">
        <f t="shared" si="70"/>
        <v>0</v>
      </c>
      <c r="N238" s="303">
        <f t="shared" si="70"/>
        <v>0</v>
      </c>
      <c r="O238" s="303">
        <f t="shared" si="70"/>
        <v>0</v>
      </c>
      <c r="P238" s="302">
        <f t="shared" si="70"/>
        <v>0</v>
      </c>
      <c r="Q238" s="303">
        <f t="shared" si="70"/>
        <v>0</v>
      </c>
      <c r="R238" s="303">
        <f t="shared" si="70"/>
        <v>0</v>
      </c>
      <c r="S238" s="302">
        <f t="shared" si="70"/>
        <v>0</v>
      </c>
      <c r="T238" s="303">
        <f t="shared" si="70"/>
        <v>16.5</v>
      </c>
      <c r="U238" s="303">
        <f t="shared" si="70"/>
        <v>0</v>
      </c>
      <c r="V238" s="302">
        <f t="shared" si="70"/>
        <v>0</v>
      </c>
      <c r="W238" s="303">
        <f t="shared" si="70"/>
        <v>18.149999999999999</v>
      </c>
      <c r="X238" s="303">
        <f t="shared" si="70"/>
        <v>0</v>
      </c>
      <c r="Y238" s="302">
        <f t="shared" si="70"/>
        <v>0</v>
      </c>
      <c r="Z238" s="303">
        <f t="shared" si="70"/>
        <v>17.324999999999999</v>
      </c>
      <c r="AA238" s="303">
        <f t="shared" si="70"/>
        <v>0</v>
      </c>
      <c r="AB238" s="302">
        <f t="shared" si="70"/>
        <v>0</v>
      </c>
      <c r="AC238" s="303">
        <f t="shared" si="70"/>
        <v>16.5</v>
      </c>
      <c r="AD238" s="303">
        <f t="shared" si="70"/>
        <v>0</v>
      </c>
      <c r="AE238" s="3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  <c r="BA238" s="27"/>
    </row>
    <row r="239" spans="2:61" ht="15" customHeight="1" outlineLevel="1">
      <c r="B239" s="46" t="str">
        <f>$B$212</f>
        <v>Leadership Specialist</v>
      </c>
      <c r="C239" s="33"/>
      <c r="D239" s="33"/>
      <c r="G239" s="302">
        <f t="shared" si="70"/>
        <v>0</v>
      </c>
      <c r="H239" s="303">
        <f t="shared" si="70"/>
        <v>7</v>
      </c>
      <c r="I239" s="303">
        <f t="shared" si="70"/>
        <v>0</v>
      </c>
      <c r="J239" s="302">
        <f t="shared" si="70"/>
        <v>0</v>
      </c>
      <c r="K239" s="303">
        <f t="shared" si="70"/>
        <v>7</v>
      </c>
      <c r="L239" s="303">
        <f t="shared" si="70"/>
        <v>0</v>
      </c>
      <c r="M239" s="302">
        <f t="shared" si="70"/>
        <v>0</v>
      </c>
      <c r="N239" s="303">
        <f t="shared" si="70"/>
        <v>0</v>
      </c>
      <c r="O239" s="303">
        <f t="shared" si="70"/>
        <v>0</v>
      </c>
      <c r="P239" s="302">
        <f t="shared" si="70"/>
        <v>0</v>
      </c>
      <c r="Q239" s="303">
        <f t="shared" si="70"/>
        <v>7</v>
      </c>
      <c r="R239" s="303">
        <f t="shared" si="70"/>
        <v>0</v>
      </c>
      <c r="S239" s="302">
        <f t="shared" si="70"/>
        <v>0</v>
      </c>
      <c r="T239" s="303">
        <f t="shared" si="70"/>
        <v>14.5</v>
      </c>
      <c r="U239" s="303">
        <f t="shared" si="70"/>
        <v>0</v>
      </c>
      <c r="V239" s="302">
        <f t="shared" si="70"/>
        <v>0</v>
      </c>
      <c r="W239" s="303">
        <f t="shared" si="70"/>
        <v>15.95</v>
      </c>
      <c r="X239" s="303">
        <f t="shared" si="70"/>
        <v>0</v>
      </c>
      <c r="Y239" s="302">
        <f t="shared" si="70"/>
        <v>0</v>
      </c>
      <c r="Z239" s="303">
        <f t="shared" si="70"/>
        <v>15.225</v>
      </c>
      <c r="AA239" s="303">
        <f t="shared" si="70"/>
        <v>0</v>
      </c>
      <c r="AB239" s="302">
        <f t="shared" si="70"/>
        <v>0</v>
      </c>
      <c r="AC239" s="303">
        <f t="shared" si="70"/>
        <v>14.5</v>
      </c>
      <c r="AD239" s="303">
        <f t="shared" si="70"/>
        <v>0</v>
      </c>
      <c r="AE239" s="3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  <c r="BA239" s="27"/>
    </row>
    <row r="240" spans="2:61" ht="15" customHeight="1" outlineLevel="1">
      <c r="B240" s="46" t="str">
        <f>$B$213</f>
        <v>Leadership Specialist</v>
      </c>
      <c r="C240" s="33"/>
      <c r="D240" s="33"/>
      <c r="G240" s="302">
        <f t="shared" si="70"/>
        <v>0</v>
      </c>
      <c r="H240" s="303">
        <f t="shared" si="70"/>
        <v>0</v>
      </c>
      <c r="I240" s="303">
        <f t="shared" si="70"/>
        <v>0</v>
      </c>
      <c r="J240" s="302">
        <f t="shared" si="70"/>
        <v>0</v>
      </c>
      <c r="K240" s="303">
        <f t="shared" si="70"/>
        <v>0</v>
      </c>
      <c r="L240" s="303">
        <f t="shared" si="70"/>
        <v>0</v>
      </c>
      <c r="M240" s="302">
        <f t="shared" si="70"/>
        <v>0</v>
      </c>
      <c r="N240" s="303">
        <f t="shared" si="70"/>
        <v>0</v>
      </c>
      <c r="O240" s="303">
        <f t="shared" si="70"/>
        <v>0</v>
      </c>
      <c r="P240" s="302">
        <f t="shared" si="70"/>
        <v>0</v>
      </c>
      <c r="Q240" s="303">
        <f t="shared" si="70"/>
        <v>0</v>
      </c>
      <c r="R240" s="303">
        <f t="shared" si="70"/>
        <v>0</v>
      </c>
      <c r="S240" s="302">
        <f t="shared" si="70"/>
        <v>0</v>
      </c>
      <c r="T240" s="303">
        <f t="shared" si="70"/>
        <v>14.5</v>
      </c>
      <c r="U240" s="303">
        <f t="shared" si="70"/>
        <v>0</v>
      </c>
      <c r="V240" s="302">
        <f t="shared" si="70"/>
        <v>0</v>
      </c>
      <c r="W240" s="303">
        <f t="shared" si="70"/>
        <v>15.95</v>
      </c>
      <c r="X240" s="303">
        <f t="shared" si="70"/>
        <v>0</v>
      </c>
      <c r="Y240" s="302">
        <f t="shared" si="70"/>
        <v>0</v>
      </c>
      <c r="Z240" s="303">
        <f t="shared" si="70"/>
        <v>15.225</v>
      </c>
      <c r="AA240" s="303">
        <f t="shared" si="70"/>
        <v>0</v>
      </c>
      <c r="AB240" s="302">
        <f t="shared" si="70"/>
        <v>0</v>
      </c>
      <c r="AC240" s="303">
        <f t="shared" si="70"/>
        <v>14.5</v>
      </c>
      <c r="AD240" s="303">
        <f t="shared" si="70"/>
        <v>0</v>
      </c>
      <c r="AE240" s="3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  <c r="BA240" s="27"/>
    </row>
    <row r="241" spans="1:61" ht="15" customHeight="1" outlineLevel="1">
      <c r="B241" s="46" t="str">
        <f>$B$214</f>
        <v>Business Analyst</v>
      </c>
      <c r="C241" s="33"/>
      <c r="D241" s="33"/>
      <c r="G241" s="302">
        <f t="shared" si="70"/>
        <v>0</v>
      </c>
      <c r="H241" s="303">
        <f t="shared" si="70"/>
        <v>0</v>
      </c>
      <c r="I241" s="303">
        <f t="shared" si="70"/>
        <v>0</v>
      </c>
      <c r="J241" s="302">
        <f t="shared" si="70"/>
        <v>0</v>
      </c>
      <c r="K241" s="303">
        <f t="shared" si="70"/>
        <v>9.1999999999999993</v>
      </c>
      <c r="L241" s="303">
        <f t="shared" si="70"/>
        <v>0</v>
      </c>
      <c r="M241" s="302">
        <f t="shared" si="70"/>
        <v>0</v>
      </c>
      <c r="N241" s="303">
        <f t="shared" si="70"/>
        <v>8.8000000000000007</v>
      </c>
      <c r="O241" s="303">
        <f t="shared" si="70"/>
        <v>0</v>
      </c>
      <c r="P241" s="302">
        <f t="shared" si="70"/>
        <v>0</v>
      </c>
      <c r="Q241" s="303">
        <f t="shared" si="70"/>
        <v>8.4</v>
      </c>
      <c r="R241" s="303">
        <f t="shared" si="70"/>
        <v>0</v>
      </c>
      <c r="S241" s="302">
        <f t="shared" si="70"/>
        <v>0</v>
      </c>
      <c r="T241" s="303">
        <f t="shared" si="70"/>
        <v>8.5</v>
      </c>
      <c r="U241" s="303">
        <f t="shared" si="70"/>
        <v>0</v>
      </c>
      <c r="V241" s="302">
        <f t="shared" si="70"/>
        <v>0</v>
      </c>
      <c r="W241" s="303">
        <f t="shared" si="70"/>
        <v>9.35</v>
      </c>
      <c r="X241" s="303">
        <f t="shared" si="70"/>
        <v>0</v>
      </c>
      <c r="Y241" s="302">
        <f t="shared" si="70"/>
        <v>0</v>
      </c>
      <c r="Z241" s="303">
        <f t="shared" si="70"/>
        <v>8.9250000000000007</v>
      </c>
      <c r="AA241" s="303">
        <f t="shared" si="70"/>
        <v>0</v>
      </c>
      <c r="AB241" s="302">
        <f t="shared" si="70"/>
        <v>0</v>
      </c>
      <c r="AC241" s="303">
        <f t="shared" si="70"/>
        <v>8.5</v>
      </c>
      <c r="AD241" s="303">
        <f t="shared" si="70"/>
        <v>0</v>
      </c>
      <c r="AE241" s="3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  <c r="BA241" s="27"/>
    </row>
    <row r="242" spans="1:61" ht="15" customHeight="1" outlineLevel="1">
      <c r="B242" s="46" t="str">
        <f>$B$215</f>
        <v>Business Analyst</v>
      </c>
      <c r="C242" s="33"/>
      <c r="D242" s="33"/>
      <c r="G242" s="302">
        <f t="shared" si="70"/>
        <v>0</v>
      </c>
      <c r="H242" s="303">
        <f t="shared" si="70"/>
        <v>0</v>
      </c>
      <c r="I242" s="303">
        <f t="shared" si="70"/>
        <v>0</v>
      </c>
      <c r="J242" s="302">
        <f t="shared" si="70"/>
        <v>0</v>
      </c>
      <c r="K242" s="303">
        <f t="shared" si="70"/>
        <v>0</v>
      </c>
      <c r="L242" s="303">
        <f t="shared" si="70"/>
        <v>0</v>
      </c>
      <c r="M242" s="302">
        <f t="shared" si="70"/>
        <v>0</v>
      </c>
      <c r="N242" s="303">
        <f t="shared" si="70"/>
        <v>8.8000000000000007</v>
      </c>
      <c r="O242" s="303">
        <f t="shared" si="70"/>
        <v>0</v>
      </c>
      <c r="P242" s="302">
        <f t="shared" si="70"/>
        <v>0</v>
      </c>
      <c r="Q242" s="303">
        <f t="shared" si="70"/>
        <v>8.4</v>
      </c>
      <c r="R242" s="303">
        <f t="shared" si="70"/>
        <v>0</v>
      </c>
      <c r="S242" s="302">
        <f t="shared" si="70"/>
        <v>0</v>
      </c>
      <c r="T242" s="303">
        <f t="shared" si="70"/>
        <v>8.5</v>
      </c>
      <c r="U242" s="303">
        <f t="shared" si="70"/>
        <v>0</v>
      </c>
      <c r="V242" s="302">
        <f t="shared" si="70"/>
        <v>0</v>
      </c>
      <c r="W242" s="303">
        <f t="shared" si="70"/>
        <v>9.35</v>
      </c>
      <c r="X242" s="303">
        <f t="shared" si="70"/>
        <v>0</v>
      </c>
      <c r="Y242" s="302">
        <f t="shared" si="70"/>
        <v>0</v>
      </c>
      <c r="Z242" s="303">
        <f t="shared" si="70"/>
        <v>8.9250000000000007</v>
      </c>
      <c r="AA242" s="303">
        <f t="shared" si="70"/>
        <v>0</v>
      </c>
      <c r="AB242" s="302">
        <f t="shared" si="70"/>
        <v>0</v>
      </c>
      <c r="AC242" s="303">
        <f t="shared" si="70"/>
        <v>8.5</v>
      </c>
      <c r="AD242" s="303">
        <f t="shared" si="70"/>
        <v>0</v>
      </c>
      <c r="AE242" s="3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  <c r="BA242" s="27"/>
    </row>
    <row r="243" spans="1:61" ht="15" customHeight="1" outlineLevel="1">
      <c r="B243" s="46" t="str">
        <f>$B$216</f>
        <v>Business Analyst</v>
      </c>
      <c r="C243" s="33"/>
      <c r="D243" s="33"/>
      <c r="G243" s="302">
        <f t="shared" si="70"/>
        <v>0</v>
      </c>
      <c r="H243" s="303">
        <f t="shared" si="70"/>
        <v>0</v>
      </c>
      <c r="I243" s="303">
        <f t="shared" si="70"/>
        <v>0</v>
      </c>
      <c r="J243" s="302">
        <f t="shared" si="70"/>
        <v>0</v>
      </c>
      <c r="K243" s="303">
        <f t="shared" si="70"/>
        <v>0</v>
      </c>
      <c r="L243" s="303">
        <f t="shared" si="70"/>
        <v>0</v>
      </c>
      <c r="M243" s="302">
        <f t="shared" si="70"/>
        <v>0</v>
      </c>
      <c r="N243" s="303">
        <f t="shared" si="70"/>
        <v>0</v>
      </c>
      <c r="O243" s="303">
        <f t="shared" si="70"/>
        <v>0</v>
      </c>
      <c r="P243" s="302">
        <f t="shared" si="70"/>
        <v>0</v>
      </c>
      <c r="Q243" s="303">
        <f t="shared" si="70"/>
        <v>8.4</v>
      </c>
      <c r="R243" s="303">
        <f t="shared" si="70"/>
        <v>0</v>
      </c>
      <c r="S243" s="302">
        <f t="shared" si="70"/>
        <v>0</v>
      </c>
      <c r="T243" s="303">
        <f t="shared" si="70"/>
        <v>8.5</v>
      </c>
      <c r="U243" s="303">
        <f t="shared" si="70"/>
        <v>0</v>
      </c>
      <c r="V243" s="302">
        <f t="shared" si="70"/>
        <v>0</v>
      </c>
      <c r="W243" s="303">
        <f t="shared" si="70"/>
        <v>9.35</v>
      </c>
      <c r="X243" s="303">
        <f t="shared" si="70"/>
        <v>0</v>
      </c>
      <c r="Y243" s="302">
        <f t="shared" si="70"/>
        <v>0</v>
      </c>
      <c r="Z243" s="303">
        <f t="shared" si="70"/>
        <v>8.9250000000000007</v>
      </c>
      <c r="AA243" s="303">
        <f t="shared" si="70"/>
        <v>0</v>
      </c>
      <c r="AB243" s="302">
        <f t="shared" si="70"/>
        <v>0</v>
      </c>
      <c r="AC243" s="303">
        <f t="shared" si="70"/>
        <v>8.5</v>
      </c>
      <c r="AD243" s="303">
        <f t="shared" si="70"/>
        <v>0</v>
      </c>
      <c r="AE243" s="3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  <c r="BA243" s="27"/>
    </row>
    <row r="244" spans="1:61" ht="15" customHeight="1" outlineLevel="1">
      <c r="B244" s="46" t="str">
        <f>$B$217</f>
        <v>Business Analyst</v>
      </c>
      <c r="C244" s="33"/>
      <c r="D244" s="33"/>
      <c r="G244" s="302">
        <f t="shared" si="70"/>
        <v>0</v>
      </c>
      <c r="H244" s="303">
        <f t="shared" si="70"/>
        <v>0</v>
      </c>
      <c r="I244" s="303">
        <f t="shared" si="70"/>
        <v>0</v>
      </c>
      <c r="J244" s="302">
        <f t="shared" si="70"/>
        <v>0</v>
      </c>
      <c r="K244" s="303">
        <f t="shared" si="70"/>
        <v>0</v>
      </c>
      <c r="L244" s="303">
        <f t="shared" si="70"/>
        <v>0</v>
      </c>
      <c r="M244" s="302">
        <f t="shared" si="70"/>
        <v>0</v>
      </c>
      <c r="N244" s="303">
        <f t="shared" si="70"/>
        <v>0</v>
      </c>
      <c r="O244" s="303">
        <f t="shared" si="70"/>
        <v>0</v>
      </c>
      <c r="P244" s="302">
        <f t="shared" si="70"/>
        <v>0</v>
      </c>
      <c r="Q244" s="303">
        <f t="shared" si="70"/>
        <v>0</v>
      </c>
      <c r="R244" s="303">
        <f t="shared" si="70"/>
        <v>0</v>
      </c>
      <c r="S244" s="302">
        <f t="shared" si="70"/>
        <v>0</v>
      </c>
      <c r="T244" s="303">
        <f t="shared" si="70"/>
        <v>8.5</v>
      </c>
      <c r="U244" s="303">
        <f t="shared" si="70"/>
        <v>0</v>
      </c>
      <c r="V244" s="302">
        <f t="shared" si="70"/>
        <v>0</v>
      </c>
      <c r="W244" s="303">
        <f t="shared" si="70"/>
        <v>9.35</v>
      </c>
      <c r="X244" s="303">
        <f t="shared" si="70"/>
        <v>0</v>
      </c>
      <c r="Y244" s="302">
        <f t="shared" si="70"/>
        <v>0</v>
      </c>
      <c r="Z244" s="303">
        <f t="shared" si="70"/>
        <v>8.9250000000000007</v>
      </c>
      <c r="AA244" s="303">
        <f t="shared" si="70"/>
        <v>0</v>
      </c>
      <c r="AB244" s="302">
        <f t="shared" si="70"/>
        <v>0</v>
      </c>
      <c r="AC244" s="303">
        <f t="shared" si="70"/>
        <v>8.5</v>
      </c>
      <c r="AD244" s="303">
        <f t="shared" si="70"/>
        <v>0</v>
      </c>
      <c r="AE244" s="3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  <c r="BA244" s="27"/>
    </row>
    <row r="245" spans="1:61" ht="15" customHeight="1" outlineLevel="1">
      <c r="B245" s="46" t="s">
        <v>55</v>
      </c>
      <c r="C245" s="33"/>
      <c r="D245" s="33"/>
      <c r="G245" s="246">
        <f>SUM(G235:G244)</f>
        <v>0</v>
      </c>
      <c r="H245" s="247">
        <f t="shared" ref="H245:AD245" si="71">SUM(H235:H244)</f>
        <v>42.7</v>
      </c>
      <c r="I245" s="247">
        <f t="shared" si="71"/>
        <v>0</v>
      </c>
      <c r="J245" s="246">
        <f t="shared" si="71"/>
        <v>0</v>
      </c>
      <c r="K245" s="247">
        <f t="shared" si="71"/>
        <v>55.3</v>
      </c>
      <c r="L245" s="247">
        <f t="shared" si="71"/>
        <v>0</v>
      </c>
      <c r="M245" s="246">
        <f t="shared" si="71"/>
        <v>0</v>
      </c>
      <c r="N245" s="247">
        <f t="shared" si="71"/>
        <v>55</v>
      </c>
      <c r="O245" s="247">
        <f t="shared" si="71"/>
        <v>0</v>
      </c>
      <c r="P245" s="246">
        <f t="shared" si="71"/>
        <v>0</v>
      </c>
      <c r="Q245" s="247">
        <f t="shared" si="71"/>
        <v>67.900000000000006</v>
      </c>
      <c r="R245" s="247">
        <f t="shared" si="71"/>
        <v>0</v>
      </c>
      <c r="S245" s="246">
        <f t="shared" si="71"/>
        <v>0</v>
      </c>
      <c r="T245" s="247">
        <f t="shared" si="71"/>
        <v>133</v>
      </c>
      <c r="U245" s="247">
        <f t="shared" si="71"/>
        <v>0</v>
      </c>
      <c r="V245" s="246">
        <f t="shared" si="71"/>
        <v>0</v>
      </c>
      <c r="W245" s="247">
        <f t="shared" si="71"/>
        <v>146.29999999999998</v>
      </c>
      <c r="X245" s="247">
        <f t="shared" si="71"/>
        <v>0</v>
      </c>
      <c r="Y245" s="246">
        <f t="shared" si="71"/>
        <v>0</v>
      </c>
      <c r="Z245" s="247">
        <f t="shared" si="71"/>
        <v>139.65</v>
      </c>
      <c r="AA245" s="247">
        <f t="shared" si="71"/>
        <v>0</v>
      </c>
      <c r="AB245" s="246">
        <f t="shared" si="71"/>
        <v>0</v>
      </c>
      <c r="AC245" s="247">
        <f t="shared" si="71"/>
        <v>133</v>
      </c>
      <c r="AD245" s="247">
        <f t="shared" si="71"/>
        <v>0</v>
      </c>
      <c r="AE245" s="3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  <c r="BA245" s="27"/>
    </row>
    <row r="246" spans="1:61" ht="15" customHeight="1" outlineLevel="1">
      <c r="B246" s="33"/>
      <c r="C246" s="33"/>
      <c r="D246" s="33"/>
      <c r="G246" s="247"/>
      <c r="H246" s="247"/>
      <c r="I246" s="247"/>
      <c r="J246" s="247"/>
      <c r="K246" s="247"/>
      <c r="L246" s="247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  <c r="AB246" s="247"/>
      <c r="AC246" s="247"/>
      <c r="AD246" s="24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</row>
    <row r="247" spans="1:61" ht="15" customHeight="1" outlineLevel="1">
      <c r="A247" s="192"/>
      <c r="B247" s="190" t="s">
        <v>57</v>
      </c>
      <c r="C247" s="33"/>
      <c r="D247" s="33"/>
      <c r="E247" s="311">
        <f>SUM(G247:AD247)</f>
        <v>0</v>
      </c>
      <c r="G247" s="312">
        <f>MAX(MAX(G208:G217)-G218,0)</f>
        <v>0</v>
      </c>
      <c r="H247" s="313">
        <f t="shared" ref="H247:AD247" si="72">MAX(MAX(H208:H217)-H218,0)</f>
        <v>0</v>
      </c>
      <c r="I247" s="313">
        <f t="shared" si="72"/>
        <v>0</v>
      </c>
      <c r="J247" s="314">
        <f t="shared" si="72"/>
        <v>0</v>
      </c>
      <c r="K247" s="313">
        <f t="shared" si="72"/>
        <v>0</v>
      </c>
      <c r="L247" s="313">
        <f t="shared" si="72"/>
        <v>0</v>
      </c>
      <c r="M247" s="314">
        <f t="shared" si="72"/>
        <v>0</v>
      </c>
      <c r="N247" s="313">
        <f t="shared" si="72"/>
        <v>0</v>
      </c>
      <c r="O247" s="313">
        <f t="shared" si="72"/>
        <v>0</v>
      </c>
      <c r="P247" s="314">
        <f t="shared" si="72"/>
        <v>0</v>
      </c>
      <c r="Q247" s="313">
        <f t="shared" si="72"/>
        <v>0</v>
      </c>
      <c r="R247" s="313">
        <f t="shared" si="72"/>
        <v>0</v>
      </c>
      <c r="S247" s="314">
        <f t="shared" si="72"/>
        <v>0</v>
      </c>
      <c r="T247" s="313">
        <f t="shared" si="72"/>
        <v>0</v>
      </c>
      <c r="U247" s="313">
        <f t="shared" si="72"/>
        <v>0</v>
      </c>
      <c r="V247" s="314">
        <f t="shared" si="72"/>
        <v>0</v>
      </c>
      <c r="W247" s="313">
        <f t="shared" si="72"/>
        <v>0</v>
      </c>
      <c r="X247" s="313">
        <f t="shared" si="72"/>
        <v>0</v>
      </c>
      <c r="Y247" s="314">
        <f t="shared" si="72"/>
        <v>0</v>
      </c>
      <c r="Z247" s="313">
        <f t="shared" si="72"/>
        <v>0</v>
      </c>
      <c r="AA247" s="313">
        <f t="shared" si="72"/>
        <v>0</v>
      </c>
      <c r="AB247" s="314">
        <f t="shared" si="72"/>
        <v>0</v>
      </c>
      <c r="AC247" s="313">
        <f t="shared" si="72"/>
        <v>0</v>
      </c>
      <c r="AD247" s="315">
        <f t="shared" si="72"/>
        <v>0</v>
      </c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  <c r="BA247" s="27"/>
    </row>
    <row r="248" spans="1:61" ht="15" customHeight="1" outlineLevel="1"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  <c r="BA248" s="27"/>
    </row>
    <row r="249" spans="1:61" ht="15" customHeight="1" outlineLevel="1">
      <c r="B249" s="33"/>
      <c r="C249" s="33"/>
      <c r="D249" s="33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  <c r="BA249" s="27"/>
    </row>
    <row r="250" spans="1:61" ht="15" customHeight="1" outlineLevel="1">
      <c r="B250" s="57"/>
      <c r="C250" s="57"/>
      <c r="D250" s="57"/>
      <c r="E250" s="39"/>
      <c r="F250" s="39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  <c r="BA250" s="27"/>
    </row>
    <row r="251" spans="1:61" ht="15" customHeight="1">
      <c r="B251" s="33"/>
      <c r="C251" s="33"/>
      <c r="D251" s="33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  <c r="BA251" s="27"/>
    </row>
    <row r="252" spans="1:61" s="27" customFormat="1" ht="15" customHeight="1">
      <c r="A252" s="152" t="s">
        <v>11</v>
      </c>
      <c r="B252" s="24" t="s">
        <v>77</v>
      </c>
      <c r="C252" s="24"/>
      <c r="D252" s="24"/>
      <c r="E252" s="25"/>
      <c r="F252" s="25"/>
      <c r="G252" s="25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24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24"/>
      <c r="AE252" s="23"/>
      <c r="BB252" s="23"/>
      <c r="BC252" s="23"/>
      <c r="BD252" s="23"/>
      <c r="BE252" s="23"/>
      <c r="BF252" s="23"/>
      <c r="BG252" s="23"/>
      <c r="BH252" s="23"/>
      <c r="BI252" s="23"/>
    </row>
    <row r="253" spans="1:61" s="27" customFormat="1" ht="15" customHeight="1" outlineLevel="1">
      <c r="A253" s="152"/>
      <c r="B253" s="28"/>
      <c r="C253" s="28"/>
      <c r="D253" s="28"/>
      <c r="E253" s="29"/>
      <c r="F253" s="29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BB253" s="23"/>
      <c r="BC253" s="23"/>
      <c r="BD253" s="23"/>
      <c r="BE253" s="23"/>
      <c r="BF253" s="23"/>
      <c r="BG253" s="23"/>
      <c r="BH253" s="23"/>
      <c r="BI253" s="23"/>
    </row>
    <row r="254" spans="1:61" s="27" customFormat="1" ht="15" customHeight="1" outlineLevel="1">
      <c r="A254" s="152"/>
      <c r="B254" s="31" t="s">
        <v>13</v>
      </c>
      <c r="C254" s="28"/>
      <c r="D254" s="28"/>
      <c r="E254" s="29"/>
      <c r="F254" s="29"/>
      <c r="G254" s="48">
        <f t="shared" ref="G254:AD254" si="73">G$5</f>
        <v>2024</v>
      </c>
      <c r="H254" s="49">
        <f t="shared" si="73"/>
        <v>2024</v>
      </c>
      <c r="I254" s="49">
        <f t="shared" si="73"/>
        <v>2024</v>
      </c>
      <c r="J254" s="50">
        <f t="shared" si="73"/>
        <v>2024</v>
      </c>
      <c r="K254" s="49">
        <f t="shared" si="73"/>
        <v>2024</v>
      </c>
      <c r="L254" s="49">
        <f t="shared" si="73"/>
        <v>2024</v>
      </c>
      <c r="M254" s="50">
        <f t="shared" si="73"/>
        <v>2024</v>
      </c>
      <c r="N254" s="49">
        <f t="shared" si="73"/>
        <v>2024</v>
      </c>
      <c r="O254" s="49">
        <f t="shared" si="73"/>
        <v>2024</v>
      </c>
      <c r="P254" s="50">
        <f t="shared" si="73"/>
        <v>2024</v>
      </c>
      <c r="Q254" s="51">
        <f t="shared" si="73"/>
        <v>2024</v>
      </c>
      <c r="R254" s="255">
        <f t="shared" si="73"/>
        <v>2024</v>
      </c>
      <c r="S254" s="52">
        <f t="shared" si="73"/>
        <v>2025</v>
      </c>
      <c r="T254" s="51">
        <f t="shared" si="73"/>
        <v>2025</v>
      </c>
      <c r="U254" s="51">
        <f t="shared" si="73"/>
        <v>2025</v>
      </c>
      <c r="V254" s="53">
        <f t="shared" si="73"/>
        <v>2025</v>
      </c>
      <c r="W254" s="51">
        <f t="shared" si="73"/>
        <v>2025</v>
      </c>
      <c r="X254" s="51">
        <f t="shared" si="73"/>
        <v>2025</v>
      </c>
      <c r="Y254" s="53">
        <f t="shared" si="73"/>
        <v>2025</v>
      </c>
      <c r="Z254" s="51">
        <f t="shared" si="73"/>
        <v>2025</v>
      </c>
      <c r="AA254" s="51">
        <f t="shared" si="73"/>
        <v>2025</v>
      </c>
      <c r="AB254" s="53">
        <f t="shared" si="73"/>
        <v>2025</v>
      </c>
      <c r="AC254" s="51">
        <f t="shared" si="73"/>
        <v>2025</v>
      </c>
      <c r="AD254" s="255">
        <f t="shared" si="73"/>
        <v>2025</v>
      </c>
      <c r="AE254" s="40"/>
      <c r="BB254" s="23"/>
      <c r="BC254" s="23"/>
      <c r="BD254" s="23"/>
      <c r="BE254" s="23"/>
      <c r="BF254" s="23"/>
      <c r="BG254" s="23"/>
      <c r="BH254" s="23"/>
      <c r="BI254" s="23"/>
    </row>
    <row r="255" spans="1:61" ht="15" customHeight="1" outlineLevel="1">
      <c r="C255" s="31"/>
      <c r="D255" s="31"/>
      <c r="E255" s="32"/>
      <c r="F255" s="32"/>
      <c r="G255" s="256">
        <f t="shared" ref="G255:AD255" si="74">G$6</f>
        <v>1</v>
      </c>
      <c r="H255" s="257">
        <f t="shared" si="74"/>
        <v>1</v>
      </c>
      <c r="I255" s="54">
        <f t="shared" si="74"/>
        <v>1</v>
      </c>
      <c r="J255" s="258">
        <f t="shared" si="74"/>
        <v>2</v>
      </c>
      <c r="K255" s="257">
        <f t="shared" si="74"/>
        <v>2</v>
      </c>
      <c r="L255" s="215">
        <f t="shared" si="74"/>
        <v>2</v>
      </c>
      <c r="M255" s="258">
        <f t="shared" si="74"/>
        <v>3</v>
      </c>
      <c r="N255" s="257">
        <f t="shared" si="74"/>
        <v>3</v>
      </c>
      <c r="O255" s="215">
        <f t="shared" si="74"/>
        <v>3</v>
      </c>
      <c r="P255" s="216">
        <f t="shared" si="74"/>
        <v>4</v>
      </c>
      <c r="Q255" s="214">
        <f t="shared" si="74"/>
        <v>4</v>
      </c>
      <c r="R255" s="215">
        <f t="shared" si="74"/>
        <v>4</v>
      </c>
      <c r="S255" s="213">
        <f t="shared" si="74"/>
        <v>1</v>
      </c>
      <c r="T255" s="214">
        <f t="shared" si="74"/>
        <v>1</v>
      </c>
      <c r="U255" s="215">
        <f t="shared" si="74"/>
        <v>1</v>
      </c>
      <c r="V255" s="216">
        <f t="shared" si="74"/>
        <v>2</v>
      </c>
      <c r="W255" s="214">
        <f t="shared" si="74"/>
        <v>2</v>
      </c>
      <c r="X255" s="215">
        <f t="shared" si="74"/>
        <v>2</v>
      </c>
      <c r="Y255" s="216">
        <f t="shared" si="74"/>
        <v>3</v>
      </c>
      <c r="Z255" s="214">
        <f t="shared" si="74"/>
        <v>3</v>
      </c>
      <c r="AA255" s="215">
        <f t="shared" si="74"/>
        <v>3</v>
      </c>
      <c r="AB255" s="216">
        <f t="shared" si="74"/>
        <v>4</v>
      </c>
      <c r="AC255" s="214">
        <f t="shared" si="74"/>
        <v>4</v>
      </c>
      <c r="AD255" s="215">
        <f t="shared" si="74"/>
        <v>4</v>
      </c>
      <c r="AE255" s="40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  <c r="BA255" s="27"/>
    </row>
    <row r="256" spans="1:61" ht="15" customHeight="1" outlineLevel="1" thickBot="1">
      <c r="G256" s="218">
        <f t="shared" ref="G256:AD256" si="75">G$7</f>
        <v>45322</v>
      </c>
      <c r="H256" s="219">
        <f t="shared" si="75"/>
        <v>45351</v>
      </c>
      <c r="I256" s="219">
        <f t="shared" si="75"/>
        <v>45382</v>
      </c>
      <c r="J256" s="220">
        <f t="shared" si="75"/>
        <v>45412</v>
      </c>
      <c r="K256" s="219">
        <f t="shared" si="75"/>
        <v>45443</v>
      </c>
      <c r="L256" s="219">
        <f t="shared" si="75"/>
        <v>45473</v>
      </c>
      <c r="M256" s="220">
        <f t="shared" si="75"/>
        <v>45504</v>
      </c>
      <c r="N256" s="219">
        <f t="shared" si="75"/>
        <v>45535</v>
      </c>
      <c r="O256" s="219">
        <f t="shared" si="75"/>
        <v>45565</v>
      </c>
      <c r="P256" s="220">
        <f t="shared" si="75"/>
        <v>45596</v>
      </c>
      <c r="Q256" s="219">
        <f t="shared" si="75"/>
        <v>45626</v>
      </c>
      <c r="R256" s="219">
        <f t="shared" si="75"/>
        <v>45657</v>
      </c>
      <c r="S256" s="218">
        <f t="shared" si="75"/>
        <v>45688</v>
      </c>
      <c r="T256" s="219">
        <f t="shared" si="75"/>
        <v>45716</v>
      </c>
      <c r="U256" s="219">
        <f t="shared" si="75"/>
        <v>45747</v>
      </c>
      <c r="V256" s="220">
        <f t="shared" si="75"/>
        <v>45777</v>
      </c>
      <c r="W256" s="219">
        <f t="shared" si="75"/>
        <v>45808</v>
      </c>
      <c r="X256" s="219">
        <f t="shared" si="75"/>
        <v>45838</v>
      </c>
      <c r="Y256" s="220">
        <f t="shared" si="75"/>
        <v>45869</v>
      </c>
      <c r="Z256" s="219">
        <f t="shared" si="75"/>
        <v>45900</v>
      </c>
      <c r="AA256" s="219">
        <f t="shared" si="75"/>
        <v>45930</v>
      </c>
      <c r="AB256" s="220">
        <f t="shared" si="75"/>
        <v>45961</v>
      </c>
      <c r="AC256" s="219">
        <f t="shared" si="75"/>
        <v>45991</v>
      </c>
      <c r="AD256" s="219">
        <f t="shared" si="75"/>
        <v>46022</v>
      </c>
      <c r="AE256" s="40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  <c r="BA256" s="27"/>
    </row>
    <row r="257" spans="2:53" ht="15" customHeight="1" outlineLevel="1">
      <c r="G257" s="278"/>
      <c r="H257" s="278"/>
      <c r="I257" s="278"/>
      <c r="J257" s="278"/>
      <c r="K257" s="278"/>
      <c r="L257" s="278"/>
      <c r="M257" s="278"/>
      <c r="N257" s="278"/>
      <c r="O257" s="279"/>
      <c r="P257" s="279"/>
      <c r="Q257" s="279"/>
      <c r="R257" s="279"/>
      <c r="S257" s="279"/>
      <c r="T257" s="279"/>
      <c r="U257" s="280"/>
      <c r="V257" s="280"/>
      <c r="W257" s="280"/>
      <c r="X257" s="279"/>
      <c r="Y257" s="279"/>
      <c r="Z257" s="279"/>
      <c r="AA257" s="279"/>
      <c r="AB257" s="279"/>
      <c r="AC257" s="279"/>
      <c r="AD257" s="279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  <c r="BA257" s="27"/>
    </row>
    <row r="258" spans="2:53" ht="15" customHeight="1" outlineLevel="1">
      <c r="B258" s="33"/>
      <c r="C258" s="33"/>
      <c r="D258" s="33"/>
      <c r="G258" s="335" t="s">
        <v>34</v>
      </c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  <c r="BA258" s="27"/>
    </row>
    <row r="259" spans="2:53" ht="15" customHeight="1" outlineLevel="1">
      <c r="B259" s="190" t="s">
        <v>78</v>
      </c>
      <c r="C259" s="190"/>
      <c r="D259" s="190"/>
      <c r="G259" s="55">
        <f t="shared" ref="G259:AD259" si="76">G$8</f>
        <v>1</v>
      </c>
      <c r="H259" s="55">
        <f t="shared" si="76"/>
        <v>1</v>
      </c>
      <c r="I259" s="55">
        <f t="shared" si="76"/>
        <v>1</v>
      </c>
      <c r="J259" s="55">
        <f t="shared" si="76"/>
        <v>1</v>
      </c>
      <c r="K259" s="55">
        <f t="shared" si="76"/>
        <v>1</v>
      </c>
      <c r="L259" s="55">
        <f t="shared" si="76"/>
        <v>1</v>
      </c>
      <c r="M259" s="55">
        <f t="shared" si="76"/>
        <v>1</v>
      </c>
      <c r="N259" s="55">
        <f t="shared" si="76"/>
        <v>1</v>
      </c>
      <c r="O259" s="55">
        <f t="shared" si="76"/>
        <v>1</v>
      </c>
      <c r="P259" s="55">
        <f t="shared" si="76"/>
        <v>1</v>
      </c>
      <c r="Q259" s="55">
        <f t="shared" si="76"/>
        <v>1</v>
      </c>
      <c r="R259" s="55">
        <f t="shared" si="76"/>
        <v>1</v>
      </c>
      <c r="S259" s="55">
        <f t="shared" si="76"/>
        <v>0</v>
      </c>
      <c r="T259" s="55">
        <f t="shared" si="76"/>
        <v>0</v>
      </c>
      <c r="U259" s="55">
        <f t="shared" si="76"/>
        <v>0</v>
      </c>
      <c r="V259" s="55">
        <f t="shared" si="76"/>
        <v>0</v>
      </c>
      <c r="W259" s="55">
        <f t="shared" si="76"/>
        <v>0</v>
      </c>
      <c r="X259" s="55">
        <f t="shared" si="76"/>
        <v>0</v>
      </c>
      <c r="Y259" s="55">
        <f t="shared" si="76"/>
        <v>0</v>
      </c>
      <c r="Z259" s="55">
        <f t="shared" si="76"/>
        <v>0</v>
      </c>
      <c r="AA259" s="55">
        <f t="shared" si="76"/>
        <v>0</v>
      </c>
      <c r="AB259" s="55">
        <f t="shared" si="76"/>
        <v>0</v>
      </c>
      <c r="AC259" s="55">
        <f t="shared" si="76"/>
        <v>0</v>
      </c>
      <c r="AD259" s="55">
        <f t="shared" si="76"/>
        <v>0</v>
      </c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  <c r="BA259" s="27"/>
    </row>
    <row r="260" spans="2:53" ht="15" customHeight="1" outlineLevel="1">
      <c r="B260" s="46" t="str">
        <f>$B$208</f>
        <v>Strategy Specialist</v>
      </c>
      <c r="C260" s="33"/>
      <c r="D260" s="33"/>
      <c r="G260" s="282">
        <v>21</v>
      </c>
      <c r="H260" s="301">
        <f>G235</f>
        <v>0</v>
      </c>
      <c r="I260" s="301">
        <f t="shared" ref="H260:AD269" si="77">H235</f>
        <v>18.899999999999999</v>
      </c>
      <c r="J260" s="300">
        <f t="shared" si="77"/>
        <v>0</v>
      </c>
      <c r="K260" s="301">
        <f t="shared" si="77"/>
        <v>0</v>
      </c>
      <c r="L260" s="301">
        <f t="shared" si="77"/>
        <v>20.7</v>
      </c>
      <c r="M260" s="300">
        <f t="shared" si="77"/>
        <v>0</v>
      </c>
      <c r="N260" s="301">
        <f t="shared" si="77"/>
        <v>0</v>
      </c>
      <c r="O260" s="301">
        <f t="shared" si="77"/>
        <v>19.8</v>
      </c>
      <c r="P260" s="300">
        <f t="shared" si="77"/>
        <v>0</v>
      </c>
      <c r="Q260" s="301">
        <f t="shared" si="77"/>
        <v>0</v>
      </c>
      <c r="R260" s="301">
        <f t="shared" si="77"/>
        <v>18.899999999999999</v>
      </c>
      <c r="S260" s="300">
        <f t="shared" si="77"/>
        <v>0</v>
      </c>
      <c r="T260" s="301">
        <f t="shared" si="77"/>
        <v>0</v>
      </c>
      <c r="U260" s="301">
        <f t="shared" si="77"/>
        <v>18.5</v>
      </c>
      <c r="V260" s="300">
        <f t="shared" si="77"/>
        <v>0</v>
      </c>
      <c r="W260" s="301">
        <f t="shared" si="77"/>
        <v>0</v>
      </c>
      <c r="X260" s="301">
        <f t="shared" si="77"/>
        <v>20.350000000000001</v>
      </c>
      <c r="Y260" s="300">
        <f t="shared" si="77"/>
        <v>0</v>
      </c>
      <c r="Z260" s="301">
        <f t="shared" si="77"/>
        <v>0</v>
      </c>
      <c r="AA260" s="301">
        <f t="shared" si="77"/>
        <v>19.425000000000001</v>
      </c>
      <c r="AB260" s="300">
        <f t="shared" si="77"/>
        <v>0</v>
      </c>
      <c r="AC260" s="301">
        <f t="shared" si="77"/>
        <v>0</v>
      </c>
      <c r="AD260" s="301">
        <f t="shared" si="77"/>
        <v>18.5</v>
      </c>
      <c r="AE260" s="3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  <c r="BA260" s="27"/>
    </row>
    <row r="261" spans="2:53" ht="15" customHeight="1" outlineLevel="1">
      <c r="B261" s="46" t="str">
        <f>$B$209</f>
        <v>Strategy Specialist</v>
      </c>
      <c r="C261" s="33"/>
      <c r="D261" s="33"/>
      <c r="G261" s="284">
        <v>0</v>
      </c>
      <c r="H261" s="303">
        <f t="shared" si="77"/>
        <v>0</v>
      </c>
      <c r="I261" s="303">
        <f t="shared" si="77"/>
        <v>0</v>
      </c>
      <c r="J261" s="302">
        <f t="shared" si="77"/>
        <v>0</v>
      </c>
      <c r="K261" s="303">
        <f t="shared" si="77"/>
        <v>0</v>
      </c>
      <c r="L261" s="303">
        <f t="shared" si="77"/>
        <v>0</v>
      </c>
      <c r="M261" s="302">
        <f t="shared" si="77"/>
        <v>0</v>
      </c>
      <c r="N261" s="303">
        <f t="shared" si="77"/>
        <v>0</v>
      </c>
      <c r="O261" s="303">
        <f t="shared" si="77"/>
        <v>0</v>
      </c>
      <c r="P261" s="302">
        <f t="shared" si="77"/>
        <v>0</v>
      </c>
      <c r="Q261" s="303">
        <f t="shared" si="77"/>
        <v>0</v>
      </c>
      <c r="R261" s="303">
        <f t="shared" si="77"/>
        <v>0</v>
      </c>
      <c r="S261" s="302">
        <f t="shared" si="77"/>
        <v>0</v>
      </c>
      <c r="T261" s="303">
        <f t="shared" si="77"/>
        <v>0</v>
      </c>
      <c r="U261" s="303">
        <f t="shared" si="77"/>
        <v>18.5</v>
      </c>
      <c r="V261" s="302">
        <f t="shared" si="77"/>
        <v>0</v>
      </c>
      <c r="W261" s="303">
        <f t="shared" si="77"/>
        <v>0</v>
      </c>
      <c r="X261" s="303">
        <f t="shared" si="77"/>
        <v>20.350000000000001</v>
      </c>
      <c r="Y261" s="302">
        <f t="shared" si="77"/>
        <v>0</v>
      </c>
      <c r="Z261" s="303">
        <f t="shared" si="77"/>
        <v>0</v>
      </c>
      <c r="AA261" s="303">
        <f t="shared" si="77"/>
        <v>19.425000000000001</v>
      </c>
      <c r="AB261" s="302">
        <f t="shared" si="77"/>
        <v>0</v>
      </c>
      <c r="AC261" s="303">
        <f t="shared" si="77"/>
        <v>0</v>
      </c>
      <c r="AD261" s="303">
        <f t="shared" si="77"/>
        <v>18.5</v>
      </c>
      <c r="AE261" s="3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  <c r="BA261" s="27"/>
    </row>
    <row r="262" spans="2:53" ht="15" customHeight="1" outlineLevel="1">
      <c r="B262" s="46" t="str">
        <f>$B$210</f>
        <v>Marketing Specialist</v>
      </c>
      <c r="C262" s="33"/>
      <c r="D262" s="33"/>
      <c r="G262" s="284">
        <v>18</v>
      </c>
      <c r="H262" s="303">
        <f t="shared" si="77"/>
        <v>0</v>
      </c>
      <c r="I262" s="303">
        <f t="shared" si="77"/>
        <v>16.8</v>
      </c>
      <c r="J262" s="302">
        <f t="shared" si="77"/>
        <v>0</v>
      </c>
      <c r="K262" s="303">
        <f t="shared" si="77"/>
        <v>0</v>
      </c>
      <c r="L262" s="303">
        <f t="shared" si="77"/>
        <v>18.399999999999999</v>
      </c>
      <c r="M262" s="302">
        <f t="shared" si="77"/>
        <v>0</v>
      </c>
      <c r="N262" s="303">
        <f t="shared" si="77"/>
        <v>0</v>
      </c>
      <c r="O262" s="303">
        <f t="shared" si="77"/>
        <v>17.600000000000001</v>
      </c>
      <c r="P262" s="302">
        <f t="shared" si="77"/>
        <v>0</v>
      </c>
      <c r="Q262" s="303">
        <f t="shared" si="77"/>
        <v>0</v>
      </c>
      <c r="R262" s="303">
        <f t="shared" si="77"/>
        <v>16.8</v>
      </c>
      <c r="S262" s="302">
        <f t="shared" si="77"/>
        <v>0</v>
      </c>
      <c r="T262" s="303">
        <f t="shared" si="77"/>
        <v>0</v>
      </c>
      <c r="U262" s="303">
        <f t="shared" si="77"/>
        <v>16.5</v>
      </c>
      <c r="V262" s="302">
        <f t="shared" si="77"/>
        <v>0</v>
      </c>
      <c r="W262" s="303">
        <f t="shared" si="77"/>
        <v>0</v>
      </c>
      <c r="X262" s="303">
        <f t="shared" si="77"/>
        <v>18.149999999999999</v>
      </c>
      <c r="Y262" s="302">
        <f t="shared" si="77"/>
        <v>0</v>
      </c>
      <c r="Z262" s="303">
        <f t="shared" si="77"/>
        <v>0</v>
      </c>
      <c r="AA262" s="303">
        <f t="shared" si="77"/>
        <v>17.324999999999999</v>
      </c>
      <c r="AB262" s="302">
        <f t="shared" si="77"/>
        <v>0</v>
      </c>
      <c r="AC262" s="303">
        <f t="shared" si="77"/>
        <v>0</v>
      </c>
      <c r="AD262" s="303">
        <f t="shared" si="77"/>
        <v>16.5</v>
      </c>
      <c r="AE262" s="3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  <c r="BA262" s="27"/>
    </row>
    <row r="263" spans="2:53" ht="15" customHeight="1" outlineLevel="1">
      <c r="B263" s="46" t="str">
        <f>$B$211</f>
        <v>Marketing Specialist</v>
      </c>
      <c r="C263" s="33"/>
      <c r="D263" s="33"/>
      <c r="G263" s="284">
        <v>0</v>
      </c>
      <c r="H263" s="303">
        <f t="shared" si="77"/>
        <v>0</v>
      </c>
      <c r="I263" s="303">
        <f t="shared" si="77"/>
        <v>0</v>
      </c>
      <c r="J263" s="302">
        <f t="shared" si="77"/>
        <v>0</v>
      </c>
      <c r="K263" s="303">
        <f t="shared" si="77"/>
        <v>0</v>
      </c>
      <c r="L263" s="303">
        <f t="shared" si="77"/>
        <v>0</v>
      </c>
      <c r="M263" s="302">
        <f t="shared" si="77"/>
        <v>0</v>
      </c>
      <c r="N263" s="303">
        <f t="shared" si="77"/>
        <v>0</v>
      </c>
      <c r="O263" s="303">
        <f t="shared" si="77"/>
        <v>0</v>
      </c>
      <c r="P263" s="302">
        <f t="shared" si="77"/>
        <v>0</v>
      </c>
      <c r="Q263" s="303">
        <f t="shared" si="77"/>
        <v>0</v>
      </c>
      <c r="R263" s="303">
        <f t="shared" si="77"/>
        <v>0</v>
      </c>
      <c r="S263" s="302">
        <f t="shared" si="77"/>
        <v>0</v>
      </c>
      <c r="T263" s="303">
        <f t="shared" si="77"/>
        <v>0</v>
      </c>
      <c r="U263" s="303">
        <f t="shared" si="77"/>
        <v>16.5</v>
      </c>
      <c r="V263" s="302">
        <f t="shared" si="77"/>
        <v>0</v>
      </c>
      <c r="W263" s="303">
        <f t="shared" si="77"/>
        <v>0</v>
      </c>
      <c r="X263" s="303">
        <f t="shared" si="77"/>
        <v>18.149999999999999</v>
      </c>
      <c r="Y263" s="302">
        <f t="shared" si="77"/>
        <v>0</v>
      </c>
      <c r="Z263" s="303">
        <f t="shared" si="77"/>
        <v>0</v>
      </c>
      <c r="AA263" s="303">
        <f t="shared" si="77"/>
        <v>17.324999999999999</v>
      </c>
      <c r="AB263" s="302">
        <f t="shared" si="77"/>
        <v>0</v>
      </c>
      <c r="AC263" s="303">
        <f t="shared" si="77"/>
        <v>0</v>
      </c>
      <c r="AD263" s="303">
        <f t="shared" si="77"/>
        <v>16.5</v>
      </c>
      <c r="AE263" s="3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  <c r="BA263" s="27"/>
    </row>
    <row r="264" spans="2:53" ht="15" customHeight="1" outlineLevel="1">
      <c r="B264" s="46" t="str">
        <f>$B$212</f>
        <v>Leadership Specialist</v>
      </c>
      <c r="C264" s="33"/>
      <c r="D264" s="33"/>
      <c r="G264" s="284">
        <v>7</v>
      </c>
      <c r="H264" s="303">
        <f t="shared" si="77"/>
        <v>0</v>
      </c>
      <c r="I264" s="303">
        <f t="shared" si="77"/>
        <v>7</v>
      </c>
      <c r="J264" s="302">
        <f t="shared" si="77"/>
        <v>0</v>
      </c>
      <c r="K264" s="303">
        <f t="shared" si="77"/>
        <v>0</v>
      </c>
      <c r="L264" s="303">
        <f t="shared" si="77"/>
        <v>7</v>
      </c>
      <c r="M264" s="302">
        <f t="shared" si="77"/>
        <v>0</v>
      </c>
      <c r="N264" s="303">
        <f t="shared" si="77"/>
        <v>0</v>
      </c>
      <c r="O264" s="303">
        <f t="shared" si="77"/>
        <v>0</v>
      </c>
      <c r="P264" s="302">
        <f t="shared" si="77"/>
        <v>0</v>
      </c>
      <c r="Q264" s="303">
        <f t="shared" si="77"/>
        <v>0</v>
      </c>
      <c r="R264" s="303">
        <f t="shared" si="77"/>
        <v>7</v>
      </c>
      <c r="S264" s="302">
        <f t="shared" si="77"/>
        <v>0</v>
      </c>
      <c r="T264" s="303">
        <f t="shared" si="77"/>
        <v>0</v>
      </c>
      <c r="U264" s="303">
        <f t="shared" si="77"/>
        <v>14.5</v>
      </c>
      <c r="V264" s="302">
        <f t="shared" si="77"/>
        <v>0</v>
      </c>
      <c r="W264" s="303">
        <f t="shared" si="77"/>
        <v>0</v>
      </c>
      <c r="X264" s="303">
        <f t="shared" si="77"/>
        <v>15.95</v>
      </c>
      <c r="Y264" s="302">
        <f t="shared" si="77"/>
        <v>0</v>
      </c>
      <c r="Z264" s="303">
        <f t="shared" si="77"/>
        <v>0</v>
      </c>
      <c r="AA264" s="303">
        <f t="shared" si="77"/>
        <v>15.225</v>
      </c>
      <c r="AB264" s="302">
        <f t="shared" si="77"/>
        <v>0</v>
      </c>
      <c r="AC264" s="303">
        <f t="shared" si="77"/>
        <v>0</v>
      </c>
      <c r="AD264" s="303">
        <f t="shared" si="77"/>
        <v>14.5</v>
      </c>
      <c r="AE264" s="3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  <c r="BA264" s="27"/>
    </row>
    <row r="265" spans="2:53" ht="15" customHeight="1" outlineLevel="1">
      <c r="B265" s="46" t="str">
        <f>$B$213</f>
        <v>Leadership Specialist</v>
      </c>
      <c r="C265" s="33"/>
      <c r="D265" s="33"/>
      <c r="G265" s="284">
        <v>0</v>
      </c>
      <c r="H265" s="303">
        <f t="shared" si="77"/>
        <v>0</v>
      </c>
      <c r="I265" s="303">
        <f t="shared" si="77"/>
        <v>0</v>
      </c>
      <c r="J265" s="302">
        <f t="shared" si="77"/>
        <v>0</v>
      </c>
      <c r="K265" s="303">
        <f t="shared" si="77"/>
        <v>0</v>
      </c>
      <c r="L265" s="303">
        <f t="shared" si="77"/>
        <v>0</v>
      </c>
      <c r="M265" s="302">
        <f t="shared" si="77"/>
        <v>0</v>
      </c>
      <c r="N265" s="303">
        <f t="shared" si="77"/>
        <v>0</v>
      </c>
      <c r="O265" s="303">
        <f t="shared" si="77"/>
        <v>0</v>
      </c>
      <c r="P265" s="302">
        <f t="shared" si="77"/>
        <v>0</v>
      </c>
      <c r="Q265" s="303">
        <f t="shared" si="77"/>
        <v>0</v>
      </c>
      <c r="R265" s="303">
        <f t="shared" si="77"/>
        <v>0</v>
      </c>
      <c r="S265" s="302">
        <f t="shared" si="77"/>
        <v>0</v>
      </c>
      <c r="T265" s="303">
        <f t="shared" si="77"/>
        <v>0</v>
      </c>
      <c r="U265" s="303">
        <f t="shared" si="77"/>
        <v>14.5</v>
      </c>
      <c r="V265" s="302">
        <f t="shared" si="77"/>
        <v>0</v>
      </c>
      <c r="W265" s="303">
        <f t="shared" si="77"/>
        <v>0</v>
      </c>
      <c r="X265" s="303">
        <f t="shared" si="77"/>
        <v>15.95</v>
      </c>
      <c r="Y265" s="302">
        <f t="shared" si="77"/>
        <v>0</v>
      </c>
      <c r="Z265" s="303">
        <f t="shared" si="77"/>
        <v>0</v>
      </c>
      <c r="AA265" s="303">
        <f t="shared" si="77"/>
        <v>15.225</v>
      </c>
      <c r="AB265" s="302">
        <f t="shared" si="77"/>
        <v>0</v>
      </c>
      <c r="AC265" s="303">
        <f t="shared" si="77"/>
        <v>0</v>
      </c>
      <c r="AD265" s="303">
        <f t="shared" si="77"/>
        <v>14.5</v>
      </c>
      <c r="AE265" s="3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  <c r="BA265" s="27"/>
    </row>
    <row r="266" spans="2:53" ht="15" customHeight="1" outlineLevel="1">
      <c r="B266" s="46" t="str">
        <f>$B$214</f>
        <v>Business Analyst</v>
      </c>
      <c r="C266" s="33"/>
      <c r="D266" s="33"/>
      <c r="G266" s="284">
        <v>0</v>
      </c>
      <c r="H266" s="303">
        <f t="shared" si="77"/>
        <v>0</v>
      </c>
      <c r="I266" s="303">
        <f t="shared" si="77"/>
        <v>0</v>
      </c>
      <c r="J266" s="302">
        <f t="shared" si="77"/>
        <v>0</v>
      </c>
      <c r="K266" s="303">
        <f t="shared" si="77"/>
        <v>0</v>
      </c>
      <c r="L266" s="303">
        <f t="shared" si="77"/>
        <v>9.1999999999999993</v>
      </c>
      <c r="M266" s="302">
        <f t="shared" si="77"/>
        <v>0</v>
      </c>
      <c r="N266" s="303">
        <f t="shared" si="77"/>
        <v>0</v>
      </c>
      <c r="O266" s="303">
        <f t="shared" si="77"/>
        <v>8.8000000000000007</v>
      </c>
      <c r="P266" s="302">
        <f t="shared" si="77"/>
        <v>0</v>
      </c>
      <c r="Q266" s="303">
        <f t="shared" si="77"/>
        <v>0</v>
      </c>
      <c r="R266" s="303">
        <f t="shared" si="77"/>
        <v>8.4</v>
      </c>
      <c r="S266" s="302">
        <f t="shared" si="77"/>
        <v>0</v>
      </c>
      <c r="T266" s="303">
        <f t="shared" si="77"/>
        <v>0</v>
      </c>
      <c r="U266" s="303">
        <f t="shared" si="77"/>
        <v>8.5</v>
      </c>
      <c r="V266" s="302">
        <f t="shared" si="77"/>
        <v>0</v>
      </c>
      <c r="W266" s="303">
        <f t="shared" si="77"/>
        <v>0</v>
      </c>
      <c r="X266" s="303">
        <f t="shared" si="77"/>
        <v>9.35</v>
      </c>
      <c r="Y266" s="302">
        <f t="shared" si="77"/>
        <v>0</v>
      </c>
      <c r="Z266" s="303">
        <f t="shared" si="77"/>
        <v>0</v>
      </c>
      <c r="AA266" s="303">
        <f t="shared" si="77"/>
        <v>8.9250000000000007</v>
      </c>
      <c r="AB266" s="302">
        <f t="shared" si="77"/>
        <v>0</v>
      </c>
      <c r="AC266" s="303">
        <f t="shared" si="77"/>
        <v>0</v>
      </c>
      <c r="AD266" s="303">
        <f t="shared" si="77"/>
        <v>8.5</v>
      </c>
      <c r="AE266" s="3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  <c r="BA266" s="27"/>
    </row>
    <row r="267" spans="2:53" ht="15" customHeight="1" outlineLevel="1">
      <c r="B267" s="46" t="str">
        <f>$B$215</f>
        <v>Business Analyst</v>
      </c>
      <c r="C267" s="33"/>
      <c r="D267" s="33"/>
      <c r="G267" s="284">
        <v>0</v>
      </c>
      <c r="H267" s="303">
        <f t="shared" si="77"/>
        <v>0</v>
      </c>
      <c r="I267" s="303">
        <f t="shared" si="77"/>
        <v>0</v>
      </c>
      <c r="J267" s="302">
        <f t="shared" si="77"/>
        <v>0</v>
      </c>
      <c r="K267" s="303">
        <f t="shared" si="77"/>
        <v>0</v>
      </c>
      <c r="L267" s="303">
        <f t="shared" si="77"/>
        <v>0</v>
      </c>
      <c r="M267" s="302">
        <f t="shared" si="77"/>
        <v>0</v>
      </c>
      <c r="N267" s="303">
        <f t="shared" si="77"/>
        <v>0</v>
      </c>
      <c r="O267" s="303">
        <f t="shared" si="77"/>
        <v>8.8000000000000007</v>
      </c>
      <c r="P267" s="302">
        <f t="shared" si="77"/>
        <v>0</v>
      </c>
      <c r="Q267" s="303">
        <f t="shared" si="77"/>
        <v>0</v>
      </c>
      <c r="R267" s="303">
        <f t="shared" si="77"/>
        <v>8.4</v>
      </c>
      <c r="S267" s="302">
        <f t="shared" si="77"/>
        <v>0</v>
      </c>
      <c r="T267" s="303">
        <f t="shared" si="77"/>
        <v>0</v>
      </c>
      <c r="U267" s="303">
        <f t="shared" si="77"/>
        <v>8.5</v>
      </c>
      <c r="V267" s="302">
        <f t="shared" si="77"/>
        <v>0</v>
      </c>
      <c r="W267" s="303">
        <f t="shared" si="77"/>
        <v>0</v>
      </c>
      <c r="X267" s="303">
        <f t="shared" si="77"/>
        <v>9.35</v>
      </c>
      <c r="Y267" s="302">
        <f t="shared" si="77"/>
        <v>0</v>
      </c>
      <c r="Z267" s="303">
        <f t="shared" si="77"/>
        <v>0</v>
      </c>
      <c r="AA267" s="303">
        <f t="shared" si="77"/>
        <v>8.9250000000000007</v>
      </c>
      <c r="AB267" s="302">
        <f t="shared" si="77"/>
        <v>0</v>
      </c>
      <c r="AC267" s="303">
        <f t="shared" si="77"/>
        <v>0</v>
      </c>
      <c r="AD267" s="303">
        <f t="shared" si="77"/>
        <v>8.5</v>
      </c>
      <c r="AE267" s="3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  <c r="BA267" s="27"/>
    </row>
    <row r="268" spans="2:53" ht="15" customHeight="1" outlineLevel="1">
      <c r="B268" s="46" t="str">
        <f>$B$216</f>
        <v>Business Analyst</v>
      </c>
      <c r="C268" s="33"/>
      <c r="D268" s="33"/>
      <c r="G268" s="284">
        <v>0</v>
      </c>
      <c r="H268" s="303">
        <f t="shared" si="77"/>
        <v>0</v>
      </c>
      <c r="I268" s="303">
        <f t="shared" si="77"/>
        <v>0</v>
      </c>
      <c r="J268" s="302">
        <f t="shared" si="77"/>
        <v>0</v>
      </c>
      <c r="K268" s="303">
        <f t="shared" si="77"/>
        <v>0</v>
      </c>
      <c r="L268" s="303">
        <f t="shared" si="77"/>
        <v>0</v>
      </c>
      <c r="M268" s="302">
        <f t="shared" si="77"/>
        <v>0</v>
      </c>
      <c r="N268" s="303">
        <f t="shared" si="77"/>
        <v>0</v>
      </c>
      <c r="O268" s="303">
        <f t="shared" si="77"/>
        <v>0</v>
      </c>
      <c r="P268" s="302">
        <f t="shared" si="77"/>
        <v>0</v>
      </c>
      <c r="Q268" s="303">
        <f t="shared" si="77"/>
        <v>0</v>
      </c>
      <c r="R268" s="303">
        <f t="shared" si="77"/>
        <v>8.4</v>
      </c>
      <c r="S268" s="302">
        <f t="shared" si="77"/>
        <v>0</v>
      </c>
      <c r="T268" s="303">
        <f t="shared" si="77"/>
        <v>0</v>
      </c>
      <c r="U268" s="303">
        <f t="shared" si="77"/>
        <v>8.5</v>
      </c>
      <c r="V268" s="302">
        <f t="shared" si="77"/>
        <v>0</v>
      </c>
      <c r="W268" s="303">
        <f t="shared" si="77"/>
        <v>0</v>
      </c>
      <c r="X268" s="303">
        <f t="shared" si="77"/>
        <v>9.35</v>
      </c>
      <c r="Y268" s="302">
        <f t="shared" si="77"/>
        <v>0</v>
      </c>
      <c r="Z268" s="303">
        <f t="shared" si="77"/>
        <v>0</v>
      </c>
      <c r="AA268" s="303">
        <f t="shared" si="77"/>
        <v>8.9250000000000007</v>
      </c>
      <c r="AB268" s="302">
        <f t="shared" si="77"/>
        <v>0</v>
      </c>
      <c r="AC268" s="303">
        <f t="shared" si="77"/>
        <v>0</v>
      </c>
      <c r="AD268" s="303">
        <f t="shared" si="77"/>
        <v>8.5</v>
      </c>
      <c r="AE268" s="3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  <c r="BA268" s="27"/>
    </row>
    <row r="269" spans="2:53" ht="15" customHeight="1" outlineLevel="1">
      <c r="B269" s="46" t="str">
        <f>$B$217</f>
        <v>Business Analyst</v>
      </c>
      <c r="C269" s="33"/>
      <c r="D269" s="33"/>
      <c r="G269" s="284">
        <v>0</v>
      </c>
      <c r="H269" s="303">
        <f t="shared" si="77"/>
        <v>0</v>
      </c>
      <c r="I269" s="303">
        <f t="shared" si="77"/>
        <v>0</v>
      </c>
      <c r="J269" s="302">
        <f t="shared" si="77"/>
        <v>0</v>
      </c>
      <c r="K269" s="303">
        <f t="shared" si="77"/>
        <v>0</v>
      </c>
      <c r="L269" s="303">
        <f t="shared" si="77"/>
        <v>0</v>
      </c>
      <c r="M269" s="302">
        <f t="shared" si="77"/>
        <v>0</v>
      </c>
      <c r="N269" s="303">
        <f t="shared" si="77"/>
        <v>0</v>
      </c>
      <c r="O269" s="303">
        <f t="shared" si="77"/>
        <v>0</v>
      </c>
      <c r="P269" s="302">
        <f t="shared" si="77"/>
        <v>0</v>
      </c>
      <c r="Q269" s="303">
        <f t="shared" si="77"/>
        <v>0</v>
      </c>
      <c r="R269" s="303">
        <f t="shared" si="77"/>
        <v>0</v>
      </c>
      <c r="S269" s="302">
        <f t="shared" si="77"/>
        <v>0</v>
      </c>
      <c r="T269" s="303">
        <f t="shared" si="77"/>
        <v>0</v>
      </c>
      <c r="U269" s="303">
        <f t="shared" si="77"/>
        <v>8.5</v>
      </c>
      <c r="V269" s="302">
        <f t="shared" si="77"/>
        <v>0</v>
      </c>
      <c r="W269" s="303">
        <f t="shared" si="77"/>
        <v>0</v>
      </c>
      <c r="X269" s="303">
        <f t="shared" si="77"/>
        <v>9.35</v>
      </c>
      <c r="Y269" s="302">
        <f t="shared" si="77"/>
        <v>0</v>
      </c>
      <c r="Z269" s="303">
        <f t="shared" si="77"/>
        <v>0</v>
      </c>
      <c r="AA269" s="303">
        <f t="shared" si="77"/>
        <v>8.9250000000000007</v>
      </c>
      <c r="AB269" s="302">
        <f t="shared" si="77"/>
        <v>0</v>
      </c>
      <c r="AC269" s="303">
        <f t="shared" si="77"/>
        <v>0</v>
      </c>
      <c r="AD269" s="303">
        <f t="shared" si="77"/>
        <v>8.5</v>
      </c>
      <c r="AE269" s="3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  <c r="BA269" s="27"/>
    </row>
    <row r="270" spans="2:53" ht="15" customHeight="1" outlineLevel="1">
      <c r="B270" s="46" t="s">
        <v>55</v>
      </c>
      <c r="C270" s="33"/>
      <c r="D270" s="33"/>
      <c r="G270" s="246">
        <f>SUM(G260:G269)</f>
        <v>46</v>
      </c>
      <c r="H270" s="247">
        <f t="shared" ref="H270:AD270" si="78">SUM(H260:H269)</f>
        <v>0</v>
      </c>
      <c r="I270" s="247">
        <f t="shared" si="78"/>
        <v>42.7</v>
      </c>
      <c r="J270" s="246">
        <f t="shared" si="78"/>
        <v>0</v>
      </c>
      <c r="K270" s="247">
        <f t="shared" si="78"/>
        <v>0</v>
      </c>
      <c r="L270" s="247">
        <f t="shared" si="78"/>
        <v>55.3</v>
      </c>
      <c r="M270" s="246">
        <f t="shared" si="78"/>
        <v>0</v>
      </c>
      <c r="N270" s="247">
        <f t="shared" si="78"/>
        <v>0</v>
      </c>
      <c r="O270" s="247">
        <f t="shared" si="78"/>
        <v>55</v>
      </c>
      <c r="P270" s="246">
        <f t="shared" si="78"/>
        <v>0</v>
      </c>
      <c r="Q270" s="247">
        <f t="shared" si="78"/>
        <v>0</v>
      </c>
      <c r="R270" s="247">
        <f t="shared" si="78"/>
        <v>67.900000000000006</v>
      </c>
      <c r="S270" s="246">
        <f t="shared" si="78"/>
        <v>0</v>
      </c>
      <c r="T270" s="247">
        <f t="shared" si="78"/>
        <v>0</v>
      </c>
      <c r="U270" s="247">
        <f t="shared" si="78"/>
        <v>133</v>
      </c>
      <c r="V270" s="246">
        <f t="shared" si="78"/>
        <v>0</v>
      </c>
      <c r="W270" s="247">
        <f t="shared" si="78"/>
        <v>0</v>
      </c>
      <c r="X270" s="247">
        <f t="shared" si="78"/>
        <v>146.29999999999998</v>
      </c>
      <c r="Y270" s="246">
        <f t="shared" si="78"/>
        <v>0</v>
      </c>
      <c r="Z270" s="247">
        <f t="shared" si="78"/>
        <v>0</v>
      </c>
      <c r="AA270" s="247">
        <f t="shared" si="78"/>
        <v>139.65</v>
      </c>
      <c r="AB270" s="246">
        <f t="shared" si="78"/>
        <v>0</v>
      </c>
      <c r="AC270" s="247">
        <f t="shared" si="78"/>
        <v>0</v>
      </c>
      <c r="AD270" s="247">
        <f t="shared" si="78"/>
        <v>133</v>
      </c>
      <c r="AE270" s="3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  <c r="BA270" s="27"/>
    </row>
    <row r="271" spans="2:53" ht="15" customHeight="1" outlineLevel="1">
      <c r="G271" s="38"/>
      <c r="H271" s="38"/>
      <c r="I271" s="38"/>
      <c r="J271" s="38"/>
      <c r="K271" s="38"/>
      <c r="L271" s="38"/>
      <c r="M271" s="38"/>
      <c r="N271" s="38"/>
      <c r="O271" s="336"/>
      <c r="P271" s="336"/>
      <c r="Q271" s="336"/>
      <c r="R271" s="336"/>
      <c r="S271" s="336"/>
      <c r="T271" s="336"/>
      <c r="U271" s="337"/>
      <c r="V271" s="337"/>
      <c r="W271" s="337"/>
      <c r="X271" s="336"/>
      <c r="Y271" s="336"/>
      <c r="Z271" s="336"/>
      <c r="AA271" s="336"/>
      <c r="AB271" s="336"/>
      <c r="AC271" s="336"/>
      <c r="AD271" s="336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  <c r="BA271" s="27"/>
    </row>
    <row r="272" spans="2:53" ht="15" customHeight="1" outlineLevel="1">
      <c r="O272" s="338"/>
      <c r="P272" s="338"/>
      <c r="Q272" s="338"/>
      <c r="R272" s="338"/>
      <c r="S272" s="338"/>
      <c r="T272" s="338"/>
      <c r="U272" s="339"/>
      <c r="V272" s="339"/>
      <c r="W272" s="339"/>
      <c r="X272" s="338"/>
      <c r="Y272" s="338"/>
      <c r="Z272" s="338"/>
      <c r="AA272" s="338"/>
      <c r="AB272" s="338"/>
      <c r="AC272" s="338"/>
      <c r="AD272" s="338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  <c r="BA272" s="27"/>
    </row>
    <row r="273" spans="1:61" s="44" customFormat="1" ht="15" customHeight="1" outlineLevel="1">
      <c r="B273" s="340"/>
      <c r="C273" s="340"/>
      <c r="D273" s="340"/>
      <c r="E273" s="340"/>
      <c r="F273" s="270"/>
      <c r="G273" s="270"/>
      <c r="H273" s="270"/>
      <c r="I273" s="340"/>
      <c r="J273" s="340"/>
      <c r="K273" s="340"/>
      <c r="L273" s="340"/>
      <c r="M273" s="340"/>
      <c r="N273" s="340"/>
      <c r="O273" s="340"/>
      <c r="P273" s="340"/>
      <c r="Q273" s="340"/>
      <c r="R273" s="340"/>
      <c r="S273" s="340"/>
      <c r="T273" s="340"/>
      <c r="U273" s="340"/>
      <c r="V273" s="340"/>
      <c r="W273" s="340"/>
      <c r="X273" s="340"/>
      <c r="Y273" s="340"/>
      <c r="Z273" s="340"/>
      <c r="AA273" s="340"/>
      <c r="AB273" s="340"/>
      <c r="AC273" s="340"/>
      <c r="AD273" s="341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  <c r="BA273" s="27"/>
      <c r="BB273" s="23"/>
      <c r="BC273" s="23"/>
      <c r="BD273" s="23"/>
      <c r="BE273" s="23"/>
      <c r="BF273" s="23"/>
      <c r="BG273" s="23"/>
      <c r="BH273" s="23"/>
      <c r="BI273" s="23"/>
    </row>
    <row r="274" spans="1:61" s="44" customFormat="1" ht="15" customHeight="1" outlineLevel="1">
      <c r="B274" s="271" t="s">
        <v>79</v>
      </c>
      <c r="F274" s="23"/>
      <c r="G274" s="42" t="s">
        <v>34</v>
      </c>
      <c r="H274" s="23"/>
      <c r="AD274" s="45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  <c r="BA274" s="27"/>
      <c r="BB274" s="23"/>
      <c r="BC274" s="23"/>
      <c r="BD274" s="23"/>
      <c r="BE274" s="23"/>
      <c r="BF274" s="23"/>
      <c r="BG274" s="23"/>
      <c r="BH274" s="23"/>
      <c r="BI274" s="23"/>
    </row>
    <row r="275" spans="1:61" ht="15" customHeight="1" outlineLevel="1">
      <c r="B275" s="224" t="s">
        <v>37</v>
      </c>
      <c r="G275" s="266">
        <v>82</v>
      </c>
      <c r="H275" s="247">
        <f t="shared" ref="H275:AD275" si="79">G278</f>
        <v>36</v>
      </c>
      <c r="I275" s="247">
        <f t="shared" si="79"/>
        <v>78.7</v>
      </c>
      <c r="J275" s="246">
        <f t="shared" si="79"/>
        <v>36</v>
      </c>
      <c r="K275" s="247">
        <f t="shared" si="79"/>
        <v>36</v>
      </c>
      <c r="L275" s="247">
        <f t="shared" si="79"/>
        <v>91.3</v>
      </c>
      <c r="M275" s="246">
        <f t="shared" si="79"/>
        <v>36</v>
      </c>
      <c r="N275" s="247">
        <f t="shared" si="79"/>
        <v>36</v>
      </c>
      <c r="O275" s="247">
        <f t="shared" si="79"/>
        <v>91</v>
      </c>
      <c r="P275" s="246">
        <f t="shared" si="79"/>
        <v>36</v>
      </c>
      <c r="Q275" s="247">
        <f t="shared" si="79"/>
        <v>36</v>
      </c>
      <c r="R275" s="247">
        <f t="shared" si="79"/>
        <v>103.9</v>
      </c>
      <c r="S275" s="246">
        <f t="shared" si="79"/>
        <v>36</v>
      </c>
      <c r="T275" s="247">
        <f t="shared" si="79"/>
        <v>36</v>
      </c>
      <c r="U275" s="247">
        <f t="shared" si="79"/>
        <v>169</v>
      </c>
      <c r="V275" s="246">
        <f t="shared" si="79"/>
        <v>36</v>
      </c>
      <c r="W275" s="247">
        <f t="shared" si="79"/>
        <v>36</v>
      </c>
      <c r="X275" s="247">
        <f t="shared" si="79"/>
        <v>182.29999999999998</v>
      </c>
      <c r="Y275" s="246">
        <f t="shared" si="79"/>
        <v>36</v>
      </c>
      <c r="Z275" s="247">
        <f t="shared" si="79"/>
        <v>36</v>
      </c>
      <c r="AA275" s="247">
        <f t="shared" si="79"/>
        <v>175.65</v>
      </c>
      <c r="AB275" s="246">
        <f t="shared" si="79"/>
        <v>36</v>
      </c>
      <c r="AC275" s="247">
        <f t="shared" si="79"/>
        <v>36</v>
      </c>
      <c r="AD275" s="247">
        <f t="shared" si="79"/>
        <v>169</v>
      </c>
      <c r="AE275" s="3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  <c r="BA275" s="27"/>
    </row>
    <row r="276" spans="1:61" ht="15" customHeight="1" outlineLevel="1">
      <c r="B276" s="224" t="s">
        <v>38</v>
      </c>
      <c r="G276" s="252">
        <f>G245</f>
        <v>0</v>
      </c>
      <c r="H276" s="34">
        <f t="shared" ref="H276:AD276" si="80">H245</f>
        <v>42.7</v>
      </c>
      <c r="I276" s="34">
        <f t="shared" si="80"/>
        <v>0</v>
      </c>
      <c r="J276" s="252">
        <f t="shared" si="80"/>
        <v>0</v>
      </c>
      <c r="K276" s="34">
        <f t="shared" si="80"/>
        <v>55.3</v>
      </c>
      <c r="L276" s="34">
        <f t="shared" si="80"/>
        <v>0</v>
      </c>
      <c r="M276" s="252">
        <f t="shared" si="80"/>
        <v>0</v>
      </c>
      <c r="N276" s="34">
        <f t="shared" si="80"/>
        <v>55</v>
      </c>
      <c r="O276" s="34">
        <f t="shared" si="80"/>
        <v>0</v>
      </c>
      <c r="P276" s="252">
        <f t="shared" si="80"/>
        <v>0</v>
      </c>
      <c r="Q276" s="34">
        <f t="shared" si="80"/>
        <v>67.900000000000006</v>
      </c>
      <c r="R276" s="34">
        <f t="shared" si="80"/>
        <v>0</v>
      </c>
      <c r="S276" s="252">
        <f t="shared" si="80"/>
        <v>0</v>
      </c>
      <c r="T276" s="34">
        <f t="shared" si="80"/>
        <v>133</v>
      </c>
      <c r="U276" s="34">
        <f t="shared" si="80"/>
        <v>0</v>
      </c>
      <c r="V276" s="252">
        <f t="shared" si="80"/>
        <v>0</v>
      </c>
      <c r="W276" s="34">
        <f t="shared" si="80"/>
        <v>146.29999999999998</v>
      </c>
      <c r="X276" s="34">
        <f t="shared" si="80"/>
        <v>0</v>
      </c>
      <c r="Y276" s="252">
        <f t="shared" si="80"/>
        <v>0</v>
      </c>
      <c r="Z276" s="34">
        <f t="shared" si="80"/>
        <v>139.65</v>
      </c>
      <c r="AA276" s="34">
        <f t="shared" si="80"/>
        <v>0</v>
      </c>
      <c r="AB276" s="252">
        <f t="shared" si="80"/>
        <v>0</v>
      </c>
      <c r="AC276" s="34">
        <f t="shared" si="80"/>
        <v>133</v>
      </c>
      <c r="AD276" s="34">
        <f t="shared" si="80"/>
        <v>0</v>
      </c>
      <c r="AE276" s="3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  <c r="BA276" s="27"/>
    </row>
    <row r="277" spans="1:61" ht="15" customHeight="1" outlineLevel="1">
      <c r="B277" s="224" t="s">
        <v>39</v>
      </c>
      <c r="G277" s="252">
        <f>-G270</f>
        <v>-46</v>
      </c>
      <c r="H277" s="34">
        <f t="shared" ref="H277:AD277" si="81">-H270</f>
        <v>0</v>
      </c>
      <c r="I277" s="34">
        <f t="shared" si="81"/>
        <v>-42.7</v>
      </c>
      <c r="J277" s="252">
        <f t="shared" si="81"/>
        <v>0</v>
      </c>
      <c r="K277" s="34">
        <f t="shared" si="81"/>
        <v>0</v>
      </c>
      <c r="L277" s="34">
        <f t="shared" si="81"/>
        <v>-55.3</v>
      </c>
      <c r="M277" s="252">
        <f t="shared" si="81"/>
        <v>0</v>
      </c>
      <c r="N277" s="34">
        <f t="shared" si="81"/>
        <v>0</v>
      </c>
      <c r="O277" s="34">
        <f t="shared" si="81"/>
        <v>-55</v>
      </c>
      <c r="P277" s="252">
        <f t="shared" si="81"/>
        <v>0</v>
      </c>
      <c r="Q277" s="34">
        <f t="shared" si="81"/>
        <v>0</v>
      </c>
      <c r="R277" s="34">
        <f t="shared" si="81"/>
        <v>-67.900000000000006</v>
      </c>
      <c r="S277" s="252">
        <f t="shared" si="81"/>
        <v>0</v>
      </c>
      <c r="T277" s="34">
        <f t="shared" si="81"/>
        <v>0</v>
      </c>
      <c r="U277" s="34">
        <f t="shared" si="81"/>
        <v>-133</v>
      </c>
      <c r="V277" s="252">
        <f t="shared" si="81"/>
        <v>0</v>
      </c>
      <c r="W277" s="34">
        <f t="shared" si="81"/>
        <v>0</v>
      </c>
      <c r="X277" s="34">
        <f t="shared" si="81"/>
        <v>-146.29999999999998</v>
      </c>
      <c r="Y277" s="252">
        <f t="shared" si="81"/>
        <v>0</v>
      </c>
      <c r="Z277" s="34">
        <f t="shared" si="81"/>
        <v>0</v>
      </c>
      <c r="AA277" s="34">
        <f t="shared" si="81"/>
        <v>-139.65</v>
      </c>
      <c r="AB277" s="252">
        <f t="shared" si="81"/>
        <v>0</v>
      </c>
      <c r="AC277" s="34">
        <f t="shared" si="81"/>
        <v>0</v>
      </c>
      <c r="AD277" s="34">
        <f t="shared" si="81"/>
        <v>-133</v>
      </c>
      <c r="AE277" s="3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  <c r="BA277" s="27"/>
    </row>
    <row r="278" spans="1:61" ht="15" customHeight="1" outlineLevel="1">
      <c r="B278" s="224" t="s">
        <v>40</v>
      </c>
      <c r="G278" s="246">
        <f>SUM(G275:G277)</f>
        <v>36</v>
      </c>
      <c r="H278" s="247">
        <f t="shared" ref="H278:AD278" si="82">SUM(H275:H277)</f>
        <v>78.7</v>
      </c>
      <c r="I278" s="247">
        <f t="shared" si="82"/>
        <v>36</v>
      </c>
      <c r="J278" s="246">
        <f t="shared" si="82"/>
        <v>36</v>
      </c>
      <c r="K278" s="247">
        <f t="shared" si="82"/>
        <v>91.3</v>
      </c>
      <c r="L278" s="247">
        <f t="shared" si="82"/>
        <v>36</v>
      </c>
      <c r="M278" s="246">
        <f t="shared" si="82"/>
        <v>36</v>
      </c>
      <c r="N278" s="247">
        <f t="shared" si="82"/>
        <v>91</v>
      </c>
      <c r="O278" s="247">
        <f t="shared" si="82"/>
        <v>36</v>
      </c>
      <c r="P278" s="246">
        <f t="shared" si="82"/>
        <v>36</v>
      </c>
      <c r="Q278" s="247">
        <f t="shared" si="82"/>
        <v>103.9</v>
      </c>
      <c r="R278" s="247">
        <f t="shared" si="82"/>
        <v>36</v>
      </c>
      <c r="S278" s="246">
        <f t="shared" si="82"/>
        <v>36</v>
      </c>
      <c r="T278" s="247">
        <f t="shared" si="82"/>
        <v>169</v>
      </c>
      <c r="U278" s="247">
        <f t="shared" si="82"/>
        <v>36</v>
      </c>
      <c r="V278" s="246">
        <f t="shared" si="82"/>
        <v>36</v>
      </c>
      <c r="W278" s="247">
        <f t="shared" si="82"/>
        <v>182.29999999999998</v>
      </c>
      <c r="X278" s="247">
        <f t="shared" si="82"/>
        <v>36</v>
      </c>
      <c r="Y278" s="246">
        <f t="shared" si="82"/>
        <v>36</v>
      </c>
      <c r="Z278" s="247">
        <f t="shared" si="82"/>
        <v>175.65</v>
      </c>
      <c r="AA278" s="247">
        <f t="shared" si="82"/>
        <v>36</v>
      </c>
      <c r="AB278" s="246">
        <f t="shared" si="82"/>
        <v>36</v>
      </c>
      <c r="AC278" s="247">
        <f t="shared" si="82"/>
        <v>169</v>
      </c>
      <c r="AD278" s="247">
        <f t="shared" si="82"/>
        <v>36</v>
      </c>
      <c r="AE278" s="3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  <c r="BA278" s="27"/>
    </row>
    <row r="279" spans="1:61" ht="15" customHeight="1" outlineLevel="1">
      <c r="B279" s="224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  <c r="AC279" s="247"/>
      <c r="AD279" s="24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  <c r="BA279" s="27"/>
    </row>
    <row r="280" spans="1:61" ht="15" customHeight="1" outlineLevel="1">
      <c r="B280" s="22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  <c r="BA280" s="27"/>
    </row>
    <row r="281" spans="1:61" ht="15" customHeight="1" outlineLevel="1" thickBot="1">
      <c r="B281" s="224" t="s">
        <v>80</v>
      </c>
      <c r="G281" s="325">
        <f>G278-G275</f>
        <v>-46</v>
      </c>
      <c r="H281" s="326">
        <f t="shared" ref="H281:AD281" si="83">H278-H275</f>
        <v>42.7</v>
      </c>
      <c r="I281" s="326">
        <f t="shared" si="83"/>
        <v>-42.7</v>
      </c>
      <c r="J281" s="327">
        <f t="shared" si="83"/>
        <v>0</v>
      </c>
      <c r="K281" s="326">
        <f t="shared" si="83"/>
        <v>55.3</v>
      </c>
      <c r="L281" s="326">
        <f t="shared" si="83"/>
        <v>-55.3</v>
      </c>
      <c r="M281" s="327">
        <f t="shared" si="83"/>
        <v>0</v>
      </c>
      <c r="N281" s="326">
        <f t="shared" si="83"/>
        <v>55</v>
      </c>
      <c r="O281" s="326">
        <f t="shared" si="83"/>
        <v>-55</v>
      </c>
      <c r="P281" s="327">
        <f t="shared" si="83"/>
        <v>0</v>
      </c>
      <c r="Q281" s="326">
        <f t="shared" si="83"/>
        <v>67.900000000000006</v>
      </c>
      <c r="R281" s="326">
        <f t="shared" si="83"/>
        <v>-67.900000000000006</v>
      </c>
      <c r="S281" s="327">
        <f t="shared" si="83"/>
        <v>0</v>
      </c>
      <c r="T281" s="326">
        <f t="shared" si="83"/>
        <v>133</v>
      </c>
      <c r="U281" s="326">
        <f t="shared" si="83"/>
        <v>-133</v>
      </c>
      <c r="V281" s="327">
        <f t="shared" si="83"/>
        <v>0</v>
      </c>
      <c r="W281" s="326">
        <f t="shared" si="83"/>
        <v>146.29999999999998</v>
      </c>
      <c r="X281" s="326">
        <f t="shared" si="83"/>
        <v>-146.29999999999998</v>
      </c>
      <c r="Y281" s="327">
        <f t="shared" si="83"/>
        <v>0</v>
      </c>
      <c r="Z281" s="326">
        <f t="shared" si="83"/>
        <v>139.65</v>
      </c>
      <c r="AA281" s="326">
        <f t="shared" si="83"/>
        <v>-139.65</v>
      </c>
      <c r="AB281" s="327">
        <f t="shared" si="83"/>
        <v>0</v>
      </c>
      <c r="AC281" s="326">
        <f t="shared" si="83"/>
        <v>133</v>
      </c>
      <c r="AD281" s="326">
        <f t="shared" si="83"/>
        <v>-133</v>
      </c>
      <c r="AE281" s="328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  <c r="BA281" s="27"/>
    </row>
    <row r="282" spans="1:61" ht="15" customHeight="1" outlineLevel="1">
      <c r="B282" s="224"/>
      <c r="G282" s="342"/>
      <c r="H282" s="342"/>
      <c r="I282" s="342"/>
      <c r="J282" s="342"/>
      <c r="K282" s="342"/>
      <c r="L282" s="342"/>
      <c r="M282" s="342"/>
      <c r="N282" s="342"/>
      <c r="O282" s="342"/>
      <c r="P282" s="342"/>
      <c r="Q282" s="342"/>
      <c r="R282" s="342"/>
      <c r="S282" s="342"/>
      <c r="T282" s="342"/>
      <c r="U282" s="342"/>
      <c r="V282" s="342"/>
      <c r="W282" s="342"/>
      <c r="X282" s="342"/>
      <c r="Y282" s="342"/>
      <c r="Z282" s="342"/>
      <c r="AA282" s="342"/>
      <c r="AB282" s="342"/>
      <c r="AC282" s="342"/>
      <c r="AD282" s="342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  <c r="BA282" s="27"/>
    </row>
    <row r="283" spans="1:61" s="44" customFormat="1" ht="15" customHeight="1" outlineLevel="1">
      <c r="F283" s="23"/>
      <c r="G283" s="23"/>
      <c r="H283" s="23"/>
      <c r="AD283" s="45" t="s">
        <v>81</v>
      </c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  <c r="BA283" s="27"/>
      <c r="BB283" s="23"/>
      <c r="BC283" s="23"/>
      <c r="BD283" s="23"/>
      <c r="BE283" s="23"/>
      <c r="BF283" s="23"/>
      <c r="BG283" s="23"/>
      <c r="BH283" s="23"/>
      <c r="BI283" s="23"/>
    </row>
    <row r="284" spans="1:61" s="44" customFormat="1" ht="15" customHeight="1" outlineLevel="1">
      <c r="F284" s="23"/>
      <c r="G284" s="23"/>
      <c r="H284" s="23"/>
      <c r="AD284" s="45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  <c r="BA284" s="27"/>
      <c r="BB284" s="23"/>
      <c r="BC284" s="23"/>
      <c r="BD284" s="23"/>
      <c r="BE284" s="23"/>
      <c r="BF284" s="23"/>
      <c r="BG284" s="23"/>
      <c r="BH284" s="23"/>
      <c r="BI284" s="23"/>
    </row>
    <row r="285" spans="1:61" s="44" customFormat="1" ht="15" customHeight="1" outlineLevel="1">
      <c r="G285" s="23"/>
    </row>
    <row r="286" spans="1:61" ht="15" customHeight="1" outlineLevel="1">
      <c r="B286" s="57"/>
      <c r="C286" s="57"/>
      <c r="D286" s="57"/>
      <c r="E286" s="39"/>
      <c r="F286" s="39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I286" s="27"/>
    </row>
    <row r="287" spans="1:61" ht="15" customHeight="1">
      <c r="B287" s="33"/>
      <c r="C287" s="33"/>
      <c r="D287" s="33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I287" s="27"/>
    </row>
    <row r="288" spans="1:61" s="27" customFormat="1" ht="15" customHeight="1">
      <c r="A288" s="152" t="s">
        <v>11</v>
      </c>
      <c r="B288" s="24" t="s">
        <v>82</v>
      </c>
      <c r="C288" s="24"/>
      <c r="D288" s="24"/>
      <c r="E288" s="25"/>
      <c r="F288" s="25"/>
      <c r="G288" s="25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24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24"/>
      <c r="AE288" s="23"/>
      <c r="AG288" s="23"/>
      <c r="AH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</row>
    <row r="289" spans="1:57" s="27" customFormat="1" ht="15" customHeight="1" outlineLevel="1">
      <c r="A289" s="152"/>
      <c r="B289" s="28"/>
      <c r="C289" s="28"/>
      <c r="D289" s="28"/>
      <c r="E289" s="29"/>
      <c r="F289" s="29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G289" s="23"/>
      <c r="AH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</row>
    <row r="290" spans="1:57" s="27" customFormat="1" ht="15" customHeight="1" outlineLevel="1">
      <c r="A290" s="152"/>
      <c r="B290" s="31" t="s">
        <v>13</v>
      </c>
      <c r="C290" s="28"/>
      <c r="D290" s="28"/>
      <c r="E290" s="29"/>
      <c r="F290" s="29"/>
      <c r="G290" s="48">
        <f t="shared" ref="G290:AD290" si="84">G$5</f>
        <v>2024</v>
      </c>
      <c r="H290" s="49">
        <f t="shared" si="84"/>
        <v>2024</v>
      </c>
      <c r="I290" s="49">
        <f t="shared" si="84"/>
        <v>2024</v>
      </c>
      <c r="J290" s="50">
        <f t="shared" si="84"/>
        <v>2024</v>
      </c>
      <c r="K290" s="49">
        <f t="shared" si="84"/>
        <v>2024</v>
      </c>
      <c r="L290" s="49">
        <f t="shared" si="84"/>
        <v>2024</v>
      </c>
      <c r="M290" s="50">
        <f t="shared" si="84"/>
        <v>2024</v>
      </c>
      <c r="N290" s="49">
        <f t="shared" si="84"/>
        <v>2024</v>
      </c>
      <c r="O290" s="49">
        <f t="shared" si="84"/>
        <v>2024</v>
      </c>
      <c r="P290" s="50">
        <f t="shared" si="84"/>
        <v>2024</v>
      </c>
      <c r="Q290" s="51">
        <f t="shared" si="84"/>
        <v>2024</v>
      </c>
      <c r="R290" s="255">
        <f t="shared" si="84"/>
        <v>2024</v>
      </c>
      <c r="S290" s="52">
        <f t="shared" si="84"/>
        <v>2025</v>
      </c>
      <c r="T290" s="51">
        <f t="shared" si="84"/>
        <v>2025</v>
      </c>
      <c r="U290" s="51">
        <f t="shared" si="84"/>
        <v>2025</v>
      </c>
      <c r="V290" s="53">
        <f t="shared" si="84"/>
        <v>2025</v>
      </c>
      <c r="W290" s="51">
        <f t="shared" si="84"/>
        <v>2025</v>
      </c>
      <c r="X290" s="51">
        <f t="shared" si="84"/>
        <v>2025</v>
      </c>
      <c r="Y290" s="53">
        <f t="shared" si="84"/>
        <v>2025</v>
      </c>
      <c r="Z290" s="51">
        <f t="shared" si="84"/>
        <v>2025</v>
      </c>
      <c r="AA290" s="51">
        <f t="shared" si="84"/>
        <v>2025</v>
      </c>
      <c r="AB290" s="53">
        <f t="shared" si="84"/>
        <v>2025</v>
      </c>
      <c r="AC290" s="51">
        <f t="shared" si="84"/>
        <v>2025</v>
      </c>
      <c r="AD290" s="255">
        <f t="shared" si="84"/>
        <v>2025</v>
      </c>
      <c r="AE290" s="40"/>
      <c r="AG290" s="23"/>
      <c r="AH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</row>
    <row r="291" spans="1:57" ht="15" customHeight="1" outlineLevel="1">
      <c r="C291" s="31"/>
      <c r="D291" s="31"/>
      <c r="E291" s="32"/>
      <c r="F291" s="32"/>
      <c r="G291" s="256">
        <f t="shared" ref="G291:AD291" si="85">G$6</f>
        <v>1</v>
      </c>
      <c r="H291" s="257">
        <f t="shared" si="85"/>
        <v>1</v>
      </c>
      <c r="I291" s="54">
        <f t="shared" si="85"/>
        <v>1</v>
      </c>
      <c r="J291" s="258">
        <f t="shared" si="85"/>
        <v>2</v>
      </c>
      <c r="K291" s="257">
        <f t="shared" si="85"/>
        <v>2</v>
      </c>
      <c r="L291" s="215">
        <f t="shared" si="85"/>
        <v>2</v>
      </c>
      <c r="M291" s="258">
        <f t="shared" si="85"/>
        <v>3</v>
      </c>
      <c r="N291" s="257">
        <f t="shared" si="85"/>
        <v>3</v>
      </c>
      <c r="O291" s="215">
        <f t="shared" si="85"/>
        <v>3</v>
      </c>
      <c r="P291" s="216">
        <f t="shared" si="85"/>
        <v>4</v>
      </c>
      <c r="Q291" s="214">
        <f t="shared" si="85"/>
        <v>4</v>
      </c>
      <c r="R291" s="215">
        <f t="shared" si="85"/>
        <v>4</v>
      </c>
      <c r="S291" s="213">
        <f t="shared" si="85"/>
        <v>1</v>
      </c>
      <c r="T291" s="214">
        <f t="shared" si="85"/>
        <v>1</v>
      </c>
      <c r="U291" s="215">
        <f t="shared" si="85"/>
        <v>1</v>
      </c>
      <c r="V291" s="216">
        <f t="shared" si="85"/>
        <v>2</v>
      </c>
      <c r="W291" s="214">
        <f t="shared" si="85"/>
        <v>2</v>
      </c>
      <c r="X291" s="215">
        <f t="shared" si="85"/>
        <v>2</v>
      </c>
      <c r="Y291" s="216">
        <f t="shared" si="85"/>
        <v>3</v>
      </c>
      <c r="Z291" s="214">
        <f t="shared" si="85"/>
        <v>3</v>
      </c>
      <c r="AA291" s="215">
        <f t="shared" si="85"/>
        <v>3</v>
      </c>
      <c r="AB291" s="216">
        <f t="shared" si="85"/>
        <v>4</v>
      </c>
      <c r="AC291" s="214">
        <f t="shared" si="85"/>
        <v>4</v>
      </c>
      <c r="AD291" s="215">
        <f t="shared" si="85"/>
        <v>4</v>
      </c>
      <c r="AE291" s="40"/>
      <c r="AI291" s="27"/>
    </row>
    <row r="292" spans="1:57" ht="15" customHeight="1" outlineLevel="1" thickBot="1">
      <c r="G292" s="218">
        <f t="shared" ref="G292:AD292" si="86">G$7</f>
        <v>45322</v>
      </c>
      <c r="H292" s="219">
        <f t="shared" si="86"/>
        <v>45351</v>
      </c>
      <c r="I292" s="219">
        <f t="shared" si="86"/>
        <v>45382</v>
      </c>
      <c r="J292" s="220">
        <f t="shared" si="86"/>
        <v>45412</v>
      </c>
      <c r="K292" s="219">
        <f t="shared" si="86"/>
        <v>45443</v>
      </c>
      <c r="L292" s="219">
        <f t="shared" si="86"/>
        <v>45473</v>
      </c>
      <c r="M292" s="220">
        <f t="shared" si="86"/>
        <v>45504</v>
      </c>
      <c r="N292" s="219">
        <f t="shared" si="86"/>
        <v>45535</v>
      </c>
      <c r="O292" s="219">
        <f t="shared" si="86"/>
        <v>45565</v>
      </c>
      <c r="P292" s="220">
        <f t="shared" si="86"/>
        <v>45596</v>
      </c>
      <c r="Q292" s="219">
        <f t="shared" si="86"/>
        <v>45626</v>
      </c>
      <c r="R292" s="219">
        <f t="shared" si="86"/>
        <v>45657</v>
      </c>
      <c r="S292" s="218">
        <f t="shared" si="86"/>
        <v>45688</v>
      </c>
      <c r="T292" s="219">
        <f t="shared" si="86"/>
        <v>45716</v>
      </c>
      <c r="U292" s="219">
        <f t="shared" si="86"/>
        <v>45747</v>
      </c>
      <c r="V292" s="220">
        <f t="shared" si="86"/>
        <v>45777</v>
      </c>
      <c r="W292" s="219">
        <f t="shared" si="86"/>
        <v>45808</v>
      </c>
      <c r="X292" s="219">
        <f t="shared" si="86"/>
        <v>45838</v>
      </c>
      <c r="Y292" s="220">
        <f t="shared" si="86"/>
        <v>45869</v>
      </c>
      <c r="Z292" s="219">
        <f t="shared" si="86"/>
        <v>45900</v>
      </c>
      <c r="AA292" s="219">
        <f t="shared" si="86"/>
        <v>45930</v>
      </c>
      <c r="AB292" s="220">
        <f t="shared" si="86"/>
        <v>45961</v>
      </c>
      <c r="AC292" s="219">
        <f t="shared" si="86"/>
        <v>45991</v>
      </c>
      <c r="AD292" s="219">
        <f t="shared" si="86"/>
        <v>46022</v>
      </c>
      <c r="AE292" s="40"/>
      <c r="AI292" s="27"/>
    </row>
    <row r="293" spans="1:57" ht="15" customHeight="1" outlineLevel="1">
      <c r="G293" s="278"/>
      <c r="H293" s="278"/>
      <c r="I293" s="278"/>
      <c r="J293" s="278"/>
      <c r="K293" s="278"/>
      <c r="L293" s="278"/>
      <c r="M293" s="278"/>
      <c r="N293" s="278"/>
      <c r="O293" s="279"/>
      <c r="P293" s="279"/>
      <c r="Q293" s="279"/>
      <c r="R293" s="279"/>
      <c r="S293" s="279"/>
      <c r="T293" s="279"/>
      <c r="U293" s="280"/>
      <c r="V293" s="280"/>
      <c r="W293" s="280"/>
      <c r="X293" s="279"/>
      <c r="Y293" s="279"/>
      <c r="Z293" s="279"/>
      <c r="AA293" s="279"/>
      <c r="AB293" s="279"/>
      <c r="AC293" s="279"/>
      <c r="AD293" s="279"/>
      <c r="AI293" s="27"/>
    </row>
    <row r="294" spans="1:57" ht="15" customHeight="1" outlineLevel="1">
      <c r="B294" s="190" t="s">
        <v>83</v>
      </c>
      <c r="C294" s="190"/>
      <c r="D294" s="190"/>
      <c r="G294" s="55">
        <f t="shared" ref="G294:AD294" si="87">G$8</f>
        <v>1</v>
      </c>
      <c r="H294" s="55">
        <f t="shared" si="87"/>
        <v>1</v>
      </c>
      <c r="I294" s="55">
        <f t="shared" si="87"/>
        <v>1</v>
      </c>
      <c r="J294" s="55">
        <f t="shared" si="87"/>
        <v>1</v>
      </c>
      <c r="K294" s="55">
        <f t="shared" si="87"/>
        <v>1</v>
      </c>
      <c r="L294" s="55">
        <f t="shared" si="87"/>
        <v>1</v>
      </c>
      <c r="M294" s="55">
        <f t="shared" si="87"/>
        <v>1</v>
      </c>
      <c r="N294" s="55">
        <f t="shared" si="87"/>
        <v>1</v>
      </c>
      <c r="O294" s="55">
        <f t="shared" si="87"/>
        <v>1</v>
      </c>
      <c r="P294" s="55">
        <f t="shared" si="87"/>
        <v>1</v>
      </c>
      <c r="Q294" s="55">
        <f t="shared" si="87"/>
        <v>1</v>
      </c>
      <c r="R294" s="55">
        <f t="shared" si="87"/>
        <v>1</v>
      </c>
      <c r="S294" s="55">
        <f t="shared" si="87"/>
        <v>0</v>
      </c>
      <c r="T294" s="55">
        <f t="shared" si="87"/>
        <v>0</v>
      </c>
      <c r="U294" s="55">
        <f t="shared" si="87"/>
        <v>0</v>
      </c>
      <c r="V294" s="55">
        <f t="shared" si="87"/>
        <v>0</v>
      </c>
      <c r="W294" s="55">
        <f t="shared" si="87"/>
        <v>0</v>
      </c>
      <c r="X294" s="55">
        <f t="shared" si="87"/>
        <v>0</v>
      </c>
      <c r="Y294" s="55">
        <f t="shared" si="87"/>
        <v>0</v>
      </c>
      <c r="Z294" s="55">
        <f t="shared" si="87"/>
        <v>0</v>
      </c>
      <c r="AA294" s="55">
        <f t="shared" si="87"/>
        <v>0</v>
      </c>
      <c r="AB294" s="55">
        <f t="shared" si="87"/>
        <v>0</v>
      </c>
      <c r="AC294" s="55">
        <f t="shared" si="87"/>
        <v>0</v>
      </c>
      <c r="AD294" s="55">
        <f t="shared" si="87"/>
        <v>0</v>
      </c>
      <c r="AI294" s="27"/>
    </row>
    <row r="295" spans="1:57" ht="15" customHeight="1" outlineLevel="1">
      <c r="B295" s="46" t="s">
        <v>54</v>
      </c>
      <c r="C295" s="190"/>
      <c r="D295" s="190"/>
      <c r="G295" s="300">
        <f>G112</f>
        <v>229.45081967213113</v>
      </c>
      <c r="H295" s="301">
        <f t="shared" ref="H295:AD295" si="88">H112</f>
        <v>214.64754098360655</v>
      </c>
      <c r="I295" s="301">
        <f t="shared" si="88"/>
        <v>229.45081967213113</v>
      </c>
      <c r="J295" s="300">
        <f t="shared" si="88"/>
        <v>222.04918032786887</v>
      </c>
      <c r="K295" s="301">
        <f t="shared" si="88"/>
        <v>229.45081967213113</v>
      </c>
      <c r="L295" s="301">
        <f t="shared" si="88"/>
        <v>222.04918032786887</v>
      </c>
      <c r="M295" s="300">
        <f t="shared" si="88"/>
        <v>229.45081967213113</v>
      </c>
      <c r="N295" s="301">
        <f t="shared" si="88"/>
        <v>256.7732240437158</v>
      </c>
      <c r="O295" s="301">
        <f t="shared" si="88"/>
        <v>274.01639344262293</v>
      </c>
      <c r="P295" s="300">
        <f t="shared" si="88"/>
        <v>283.15027322404376</v>
      </c>
      <c r="Q295" s="301">
        <f t="shared" si="88"/>
        <v>274.01639344262293</v>
      </c>
      <c r="R295" s="301">
        <f t="shared" si="88"/>
        <v>283.15027322404376</v>
      </c>
      <c r="S295" s="300">
        <f t="shared" si="88"/>
        <v>286.64383561643837</v>
      </c>
      <c r="T295" s="301">
        <f t="shared" si="88"/>
        <v>258.90410958904107</v>
      </c>
      <c r="U295" s="301">
        <f t="shared" si="88"/>
        <v>286.64383561643837</v>
      </c>
      <c r="V295" s="300">
        <f t="shared" si="88"/>
        <v>285.61643835616445</v>
      </c>
      <c r="W295" s="301">
        <f t="shared" si="88"/>
        <v>295.13698630136986</v>
      </c>
      <c r="X295" s="301">
        <f t="shared" si="88"/>
        <v>285.61643835616445</v>
      </c>
      <c r="Y295" s="300">
        <f t="shared" si="88"/>
        <v>295.13698630136986</v>
      </c>
      <c r="Z295" s="301">
        <f t="shared" si="88"/>
        <v>295.13698630136986</v>
      </c>
      <c r="AA295" s="301">
        <f t="shared" si="88"/>
        <v>285.61643835616445</v>
      </c>
      <c r="AB295" s="300">
        <f t="shared" si="88"/>
        <v>295.13698630136986</v>
      </c>
      <c r="AC295" s="301">
        <f t="shared" si="88"/>
        <v>285.61643835616445</v>
      </c>
      <c r="AD295" s="301">
        <f t="shared" si="88"/>
        <v>295.13698630136986</v>
      </c>
      <c r="AE295" s="37"/>
      <c r="AI295" s="27"/>
    </row>
    <row r="296" spans="1:57" ht="15" customHeight="1" outlineLevel="1">
      <c r="B296" s="46" t="s">
        <v>84</v>
      </c>
      <c r="C296" s="190"/>
      <c r="D296" s="190"/>
      <c r="G296" s="302">
        <f>G137</f>
        <v>67.488524590163934</v>
      </c>
      <c r="H296" s="303">
        <f t="shared" ref="H296:AD296" si="89">H137</f>
        <v>63.134426229508193</v>
      </c>
      <c r="I296" s="303">
        <f t="shared" si="89"/>
        <v>67.488524590163934</v>
      </c>
      <c r="J296" s="302">
        <f t="shared" si="89"/>
        <v>65.311475409836063</v>
      </c>
      <c r="K296" s="303">
        <f t="shared" si="89"/>
        <v>67.488524590163934</v>
      </c>
      <c r="L296" s="303">
        <f t="shared" si="89"/>
        <v>65.311475409836063</v>
      </c>
      <c r="M296" s="302">
        <f t="shared" si="89"/>
        <v>67.488524590163934</v>
      </c>
      <c r="N296" s="303">
        <f t="shared" si="89"/>
        <v>75.446174863387995</v>
      </c>
      <c r="O296" s="303">
        <f t="shared" si="89"/>
        <v>79.495901639344268</v>
      </c>
      <c r="P296" s="302">
        <f t="shared" si="89"/>
        <v>82.145765027322426</v>
      </c>
      <c r="Q296" s="303">
        <f t="shared" si="89"/>
        <v>79.495901639344268</v>
      </c>
      <c r="R296" s="303">
        <f t="shared" si="89"/>
        <v>82.145765027322426</v>
      </c>
      <c r="S296" s="302">
        <f t="shared" si="89"/>
        <v>82.978082191780814</v>
      </c>
      <c r="T296" s="303">
        <f t="shared" si="89"/>
        <v>74.947945205479456</v>
      </c>
      <c r="U296" s="303">
        <f t="shared" si="89"/>
        <v>82.978082191780814</v>
      </c>
      <c r="V296" s="302">
        <f t="shared" si="89"/>
        <v>82.767123287671225</v>
      </c>
      <c r="W296" s="303">
        <f t="shared" si="89"/>
        <v>85.52602739726025</v>
      </c>
      <c r="X296" s="303">
        <f t="shared" si="89"/>
        <v>82.767123287671225</v>
      </c>
      <c r="Y296" s="302">
        <f t="shared" si="89"/>
        <v>85.52602739726025</v>
      </c>
      <c r="Z296" s="303">
        <f t="shared" si="89"/>
        <v>85.52602739726025</v>
      </c>
      <c r="AA296" s="303">
        <f t="shared" si="89"/>
        <v>82.767123287671225</v>
      </c>
      <c r="AB296" s="302">
        <f t="shared" si="89"/>
        <v>85.52602739726025</v>
      </c>
      <c r="AC296" s="303">
        <f t="shared" si="89"/>
        <v>82.767123287671225</v>
      </c>
      <c r="AD296" s="303">
        <f t="shared" si="89"/>
        <v>85.52602739726025</v>
      </c>
      <c r="AE296" s="37"/>
      <c r="AI296" s="27"/>
    </row>
    <row r="297" spans="1:57" ht="15" customHeight="1" outlineLevel="1">
      <c r="B297" s="46" t="s">
        <v>85</v>
      </c>
      <c r="C297" s="190"/>
      <c r="D297" s="190"/>
      <c r="G297" s="302">
        <f>G149</f>
        <v>57.992868852459011</v>
      </c>
      <c r="H297" s="303">
        <f t="shared" ref="H297:AD297" si="90">H149</f>
        <v>54.251393442622948</v>
      </c>
      <c r="I297" s="303">
        <f t="shared" si="90"/>
        <v>57.992868852459011</v>
      </c>
      <c r="J297" s="302">
        <f t="shared" si="90"/>
        <v>56.122131147540983</v>
      </c>
      <c r="K297" s="303">
        <f t="shared" si="90"/>
        <v>57.992868852459011</v>
      </c>
      <c r="L297" s="303">
        <f t="shared" si="90"/>
        <v>56.122131147540983</v>
      </c>
      <c r="M297" s="302">
        <f t="shared" si="90"/>
        <v>57.992868852459011</v>
      </c>
      <c r="N297" s="303">
        <f t="shared" si="90"/>
        <v>63.552978142076498</v>
      </c>
      <c r="O297" s="303">
        <f t="shared" si="90"/>
        <v>66.527049180327865</v>
      </c>
      <c r="P297" s="302">
        <f t="shared" si="90"/>
        <v>68.744617486338782</v>
      </c>
      <c r="Q297" s="303">
        <f t="shared" si="90"/>
        <v>66.527049180327865</v>
      </c>
      <c r="R297" s="303">
        <f t="shared" si="90"/>
        <v>68.744617486338782</v>
      </c>
      <c r="S297" s="302">
        <f t="shared" si="90"/>
        <v>71.987945205479463</v>
      </c>
      <c r="T297" s="303">
        <f t="shared" si="90"/>
        <v>65.021369863013703</v>
      </c>
      <c r="U297" s="303">
        <f t="shared" si="90"/>
        <v>71.987945205479463</v>
      </c>
      <c r="V297" s="302">
        <f t="shared" si="90"/>
        <v>71.699999999999989</v>
      </c>
      <c r="W297" s="303">
        <f t="shared" si="90"/>
        <v>74.09</v>
      </c>
      <c r="X297" s="303">
        <f t="shared" si="90"/>
        <v>71.699999999999989</v>
      </c>
      <c r="Y297" s="302">
        <f t="shared" si="90"/>
        <v>74.09</v>
      </c>
      <c r="Z297" s="303">
        <f t="shared" si="90"/>
        <v>74.09</v>
      </c>
      <c r="AA297" s="303">
        <f t="shared" si="90"/>
        <v>71.699999999999989</v>
      </c>
      <c r="AB297" s="302">
        <f t="shared" si="90"/>
        <v>74.09</v>
      </c>
      <c r="AC297" s="303">
        <f t="shared" si="90"/>
        <v>71.699999999999989</v>
      </c>
      <c r="AD297" s="303">
        <f t="shared" si="90"/>
        <v>74.09</v>
      </c>
      <c r="AE297" s="37"/>
      <c r="AI297" s="27"/>
    </row>
    <row r="298" spans="1:57" ht="15" customHeight="1" outlineLevel="1">
      <c r="B298" s="46" t="s">
        <v>86</v>
      </c>
      <c r="C298" s="190"/>
      <c r="D298" s="190"/>
      <c r="G298" s="300">
        <f>SUM(G295:G297)</f>
        <v>354.93221311475412</v>
      </c>
      <c r="H298" s="301">
        <f t="shared" ref="H298:AD298" si="91">SUM(H295:H297)</f>
        <v>332.03336065573768</v>
      </c>
      <c r="I298" s="301">
        <f t="shared" si="91"/>
        <v>354.93221311475412</v>
      </c>
      <c r="J298" s="300">
        <f t="shared" si="91"/>
        <v>343.4827868852459</v>
      </c>
      <c r="K298" s="301">
        <f t="shared" si="91"/>
        <v>354.93221311475412</v>
      </c>
      <c r="L298" s="301">
        <f t="shared" si="91"/>
        <v>343.4827868852459</v>
      </c>
      <c r="M298" s="300">
        <f t="shared" si="91"/>
        <v>354.93221311475412</v>
      </c>
      <c r="N298" s="301">
        <f t="shared" si="91"/>
        <v>395.77237704918031</v>
      </c>
      <c r="O298" s="301">
        <f t="shared" si="91"/>
        <v>420.03934426229506</v>
      </c>
      <c r="P298" s="300">
        <f t="shared" si="91"/>
        <v>434.04065573770498</v>
      </c>
      <c r="Q298" s="301">
        <f t="shared" si="91"/>
        <v>420.03934426229506</v>
      </c>
      <c r="R298" s="301">
        <f t="shared" si="91"/>
        <v>434.04065573770498</v>
      </c>
      <c r="S298" s="300">
        <f t="shared" si="91"/>
        <v>441.6098630136986</v>
      </c>
      <c r="T298" s="301">
        <f t="shared" si="91"/>
        <v>398.87342465753426</v>
      </c>
      <c r="U298" s="301">
        <f t="shared" si="91"/>
        <v>441.6098630136986</v>
      </c>
      <c r="V298" s="300">
        <f t="shared" si="91"/>
        <v>440.08356164383565</v>
      </c>
      <c r="W298" s="301">
        <f t="shared" si="91"/>
        <v>454.75301369863007</v>
      </c>
      <c r="X298" s="301">
        <f t="shared" si="91"/>
        <v>440.08356164383565</v>
      </c>
      <c r="Y298" s="300">
        <f t="shared" si="91"/>
        <v>454.75301369863007</v>
      </c>
      <c r="Z298" s="301">
        <f t="shared" si="91"/>
        <v>454.75301369863007</v>
      </c>
      <c r="AA298" s="301">
        <f t="shared" si="91"/>
        <v>440.08356164383565</v>
      </c>
      <c r="AB298" s="300">
        <f t="shared" si="91"/>
        <v>454.75301369863007</v>
      </c>
      <c r="AC298" s="301">
        <f t="shared" si="91"/>
        <v>440.08356164383565</v>
      </c>
      <c r="AD298" s="301">
        <f t="shared" si="91"/>
        <v>454.75301369863007</v>
      </c>
      <c r="AE298" s="37"/>
      <c r="AI298" s="27"/>
    </row>
    <row r="299" spans="1:57" ht="15" customHeight="1" outlineLevel="1">
      <c r="B299" s="343"/>
      <c r="C299" s="190"/>
      <c r="D299" s="190"/>
      <c r="G299" s="337"/>
      <c r="H299" s="337"/>
      <c r="I299" s="337"/>
      <c r="J299" s="337"/>
      <c r="K299" s="337"/>
      <c r="L299" s="337"/>
      <c r="M299" s="337"/>
      <c r="N299" s="337"/>
      <c r="O299" s="337"/>
      <c r="P299" s="337"/>
      <c r="Q299" s="337"/>
      <c r="R299" s="337"/>
      <c r="S299" s="337"/>
      <c r="T299" s="337"/>
      <c r="U299" s="337"/>
      <c r="V299" s="337"/>
      <c r="W299" s="337"/>
      <c r="X299" s="337"/>
      <c r="Y299" s="337"/>
      <c r="Z299" s="337"/>
      <c r="AA299" s="337"/>
      <c r="AB299" s="337"/>
      <c r="AC299" s="337"/>
      <c r="AD299" s="337"/>
      <c r="AI299" s="27"/>
    </row>
    <row r="300" spans="1:57" ht="15" customHeight="1" outlineLevel="1">
      <c r="B300" s="343"/>
      <c r="C300" s="190"/>
      <c r="D300" s="190"/>
      <c r="G300" s="339"/>
      <c r="H300" s="339"/>
      <c r="I300" s="339"/>
      <c r="J300" s="339"/>
      <c r="K300" s="339"/>
      <c r="L300" s="339"/>
      <c r="M300" s="339"/>
      <c r="N300" s="339"/>
      <c r="O300" s="339"/>
      <c r="P300" s="339"/>
      <c r="Q300" s="339"/>
      <c r="R300" s="339"/>
      <c r="S300" s="339"/>
      <c r="T300" s="339"/>
      <c r="U300" s="339"/>
      <c r="V300" s="339"/>
      <c r="W300" s="339"/>
      <c r="X300" s="339"/>
      <c r="Y300" s="339"/>
      <c r="Z300" s="339"/>
      <c r="AA300" s="339"/>
      <c r="AB300" s="339"/>
      <c r="AC300" s="339"/>
      <c r="AD300" s="339"/>
      <c r="AI300" s="27"/>
    </row>
    <row r="301" spans="1:57" ht="15" customHeight="1" outlineLevel="1">
      <c r="B301" s="190" t="s">
        <v>87</v>
      </c>
      <c r="C301" s="190"/>
      <c r="D301" s="190"/>
      <c r="G301" s="55">
        <f t="shared" ref="G301:AD301" si="92">G$8</f>
        <v>1</v>
      </c>
      <c r="H301" s="55">
        <f t="shared" si="92"/>
        <v>1</v>
      </c>
      <c r="I301" s="55">
        <f t="shared" si="92"/>
        <v>1</v>
      </c>
      <c r="J301" s="55">
        <f t="shared" si="92"/>
        <v>1</v>
      </c>
      <c r="K301" s="55">
        <f t="shared" si="92"/>
        <v>1</v>
      </c>
      <c r="L301" s="55">
        <f t="shared" si="92"/>
        <v>1</v>
      </c>
      <c r="M301" s="55">
        <f t="shared" si="92"/>
        <v>1</v>
      </c>
      <c r="N301" s="55">
        <f t="shared" si="92"/>
        <v>1</v>
      </c>
      <c r="O301" s="55">
        <f t="shared" si="92"/>
        <v>1</v>
      </c>
      <c r="P301" s="55">
        <f t="shared" si="92"/>
        <v>1</v>
      </c>
      <c r="Q301" s="55">
        <f t="shared" si="92"/>
        <v>1</v>
      </c>
      <c r="R301" s="55">
        <f t="shared" si="92"/>
        <v>1</v>
      </c>
      <c r="S301" s="55">
        <f t="shared" si="92"/>
        <v>0</v>
      </c>
      <c r="T301" s="55">
        <f t="shared" si="92"/>
        <v>0</v>
      </c>
      <c r="U301" s="55">
        <f t="shared" si="92"/>
        <v>0</v>
      </c>
      <c r="V301" s="55">
        <f t="shared" si="92"/>
        <v>0</v>
      </c>
      <c r="W301" s="55">
        <f t="shared" si="92"/>
        <v>0</v>
      </c>
      <c r="X301" s="55">
        <f t="shared" si="92"/>
        <v>0</v>
      </c>
      <c r="Y301" s="55">
        <f t="shared" si="92"/>
        <v>0</v>
      </c>
      <c r="Z301" s="55">
        <f t="shared" si="92"/>
        <v>0</v>
      </c>
      <c r="AA301" s="55">
        <f t="shared" si="92"/>
        <v>0</v>
      </c>
      <c r="AB301" s="55">
        <f t="shared" si="92"/>
        <v>0</v>
      </c>
      <c r="AC301" s="55">
        <f t="shared" si="92"/>
        <v>0</v>
      </c>
      <c r="AD301" s="55">
        <f t="shared" si="92"/>
        <v>0</v>
      </c>
      <c r="AI301" s="27"/>
    </row>
    <row r="302" spans="1:57" ht="15" customHeight="1" outlineLevel="1">
      <c r="B302" s="46" t="s">
        <v>86</v>
      </c>
      <c r="C302" s="190"/>
      <c r="D302" s="190"/>
      <c r="G302" s="300">
        <f>G298</f>
        <v>354.93221311475412</v>
      </c>
      <c r="H302" s="301">
        <f t="shared" ref="H302:AD302" si="93">H298</f>
        <v>332.03336065573768</v>
      </c>
      <c r="I302" s="301">
        <f t="shared" si="93"/>
        <v>354.93221311475412</v>
      </c>
      <c r="J302" s="300">
        <f t="shared" si="93"/>
        <v>343.4827868852459</v>
      </c>
      <c r="K302" s="301">
        <f t="shared" si="93"/>
        <v>354.93221311475412</v>
      </c>
      <c r="L302" s="301">
        <f t="shared" si="93"/>
        <v>343.4827868852459</v>
      </c>
      <c r="M302" s="300">
        <f t="shared" si="93"/>
        <v>354.93221311475412</v>
      </c>
      <c r="N302" s="301">
        <f t="shared" si="93"/>
        <v>395.77237704918031</v>
      </c>
      <c r="O302" s="301">
        <f t="shared" si="93"/>
        <v>420.03934426229506</v>
      </c>
      <c r="P302" s="300">
        <f t="shared" si="93"/>
        <v>434.04065573770498</v>
      </c>
      <c r="Q302" s="301">
        <f t="shared" si="93"/>
        <v>420.03934426229506</v>
      </c>
      <c r="R302" s="301">
        <f t="shared" si="93"/>
        <v>434.04065573770498</v>
      </c>
      <c r="S302" s="300">
        <f t="shared" si="93"/>
        <v>441.6098630136986</v>
      </c>
      <c r="T302" s="301">
        <f t="shared" si="93"/>
        <v>398.87342465753426</v>
      </c>
      <c r="U302" s="301">
        <f t="shared" si="93"/>
        <v>441.6098630136986</v>
      </c>
      <c r="V302" s="300">
        <f t="shared" si="93"/>
        <v>440.08356164383565</v>
      </c>
      <c r="W302" s="301">
        <f t="shared" si="93"/>
        <v>454.75301369863007</v>
      </c>
      <c r="X302" s="301">
        <f t="shared" si="93"/>
        <v>440.08356164383565</v>
      </c>
      <c r="Y302" s="300">
        <f t="shared" si="93"/>
        <v>454.75301369863007</v>
      </c>
      <c r="Z302" s="301">
        <f t="shared" si="93"/>
        <v>454.75301369863007</v>
      </c>
      <c r="AA302" s="301">
        <f t="shared" si="93"/>
        <v>440.08356164383565</v>
      </c>
      <c r="AB302" s="300">
        <f t="shared" si="93"/>
        <v>454.75301369863007</v>
      </c>
      <c r="AC302" s="301">
        <f t="shared" si="93"/>
        <v>440.08356164383565</v>
      </c>
      <c r="AD302" s="301">
        <f t="shared" si="93"/>
        <v>454.75301369863007</v>
      </c>
      <c r="AE302" s="37"/>
      <c r="AI302" s="27"/>
    </row>
    <row r="303" spans="1:57" ht="15" customHeight="1" outlineLevel="1">
      <c r="B303" s="46" t="s">
        <v>88</v>
      </c>
      <c r="C303" s="190"/>
      <c r="D303" s="190"/>
      <c r="G303" s="302">
        <f>G245</f>
        <v>0</v>
      </c>
      <c r="H303" s="303">
        <f t="shared" ref="H303:AD303" si="94">H245</f>
        <v>42.7</v>
      </c>
      <c r="I303" s="303">
        <f t="shared" si="94"/>
        <v>0</v>
      </c>
      <c r="J303" s="302">
        <f t="shared" si="94"/>
        <v>0</v>
      </c>
      <c r="K303" s="303">
        <f t="shared" si="94"/>
        <v>55.3</v>
      </c>
      <c r="L303" s="303">
        <f t="shared" si="94"/>
        <v>0</v>
      </c>
      <c r="M303" s="302">
        <f t="shared" si="94"/>
        <v>0</v>
      </c>
      <c r="N303" s="303">
        <f t="shared" si="94"/>
        <v>55</v>
      </c>
      <c r="O303" s="303">
        <f t="shared" si="94"/>
        <v>0</v>
      </c>
      <c r="P303" s="302">
        <f t="shared" si="94"/>
        <v>0</v>
      </c>
      <c r="Q303" s="303">
        <f t="shared" si="94"/>
        <v>67.900000000000006</v>
      </c>
      <c r="R303" s="303">
        <f t="shared" si="94"/>
        <v>0</v>
      </c>
      <c r="S303" s="302">
        <f t="shared" si="94"/>
        <v>0</v>
      </c>
      <c r="T303" s="303">
        <f t="shared" si="94"/>
        <v>133</v>
      </c>
      <c r="U303" s="303">
        <f t="shared" si="94"/>
        <v>0</v>
      </c>
      <c r="V303" s="302">
        <f t="shared" si="94"/>
        <v>0</v>
      </c>
      <c r="W303" s="303">
        <f t="shared" si="94"/>
        <v>146.29999999999998</v>
      </c>
      <c r="X303" s="303">
        <f t="shared" si="94"/>
        <v>0</v>
      </c>
      <c r="Y303" s="302">
        <f t="shared" si="94"/>
        <v>0</v>
      </c>
      <c r="Z303" s="303">
        <f t="shared" si="94"/>
        <v>139.65</v>
      </c>
      <c r="AA303" s="303">
        <f t="shared" si="94"/>
        <v>0</v>
      </c>
      <c r="AB303" s="302">
        <f t="shared" si="94"/>
        <v>0</v>
      </c>
      <c r="AC303" s="303">
        <f t="shared" si="94"/>
        <v>133</v>
      </c>
      <c r="AD303" s="303">
        <f t="shared" si="94"/>
        <v>0</v>
      </c>
      <c r="AE303" s="37"/>
      <c r="AI303" s="27"/>
    </row>
    <row r="304" spans="1:57" ht="15" customHeight="1" outlineLevel="1">
      <c r="B304" s="46" t="s">
        <v>89</v>
      </c>
      <c r="C304" s="190"/>
      <c r="D304" s="190"/>
      <c r="G304" s="300">
        <f>SUM(G302:G303)</f>
        <v>354.93221311475412</v>
      </c>
      <c r="H304" s="301">
        <f t="shared" ref="H304:AD304" si="95">SUM(H302:H303)</f>
        <v>374.73336065573767</v>
      </c>
      <c r="I304" s="301">
        <f t="shared" si="95"/>
        <v>354.93221311475412</v>
      </c>
      <c r="J304" s="300">
        <f t="shared" si="95"/>
        <v>343.4827868852459</v>
      </c>
      <c r="K304" s="301">
        <f t="shared" si="95"/>
        <v>410.23221311475413</v>
      </c>
      <c r="L304" s="301">
        <f t="shared" si="95"/>
        <v>343.4827868852459</v>
      </c>
      <c r="M304" s="300">
        <f t="shared" si="95"/>
        <v>354.93221311475412</v>
      </c>
      <c r="N304" s="301">
        <f t="shared" si="95"/>
        <v>450.77237704918031</v>
      </c>
      <c r="O304" s="301">
        <f t="shared" si="95"/>
        <v>420.03934426229506</v>
      </c>
      <c r="P304" s="300">
        <f t="shared" si="95"/>
        <v>434.04065573770498</v>
      </c>
      <c r="Q304" s="301">
        <f t="shared" si="95"/>
        <v>487.93934426229509</v>
      </c>
      <c r="R304" s="301">
        <f t="shared" si="95"/>
        <v>434.04065573770498</v>
      </c>
      <c r="S304" s="300">
        <f t="shared" si="95"/>
        <v>441.6098630136986</v>
      </c>
      <c r="T304" s="301">
        <f t="shared" si="95"/>
        <v>531.87342465753431</v>
      </c>
      <c r="U304" s="301">
        <f t="shared" si="95"/>
        <v>441.6098630136986</v>
      </c>
      <c r="V304" s="300">
        <f t="shared" si="95"/>
        <v>440.08356164383565</v>
      </c>
      <c r="W304" s="301">
        <f t="shared" si="95"/>
        <v>601.05301369863002</v>
      </c>
      <c r="X304" s="301">
        <f t="shared" si="95"/>
        <v>440.08356164383565</v>
      </c>
      <c r="Y304" s="300">
        <f t="shared" si="95"/>
        <v>454.75301369863007</v>
      </c>
      <c r="Z304" s="301">
        <f t="shared" si="95"/>
        <v>594.40301369863005</v>
      </c>
      <c r="AA304" s="301">
        <f t="shared" si="95"/>
        <v>440.08356164383565</v>
      </c>
      <c r="AB304" s="300">
        <f t="shared" si="95"/>
        <v>454.75301369863007</v>
      </c>
      <c r="AC304" s="301">
        <f t="shared" si="95"/>
        <v>573.08356164383565</v>
      </c>
      <c r="AD304" s="301">
        <f t="shared" si="95"/>
        <v>454.75301369863007</v>
      </c>
      <c r="AE304" s="37"/>
      <c r="AI304" s="27"/>
    </row>
    <row r="305" spans="1:57" ht="15" customHeight="1" outlineLevel="1">
      <c r="G305" s="38"/>
      <c r="H305" s="38"/>
      <c r="I305" s="38"/>
      <c r="J305" s="38"/>
      <c r="K305" s="38"/>
      <c r="L305" s="38"/>
      <c r="M305" s="38"/>
      <c r="N305" s="38"/>
      <c r="O305" s="336"/>
      <c r="P305" s="336"/>
      <c r="Q305" s="336"/>
      <c r="R305" s="336"/>
      <c r="S305" s="336"/>
      <c r="T305" s="336"/>
      <c r="U305" s="337"/>
      <c r="V305" s="337"/>
      <c r="W305" s="337"/>
      <c r="X305" s="336"/>
      <c r="Y305" s="336"/>
      <c r="Z305" s="336"/>
      <c r="AA305" s="336"/>
      <c r="AB305" s="336"/>
      <c r="AC305" s="336"/>
      <c r="AD305" s="336"/>
      <c r="AI305" s="27"/>
    </row>
    <row r="306" spans="1:57" ht="15" customHeight="1" outlineLevel="1">
      <c r="O306" s="338"/>
      <c r="P306" s="338"/>
      <c r="Q306" s="338"/>
      <c r="R306" s="338"/>
      <c r="S306" s="338"/>
      <c r="T306" s="338"/>
      <c r="U306" s="339"/>
      <c r="V306" s="339"/>
      <c r="W306" s="339"/>
      <c r="X306" s="338"/>
      <c r="Y306" s="338"/>
      <c r="Z306" s="338"/>
      <c r="AA306" s="338"/>
      <c r="AB306" s="338"/>
      <c r="AC306" s="338"/>
      <c r="AD306" s="338"/>
      <c r="AI306" s="27"/>
    </row>
    <row r="307" spans="1:57" s="44" customFormat="1" ht="15" customHeight="1" outlineLevel="1">
      <c r="B307" s="340"/>
      <c r="C307" s="340"/>
      <c r="D307" s="340"/>
      <c r="E307" s="340"/>
      <c r="F307" s="270"/>
      <c r="G307" s="270"/>
      <c r="H307" s="270"/>
      <c r="I307" s="340"/>
      <c r="J307" s="340"/>
      <c r="K307" s="340"/>
      <c r="L307" s="340"/>
      <c r="M307" s="340"/>
      <c r="N307" s="340"/>
      <c r="O307" s="340"/>
      <c r="P307" s="340"/>
      <c r="Q307" s="340"/>
      <c r="R307" s="340"/>
      <c r="S307" s="340"/>
      <c r="T307" s="340"/>
      <c r="U307" s="340"/>
      <c r="V307" s="340"/>
      <c r="W307" s="340"/>
      <c r="X307" s="340"/>
      <c r="Y307" s="340"/>
      <c r="Z307" s="340"/>
      <c r="AA307" s="340"/>
      <c r="AB307" s="340"/>
      <c r="AC307" s="340"/>
      <c r="AD307" s="340"/>
      <c r="AE307" s="344"/>
      <c r="AG307" s="23"/>
      <c r="AH307" s="23"/>
      <c r="AI307" s="27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</row>
    <row r="308" spans="1:57" ht="15" customHeight="1" outlineLevel="1">
      <c r="B308" s="190" t="s">
        <v>90</v>
      </c>
      <c r="C308" s="190"/>
      <c r="D308" s="190"/>
      <c r="G308" s="55">
        <f t="shared" ref="G308:AD308" si="96">G$8</f>
        <v>1</v>
      </c>
      <c r="H308" s="55">
        <f t="shared" si="96"/>
        <v>1</v>
      </c>
      <c r="I308" s="55">
        <f t="shared" si="96"/>
        <v>1</v>
      </c>
      <c r="J308" s="55">
        <f t="shared" si="96"/>
        <v>1</v>
      </c>
      <c r="K308" s="55">
        <f t="shared" si="96"/>
        <v>1</v>
      </c>
      <c r="L308" s="55">
        <f t="shared" si="96"/>
        <v>1</v>
      </c>
      <c r="M308" s="55">
        <f t="shared" si="96"/>
        <v>1</v>
      </c>
      <c r="N308" s="55">
        <f t="shared" si="96"/>
        <v>1</v>
      </c>
      <c r="O308" s="55">
        <f t="shared" si="96"/>
        <v>1</v>
      </c>
      <c r="P308" s="55">
        <f t="shared" si="96"/>
        <v>1</v>
      </c>
      <c r="Q308" s="55">
        <f t="shared" si="96"/>
        <v>1</v>
      </c>
      <c r="R308" s="55">
        <f t="shared" si="96"/>
        <v>1</v>
      </c>
      <c r="S308" s="55">
        <f t="shared" si="96"/>
        <v>0</v>
      </c>
      <c r="T308" s="55">
        <f t="shared" si="96"/>
        <v>0</v>
      </c>
      <c r="U308" s="55">
        <f t="shared" si="96"/>
        <v>0</v>
      </c>
      <c r="V308" s="55">
        <f t="shared" si="96"/>
        <v>0</v>
      </c>
      <c r="W308" s="55">
        <f t="shared" si="96"/>
        <v>0</v>
      </c>
      <c r="X308" s="55">
        <f t="shared" si="96"/>
        <v>0</v>
      </c>
      <c r="Y308" s="55">
        <f t="shared" si="96"/>
        <v>0</v>
      </c>
      <c r="Z308" s="55">
        <f t="shared" si="96"/>
        <v>0</v>
      </c>
      <c r="AA308" s="55">
        <f t="shared" si="96"/>
        <v>0</v>
      </c>
      <c r="AB308" s="55">
        <f t="shared" si="96"/>
        <v>0</v>
      </c>
      <c r="AC308" s="55">
        <f t="shared" si="96"/>
        <v>0</v>
      </c>
      <c r="AD308" s="55">
        <f t="shared" si="96"/>
        <v>0</v>
      </c>
      <c r="AI308" s="27"/>
    </row>
    <row r="309" spans="1:57" ht="15" customHeight="1" outlineLevel="1">
      <c r="B309" s="46" t="s">
        <v>91</v>
      </c>
      <c r="C309" s="190"/>
      <c r="D309" s="190"/>
      <c r="G309" s="282">
        <v>15</v>
      </c>
      <c r="H309" s="283">
        <v>15</v>
      </c>
      <c r="I309" s="283">
        <v>15</v>
      </c>
      <c r="J309" s="282">
        <v>15</v>
      </c>
      <c r="K309" s="283">
        <v>15</v>
      </c>
      <c r="L309" s="283">
        <v>15</v>
      </c>
      <c r="M309" s="282">
        <v>15</v>
      </c>
      <c r="N309" s="283">
        <v>15</v>
      </c>
      <c r="O309" s="283">
        <v>15</v>
      </c>
      <c r="P309" s="282">
        <v>15</v>
      </c>
      <c r="Q309" s="283">
        <v>15</v>
      </c>
      <c r="R309" s="283">
        <v>15</v>
      </c>
      <c r="S309" s="282">
        <v>17</v>
      </c>
      <c r="T309" s="283">
        <v>17</v>
      </c>
      <c r="U309" s="283">
        <v>17</v>
      </c>
      <c r="V309" s="282">
        <v>17</v>
      </c>
      <c r="W309" s="283">
        <v>17</v>
      </c>
      <c r="X309" s="283">
        <v>17</v>
      </c>
      <c r="Y309" s="282">
        <v>17</v>
      </c>
      <c r="Z309" s="283">
        <v>17</v>
      </c>
      <c r="AA309" s="283">
        <v>17</v>
      </c>
      <c r="AB309" s="282">
        <v>17</v>
      </c>
      <c r="AC309" s="283">
        <v>17</v>
      </c>
      <c r="AD309" s="283">
        <v>17</v>
      </c>
      <c r="AE309" s="37"/>
      <c r="AI309" s="27"/>
    </row>
    <row r="310" spans="1:57" ht="15" customHeight="1" outlineLevel="1">
      <c r="B310" s="46" t="s">
        <v>92</v>
      </c>
      <c r="C310" s="190"/>
      <c r="D310" s="190"/>
      <c r="G310" s="284">
        <v>14</v>
      </c>
      <c r="H310" s="285">
        <v>14</v>
      </c>
      <c r="I310" s="285">
        <v>14</v>
      </c>
      <c r="J310" s="284">
        <v>14</v>
      </c>
      <c r="K310" s="285">
        <v>14</v>
      </c>
      <c r="L310" s="285">
        <v>14</v>
      </c>
      <c r="M310" s="284">
        <v>14</v>
      </c>
      <c r="N310" s="285">
        <v>14</v>
      </c>
      <c r="O310" s="285">
        <v>14</v>
      </c>
      <c r="P310" s="284">
        <v>14</v>
      </c>
      <c r="Q310" s="285">
        <v>14</v>
      </c>
      <c r="R310" s="285">
        <v>14</v>
      </c>
      <c r="S310" s="284">
        <v>16</v>
      </c>
      <c r="T310" s="285">
        <v>16</v>
      </c>
      <c r="U310" s="285">
        <v>16</v>
      </c>
      <c r="V310" s="284">
        <v>16</v>
      </c>
      <c r="W310" s="285">
        <v>16</v>
      </c>
      <c r="X310" s="285">
        <v>16</v>
      </c>
      <c r="Y310" s="284">
        <v>16</v>
      </c>
      <c r="Z310" s="285">
        <v>16</v>
      </c>
      <c r="AA310" s="285">
        <v>16</v>
      </c>
      <c r="AB310" s="284">
        <v>16</v>
      </c>
      <c r="AC310" s="285">
        <v>16</v>
      </c>
      <c r="AD310" s="285">
        <v>16</v>
      </c>
      <c r="AE310" s="37"/>
      <c r="AI310" s="27"/>
    </row>
    <row r="311" spans="1:57" ht="15" customHeight="1" outlineLevel="1">
      <c r="B311" s="46" t="s">
        <v>93</v>
      </c>
      <c r="C311" s="190"/>
      <c r="D311" s="190"/>
      <c r="G311" s="284">
        <v>11</v>
      </c>
      <c r="H311" s="285">
        <v>11</v>
      </c>
      <c r="I311" s="285">
        <v>11</v>
      </c>
      <c r="J311" s="284">
        <v>11</v>
      </c>
      <c r="K311" s="285">
        <v>11</v>
      </c>
      <c r="L311" s="285">
        <v>11</v>
      </c>
      <c r="M311" s="284">
        <v>11</v>
      </c>
      <c r="N311" s="285">
        <v>11</v>
      </c>
      <c r="O311" s="285">
        <v>11</v>
      </c>
      <c r="P311" s="284">
        <v>11</v>
      </c>
      <c r="Q311" s="285">
        <v>11</v>
      </c>
      <c r="R311" s="285">
        <v>11</v>
      </c>
      <c r="S311" s="284">
        <v>13</v>
      </c>
      <c r="T311" s="285">
        <v>13</v>
      </c>
      <c r="U311" s="285">
        <v>13</v>
      </c>
      <c r="V311" s="284">
        <v>13</v>
      </c>
      <c r="W311" s="285">
        <v>13</v>
      </c>
      <c r="X311" s="285">
        <v>13</v>
      </c>
      <c r="Y311" s="284">
        <v>13</v>
      </c>
      <c r="Z311" s="285">
        <v>13</v>
      </c>
      <c r="AA311" s="285">
        <v>13</v>
      </c>
      <c r="AB311" s="284">
        <v>13</v>
      </c>
      <c r="AC311" s="285">
        <v>13</v>
      </c>
      <c r="AD311" s="285">
        <v>13</v>
      </c>
      <c r="AE311" s="37"/>
      <c r="AI311" s="27"/>
    </row>
    <row r="312" spans="1:57" ht="15" customHeight="1" outlineLevel="1">
      <c r="B312" s="46" t="s">
        <v>94</v>
      </c>
      <c r="C312" s="190"/>
      <c r="D312" s="190"/>
      <c r="G312" s="300">
        <f>SUM(G309:G311)</f>
        <v>40</v>
      </c>
      <c r="H312" s="301">
        <f t="shared" ref="H312:AD312" si="97">SUM(H309:H311)</f>
        <v>40</v>
      </c>
      <c r="I312" s="301">
        <f t="shared" si="97"/>
        <v>40</v>
      </c>
      <c r="J312" s="300">
        <f t="shared" si="97"/>
        <v>40</v>
      </c>
      <c r="K312" s="301">
        <f t="shared" si="97"/>
        <v>40</v>
      </c>
      <c r="L312" s="301">
        <f t="shared" si="97"/>
        <v>40</v>
      </c>
      <c r="M312" s="300">
        <f t="shared" si="97"/>
        <v>40</v>
      </c>
      <c r="N312" s="301">
        <f t="shared" si="97"/>
        <v>40</v>
      </c>
      <c r="O312" s="301">
        <f t="shared" si="97"/>
        <v>40</v>
      </c>
      <c r="P312" s="300">
        <f t="shared" si="97"/>
        <v>40</v>
      </c>
      <c r="Q312" s="301">
        <f t="shared" si="97"/>
        <v>40</v>
      </c>
      <c r="R312" s="301">
        <f t="shared" si="97"/>
        <v>40</v>
      </c>
      <c r="S312" s="300">
        <f t="shared" si="97"/>
        <v>46</v>
      </c>
      <c r="T312" s="301">
        <f t="shared" si="97"/>
        <v>46</v>
      </c>
      <c r="U312" s="301">
        <f t="shared" si="97"/>
        <v>46</v>
      </c>
      <c r="V312" s="300">
        <f t="shared" si="97"/>
        <v>46</v>
      </c>
      <c r="W312" s="301">
        <f t="shared" si="97"/>
        <v>46</v>
      </c>
      <c r="X312" s="301">
        <f t="shared" si="97"/>
        <v>46</v>
      </c>
      <c r="Y312" s="300">
        <f t="shared" si="97"/>
        <v>46</v>
      </c>
      <c r="Z312" s="301">
        <f t="shared" si="97"/>
        <v>46</v>
      </c>
      <c r="AA312" s="301">
        <f t="shared" si="97"/>
        <v>46</v>
      </c>
      <c r="AB312" s="300">
        <f t="shared" si="97"/>
        <v>46</v>
      </c>
      <c r="AC312" s="301">
        <f t="shared" si="97"/>
        <v>46</v>
      </c>
      <c r="AD312" s="301">
        <f t="shared" si="97"/>
        <v>46</v>
      </c>
      <c r="AE312" s="37"/>
      <c r="AI312" s="27"/>
    </row>
    <row r="313" spans="1:57" ht="15" customHeight="1" outlineLevel="1">
      <c r="G313" s="38"/>
      <c r="H313" s="38"/>
      <c r="I313" s="38"/>
      <c r="J313" s="38"/>
      <c r="K313" s="38"/>
      <c r="L313" s="38"/>
      <c r="M313" s="38"/>
      <c r="N313" s="38"/>
      <c r="O313" s="336"/>
      <c r="P313" s="336"/>
      <c r="Q313" s="336"/>
      <c r="R313" s="336"/>
      <c r="S313" s="336"/>
      <c r="T313" s="336"/>
      <c r="U313" s="337"/>
      <c r="V313" s="337"/>
      <c r="W313" s="337"/>
      <c r="X313" s="336"/>
      <c r="Y313" s="336"/>
      <c r="Z313" s="336"/>
      <c r="AA313" s="336"/>
      <c r="AB313" s="336"/>
      <c r="AC313" s="336"/>
      <c r="AD313" s="336"/>
      <c r="AI313" s="27"/>
    </row>
    <row r="314" spans="1:57" ht="15" customHeight="1" outlineLevel="1">
      <c r="O314" s="338"/>
      <c r="P314" s="338"/>
      <c r="Q314" s="338"/>
      <c r="R314" s="338"/>
      <c r="S314" s="338"/>
      <c r="T314" s="338"/>
      <c r="U314" s="339"/>
      <c r="V314" s="339"/>
      <c r="W314" s="339"/>
      <c r="X314" s="338"/>
      <c r="Y314" s="338"/>
      <c r="Z314" s="338"/>
      <c r="AA314" s="338"/>
      <c r="AB314" s="338"/>
      <c r="AC314" s="338"/>
      <c r="AD314" s="338"/>
      <c r="AI314" s="27"/>
    </row>
    <row r="315" spans="1:57" ht="15" customHeight="1" outlineLevel="1">
      <c r="B315" s="57"/>
      <c r="C315" s="57"/>
      <c r="D315" s="57"/>
      <c r="E315" s="39"/>
      <c r="F315" s="39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I315" s="27"/>
    </row>
    <row r="316" spans="1:57" ht="15" customHeight="1">
      <c r="B316" s="33"/>
      <c r="C316" s="33"/>
      <c r="D316" s="33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I316" s="27"/>
    </row>
    <row r="317" spans="1:57" s="27" customFormat="1" ht="15" customHeight="1">
      <c r="A317" s="23" t="s">
        <v>10</v>
      </c>
      <c r="B317" s="24" t="s">
        <v>123</v>
      </c>
      <c r="C317" s="24"/>
      <c r="D317" s="24"/>
      <c r="E317" s="25"/>
      <c r="F317" s="25"/>
      <c r="G317" s="25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24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24"/>
      <c r="AE317" s="23"/>
      <c r="AG317" s="23"/>
      <c r="AH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</row>
    <row r="318" spans="1:57" s="27" customFormat="1" ht="15" customHeight="1" outlineLevel="1">
      <c r="A318" s="23"/>
      <c r="B318" s="28"/>
      <c r="C318" s="28"/>
      <c r="D318" s="28"/>
      <c r="E318" s="29"/>
      <c r="F318" s="29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G318" s="23"/>
      <c r="AH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</row>
    <row r="319" spans="1:57" s="27" customFormat="1" ht="15" customHeight="1" outlineLevel="1">
      <c r="A319" s="23"/>
      <c r="B319" s="31" t="s">
        <v>13</v>
      </c>
      <c r="C319" s="28"/>
      <c r="D319" s="28"/>
      <c r="E319" s="29"/>
      <c r="F319" s="29"/>
      <c r="G319" s="48">
        <f t="shared" ref="G319:AD319" si="98">G$5</f>
        <v>2024</v>
      </c>
      <c r="H319" s="49">
        <f t="shared" si="98"/>
        <v>2024</v>
      </c>
      <c r="I319" s="49">
        <f t="shared" si="98"/>
        <v>2024</v>
      </c>
      <c r="J319" s="50">
        <f t="shared" si="98"/>
        <v>2024</v>
      </c>
      <c r="K319" s="49">
        <f t="shared" si="98"/>
        <v>2024</v>
      </c>
      <c r="L319" s="49">
        <f t="shared" si="98"/>
        <v>2024</v>
      </c>
      <c r="M319" s="50">
        <f t="shared" si="98"/>
        <v>2024</v>
      </c>
      <c r="N319" s="49">
        <f t="shared" si="98"/>
        <v>2024</v>
      </c>
      <c r="O319" s="49">
        <f t="shared" si="98"/>
        <v>2024</v>
      </c>
      <c r="P319" s="50">
        <f t="shared" si="98"/>
        <v>2024</v>
      </c>
      <c r="Q319" s="51">
        <f t="shared" si="98"/>
        <v>2024</v>
      </c>
      <c r="R319" s="255">
        <f t="shared" si="98"/>
        <v>2024</v>
      </c>
      <c r="S319" s="52">
        <f t="shared" si="98"/>
        <v>2025</v>
      </c>
      <c r="T319" s="51">
        <f t="shared" si="98"/>
        <v>2025</v>
      </c>
      <c r="U319" s="51">
        <f t="shared" si="98"/>
        <v>2025</v>
      </c>
      <c r="V319" s="53">
        <f t="shared" si="98"/>
        <v>2025</v>
      </c>
      <c r="W319" s="51">
        <f t="shared" si="98"/>
        <v>2025</v>
      </c>
      <c r="X319" s="51">
        <f t="shared" si="98"/>
        <v>2025</v>
      </c>
      <c r="Y319" s="53">
        <f t="shared" si="98"/>
        <v>2025</v>
      </c>
      <c r="Z319" s="51">
        <f t="shared" si="98"/>
        <v>2025</v>
      </c>
      <c r="AA319" s="51">
        <f t="shared" si="98"/>
        <v>2025</v>
      </c>
      <c r="AB319" s="53">
        <f t="shared" si="98"/>
        <v>2025</v>
      </c>
      <c r="AC319" s="51">
        <f t="shared" si="98"/>
        <v>2025</v>
      </c>
      <c r="AD319" s="255">
        <f t="shared" si="98"/>
        <v>2025</v>
      </c>
      <c r="AE319" s="40"/>
      <c r="AG319" s="23"/>
      <c r="AH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</row>
    <row r="320" spans="1:57" ht="15" customHeight="1" outlineLevel="1">
      <c r="C320" s="31"/>
      <c r="D320" s="31"/>
      <c r="E320" s="32"/>
      <c r="F320" s="32"/>
      <c r="G320" s="256">
        <f t="shared" ref="G320:AD320" si="99">G$6</f>
        <v>1</v>
      </c>
      <c r="H320" s="257">
        <f t="shared" si="99"/>
        <v>1</v>
      </c>
      <c r="I320" s="54">
        <f t="shared" si="99"/>
        <v>1</v>
      </c>
      <c r="J320" s="258">
        <f t="shared" si="99"/>
        <v>2</v>
      </c>
      <c r="K320" s="257">
        <f t="shared" si="99"/>
        <v>2</v>
      </c>
      <c r="L320" s="215">
        <f t="shared" si="99"/>
        <v>2</v>
      </c>
      <c r="M320" s="258">
        <f t="shared" si="99"/>
        <v>3</v>
      </c>
      <c r="N320" s="257">
        <f t="shared" si="99"/>
        <v>3</v>
      </c>
      <c r="O320" s="215">
        <f t="shared" si="99"/>
        <v>3</v>
      </c>
      <c r="P320" s="216">
        <f t="shared" si="99"/>
        <v>4</v>
      </c>
      <c r="Q320" s="214">
        <f t="shared" si="99"/>
        <v>4</v>
      </c>
      <c r="R320" s="215">
        <f t="shared" si="99"/>
        <v>4</v>
      </c>
      <c r="S320" s="213">
        <f t="shared" si="99"/>
        <v>1</v>
      </c>
      <c r="T320" s="214">
        <f t="shared" si="99"/>
        <v>1</v>
      </c>
      <c r="U320" s="215">
        <f t="shared" si="99"/>
        <v>1</v>
      </c>
      <c r="V320" s="216">
        <f t="shared" si="99"/>
        <v>2</v>
      </c>
      <c r="W320" s="214">
        <f t="shared" si="99"/>
        <v>2</v>
      </c>
      <c r="X320" s="215">
        <f t="shared" si="99"/>
        <v>2</v>
      </c>
      <c r="Y320" s="216">
        <f t="shared" si="99"/>
        <v>3</v>
      </c>
      <c r="Z320" s="214">
        <f t="shared" si="99"/>
        <v>3</v>
      </c>
      <c r="AA320" s="215">
        <f t="shared" si="99"/>
        <v>3</v>
      </c>
      <c r="AB320" s="216">
        <f t="shared" si="99"/>
        <v>4</v>
      </c>
      <c r="AC320" s="214">
        <f t="shared" si="99"/>
        <v>4</v>
      </c>
      <c r="AD320" s="215">
        <f t="shared" si="99"/>
        <v>4</v>
      </c>
      <c r="AE320" s="40"/>
      <c r="AI320" s="27"/>
    </row>
    <row r="321" spans="2:35" ht="15" customHeight="1" outlineLevel="1" thickBot="1">
      <c r="G321" s="345">
        <f t="shared" ref="G321:AD321" si="100">G$7</f>
        <v>45322</v>
      </c>
      <c r="H321" s="346">
        <f t="shared" si="100"/>
        <v>45351</v>
      </c>
      <c r="I321" s="346">
        <f t="shared" si="100"/>
        <v>45382</v>
      </c>
      <c r="J321" s="347">
        <f t="shared" si="100"/>
        <v>45412</v>
      </c>
      <c r="K321" s="346">
        <f t="shared" si="100"/>
        <v>45443</v>
      </c>
      <c r="L321" s="346">
        <f t="shared" si="100"/>
        <v>45473</v>
      </c>
      <c r="M321" s="347">
        <f t="shared" si="100"/>
        <v>45504</v>
      </c>
      <c r="N321" s="346">
        <f t="shared" si="100"/>
        <v>45535</v>
      </c>
      <c r="O321" s="346">
        <f t="shared" si="100"/>
        <v>45565</v>
      </c>
      <c r="P321" s="347">
        <f t="shared" si="100"/>
        <v>45596</v>
      </c>
      <c r="Q321" s="346">
        <f t="shared" si="100"/>
        <v>45626</v>
      </c>
      <c r="R321" s="346">
        <f t="shared" si="100"/>
        <v>45657</v>
      </c>
      <c r="S321" s="345">
        <f t="shared" si="100"/>
        <v>45688</v>
      </c>
      <c r="T321" s="346">
        <f t="shared" si="100"/>
        <v>45716</v>
      </c>
      <c r="U321" s="346">
        <f t="shared" si="100"/>
        <v>45747</v>
      </c>
      <c r="V321" s="347">
        <f t="shared" si="100"/>
        <v>45777</v>
      </c>
      <c r="W321" s="346">
        <f t="shared" si="100"/>
        <v>45808</v>
      </c>
      <c r="X321" s="346">
        <f t="shared" si="100"/>
        <v>45838</v>
      </c>
      <c r="Y321" s="347">
        <f t="shared" si="100"/>
        <v>45869</v>
      </c>
      <c r="Z321" s="346">
        <f t="shared" si="100"/>
        <v>45900</v>
      </c>
      <c r="AA321" s="346">
        <f t="shared" si="100"/>
        <v>45930</v>
      </c>
      <c r="AB321" s="347">
        <f t="shared" si="100"/>
        <v>45961</v>
      </c>
      <c r="AC321" s="346">
        <f t="shared" si="100"/>
        <v>45991</v>
      </c>
      <c r="AD321" s="346">
        <f t="shared" si="100"/>
        <v>46022</v>
      </c>
      <c r="AE321" s="40"/>
      <c r="AI321" s="27"/>
    </row>
    <row r="322" spans="2:35" ht="15" customHeight="1" outlineLevel="1">
      <c r="O322" s="338"/>
      <c r="P322" s="338"/>
      <c r="Q322" s="338"/>
      <c r="R322" s="338"/>
      <c r="S322" s="338"/>
      <c r="T322" s="338"/>
      <c r="U322" s="339"/>
      <c r="V322" s="339"/>
      <c r="W322" s="339"/>
      <c r="X322" s="338"/>
      <c r="Y322" s="338"/>
      <c r="Z322" s="338"/>
      <c r="AA322" s="338"/>
      <c r="AB322" s="338"/>
      <c r="AC322" s="338"/>
      <c r="AD322" s="338"/>
      <c r="AI322" s="27"/>
    </row>
    <row r="323" spans="2:35" ht="15" customHeight="1" outlineLevel="1">
      <c r="B323" s="33" t="s">
        <v>128</v>
      </c>
      <c r="C323" s="33"/>
      <c r="D323" s="33"/>
      <c r="G323" s="348">
        <f t="shared" ref="G323:AD323" si="101">G115</f>
        <v>5</v>
      </c>
      <c r="H323" s="349">
        <f t="shared" si="101"/>
        <v>5</v>
      </c>
      <c r="I323" s="349">
        <f t="shared" si="101"/>
        <v>5</v>
      </c>
      <c r="J323" s="348">
        <f t="shared" si="101"/>
        <v>5</v>
      </c>
      <c r="K323" s="349">
        <f t="shared" si="101"/>
        <v>5</v>
      </c>
      <c r="L323" s="349">
        <f t="shared" si="101"/>
        <v>5</v>
      </c>
      <c r="M323" s="348">
        <f t="shared" si="101"/>
        <v>5</v>
      </c>
      <c r="N323" s="349">
        <f t="shared" si="101"/>
        <v>7</v>
      </c>
      <c r="O323" s="349">
        <f t="shared" si="101"/>
        <v>8</v>
      </c>
      <c r="P323" s="348">
        <f t="shared" si="101"/>
        <v>8</v>
      </c>
      <c r="Q323" s="349">
        <f t="shared" si="101"/>
        <v>8</v>
      </c>
      <c r="R323" s="349">
        <f t="shared" si="101"/>
        <v>8</v>
      </c>
      <c r="S323" s="348">
        <f t="shared" si="101"/>
        <v>8</v>
      </c>
      <c r="T323" s="349">
        <f t="shared" si="101"/>
        <v>8</v>
      </c>
      <c r="U323" s="349">
        <f t="shared" si="101"/>
        <v>8</v>
      </c>
      <c r="V323" s="348">
        <f t="shared" si="101"/>
        <v>8</v>
      </c>
      <c r="W323" s="349">
        <f t="shared" si="101"/>
        <v>8</v>
      </c>
      <c r="X323" s="349">
        <f t="shared" si="101"/>
        <v>8</v>
      </c>
      <c r="Y323" s="348">
        <f t="shared" si="101"/>
        <v>8</v>
      </c>
      <c r="Z323" s="349">
        <f t="shared" si="101"/>
        <v>8</v>
      </c>
      <c r="AA323" s="349">
        <f t="shared" si="101"/>
        <v>8</v>
      </c>
      <c r="AB323" s="348">
        <f t="shared" si="101"/>
        <v>8</v>
      </c>
      <c r="AC323" s="349">
        <f t="shared" si="101"/>
        <v>8</v>
      </c>
      <c r="AD323" s="349">
        <f t="shared" si="101"/>
        <v>8</v>
      </c>
      <c r="AE323" s="37"/>
      <c r="AI323" s="27"/>
    </row>
    <row r="324" spans="2:35" ht="15" customHeight="1" outlineLevel="1">
      <c r="G324" s="38"/>
      <c r="H324" s="38"/>
      <c r="I324" s="38"/>
      <c r="J324" s="38"/>
      <c r="K324" s="38"/>
      <c r="L324" s="38"/>
      <c r="M324" s="38"/>
      <c r="N324" s="38"/>
      <c r="O324" s="336"/>
      <c r="P324" s="336"/>
      <c r="Q324" s="336"/>
      <c r="R324" s="336"/>
      <c r="S324" s="336"/>
      <c r="T324" s="336"/>
      <c r="U324" s="337"/>
      <c r="V324" s="337"/>
      <c r="W324" s="337"/>
      <c r="X324" s="336"/>
      <c r="Y324" s="336"/>
      <c r="Z324" s="336"/>
      <c r="AA324" s="336"/>
      <c r="AB324" s="336"/>
      <c r="AC324" s="336"/>
      <c r="AD324" s="336"/>
      <c r="AI324" s="27"/>
    </row>
    <row r="325" spans="2:35" ht="15" customHeight="1" outlineLevel="1">
      <c r="B325" s="190"/>
      <c r="C325" s="33"/>
      <c r="D325" s="33"/>
      <c r="G325" s="42" t="s">
        <v>34</v>
      </c>
      <c r="H325" s="350"/>
      <c r="I325" s="350"/>
      <c r="J325" s="350"/>
      <c r="K325" s="350"/>
      <c r="L325" s="350"/>
      <c r="M325" s="350"/>
      <c r="N325" s="350"/>
      <c r="O325" s="350"/>
      <c r="P325" s="350"/>
      <c r="Q325" s="350"/>
      <c r="R325" s="350"/>
      <c r="S325" s="350"/>
      <c r="T325" s="350"/>
      <c r="U325" s="350"/>
      <c r="V325" s="350"/>
      <c r="W325" s="350"/>
      <c r="X325" s="350"/>
      <c r="Y325" s="350"/>
      <c r="Z325" s="350"/>
      <c r="AA325" s="350"/>
      <c r="AB325" s="350"/>
      <c r="AC325" s="350"/>
      <c r="AD325" s="350"/>
      <c r="AI325" s="27"/>
    </row>
    <row r="326" spans="2:35" ht="15" customHeight="1" outlineLevel="1">
      <c r="B326" s="73" t="s">
        <v>129</v>
      </c>
      <c r="G326" s="55">
        <f t="shared" ref="G326:AD326" si="102">G$8</f>
        <v>1</v>
      </c>
      <c r="H326" s="55">
        <f t="shared" si="102"/>
        <v>1</v>
      </c>
      <c r="I326" s="55">
        <f t="shared" si="102"/>
        <v>1</v>
      </c>
      <c r="J326" s="55">
        <f t="shared" si="102"/>
        <v>1</v>
      </c>
      <c r="K326" s="55">
        <f t="shared" si="102"/>
        <v>1</v>
      </c>
      <c r="L326" s="55">
        <f t="shared" si="102"/>
        <v>1</v>
      </c>
      <c r="M326" s="55">
        <f t="shared" si="102"/>
        <v>1</v>
      </c>
      <c r="N326" s="55">
        <f t="shared" si="102"/>
        <v>1</v>
      </c>
      <c r="O326" s="55">
        <f t="shared" si="102"/>
        <v>1</v>
      </c>
      <c r="P326" s="55">
        <f t="shared" si="102"/>
        <v>1</v>
      </c>
      <c r="Q326" s="55">
        <f t="shared" si="102"/>
        <v>1</v>
      </c>
      <c r="R326" s="55">
        <f t="shared" si="102"/>
        <v>1</v>
      </c>
      <c r="S326" s="55">
        <f t="shared" si="102"/>
        <v>0</v>
      </c>
      <c r="T326" s="55">
        <f t="shared" si="102"/>
        <v>0</v>
      </c>
      <c r="U326" s="55">
        <f t="shared" si="102"/>
        <v>0</v>
      </c>
      <c r="V326" s="55">
        <f t="shared" si="102"/>
        <v>0</v>
      </c>
      <c r="W326" s="55">
        <f t="shared" si="102"/>
        <v>0</v>
      </c>
      <c r="X326" s="55">
        <f t="shared" si="102"/>
        <v>0</v>
      </c>
      <c r="Y326" s="55">
        <f t="shared" si="102"/>
        <v>0</v>
      </c>
      <c r="Z326" s="55">
        <f t="shared" si="102"/>
        <v>0</v>
      </c>
      <c r="AA326" s="55">
        <f t="shared" si="102"/>
        <v>0</v>
      </c>
      <c r="AB326" s="55">
        <f t="shared" si="102"/>
        <v>0</v>
      </c>
      <c r="AC326" s="55">
        <f t="shared" si="102"/>
        <v>0</v>
      </c>
      <c r="AD326" s="55">
        <f t="shared" si="102"/>
        <v>0</v>
      </c>
      <c r="AI326" s="27"/>
    </row>
    <row r="327" spans="2:35" ht="15" customHeight="1" outlineLevel="1">
      <c r="B327" s="46" t="s">
        <v>130</v>
      </c>
      <c r="C327" s="33"/>
      <c r="D327" s="33"/>
      <c r="G327" s="266">
        <v>0</v>
      </c>
      <c r="H327" s="349">
        <f>MAX(H323-G323,0)</f>
        <v>0</v>
      </c>
      <c r="I327" s="349">
        <f t="shared" ref="I327:AD327" si="103">MAX(I323-H323,0)</f>
        <v>0</v>
      </c>
      <c r="J327" s="348">
        <f t="shared" si="103"/>
        <v>0</v>
      </c>
      <c r="K327" s="349">
        <f t="shared" si="103"/>
        <v>0</v>
      </c>
      <c r="L327" s="349">
        <f t="shared" si="103"/>
        <v>0</v>
      </c>
      <c r="M327" s="348">
        <f t="shared" si="103"/>
        <v>0</v>
      </c>
      <c r="N327" s="349">
        <f t="shared" si="103"/>
        <v>2</v>
      </c>
      <c r="O327" s="349">
        <f t="shared" si="103"/>
        <v>1</v>
      </c>
      <c r="P327" s="348">
        <f t="shared" si="103"/>
        <v>0</v>
      </c>
      <c r="Q327" s="349">
        <f t="shared" si="103"/>
        <v>0</v>
      </c>
      <c r="R327" s="349">
        <f t="shared" si="103"/>
        <v>0</v>
      </c>
      <c r="S327" s="348">
        <f t="shared" si="103"/>
        <v>0</v>
      </c>
      <c r="T327" s="349">
        <f t="shared" si="103"/>
        <v>0</v>
      </c>
      <c r="U327" s="349">
        <f t="shared" si="103"/>
        <v>0</v>
      </c>
      <c r="V327" s="348">
        <f t="shared" si="103"/>
        <v>0</v>
      </c>
      <c r="W327" s="349">
        <f t="shared" si="103"/>
        <v>0</v>
      </c>
      <c r="X327" s="349">
        <f t="shared" si="103"/>
        <v>0</v>
      </c>
      <c r="Y327" s="348">
        <f t="shared" si="103"/>
        <v>0</v>
      </c>
      <c r="Z327" s="349">
        <f t="shared" si="103"/>
        <v>0</v>
      </c>
      <c r="AA327" s="349">
        <f t="shared" si="103"/>
        <v>0</v>
      </c>
      <c r="AB327" s="348">
        <f t="shared" si="103"/>
        <v>0</v>
      </c>
      <c r="AC327" s="349">
        <f t="shared" si="103"/>
        <v>0</v>
      </c>
      <c r="AD327" s="349">
        <f t="shared" si="103"/>
        <v>0</v>
      </c>
      <c r="AE327" s="37"/>
      <c r="AI327" s="27"/>
    </row>
    <row r="328" spans="2:35" ht="15" customHeight="1" outlineLevel="1">
      <c r="B328" s="46" t="s">
        <v>131</v>
      </c>
      <c r="G328" s="74">
        <v>10</v>
      </c>
      <c r="H328" s="75">
        <f>G328</f>
        <v>10</v>
      </c>
      <c r="I328" s="75">
        <f t="shared" ref="I328:AD328" si="104">H328</f>
        <v>10</v>
      </c>
      <c r="J328" s="351">
        <f t="shared" si="104"/>
        <v>10</v>
      </c>
      <c r="K328" s="75">
        <f t="shared" si="104"/>
        <v>10</v>
      </c>
      <c r="L328" s="75">
        <f t="shared" si="104"/>
        <v>10</v>
      </c>
      <c r="M328" s="351">
        <f t="shared" si="104"/>
        <v>10</v>
      </c>
      <c r="N328" s="75">
        <f t="shared" si="104"/>
        <v>10</v>
      </c>
      <c r="O328" s="75">
        <f t="shared" si="104"/>
        <v>10</v>
      </c>
      <c r="P328" s="351">
        <f t="shared" si="104"/>
        <v>10</v>
      </c>
      <c r="Q328" s="75">
        <f t="shared" si="104"/>
        <v>10</v>
      </c>
      <c r="R328" s="75">
        <f t="shared" si="104"/>
        <v>10</v>
      </c>
      <c r="S328" s="351">
        <f t="shared" si="104"/>
        <v>10</v>
      </c>
      <c r="T328" s="75">
        <f t="shared" si="104"/>
        <v>10</v>
      </c>
      <c r="U328" s="75">
        <f t="shared" si="104"/>
        <v>10</v>
      </c>
      <c r="V328" s="351">
        <f t="shared" si="104"/>
        <v>10</v>
      </c>
      <c r="W328" s="75">
        <f t="shared" si="104"/>
        <v>10</v>
      </c>
      <c r="X328" s="75">
        <f t="shared" si="104"/>
        <v>10</v>
      </c>
      <c r="Y328" s="351">
        <f t="shared" si="104"/>
        <v>10</v>
      </c>
      <c r="Z328" s="75">
        <f t="shared" si="104"/>
        <v>10</v>
      </c>
      <c r="AA328" s="75">
        <f t="shared" si="104"/>
        <v>10</v>
      </c>
      <c r="AB328" s="351">
        <f t="shared" si="104"/>
        <v>10</v>
      </c>
      <c r="AC328" s="75">
        <f t="shared" si="104"/>
        <v>10</v>
      </c>
      <c r="AD328" s="75">
        <f t="shared" si="104"/>
        <v>10</v>
      </c>
      <c r="AE328" s="37"/>
      <c r="AI328" s="27"/>
    </row>
    <row r="329" spans="2:35" ht="15" customHeight="1" outlineLevel="1">
      <c r="B329" s="76" t="s">
        <v>132</v>
      </c>
      <c r="C329" s="352"/>
      <c r="G329" s="353">
        <f>G327*G328</f>
        <v>0</v>
      </c>
      <c r="H329" s="354">
        <f t="shared" ref="H329:AD329" si="105">H327*H328</f>
        <v>0</v>
      </c>
      <c r="I329" s="354">
        <f t="shared" si="105"/>
        <v>0</v>
      </c>
      <c r="J329" s="353">
        <f t="shared" si="105"/>
        <v>0</v>
      </c>
      <c r="K329" s="354">
        <f t="shared" si="105"/>
        <v>0</v>
      </c>
      <c r="L329" s="354">
        <f t="shared" si="105"/>
        <v>0</v>
      </c>
      <c r="M329" s="353">
        <f t="shared" si="105"/>
        <v>0</v>
      </c>
      <c r="N329" s="354">
        <f t="shared" si="105"/>
        <v>20</v>
      </c>
      <c r="O329" s="354">
        <f t="shared" si="105"/>
        <v>10</v>
      </c>
      <c r="P329" s="353">
        <f t="shared" si="105"/>
        <v>0</v>
      </c>
      <c r="Q329" s="354">
        <f t="shared" si="105"/>
        <v>0</v>
      </c>
      <c r="R329" s="354">
        <f t="shared" si="105"/>
        <v>0</v>
      </c>
      <c r="S329" s="353">
        <f t="shared" si="105"/>
        <v>0</v>
      </c>
      <c r="T329" s="354">
        <f t="shared" si="105"/>
        <v>0</v>
      </c>
      <c r="U329" s="354">
        <f t="shared" si="105"/>
        <v>0</v>
      </c>
      <c r="V329" s="353">
        <f t="shared" si="105"/>
        <v>0</v>
      </c>
      <c r="W329" s="354">
        <f t="shared" si="105"/>
        <v>0</v>
      </c>
      <c r="X329" s="354">
        <f t="shared" si="105"/>
        <v>0</v>
      </c>
      <c r="Y329" s="353">
        <f t="shared" si="105"/>
        <v>0</v>
      </c>
      <c r="Z329" s="354">
        <f t="shared" si="105"/>
        <v>0</v>
      </c>
      <c r="AA329" s="354">
        <f t="shared" si="105"/>
        <v>0</v>
      </c>
      <c r="AB329" s="353">
        <f t="shared" si="105"/>
        <v>0</v>
      </c>
      <c r="AC329" s="354">
        <f t="shared" si="105"/>
        <v>0</v>
      </c>
      <c r="AD329" s="354">
        <f t="shared" si="105"/>
        <v>0</v>
      </c>
      <c r="AE329" s="37"/>
      <c r="AI329" s="27"/>
    </row>
    <row r="330" spans="2:35" ht="15" customHeight="1" outlineLevel="1">
      <c r="B330" s="59"/>
      <c r="C330" s="352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  <c r="AA330" s="69"/>
      <c r="AB330" s="69"/>
      <c r="AC330" s="69"/>
      <c r="AD330" s="69"/>
      <c r="AI330" s="27"/>
    </row>
    <row r="331" spans="2:35" ht="15" customHeight="1" outlineLevel="1">
      <c r="B331" s="73" t="s">
        <v>133</v>
      </c>
      <c r="G331" s="42" t="s">
        <v>34</v>
      </c>
      <c r="AI331" s="27"/>
    </row>
    <row r="332" spans="2:35" ht="15" customHeight="1" outlineLevel="1">
      <c r="B332" s="76" t="s">
        <v>134</v>
      </c>
      <c r="G332" s="77">
        <v>50</v>
      </c>
      <c r="H332" s="354">
        <f>G335</f>
        <v>49</v>
      </c>
      <c r="I332" s="354">
        <f t="shared" ref="I332:AD332" si="106">H335</f>
        <v>48</v>
      </c>
      <c r="J332" s="353">
        <f t="shared" si="106"/>
        <v>47</v>
      </c>
      <c r="K332" s="354">
        <f t="shared" si="106"/>
        <v>46</v>
      </c>
      <c r="L332" s="354">
        <f t="shared" si="106"/>
        <v>45</v>
      </c>
      <c r="M332" s="353">
        <f t="shared" si="106"/>
        <v>44</v>
      </c>
      <c r="N332" s="354">
        <f t="shared" si="106"/>
        <v>43</v>
      </c>
      <c r="O332" s="354">
        <f t="shared" si="106"/>
        <v>62</v>
      </c>
      <c r="P332" s="353">
        <f t="shared" si="106"/>
        <v>71</v>
      </c>
      <c r="Q332" s="354">
        <f t="shared" si="106"/>
        <v>70</v>
      </c>
      <c r="R332" s="354">
        <f t="shared" si="106"/>
        <v>69</v>
      </c>
      <c r="S332" s="353">
        <f t="shared" si="106"/>
        <v>68</v>
      </c>
      <c r="T332" s="354">
        <f t="shared" si="106"/>
        <v>67</v>
      </c>
      <c r="U332" s="354">
        <f t="shared" si="106"/>
        <v>66</v>
      </c>
      <c r="V332" s="353">
        <f t="shared" si="106"/>
        <v>65</v>
      </c>
      <c r="W332" s="354">
        <f t="shared" si="106"/>
        <v>64</v>
      </c>
      <c r="X332" s="354">
        <f t="shared" si="106"/>
        <v>63</v>
      </c>
      <c r="Y332" s="353">
        <f t="shared" si="106"/>
        <v>62</v>
      </c>
      <c r="Z332" s="354">
        <f t="shared" si="106"/>
        <v>61</v>
      </c>
      <c r="AA332" s="354">
        <f t="shared" si="106"/>
        <v>60</v>
      </c>
      <c r="AB332" s="353">
        <f t="shared" si="106"/>
        <v>59</v>
      </c>
      <c r="AC332" s="354">
        <f t="shared" si="106"/>
        <v>58</v>
      </c>
      <c r="AD332" s="354">
        <f t="shared" si="106"/>
        <v>57</v>
      </c>
      <c r="AE332" s="37"/>
      <c r="AI332" s="27"/>
    </row>
    <row r="333" spans="2:35" ht="15" customHeight="1" outlineLevel="1">
      <c r="B333" s="76" t="s">
        <v>132</v>
      </c>
      <c r="G333" s="351">
        <f>G329</f>
        <v>0</v>
      </c>
      <c r="H333" s="75">
        <f t="shared" ref="H333:AD333" si="107">H329</f>
        <v>0</v>
      </c>
      <c r="I333" s="75">
        <f t="shared" si="107"/>
        <v>0</v>
      </c>
      <c r="J333" s="351">
        <f t="shared" si="107"/>
        <v>0</v>
      </c>
      <c r="K333" s="75">
        <f t="shared" si="107"/>
        <v>0</v>
      </c>
      <c r="L333" s="75">
        <f t="shared" si="107"/>
        <v>0</v>
      </c>
      <c r="M333" s="351">
        <f t="shared" si="107"/>
        <v>0</v>
      </c>
      <c r="N333" s="75">
        <f t="shared" si="107"/>
        <v>20</v>
      </c>
      <c r="O333" s="75">
        <f t="shared" si="107"/>
        <v>10</v>
      </c>
      <c r="P333" s="351">
        <f t="shared" si="107"/>
        <v>0</v>
      </c>
      <c r="Q333" s="75">
        <f t="shared" si="107"/>
        <v>0</v>
      </c>
      <c r="R333" s="75">
        <f t="shared" si="107"/>
        <v>0</v>
      </c>
      <c r="S333" s="351">
        <f t="shared" si="107"/>
        <v>0</v>
      </c>
      <c r="T333" s="75">
        <f t="shared" si="107"/>
        <v>0</v>
      </c>
      <c r="U333" s="75">
        <f t="shared" si="107"/>
        <v>0</v>
      </c>
      <c r="V333" s="351">
        <f t="shared" si="107"/>
        <v>0</v>
      </c>
      <c r="W333" s="75">
        <f t="shared" si="107"/>
        <v>0</v>
      </c>
      <c r="X333" s="75">
        <f t="shared" si="107"/>
        <v>0</v>
      </c>
      <c r="Y333" s="351">
        <f t="shared" si="107"/>
        <v>0</v>
      </c>
      <c r="Z333" s="75">
        <f t="shared" si="107"/>
        <v>0</v>
      </c>
      <c r="AA333" s="75">
        <f t="shared" si="107"/>
        <v>0</v>
      </c>
      <c r="AB333" s="351">
        <f t="shared" si="107"/>
        <v>0</v>
      </c>
      <c r="AC333" s="75">
        <f t="shared" si="107"/>
        <v>0</v>
      </c>
      <c r="AD333" s="75">
        <f t="shared" si="107"/>
        <v>0</v>
      </c>
      <c r="AE333" s="37"/>
      <c r="AI333" s="27"/>
    </row>
    <row r="334" spans="2:35" ht="15" customHeight="1" outlineLevel="1">
      <c r="B334" s="76" t="s">
        <v>135</v>
      </c>
      <c r="G334" s="74">
        <v>-1</v>
      </c>
      <c r="H334" s="75">
        <f t="shared" ref="H334:AD334" si="108">G334</f>
        <v>-1</v>
      </c>
      <c r="I334" s="75">
        <f t="shared" si="108"/>
        <v>-1</v>
      </c>
      <c r="J334" s="351">
        <f t="shared" si="108"/>
        <v>-1</v>
      </c>
      <c r="K334" s="75">
        <f t="shared" si="108"/>
        <v>-1</v>
      </c>
      <c r="L334" s="75">
        <f t="shared" si="108"/>
        <v>-1</v>
      </c>
      <c r="M334" s="351">
        <f t="shared" si="108"/>
        <v>-1</v>
      </c>
      <c r="N334" s="75">
        <f t="shared" si="108"/>
        <v>-1</v>
      </c>
      <c r="O334" s="75">
        <f t="shared" si="108"/>
        <v>-1</v>
      </c>
      <c r="P334" s="351">
        <f t="shared" si="108"/>
        <v>-1</v>
      </c>
      <c r="Q334" s="75">
        <f t="shared" si="108"/>
        <v>-1</v>
      </c>
      <c r="R334" s="75">
        <f t="shared" si="108"/>
        <v>-1</v>
      </c>
      <c r="S334" s="351">
        <f t="shared" si="108"/>
        <v>-1</v>
      </c>
      <c r="T334" s="75">
        <f t="shared" si="108"/>
        <v>-1</v>
      </c>
      <c r="U334" s="75">
        <f t="shared" si="108"/>
        <v>-1</v>
      </c>
      <c r="V334" s="351">
        <f t="shared" si="108"/>
        <v>-1</v>
      </c>
      <c r="W334" s="75">
        <f t="shared" si="108"/>
        <v>-1</v>
      </c>
      <c r="X334" s="75">
        <f t="shared" si="108"/>
        <v>-1</v>
      </c>
      <c r="Y334" s="351">
        <f t="shared" si="108"/>
        <v>-1</v>
      </c>
      <c r="Z334" s="75">
        <f t="shared" si="108"/>
        <v>-1</v>
      </c>
      <c r="AA334" s="75">
        <f t="shared" si="108"/>
        <v>-1</v>
      </c>
      <c r="AB334" s="351">
        <f t="shared" si="108"/>
        <v>-1</v>
      </c>
      <c r="AC334" s="75">
        <f t="shared" si="108"/>
        <v>-1</v>
      </c>
      <c r="AD334" s="75">
        <f t="shared" si="108"/>
        <v>-1</v>
      </c>
      <c r="AE334" s="37"/>
      <c r="AI334" s="27"/>
    </row>
    <row r="335" spans="2:35" ht="15" customHeight="1" outlineLevel="1">
      <c r="B335" s="76" t="s">
        <v>136</v>
      </c>
      <c r="G335" s="353">
        <f>SUM(G332:G334)</f>
        <v>49</v>
      </c>
      <c r="H335" s="354">
        <f t="shared" ref="H335:AD335" si="109">SUM(H332:H334)</f>
        <v>48</v>
      </c>
      <c r="I335" s="354">
        <f t="shared" si="109"/>
        <v>47</v>
      </c>
      <c r="J335" s="353">
        <f t="shared" si="109"/>
        <v>46</v>
      </c>
      <c r="K335" s="354">
        <f t="shared" si="109"/>
        <v>45</v>
      </c>
      <c r="L335" s="354">
        <f t="shared" si="109"/>
        <v>44</v>
      </c>
      <c r="M335" s="353">
        <f t="shared" si="109"/>
        <v>43</v>
      </c>
      <c r="N335" s="354">
        <f t="shared" si="109"/>
        <v>62</v>
      </c>
      <c r="O335" s="354">
        <f t="shared" si="109"/>
        <v>71</v>
      </c>
      <c r="P335" s="353">
        <f t="shared" si="109"/>
        <v>70</v>
      </c>
      <c r="Q335" s="354">
        <f t="shared" si="109"/>
        <v>69</v>
      </c>
      <c r="R335" s="354">
        <f t="shared" si="109"/>
        <v>68</v>
      </c>
      <c r="S335" s="353">
        <f t="shared" si="109"/>
        <v>67</v>
      </c>
      <c r="T335" s="354">
        <f t="shared" si="109"/>
        <v>66</v>
      </c>
      <c r="U335" s="354">
        <f t="shared" si="109"/>
        <v>65</v>
      </c>
      <c r="V335" s="353">
        <f t="shared" si="109"/>
        <v>64</v>
      </c>
      <c r="W335" s="354">
        <f t="shared" si="109"/>
        <v>63</v>
      </c>
      <c r="X335" s="354">
        <f t="shared" si="109"/>
        <v>62</v>
      </c>
      <c r="Y335" s="353">
        <f t="shared" si="109"/>
        <v>61</v>
      </c>
      <c r="Z335" s="354">
        <f t="shared" si="109"/>
        <v>60</v>
      </c>
      <c r="AA335" s="354">
        <f t="shared" si="109"/>
        <v>59</v>
      </c>
      <c r="AB335" s="353">
        <f t="shared" si="109"/>
        <v>58</v>
      </c>
      <c r="AC335" s="354">
        <f t="shared" si="109"/>
        <v>57</v>
      </c>
      <c r="AD335" s="354">
        <f t="shared" si="109"/>
        <v>56</v>
      </c>
      <c r="AE335" s="37"/>
      <c r="AI335" s="27"/>
    </row>
    <row r="336" spans="2:35" ht="15" customHeight="1" outlineLevel="1">
      <c r="B336" s="59"/>
      <c r="C336" s="352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  <c r="AA336" s="69"/>
      <c r="AB336" s="69"/>
      <c r="AC336" s="69"/>
      <c r="AD336" s="69"/>
      <c r="AI336" s="27"/>
    </row>
    <row r="337" spans="2:35" ht="15" customHeight="1" outlineLevel="1">
      <c r="B337" s="59"/>
      <c r="C337" s="352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I337" s="27"/>
    </row>
    <row r="338" spans="2:35" ht="15" customHeight="1" outlineLevel="1">
      <c r="B338" s="355"/>
      <c r="C338" s="356"/>
      <c r="D338" s="270"/>
      <c r="E338" s="270"/>
      <c r="F338" s="270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I338" s="27"/>
    </row>
    <row r="339" spans="2:35" ht="15" customHeight="1" outlineLevel="1">
      <c r="B339" s="73" t="s">
        <v>137</v>
      </c>
      <c r="G339" s="55">
        <f t="shared" ref="G339:AD339" si="110">G$8</f>
        <v>1</v>
      </c>
      <c r="H339" s="55">
        <f t="shared" si="110"/>
        <v>1</v>
      </c>
      <c r="I339" s="55">
        <f t="shared" si="110"/>
        <v>1</v>
      </c>
      <c r="J339" s="55">
        <f t="shared" si="110"/>
        <v>1</v>
      </c>
      <c r="K339" s="55">
        <f t="shared" si="110"/>
        <v>1</v>
      </c>
      <c r="L339" s="55">
        <f t="shared" si="110"/>
        <v>1</v>
      </c>
      <c r="M339" s="55">
        <f t="shared" si="110"/>
        <v>1</v>
      </c>
      <c r="N339" s="55">
        <f t="shared" si="110"/>
        <v>1</v>
      </c>
      <c r="O339" s="55">
        <f t="shared" si="110"/>
        <v>1</v>
      </c>
      <c r="P339" s="55">
        <f t="shared" si="110"/>
        <v>1</v>
      </c>
      <c r="Q339" s="55">
        <f t="shared" si="110"/>
        <v>1</v>
      </c>
      <c r="R339" s="55">
        <f t="shared" si="110"/>
        <v>1</v>
      </c>
      <c r="S339" s="55">
        <f t="shared" si="110"/>
        <v>0</v>
      </c>
      <c r="T339" s="55">
        <f t="shared" si="110"/>
        <v>0</v>
      </c>
      <c r="U339" s="55">
        <f t="shared" si="110"/>
        <v>0</v>
      </c>
      <c r="V339" s="55">
        <f t="shared" si="110"/>
        <v>0</v>
      </c>
      <c r="W339" s="55">
        <f t="shared" si="110"/>
        <v>0</v>
      </c>
      <c r="X339" s="55">
        <f t="shared" si="110"/>
        <v>0</v>
      </c>
      <c r="Y339" s="55">
        <f t="shared" si="110"/>
        <v>0</v>
      </c>
      <c r="Z339" s="55">
        <f t="shared" si="110"/>
        <v>0</v>
      </c>
      <c r="AA339" s="55">
        <f t="shared" si="110"/>
        <v>0</v>
      </c>
      <c r="AB339" s="55">
        <f t="shared" si="110"/>
        <v>0</v>
      </c>
      <c r="AC339" s="55">
        <f t="shared" si="110"/>
        <v>0</v>
      </c>
      <c r="AD339" s="55">
        <f t="shared" si="110"/>
        <v>0</v>
      </c>
      <c r="AI339" s="27"/>
    </row>
    <row r="340" spans="2:35" ht="15" customHeight="1" outlineLevel="1">
      <c r="B340" s="59" t="s">
        <v>138</v>
      </c>
      <c r="C340" s="352"/>
      <c r="G340" s="79">
        <v>0</v>
      </c>
      <c r="H340" s="357">
        <v>0</v>
      </c>
      <c r="I340" s="357">
        <v>0</v>
      </c>
      <c r="J340" s="79">
        <v>0</v>
      </c>
      <c r="K340" s="357">
        <v>0</v>
      </c>
      <c r="L340" s="357">
        <v>0</v>
      </c>
      <c r="M340" s="79">
        <v>0</v>
      </c>
      <c r="N340" s="357">
        <v>0</v>
      </c>
      <c r="O340" s="357">
        <v>0</v>
      </c>
      <c r="P340" s="79">
        <v>2500</v>
      </c>
      <c r="Q340" s="357">
        <v>2500</v>
      </c>
      <c r="R340" s="357">
        <v>2500</v>
      </c>
      <c r="S340" s="79">
        <v>1000</v>
      </c>
      <c r="T340" s="357">
        <v>0</v>
      </c>
      <c r="U340" s="357">
        <v>0</v>
      </c>
      <c r="V340" s="79">
        <v>0</v>
      </c>
      <c r="W340" s="357">
        <v>0</v>
      </c>
      <c r="X340" s="357">
        <v>0</v>
      </c>
      <c r="Y340" s="79">
        <v>0</v>
      </c>
      <c r="Z340" s="357">
        <v>0</v>
      </c>
      <c r="AA340" s="357">
        <v>0</v>
      </c>
      <c r="AB340" s="79">
        <v>0</v>
      </c>
      <c r="AC340" s="357">
        <v>0</v>
      </c>
      <c r="AD340" s="357">
        <v>0</v>
      </c>
      <c r="AE340" s="37"/>
      <c r="AI340" s="27"/>
    </row>
    <row r="341" spans="2:35" ht="15" customHeight="1" outlineLevel="1"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I341" s="27"/>
    </row>
    <row r="342" spans="2:35" ht="15" customHeight="1" outlineLevel="1">
      <c r="B342" s="73" t="s">
        <v>139</v>
      </c>
      <c r="G342" s="42" t="s">
        <v>34</v>
      </c>
      <c r="AI342" s="27"/>
    </row>
    <row r="343" spans="2:35" ht="15" customHeight="1" outlineLevel="1">
      <c r="B343" s="76" t="s">
        <v>134</v>
      </c>
      <c r="G343" s="79">
        <v>0</v>
      </c>
      <c r="H343" s="69">
        <f>G346</f>
        <v>0</v>
      </c>
      <c r="I343" s="69">
        <f t="shared" ref="I343:AD343" si="111">H346</f>
        <v>0</v>
      </c>
      <c r="J343" s="68">
        <f t="shared" si="111"/>
        <v>0</v>
      </c>
      <c r="K343" s="69">
        <f t="shared" si="111"/>
        <v>0</v>
      </c>
      <c r="L343" s="69">
        <f t="shared" si="111"/>
        <v>0</v>
      </c>
      <c r="M343" s="68">
        <f t="shared" si="111"/>
        <v>0</v>
      </c>
      <c r="N343" s="69">
        <f t="shared" si="111"/>
        <v>0</v>
      </c>
      <c r="O343" s="69">
        <f t="shared" si="111"/>
        <v>0</v>
      </c>
      <c r="P343" s="68">
        <f t="shared" si="111"/>
        <v>0</v>
      </c>
      <c r="Q343" s="69">
        <f t="shared" si="111"/>
        <v>2500</v>
      </c>
      <c r="R343" s="69">
        <f t="shared" si="111"/>
        <v>5000</v>
      </c>
      <c r="S343" s="68">
        <f t="shared" si="111"/>
        <v>7500</v>
      </c>
      <c r="T343" s="69">
        <f t="shared" si="111"/>
        <v>8500</v>
      </c>
      <c r="U343" s="69">
        <f t="shared" si="111"/>
        <v>8500</v>
      </c>
      <c r="V343" s="68">
        <f t="shared" si="111"/>
        <v>8500</v>
      </c>
      <c r="W343" s="69">
        <f t="shared" si="111"/>
        <v>8500</v>
      </c>
      <c r="X343" s="69">
        <f t="shared" si="111"/>
        <v>8500</v>
      </c>
      <c r="Y343" s="68">
        <f t="shared" si="111"/>
        <v>8500</v>
      </c>
      <c r="Z343" s="69">
        <f t="shared" si="111"/>
        <v>8500</v>
      </c>
      <c r="AA343" s="69">
        <f t="shared" si="111"/>
        <v>8500</v>
      </c>
      <c r="AB343" s="68">
        <f t="shared" si="111"/>
        <v>8500</v>
      </c>
      <c r="AC343" s="69">
        <f t="shared" si="111"/>
        <v>8500</v>
      </c>
      <c r="AD343" s="69">
        <f t="shared" si="111"/>
        <v>8500</v>
      </c>
      <c r="AE343" s="37"/>
      <c r="AI343" s="27"/>
    </row>
    <row r="344" spans="2:35" ht="15" customHeight="1" outlineLevel="1">
      <c r="B344" s="76" t="s">
        <v>140</v>
      </c>
      <c r="G344" s="70">
        <f>G340</f>
        <v>0</v>
      </c>
      <c r="H344" s="71">
        <f t="shared" ref="H344:AD344" si="112">H340</f>
        <v>0</v>
      </c>
      <c r="I344" s="71">
        <f t="shared" si="112"/>
        <v>0</v>
      </c>
      <c r="J344" s="70">
        <f t="shared" si="112"/>
        <v>0</v>
      </c>
      <c r="K344" s="71">
        <f t="shared" si="112"/>
        <v>0</v>
      </c>
      <c r="L344" s="71">
        <f t="shared" si="112"/>
        <v>0</v>
      </c>
      <c r="M344" s="70">
        <f t="shared" si="112"/>
        <v>0</v>
      </c>
      <c r="N344" s="71">
        <f t="shared" si="112"/>
        <v>0</v>
      </c>
      <c r="O344" s="71">
        <f t="shared" si="112"/>
        <v>0</v>
      </c>
      <c r="P344" s="70">
        <f t="shared" si="112"/>
        <v>2500</v>
      </c>
      <c r="Q344" s="71">
        <f t="shared" si="112"/>
        <v>2500</v>
      </c>
      <c r="R344" s="71">
        <f t="shared" si="112"/>
        <v>2500</v>
      </c>
      <c r="S344" s="70">
        <f t="shared" si="112"/>
        <v>1000</v>
      </c>
      <c r="T344" s="71">
        <f t="shared" si="112"/>
        <v>0</v>
      </c>
      <c r="U344" s="71">
        <f t="shared" si="112"/>
        <v>0</v>
      </c>
      <c r="V344" s="70">
        <f t="shared" si="112"/>
        <v>0</v>
      </c>
      <c r="W344" s="71">
        <f t="shared" si="112"/>
        <v>0</v>
      </c>
      <c r="X344" s="71">
        <f t="shared" si="112"/>
        <v>0</v>
      </c>
      <c r="Y344" s="70">
        <f t="shared" si="112"/>
        <v>0</v>
      </c>
      <c r="Z344" s="71">
        <f t="shared" si="112"/>
        <v>0</v>
      </c>
      <c r="AA344" s="71">
        <f t="shared" si="112"/>
        <v>0</v>
      </c>
      <c r="AB344" s="70">
        <f t="shared" si="112"/>
        <v>0</v>
      </c>
      <c r="AC344" s="71">
        <f t="shared" si="112"/>
        <v>0</v>
      </c>
      <c r="AD344" s="71">
        <f t="shared" si="112"/>
        <v>0</v>
      </c>
      <c r="AE344" s="37"/>
      <c r="AI344" s="27"/>
    </row>
    <row r="345" spans="2:35" ht="15" customHeight="1" outlineLevel="1">
      <c r="B345" s="76" t="s">
        <v>141</v>
      </c>
      <c r="G345" s="74">
        <v>0</v>
      </c>
      <c r="H345" s="358">
        <f>G345</f>
        <v>0</v>
      </c>
      <c r="I345" s="358">
        <f t="shared" ref="I345:AD345" si="113">H345</f>
        <v>0</v>
      </c>
      <c r="J345" s="74">
        <f t="shared" si="113"/>
        <v>0</v>
      </c>
      <c r="K345" s="358">
        <f t="shared" si="113"/>
        <v>0</v>
      </c>
      <c r="L345" s="358">
        <f t="shared" si="113"/>
        <v>0</v>
      </c>
      <c r="M345" s="74">
        <f t="shared" si="113"/>
        <v>0</v>
      </c>
      <c r="N345" s="358">
        <f t="shared" si="113"/>
        <v>0</v>
      </c>
      <c r="O345" s="358">
        <f t="shared" si="113"/>
        <v>0</v>
      </c>
      <c r="P345" s="74">
        <f t="shared" si="113"/>
        <v>0</v>
      </c>
      <c r="Q345" s="358">
        <f t="shared" si="113"/>
        <v>0</v>
      </c>
      <c r="R345" s="358">
        <f t="shared" si="113"/>
        <v>0</v>
      </c>
      <c r="S345" s="74">
        <f t="shared" si="113"/>
        <v>0</v>
      </c>
      <c r="T345" s="358">
        <f t="shared" si="113"/>
        <v>0</v>
      </c>
      <c r="U345" s="358">
        <f t="shared" si="113"/>
        <v>0</v>
      </c>
      <c r="V345" s="74">
        <f t="shared" si="113"/>
        <v>0</v>
      </c>
      <c r="W345" s="358">
        <f t="shared" si="113"/>
        <v>0</v>
      </c>
      <c r="X345" s="358">
        <f t="shared" si="113"/>
        <v>0</v>
      </c>
      <c r="Y345" s="74">
        <f t="shared" si="113"/>
        <v>0</v>
      </c>
      <c r="Z345" s="358">
        <f t="shared" si="113"/>
        <v>0</v>
      </c>
      <c r="AA345" s="358">
        <f t="shared" si="113"/>
        <v>0</v>
      </c>
      <c r="AB345" s="74">
        <f t="shared" si="113"/>
        <v>0</v>
      </c>
      <c r="AC345" s="358">
        <f t="shared" si="113"/>
        <v>0</v>
      </c>
      <c r="AD345" s="358">
        <f t="shared" si="113"/>
        <v>0</v>
      </c>
      <c r="AE345" s="37"/>
      <c r="AI345" s="27"/>
    </row>
    <row r="346" spans="2:35" ht="15" customHeight="1" outlineLevel="1">
      <c r="B346" s="76" t="s">
        <v>136</v>
      </c>
      <c r="G346" s="68">
        <f>SUM(G343:G345)</f>
        <v>0</v>
      </c>
      <c r="H346" s="69">
        <f t="shared" ref="H346:AD346" si="114">SUM(H343:H345)</f>
        <v>0</v>
      </c>
      <c r="I346" s="69">
        <f t="shared" si="114"/>
        <v>0</v>
      </c>
      <c r="J346" s="68">
        <f t="shared" si="114"/>
        <v>0</v>
      </c>
      <c r="K346" s="69">
        <f t="shared" si="114"/>
        <v>0</v>
      </c>
      <c r="L346" s="69">
        <f t="shared" si="114"/>
        <v>0</v>
      </c>
      <c r="M346" s="68">
        <f t="shared" si="114"/>
        <v>0</v>
      </c>
      <c r="N346" s="69">
        <f t="shared" si="114"/>
        <v>0</v>
      </c>
      <c r="O346" s="69">
        <f t="shared" si="114"/>
        <v>0</v>
      </c>
      <c r="P346" s="68">
        <f t="shared" si="114"/>
        <v>2500</v>
      </c>
      <c r="Q346" s="69">
        <f t="shared" si="114"/>
        <v>5000</v>
      </c>
      <c r="R346" s="69">
        <f t="shared" si="114"/>
        <v>7500</v>
      </c>
      <c r="S346" s="68">
        <f t="shared" si="114"/>
        <v>8500</v>
      </c>
      <c r="T346" s="69">
        <f t="shared" si="114"/>
        <v>8500</v>
      </c>
      <c r="U346" s="69">
        <f t="shared" si="114"/>
        <v>8500</v>
      </c>
      <c r="V346" s="68">
        <f t="shared" si="114"/>
        <v>8500</v>
      </c>
      <c r="W346" s="69">
        <f t="shared" si="114"/>
        <v>8500</v>
      </c>
      <c r="X346" s="69">
        <f t="shared" si="114"/>
        <v>8500</v>
      </c>
      <c r="Y346" s="68">
        <f t="shared" si="114"/>
        <v>8500</v>
      </c>
      <c r="Z346" s="69">
        <f t="shared" si="114"/>
        <v>8500</v>
      </c>
      <c r="AA346" s="69">
        <f t="shared" si="114"/>
        <v>8500</v>
      </c>
      <c r="AB346" s="68">
        <f t="shared" si="114"/>
        <v>8500</v>
      </c>
      <c r="AC346" s="69">
        <f t="shared" si="114"/>
        <v>8500</v>
      </c>
      <c r="AD346" s="69">
        <f t="shared" si="114"/>
        <v>8500</v>
      </c>
      <c r="AE346" s="37"/>
      <c r="AI346" s="27"/>
    </row>
    <row r="347" spans="2:35" ht="15" customHeight="1" outlineLevel="1"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I347" s="27"/>
    </row>
    <row r="348" spans="2:35" ht="15" customHeight="1" outlineLevel="1">
      <c r="B348" s="59"/>
      <c r="C348" s="352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I348" s="27"/>
    </row>
    <row r="349" spans="2:35" ht="15" customHeight="1" outlineLevel="1">
      <c r="B349" s="355"/>
      <c r="C349" s="356"/>
      <c r="D349" s="270"/>
      <c r="E349" s="270"/>
      <c r="F349" s="270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I349" s="27"/>
    </row>
    <row r="350" spans="2:35" ht="15" customHeight="1" outlineLevel="1">
      <c r="B350" s="73" t="s">
        <v>142</v>
      </c>
      <c r="C350" s="352"/>
      <c r="G350" s="55">
        <f t="shared" ref="G350:AD350" si="115">G$8</f>
        <v>1</v>
      </c>
      <c r="H350" s="55">
        <f t="shared" si="115"/>
        <v>1</v>
      </c>
      <c r="I350" s="55">
        <f t="shared" si="115"/>
        <v>1</v>
      </c>
      <c r="J350" s="55">
        <f t="shared" si="115"/>
        <v>1</v>
      </c>
      <c r="K350" s="55">
        <f t="shared" si="115"/>
        <v>1</v>
      </c>
      <c r="L350" s="55">
        <f t="shared" si="115"/>
        <v>1</v>
      </c>
      <c r="M350" s="55">
        <f t="shared" si="115"/>
        <v>1</v>
      </c>
      <c r="N350" s="55">
        <f t="shared" si="115"/>
        <v>1</v>
      </c>
      <c r="O350" s="55">
        <f t="shared" si="115"/>
        <v>1</v>
      </c>
      <c r="P350" s="55">
        <f t="shared" si="115"/>
        <v>1</v>
      </c>
      <c r="Q350" s="55">
        <f t="shared" si="115"/>
        <v>1</v>
      </c>
      <c r="R350" s="55">
        <f t="shared" si="115"/>
        <v>1</v>
      </c>
      <c r="S350" s="55">
        <f t="shared" si="115"/>
        <v>0</v>
      </c>
      <c r="T350" s="55">
        <f t="shared" si="115"/>
        <v>0</v>
      </c>
      <c r="U350" s="55">
        <f t="shared" si="115"/>
        <v>0</v>
      </c>
      <c r="V350" s="55">
        <f t="shared" si="115"/>
        <v>0</v>
      </c>
      <c r="W350" s="55">
        <f t="shared" si="115"/>
        <v>0</v>
      </c>
      <c r="X350" s="55">
        <f t="shared" si="115"/>
        <v>0</v>
      </c>
      <c r="Y350" s="55">
        <f t="shared" si="115"/>
        <v>0</v>
      </c>
      <c r="Z350" s="55">
        <f t="shared" si="115"/>
        <v>0</v>
      </c>
      <c r="AA350" s="55">
        <f t="shared" si="115"/>
        <v>0</v>
      </c>
      <c r="AB350" s="55">
        <f t="shared" si="115"/>
        <v>0</v>
      </c>
      <c r="AC350" s="55">
        <f t="shared" si="115"/>
        <v>0</v>
      </c>
      <c r="AD350" s="55">
        <f t="shared" si="115"/>
        <v>0</v>
      </c>
      <c r="AI350" s="27"/>
    </row>
    <row r="351" spans="2:35" ht="15" customHeight="1" outlineLevel="1">
      <c r="B351" s="76" t="s">
        <v>143</v>
      </c>
      <c r="C351" s="352"/>
      <c r="G351" s="359">
        <f>-G334</f>
        <v>1</v>
      </c>
      <c r="H351" s="360">
        <f t="shared" ref="H351:AD351" si="116">-H334</f>
        <v>1</v>
      </c>
      <c r="I351" s="360">
        <f t="shared" si="116"/>
        <v>1</v>
      </c>
      <c r="J351" s="361">
        <f t="shared" si="116"/>
        <v>1</v>
      </c>
      <c r="K351" s="360">
        <f t="shared" si="116"/>
        <v>1</v>
      </c>
      <c r="L351" s="360">
        <f t="shared" si="116"/>
        <v>1</v>
      </c>
      <c r="M351" s="361">
        <f t="shared" si="116"/>
        <v>1</v>
      </c>
      <c r="N351" s="360">
        <f t="shared" si="116"/>
        <v>1</v>
      </c>
      <c r="O351" s="360">
        <f t="shared" si="116"/>
        <v>1</v>
      </c>
      <c r="P351" s="361">
        <f t="shared" si="116"/>
        <v>1</v>
      </c>
      <c r="Q351" s="360">
        <f t="shared" si="116"/>
        <v>1</v>
      </c>
      <c r="R351" s="360">
        <f t="shared" si="116"/>
        <v>1</v>
      </c>
      <c r="S351" s="361">
        <f t="shared" si="116"/>
        <v>1</v>
      </c>
      <c r="T351" s="360">
        <f t="shared" si="116"/>
        <v>1</v>
      </c>
      <c r="U351" s="360">
        <f t="shared" si="116"/>
        <v>1</v>
      </c>
      <c r="V351" s="361">
        <f t="shared" si="116"/>
        <v>1</v>
      </c>
      <c r="W351" s="360">
        <f t="shared" si="116"/>
        <v>1</v>
      </c>
      <c r="X351" s="360">
        <f t="shared" si="116"/>
        <v>1</v>
      </c>
      <c r="Y351" s="361">
        <f t="shared" si="116"/>
        <v>1</v>
      </c>
      <c r="Z351" s="360">
        <f t="shared" si="116"/>
        <v>1</v>
      </c>
      <c r="AA351" s="360">
        <f t="shared" si="116"/>
        <v>1</v>
      </c>
      <c r="AB351" s="361">
        <f t="shared" si="116"/>
        <v>1</v>
      </c>
      <c r="AC351" s="360">
        <f t="shared" si="116"/>
        <v>1</v>
      </c>
      <c r="AD351" s="360">
        <f t="shared" si="116"/>
        <v>1</v>
      </c>
      <c r="AE351" s="328"/>
      <c r="AI351" s="27"/>
    </row>
    <row r="352" spans="2:35" ht="15" customHeight="1" outlineLevel="1">
      <c r="B352" s="76" t="s">
        <v>144</v>
      </c>
      <c r="C352" s="352"/>
      <c r="G352" s="80">
        <f>-G345</f>
        <v>0</v>
      </c>
      <c r="H352" s="75">
        <f t="shared" ref="H352:AD352" si="117">-H345</f>
        <v>0</v>
      </c>
      <c r="I352" s="75">
        <f t="shared" si="117"/>
        <v>0</v>
      </c>
      <c r="J352" s="351">
        <f t="shared" si="117"/>
        <v>0</v>
      </c>
      <c r="K352" s="75">
        <f t="shared" si="117"/>
        <v>0</v>
      </c>
      <c r="L352" s="75">
        <f t="shared" si="117"/>
        <v>0</v>
      </c>
      <c r="M352" s="351">
        <f t="shared" si="117"/>
        <v>0</v>
      </c>
      <c r="N352" s="75">
        <f t="shared" si="117"/>
        <v>0</v>
      </c>
      <c r="O352" s="75">
        <f t="shared" si="117"/>
        <v>0</v>
      </c>
      <c r="P352" s="351">
        <f t="shared" si="117"/>
        <v>0</v>
      </c>
      <c r="Q352" s="75">
        <f t="shared" si="117"/>
        <v>0</v>
      </c>
      <c r="R352" s="75">
        <f t="shared" si="117"/>
        <v>0</v>
      </c>
      <c r="S352" s="351">
        <f t="shared" si="117"/>
        <v>0</v>
      </c>
      <c r="T352" s="75">
        <f t="shared" si="117"/>
        <v>0</v>
      </c>
      <c r="U352" s="75">
        <f t="shared" si="117"/>
        <v>0</v>
      </c>
      <c r="V352" s="351">
        <f t="shared" si="117"/>
        <v>0</v>
      </c>
      <c r="W352" s="75">
        <f t="shared" si="117"/>
        <v>0</v>
      </c>
      <c r="X352" s="75">
        <f t="shared" si="117"/>
        <v>0</v>
      </c>
      <c r="Y352" s="351">
        <f t="shared" si="117"/>
        <v>0</v>
      </c>
      <c r="Z352" s="75">
        <f t="shared" si="117"/>
        <v>0</v>
      </c>
      <c r="AA352" s="75">
        <f t="shared" si="117"/>
        <v>0</v>
      </c>
      <c r="AB352" s="351">
        <f t="shared" si="117"/>
        <v>0</v>
      </c>
      <c r="AC352" s="75">
        <f t="shared" si="117"/>
        <v>0</v>
      </c>
      <c r="AD352" s="75">
        <f t="shared" si="117"/>
        <v>0</v>
      </c>
      <c r="AE352" s="328"/>
      <c r="AI352" s="27"/>
    </row>
    <row r="353" spans="1:62" ht="15" customHeight="1" outlineLevel="1" thickBot="1">
      <c r="B353" s="76" t="s">
        <v>145</v>
      </c>
      <c r="C353" s="352"/>
      <c r="G353" s="359">
        <f>SUM(G351:G352)</f>
        <v>1</v>
      </c>
      <c r="H353" s="360">
        <f t="shared" ref="H353:AD353" si="118">SUM(H351:H352)</f>
        <v>1</v>
      </c>
      <c r="I353" s="360">
        <f t="shared" si="118"/>
        <v>1</v>
      </c>
      <c r="J353" s="361">
        <f t="shared" si="118"/>
        <v>1</v>
      </c>
      <c r="K353" s="360">
        <f t="shared" si="118"/>
        <v>1</v>
      </c>
      <c r="L353" s="360">
        <f t="shared" si="118"/>
        <v>1</v>
      </c>
      <c r="M353" s="361">
        <f t="shared" si="118"/>
        <v>1</v>
      </c>
      <c r="N353" s="360">
        <f t="shared" si="118"/>
        <v>1</v>
      </c>
      <c r="O353" s="360">
        <f t="shared" si="118"/>
        <v>1</v>
      </c>
      <c r="P353" s="361">
        <f t="shared" si="118"/>
        <v>1</v>
      </c>
      <c r="Q353" s="360">
        <f t="shared" si="118"/>
        <v>1</v>
      </c>
      <c r="R353" s="360">
        <f t="shared" si="118"/>
        <v>1</v>
      </c>
      <c r="S353" s="361">
        <f t="shared" si="118"/>
        <v>1</v>
      </c>
      <c r="T353" s="360">
        <f t="shared" si="118"/>
        <v>1</v>
      </c>
      <c r="U353" s="360">
        <f t="shared" si="118"/>
        <v>1</v>
      </c>
      <c r="V353" s="361">
        <f t="shared" si="118"/>
        <v>1</v>
      </c>
      <c r="W353" s="360">
        <f t="shared" si="118"/>
        <v>1</v>
      </c>
      <c r="X353" s="360">
        <f t="shared" si="118"/>
        <v>1</v>
      </c>
      <c r="Y353" s="361">
        <f t="shared" si="118"/>
        <v>1</v>
      </c>
      <c r="Z353" s="360">
        <f t="shared" si="118"/>
        <v>1</v>
      </c>
      <c r="AA353" s="360">
        <f t="shared" si="118"/>
        <v>1</v>
      </c>
      <c r="AB353" s="361">
        <f t="shared" si="118"/>
        <v>1</v>
      </c>
      <c r="AC353" s="360">
        <f t="shared" si="118"/>
        <v>1</v>
      </c>
      <c r="AD353" s="360">
        <f t="shared" si="118"/>
        <v>1</v>
      </c>
      <c r="AE353" s="328"/>
      <c r="AI353" s="27"/>
    </row>
    <row r="354" spans="1:62" ht="15" customHeight="1" outlineLevel="1">
      <c r="B354" s="76"/>
      <c r="C354" s="352"/>
      <c r="G354" s="81"/>
      <c r="H354" s="81"/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  <c r="V354" s="81"/>
      <c r="W354" s="81"/>
      <c r="X354" s="81"/>
      <c r="Y354" s="81"/>
      <c r="Z354" s="81"/>
      <c r="AA354" s="81"/>
      <c r="AB354" s="81"/>
      <c r="AC354" s="81"/>
      <c r="AD354" s="81"/>
      <c r="AI354" s="27"/>
    </row>
    <row r="355" spans="1:62" ht="15" customHeight="1" outlineLevel="1">
      <c r="B355" s="59"/>
      <c r="C355" s="352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I355" s="27"/>
    </row>
    <row r="356" spans="1:62" ht="15" customHeight="1" outlineLevel="1">
      <c r="B356" s="73" t="s">
        <v>146</v>
      </c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I356" s="27"/>
    </row>
    <row r="357" spans="1:62" ht="15" customHeight="1" outlineLevel="1">
      <c r="B357" s="76" t="s">
        <v>132</v>
      </c>
      <c r="G357" s="359">
        <f>G329</f>
        <v>0</v>
      </c>
      <c r="H357" s="360">
        <f t="shared" ref="H357:AD357" si="119">H329</f>
        <v>0</v>
      </c>
      <c r="I357" s="360">
        <f t="shared" si="119"/>
        <v>0</v>
      </c>
      <c r="J357" s="361">
        <f t="shared" si="119"/>
        <v>0</v>
      </c>
      <c r="K357" s="360">
        <f t="shared" si="119"/>
        <v>0</v>
      </c>
      <c r="L357" s="360">
        <f t="shared" si="119"/>
        <v>0</v>
      </c>
      <c r="M357" s="361">
        <f t="shared" si="119"/>
        <v>0</v>
      </c>
      <c r="N357" s="360">
        <f t="shared" si="119"/>
        <v>20</v>
      </c>
      <c r="O357" s="360">
        <f t="shared" si="119"/>
        <v>10</v>
      </c>
      <c r="P357" s="361">
        <f t="shared" si="119"/>
        <v>0</v>
      </c>
      <c r="Q357" s="360">
        <f t="shared" si="119"/>
        <v>0</v>
      </c>
      <c r="R357" s="360">
        <f t="shared" si="119"/>
        <v>0</v>
      </c>
      <c r="S357" s="361">
        <f t="shared" si="119"/>
        <v>0</v>
      </c>
      <c r="T357" s="360">
        <f t="shared" si="119"/>
        <v>0</v>
      </c>
      <c r="U357" s="360">
        <f t="shared" si="119"/>
        <v>0</v>
      </c>
      <c r="V357" s="361">
        <f t="shared" si="119"/>
        <v>0</v>
      </c>
      <c r="W357" s="360">
        <f t="shared" si="119"/>
        <v>0</v>
      </c>
      <c r="X357" s="360">
        <f t="shared" si="119"/>
        <v>0</v>
      </c>
      <c r="Y357" s="361">
        <f t="shared" si="119"/>
        <v>0</v>
      </c>
      <c r="Z357" s="360">
        <f t="shared" si="119"/>
        <v>0</v>
      </c>
      <c r="AA357" s="360">
        <f t="shared" si="119"/>
        <v>0</v>
      </c>
      <c r="AB357" s="361">
        <f t="shared" si="119"/>
        <v>0</v>
      </c>
      <c r="AC357" s="360">
        <f t="shared" si="119"/>
        <v>0</v>
      </c>
      <c r="AD357" s="360">
        <f t="shared" si="119"/>
        <v>0</v>
      </c>
      <c r="AE357" s="328"/>
      <c r="AI357" s="27"/>
    </row>
    <row r="358" spans="1:62" ht="15" customHeight="1" outlineLevel="1">
      <c r="B358" s="76" t="s">
        <v>140</v>
      </c>
      <c r="G358" s="80">
        <f>G340</f>
        <v>0</v>
      </c>
      <c r="H358" s="75">
        <f t="shared" ref="H358:AD358" si="120">H340</f>
        <v>0</v>
      </c>
      <c r="I358" s="75">
        <f t="shared" si="120"/>
        <v>0</v>
      </c>
      <c r="J358" s="351">
        <f t="shared" si="120"/>
        <v>0</v>
      </c>
      <c r="K358" s="75">
        <f t="shared" si="120"/>
        <v>0</v>
      </c>
      <c r="L358" s="75">
        <f t="shared" si="120"/>
        <v>0</v>
      </c>
      <c r="M358" s="351">
        <f t="shared" si="120"/>
        <v>0</v>
      </c>
      <c r="N358" s="75">
        <f t="shared" si="120"/>
        <v>0</v>
      </c>
      <c r="O358" s="75">
        <f t="shared" si="120"/>
        <v>0</v>
      </c>
      <c r="P358" s="351">
        <f t="shared" si="120"/>
        <v>2500</v>
      </c>
      <c r="Q358" s="75">
        <f t="shared" si="120"/>
        <v>2500</v>
      </c>
      <c r="R358" s="75">
        <f t="shared" si="120"/>
        <v>2500</v>
      </c>
      <c r="S358" s="351">
        <f t="shared" si="120"/>
        <v>1000</v>
      </c>
      <c r="T358" s="75">
        <f t="shared" si="120"/>
        <v>0</v>
      </c>
      <c r="U358" s="75">
        <f t="shared" si="120"/>
        <v>0</v>
      </c>
      <c r="V358" s="351">
        <f t="shared" si="120"/>
        <v>0</v>
      </c>
      <c r="W358" s="75">
        <f t="shared" si="120"/>
        <v>0</v>
      </c>
      <c r="X358" s="75">
        <f t="shared" si="120"/>
        <v>0</v>
      </c>
      <c r="Y358" s="351">
        <f t="shared" si="120"/>
        <v>0</v>
      </c>
      <c r="Z358" s="75">
        <f t="shared" si="120"/>
        <v>0</v>
      </c>
      <c r="AA358" s="75">
        <f t="shared" si="120"/>
        <v>0</v>
      </c>
      <c r="AB358" s="351">
        <f t="shared" si="120"/>
        <v>0</v>
      </c>
      <c r="AC358" s="75">
        <f t="shared" si="120"/>
        <v>0</v>
      </c>
      <c r="AD358" s="75">
        <f t="shared" si="120"/>
        <v>0</v>
      </c>
      <c r="AE358" s="328"/>
      <c r="AI358" s="27"/>
    </row>
    <row r="359" spans="1:62" ht="15" customHeight="1" outlineLevel="1" thickBot="1">
      <c r="B359" s="76" t="s">
        <v>147</v>
      </c>
      <c r="G359" s="359">
        <f>SUM(G357:G358)</f>
        <v>0</v>
      </c>
      <c r="H359" s="360">
        <f t="shared" ref="H359:AD359" si="121">SUM(H357:H358)</f>
        <v>0</v>
      </c>
      <c r="I359" s="360">
        <f t="shared" si="121"/>
        <v>0</v>
      </c>
      <c r="J359" s="361">
        <f t="shared" si="121"/>
        <v>0</v>
      </c>
      <c r="K359" s="360">
        <f t="shared" si="121"/>
        <v>0</v>
      </c>
      <c r="L359" s="360">
        <f t="shared" si="121"/>
        <v>0</v>
      </c>
      <c r="M359" s="361">
        <f t="shared" si="121"/>
        <v>0</v>
      </c>
      <c r="N359" s="360">
        <f t="shared" si="121"/>
        <v>20</v>
      </c>
      <c r="O359" s="360">
        <f t="shared" si="121"/>
        <v>10</v>
      </c>
      <c r="P359" s="361">
        <f t="shared" si="121"/>
        <v>2500</v>
      </c>
      <c r="Q359" s="360">
        <f t="shared" si="121"/>
        <v>2500</v>
      </c>
      <c r="R359" s="360">
        <f t="shared" si="121"/>
        <v>2500</v>
      </c>
      <c r="S359" s="361">
        <f t="shared" si="121"/>
        <v>1000</v>
      </c>
      <c r="T359" s="360">
        <f t="shared" si="121"/>
        <v>0</v>
      </c>
      <c r="U359" s="360">
        <f t="shared" si="121"/>
        <v>0</v>
      </c>
      <c r="V359" s="361">
        <f t="shared" si="121"/>
        <v>0</v>
      </c>
      <c r="W359" s="360">
        <f t="shared" si="121"/>
        <v>0</v>
      </c>
      <c r="X359" s="360">
        <f t="shared" si="121"/>
        <v>0</v>
      </c>
      <c r="Y359" s="361">
        <f t="shared" si="121"/>
        <v>0</v>
      </c>
      <c r="Z359" s="360">
        <f t="shared" si="121"/>
        <v>0</v>
      </c>
      <c r="AA359" s="360">
        <f t="shared" si="121"/>
        <v>0</v>
      </c>
      <c r="AB359" s="361">
        <f t="shared" si="121"/>
        <v>0</v>
      </c>
      <c r="AC359" s="360">
        <f t="shared" si="121"/>
        <v>0</v>
      </c>
      <c r="AD359" s="360">
        <f t="shared" si="121"/>
        <v>0</v>
      </c>
      <c r="AE359" s="328"/>
      <c r="AI359" s="27"/>
    </row>
    <row r="360" spans="1:62" ht="15" customHeight="1" outlineLevel="1">
      <c r="G360" s="329"/>
      <c r="H360" s="329"/>
      <c r="I360" s="329"/>
      <c r="J360" s="329"/>
      <c r="K360" s="329"/>
      <c r="L360" s="329"/>
      <c r="M360" s="329"/>
      <c r="N360" s="329"/>
      <c r="O360" s="329"/>
      <c r="P360" s="329"/>
      <c r="Q360" s="329"/>
      <c r="R360" s="329"/>
      <c r="S360" s="329"/>
      <c r="T360" s="329"/>
      <c r="U360" s="329"/>
      <c r="V360" s="329"/>
      <c r="W360" s="329"/>
      <c r="X360" s="329"/>
      <c r="Y360" s="329"/>
      <c r="Z360" s="329"/>
      <c r="AA360" s="329"/>
      <c r="AB360" s="329"/>
      <c r="AC360" s="329"/>
      <c r="AD360" s="329"/>
      <c r="AI360" s="27"/>
    </row>
    <row r="361" spans="1:62" ht="15" customHeight="1" outlineLevel="1">
      <c r="AI361" s="27"/>
    </row>
    <row r="362" spans="1:62" s="44" customFormat="1" ht="15" customHeight="1" outlineLevel="1">
      <c r="A362" s="23"/>
      <c r="F362" s="23"/>
      <c r="G362" s="23"/>
      <c r="H362" s="23"/>
      <c r="AD362" s="45" t="s">
        <v>212</v>
      </c>
      <c r="AG362" s="23"/>
      <c r="AH362" s="23"/>
      <c r="AI362" s="27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</row>
    <row r="363" spans="1:62" ht="15" customHeight="1" outlineLevel="1">
      <c r="AI363" s="27"/>
    </row>
    <row r="364" spans="1:62" ht="15" customHeight="1" outlineLevel="1">
      <c r="B364" s="57"/>
      <c r="C364" s="57"/>
      <c r="D364" s="57"/>
      <c r="E364" s="39"/>
      <c r="F364" s="39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I364" s="27"/>
    </row>
    <row r="365" spans="1:62" ht="15" customHeight="1">
      <c r="B365" s="33"/>
      <c r="C365" s="33"/>
      <c r="D365" s="33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I365" s="27"/>
    </row>
    <row r="366" spans="1:62" s="27" customFormat="1" ht="15" customHeight="1">
      <c r="A366" s="23" t="s">
        <v>10</v>
      </c>
      <c r="B366" s="24" t="s">
        <v>148</v>
      </c>
      <c r="C366" s="24"/>
      <c r="D366" s="24"/>
      <c r="E366" s="25"/>
      <c r="F366" s="25"/>
      <c r="G366" s="25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24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  <c r="AD366" s="24"/>
      <c r="AE366" s="23"/>
      <c r="AG366" s="23"/>
      <c r="AH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</row>
    <row r="367" spans="1:62" s="27" customFormat="1" ht="15" customHeight="1" outlineLevel="1">
      <c r="A367" s="23"/>
      <c r="B367" s="28"/>
      <c r="C367" s="28"/>
      <c r="D367" s="28"/>
      <c r="E367" s="29"/>
      <c r="F367" s="29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G367" s="23"/>
      <c r="AH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</row>
    <row r="368" spans="1:62" s="27" customFormat="1" ht="15" customHeight="1" outlineLevel="1">
      <c r="A368" s="23"/>
      <c r="B368" s="31" t="s">
        <v>13</v>
      </c>
      <c r="C368" s="28"/>
      <c r="D368" s="28"/>
      <c r="E368" s="29"/>
      <c r="F368" s="29"/>
      <c r="G368" s="48">
        <f t="shared" ref="G368:AD368" si="122">G$5</f>
        <v>2024</v>
      </c>
      <c r="H368" s="49">
        <f t="shared" si="122"/>
        <v>2024</v>
      </c>
      <c r="I368" s="49">
        <f t="shared" si="122"/>
        <v>2024</v>
      </c>
      <c r="J368" s="50">
        <f t="shared" si="122"/>
        <v>2024</v>
      </c>
      <c r="K368" s="49">
        <f t="shared" si="122"/>
        <v>2024</v>
      </c>
      <c r="L368" s="49">
        <f t="shared" si="122"/>
        <v>2024</v>
      </c>
      <c r="M368" s="50">
        <f t="shared" si="122"/>
        <v>2024</v>
      </c>
      <c r="N368" s="49">
        <f t="shared" si="122"/>
        <v>2024</v>
      </c>
      <c r="O368" s="49">
        <f t="shared" si="122"/>
        <v>2024</v>
      </c>
      <c r="P368" s="50">
        <f t="shared" si="122"/>
        <v>2024</v>
      </c>
      <c r="Q368" s="51">
        <f t="shared" si="122"/>
        <v>2024</v>
      </c>
      <c r="R368" s="255">
        <f t="shared" si="122"/>
        <v>2024</v>
      </c>
      <c r="S368" s="52">
        <f t="shared" si="122"/>
        <v>2025</v>
      </c>
      <c r="T368" s="51">
        <f t="shared" si="122"/>
        <v>2025</v>
      </c>
      <c r="U368" s="51">
        <f t="shared" si="122"/>
        <v>2025</v>
      </c>
      <c r="V368" s="53">
        <f t="shared" si="122"/>
        <v>2025</v>
      </c>
      <c r="W368" s="51">
        <f t="shared" si="122"/>
        <v>2025</v>
      </c>
      <c r="X368" s="51">
        <f t="shared" si="122"/>
        <v>2025</v>
      </c>
      <c r="Y368" s="53">
        <f t="shared" si="122"/>
        <v>2025</v>
      </c>
      <c r="Z368" s="51">
        <f t="shared" si="122"/>
        <v>2025</v>
      </c>
      <c r="AA368" s="51">
        <f t="shared" si="122"/>
        <v>2025</v>
      </c>
      <c r="AB368" s="53">
        <f t="shared" si="122"/>
        <v>2025</v>
      </c>
      <c r="AC368" s="51">
        <f t="shared" si="122"/>
        <v>2025</v>
      </c>
      <c r="AD368" s="255">
        <f t="shared" si="122"/>
        <v>2025</v>
      </c>
      <c r="AE368" s="40"/>
      <c r="AG368" s="23"/>
      <c r="AH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</row>
    <row r="369" spans="2:35" ht="15" customHeight="1" outlineLevel="1">
      <c r="C369" s="31"/>
      <c r="D369" s="31"/>
      <c r="E369" s="32"/>
      <c r="F369" s="32"/>
      <c r="G369" s="256">
        <f t="shared" ref="G369:AD369" si="123">G$6</f>
        <v>1</v>
      </c>
      <c r="H369" s="257">
        <f t="shared" si="123"/>
        <v>1</v>
      </c>
      <c r="I369" s="54">
        <f t="shared" si="123"/>
        <v>1</v>
      </c>
      <c r="J369" s="258">
        <f t="shared" si="123"/>
        <v>2</v>
      </c>
      <c r="K369" s="257">
        <f t="shared" si="123"/>
        <v>2</v>
      </c>
      <c r="L369" s="215">
        <f t="shared" si="123"/>
        <v>2</v>
      </c>
      <c r="M369" s="258">
        <f t="shared" si="123"/>
        <v>3</v>
      </c>
      <c r="N369" s="257">
        <f t="shared" si="123"/>
        <v>3</v>
      </c>
      <c r="O369" s="215">
        <f t="shared" si="123"/>
        <v>3</v>
      </c>
      <c r="P369" s="216">
        <f t="shared" si="123"/>
        <v>4</v>
      </c>
      <c r="Q369" s="214">
        <f t="shared" si="123"/>
        <v>4</v>
      </c>
      <c r="R369" s="215">
        <f t="shared" si="123"/>
        <v>4</v>
      </c>
      <c r="S369" s="213">
        <f t="shared" si="123"/>
        <v>1</v>
      </c>
      <c r="T369" s="214">
        <f t="shared" si="123"/>
        <v>1</v>
      </c>
      <c r="U369" s="215">
        <f t="shared" si="123"/>
        <v>1</v>
      </c>
      <c r="V369" s="216">
        <f t="shared" si="123"/>
        <v>2</v>
      </c>
      <c r="W369" s="214">
        <f t="shared" si="123"/>
        <v>2</v>
      </c>
      <c r="X369" s="215">
        <f t="shared" si="123"/>
        <v>2</v>
      </c>
      <c r="Y369" s="216">
        <f t="shared" si="123"/>
        <v>3</v>
      </c>
      <c r="Z369" s="214">
        <f t="shared" si="123"/>
        <v>3</v>
      </c>
      <c r="AA369" s="215">
        <f t="shared" si="123"/>
        <v>3</v>
      </c>
      <c r="AB369" s="216">
        <f t="shared" si="123"/>
        <v>4</v>
      </c>
      <c r="AC369" s="214">
        <f t="shared" si="123"/>
        <v>4</v>
      </c>
      <c r="AD369" s="215">
        <f t="shared" si="123"/>
        <v>4</v>
      </c>
      <c r="AE369" s="40"/>
      <c r="AI369" s="27"/>
    </row>
    <row r="370" spans="2:35" ht="15" customHeight="1" outlineLevel="1" thickBot="1">
      <c r="G370" s="218">
        <f t="shared" ref="G370:AD370" si="124">G$7</f>
        <v>45322</v>
      </c>
      <c r="H370" s="219">
        <f t="shared" si="124"/>
        <v>45351</v>
      </c>
      <c r="I370" s="219">
        <f t="shared" si="124"/>
        <v>45382</v>
      </c>
      <c r="J370" s="220">
        <f t="shared" si="124"/>
        <v>45412</v>
      </c>
      <c r="K370" s="219">
        <f t="shared" si="124"/>
        <v>45443</v>
      </c>
      <c r="L370" s="219">
        <f t="shared" si="124"/>
        <v>45473</v>
      </c>
      <c r="M370" s="220">
        <f t="shared" si="124"/>
        <v>45504</v>
      </c>
      <c r="N370" s="219">
        <f t="shared" si="124"/>
        <v>45535</v>
      </c>
      <c r="O370" s="219">
        <f t="shared" si="124"/>
        <v>45565</v>
      </c>
      <c r="P370" s="220">
        <f t="shared" si="124"/>
        <v>45596</v>
      </c>
      <c r="Q370" s="219">
        <f t="shared" si="124"/>
        <v>45626</v>
      </c>
      <c r="R370" s="219">
        <f t="shared" si="124"/>
        <v>45657</v>
      </c>
      <c r="S370" s="218">
        <f t="shared" si="124"/>
        <v>45688</v>
      </c>
      <c r="T370" s="219">
        <f t="shared" si="124"/>
        <v>45716</v>
      </c>
      <c r="U370" s="219">
        <f t="shared" si="124"/>
        <v>45747</v>
      </c>
      <c r="V370" s="220">
        <f t="shared" si="124"/>
        <v>45777</v>
      </c>
      <c r="W370" s="219">
        <f t="shared" si="124"/>
        <v>45808</v>
      </c>
      <c r="X370" s="219">
        <f t="shared" si="124"/>
        <v>45838</v>
      </c>
      <c r="Y370" s="220">
        <f t="shared" si="124"/>
        <v>45869</v>
      </c>
      <c r="Z370" s="219">
        <f t="shared" si="124"/>
        <v>45900</v>
      </c>
      <c r="AA370" s="219">
        <f t="shared" si="124"/>
        <v>45930</v>
      </c>
      <c r="AB370" s="220">
        <f t="shared" si="124"/>
        <v>45961</v>
      </c>
      <c r="AC370" s="219">
        <f t="shared" si="124"/>
        <v>45991</v>
      </c>
      <c r="AD370" s="219">
        <f t="shared" si="124"/>
        <v>46022</v>
      </c>
      <c r="AE370" s="40"/>
      <c r="AI370" s="27"/>
    </row>
    <row r="371" spans="2:35" ht="15" customHeight="1" outlineLevel="1">
      <c r="G371" s="278"/>
      <c r="H371" s="278"/>
      <c r="I371" s="278"/>
      <c r="J371" s="278"/>
      <c r="K371" s="278"/>
      <c r="L371" s="278"/>
      <c r="M371" s="278"/>
      <c r="N371" s="278"/>
      <c r="O371" s="279"/>
      <c r="P371" s="279"/>
      <c r="Q371" s="279"/>
      <c r="R371" s="279"/>
      <c r="S371" s="279"/>
      <c r="T371" s="279"/>
      <c r="U371" s="280"/>
      <c r="V371" s="280"/>
      <c r="W371" s="280"/>
      <c r="X371" s="279"/>
      <c r="Y371" s="279"/>
      <c r="Z371" s="279"/>
      <c r="AA371" s="279"/>
      <c r="AB371" s="279"/>
      <c r="AC371" s="279"/>
      <c r="AD371" s="279"/>
      <c r="AI371" s="27"/>
    </row>
    <row r="372" spans="2:35" ht="15" customHeight="1" outlineLevel="1">
      <c r="G372" s="42" t="s">
        <v>34</v>
      </c>
      <c r="O372" s="338"/>
      <c r="P372" s="338"/>
      <c r="Q372" s="338"/>
      <c r="R372" s="338"/>
      <c r="S372" s="338"/>
      <c r="T372" s="338"/>
      <c r="U372" s="339"/>
      <c r="V372" s="339"/>
      <c r="W372" s="339"/>
      <c r="X372" s="338"/>
      <c r="Y372" s="338"/>
      <c r="Z372" s="338"/>
      <c r="AA372" s="338"/>
      <c r="AB372" s="338"/>
      <c r="AC372" s="338"/>
      <c r="AD372" s="338"/>
      <c r="AI372" s="27"/>
    </row>
    <row r="373" spans="2:35" ht="15" customHeight="1" outlineLevel="1">
      <c r="B373" s="73" t="s">
        <v>126</v>
      </c>
      <c r="G373" s="55">
        <f t="shared" ref="G373:AD373" si="125">G$8</f>
        <v>1</v>
      </c>
      <c r="H373" s="55">
        <f t="shared" si="125"/>
        <v>1</v>
      </c>
      <c r="I373" s="55">
        <f t="shared" si="125"/>
        <v>1</v>
      </c>
      <c r="J373" s="55">
        <f t="shared" si="125"/>
        <v>1</v>
      </c>
      <c r="K373" s="55">
        <f t="shared" si="125"/>
        <v>1</v>
      </c>
      <c r="L373" s="55">
        <f t="shared" si="125"/>
        <v>1</v>
      </c>
      <c r="M373" s="55">
        <f t="shared" si="125"/>
        <v>1</v>
      </c>
      <c r="N373" s="55">
        <f t="shared" si="125"/>
        <v>1</v>
      </c>
      <c r="O373" s="55">
        <f t="shared" si="125"/>
        <v>1</v>
      </c>
      <c r="P373" s="55">
        <f t="shared" si="125"/>
        <v>1</v>
      </c>
      <c r="Q373" s="55">
        <f t="shared" si="125"/>
        <v>1</v>
      </c>
      <c r="R373" s="55">
        <f t="shared" si="125"/>
        <v>1</v>
      </c>
      <c r="S373" s="55">
        <f t="shared" si="125"/>
        <v>0</v>
      </c>
      <c r="T373" s="55">
        <f t="shared" si="125"/>
        <v>0</v>
      </c>
      <c r="U373" s="55">
        <f t="shared" si="125"/>
        <v>0</v>
      </c>
      <c r="V373" s="55">
        <f t="shared" si="125"/>
        <v>0</v>
      </c>
      <c r="W373" s="55">
        <f t="shared" si="125"/>
        <v>0</v>
      </c>
      <c r="X373" s="55">
        <f t="shared" si="125"/>
        <v>0</v>
      </c>
      <c r="Y373" s="55">
        <f t="shared" si="125"/>
        <v>0</v>
      </c>
      <c r="Z373" s="55">
        <f t="shared" si="125"/>
        <v>0</v>
      </c>
      <c r="AA373" s="55">
        <f t="shared" si="125"/>
        <v>0</v>
      </c>
      <c r="AB373" s="55">
        <f t="shared" si="125"/>
        <v>0</v>
      </c>
      <c r="AC373" s="55">
        <f t="shared" si="125"/>
        <v>0</v>
      </c>
      <c r="AD373" s="55">
        <f t="shared" si="125"/>
        <v>0</v>
      </c>
      <c r="AI373" s="27"/>
    </row>
    <row r="374" spans="2:35" ht="15" customHeight="1" outlineLevel="1">
      <c r="B374" s="76" t="s">
        <v>134</v>
      </c>
      <c r="G374" s="79">
        <v>2600</v>
      </c>
      <c r="H374" s="69">
        <f>G376</f>
        <v>2075.2523224043716</v>
      </c>
      <c r="I374" s="69">
        <f t="shared" ref="I374:AD374" si="126">H376</f>
        <v>1614.3501526639348</v>
      </c>
      <c r="J374" s="68">
        <f t="shared" si="126"/>
        <v>1090.4383504499665</v>
      </c>
      <c r="K374" s="69">
        <f t="shared" si="126"/>
        <v>2817.4954572550537</v>
      </c>
      <c r="L374" s="69">
        <f t="shared" si="126"/>
        <v>2339.291518302563</v>
      </c>
      <c r="M374" s="68">
        <f t="shared" si="126"/>
        <v>1814.170758027281</v>
      </c>
      <c r="N374" s="69">
        <f t="shared" si="126"/>
        <v>1333.4585073267206</v>
      </c>
      <c r="O374" s="69">
        <f t="shared" si="126"/>
        <v>796.26442135460024</v>
      </c>
      <c r="P374" s="68">
        <f t="shared" si="126"/>
        <v>191.43445399268603</v>
      </c>
      <c r="Q374" s="69">
        <f t="shared" si="126"/>
        <v>3138.308668542968</v>
      </c>
      <c r="R374" s="69">
        <f t="shared" si="126"/>
        <v>954.33381179902472</v>
      </c>
      <c r="S374" s="68">
        <f t="shared" si="126"/>
        <v>0</v>
      </c>
      <c r="T374" s="69">
        <f t="shared" si="126"/>
        <v>0</v>
      </c>
      <c r="U374" s="69">
        <f t="shared" si="126"/>
        <v>0</v>
      </c>
      <c r="V374" s="68">
        <f t="shared" si="126"/>
        <v>0</v>
      </c>
      <c r="W374" s="69">
        <f t="shared" si="126"/>
        <v>2139.8809798543712</v>
      </c>
      <c r="X374" s="69">
        <f t="shared" si="126"/>
        <v>3137.8649137346779</v>
      </c>
      <c r="Y374" s="68">
        <f t="shared" si="126"/>
        <v>4004.3232595044801</v>
      </c>
      <c r="Z374" s="69">
        <f t="shared" si="126"/>
        <v>5006.9682990839119</v>
      </c>
      <c r="AA374" s="69">
        <f t="shared" si="126"/>
        <v>6012.1199512622925</v>
      </c>
      <c r="AB374" s="68">
        <f t="shared" si="126"/>
        <v>6892.4139346259135</v>
      </c>
      <c r="AC374" s="69">
        <f t="shared" si="126"/>
        <v>7902.2792008931483</v>
      </c>
      <c r="AD374" s="69">
        <f t="shared" si="126"/>
        <v>9306.1152490475124</v>
      </c>
      <c r="AE374" s="37"/>
      <c r="AI374" s="27"/>
    </row>
    <row r="375" spans="2:35" ht="15" customHeight="1" outlineLevel="1">
      <c r="B375" s="76" t="s">
        <v>149</v>
      </c>
      <c r="G375" s="70">
        <f>G512</f>
        <v>-524.74767759562815</v>
      </c>
      <c r="H375" s="71">
        <f t="shared" ref="H375:AD375" si="127">H512</f>
        <v>-460.90216974043688</v>
      </c>
      <c r="I375" s="71">
        <f t="shared" si="127"/>
        <v>-523.91180221396837</v>
      </c>
      <c r="J375" s="70">
        <f t="shared" si="127"/>
        <v>1727.0571068050872</v>
      </c>
      <c r="K375" s="71">
        <f t="shared" si="127"/>
        <v>-478.20393895249089</v>
      </c>
      <c r="L375" s="71">
        <f t="shared" si="127"/>
        <v>-525.1207602752819</v>
      </c>
      <c r="M375" s="70">
        <f t="shared" si="127"/>
        <v>-480.71225070056033</v>
      </c>
      <c r="N375" s="71">
        <f t="shared" si="127"/>
        <v>-537.19408597212032</v>
      </c>
      <c r="O375" s="71">
        <f t="shared" si="127"/>
        <v>-604.82996736191421</v>
      </c>
      <c r="P375" s="70">
        <f t="shared" si="127"/>
        <v>2946.874214550282</v>
      </c>
      <c r="Q375" s="71">
        <f t="shared" si="127"/>
        <v>-2183.9748567439433</v>
      </c>
      <c r="R375" s="71">
        <f t="shared" si="127"/>
        <v>-954.33381179902472</v>
      </c>
      <c r="S375" s="70">
        <f t="shared" si="127"/>
        <v>0</v>
      </c>
      <c r="T375" s="71">
        <f t="shared" si="127"/>
        <v>0</v>
      </c>
      <c r="U375" s="71">
        <f t="shared" si="127"/>
        <v>0</v>
      </c>
      <c r="V375" s="70">
        <f t="shared" si="127"/>
        <v>2139.8809798543712</v>
      </c>
      <c r="W375" s="71">
        <f t="shared" si="127"/>
        <v>997.98393388030684</v>
      </c>
      <c r="X375" s="71">
        <f t="shared" si="127"/>
        <v>866.45834576980201</v>
      </c>
      <c r="Y375" s="70">
        <f t="shared" si="127"/>
        <v>1002.645039579432</v>
      </c>
      <c r="Z375" s="71">
        <f t="shared" si="127"/>
        <v>1005.1516521783806</v>
      </c>
      <c r="AA375" s="71">
        <f t="shared" si="127"/>
        <v>880.29398336362101</v>
      </c>
      <c r="AB375" s="70">
        <f t="shared" si="127"/>
        <v>1009.8652662672351</v>
      </c>
      <c r="AC375" s="71">
        <f t="shared" si="127"/>
        <v>1403.8360481543646</v>
      </c>
      <c r="AD375" s="71">
        <f t="shared" si="127"/>
        <v>395.81892594598366</v>
      </c>
      <c r="AE375" s="37"/>
      <c r="AI375" s="27"/>
    </row>
    <row r="376" spans="2:35" ht="15" customHeight="1" outlineLevel="1">
      <c r="B376" s="76" t="s">
        <v>136</v>
      </c>
      <c r="G376" s="68">
        <f>SUM(G374:G375)</f>
        <v>2075.2523224043716</v>
      </c>
      <c r="H376" s="69">
        <f t="shared" ref="H376:AD376" si="128">SUM(H374:H375)</f>
        <v>1614.3501526639348</v>
      </c>
      <c r="I376" s="69">
        <f t="shared" si="128"/>
        <v>1090.4383504499665</v>
      </c>
      <c r="J376" s="68">
        <f t="shared" si="128"/>
        <v>2817.4954572550537</v>
      </c>
      <c r="K376" s="69">
        <f t="shared" si="128"/>
        <v>2339.291518302563</v>
      </c>
      <c r="L376" s="69">
        <f t="shared" si="128"/>
        <v>1814.170758027281</v>
      </c>
      <c r="M376" s="68">
        <f t="shared" si="128"/>
        <v>1333.4585073267206</v>
      </c>
      <c r="N376" s="69">
        <f t="shared" si="128"/>
        <v>796.26442135460024</v>
      </c>
      <c r="O376" s="69">
        <f t="shared" si="128"/>
        <v>191.43445399268603</v>
      </c>
      <c r="P376" s="68">
        <f t="shared" si="128"/>
        <v>3138.308668542968</v>
      </c>
      <c r="Q376" s="69">
        <f t="shared" si="128"/>
        <v>954.33381179902472</v>
      </c>
      <c r="R376" s="69">
        <f t="shared" si="128"/>
        <v>0</v>
      </c>
      <c r="S376" s="68">
        <f t="shared" si="128"/>
        <v>0</v>
      </c>
      <c r="T376" s="69">
        <f t="shared" si="128"/>
        <v>0</v>
      </c>
      <c r="U376" s="69">
        <f t="shared" si="128"/>
        <v>0</v>
      </c>
      <c r="V376" s="68">
        <f t="shared" si="128"/>
        <v>2139.8809798543712</v>
      </c>
      <c r="W376" s="69">
        <f t="shared" si="128"/>
        <v>3137.8649137346779</v>
      </c>
      <c r="X376" s="69">
        <f t="shared" si="128"/>
        <v>4004.3232595044801</v>
      </c>
      <c r="Y376" s="68">
        <f t="shared" si="128"/>
        <v>5006.9682990839119</v>
      </c>
      <c r="Z376" s="69">
        <f t="shared" si="128"/>
        <v>6012.1199512622925</v>
      </c>
      <c r="AA376" s="69">
        <f t="shared" si="128"/>
        <v>6892.4139346259135</v>
      </c>
      <c r="AB376" s="68">
        <f t="shared" si="128"/>
        <v>7902.2792008931483</v>
      </c>
      <c r="AC376" s="69">
        <f t="shared" si="128"/>
        <v>9306.1152490475124</v>
      </c>
      <c r="AD376" s="69">
        <f t="shared" si="128"/>
        <v>9701.9341749934956</v>
      </c>
      <c r="AE376" s="37"/>
      <c r="AI376" s="27"/>
    </row>
    <row r="377" spans="2:35" ht="15" customHeight="1" outlineLevel="1">
      <c r="B377" s="76"/>
      <c r="E377" s="362" t="s">
        <v>150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I377" s="27"/>
    </row>
    <row r="378" spans="2:35" ht="15" customHeight="1" outlineLevel="1">
      <c r="B378" s="76" t="s">
        <v>151</v>
      </c>
      <c r="E378" s="82">
        <v>0.03</v>
      </c>
      <c r="F378" s="37"/>
      <c r="G378" s="83">
        <f>$E378/12</f>
        <v>2.5000000000000001E-3</v>
      </c>
      <c r="H378" s="84">
        <f t="shared" ref="H378:AD378" si="129">$E378/12</f>
        <v>2.5000000000000001E-3</v>
      </c>
      <c r="I378" s="84">
        <f t="shared" si="129"/>
        <v>2.5000000000000001E-3</v>
      </c>
      <c r="J378" s="83">
        <f t="shared" si="129"/>
        <v>2.5000000000000001E-3</v>
      </c>
      <c r="K378" s="84">
        <f t="shared" si="129"/>
        <v>2.5000000000000001E-3</v>
      </c>
      <c r="L378" s="84">
        <f t="shared" si="129"/>
        <v>2.5000000000000001E-3</v>
      </c>
      <c r="M378" s="83">
        <f t="shared" si="129"/>
        <v>2.5000000000000001E-3</v>
      </c>
      <c r="N378" s="84">
        <f t="shared" si="129"/>
        <v>2.5000000000000001E-3</v>
      </c>
      <c r="O378" s="84">
        <f t="shared" si="129"/>
        <v>2.5000000000000001E-3</v>
      </c>
      <c r="P378" s="83">
        <f t="shared" si="129"/>
        <v>2.5000000000000001E-3</v>
      </c>
      <c r="Q378" s="84">
        <f t="shared" si="129"/>
        <v>2.5000000000000001E-3</v>
      </c>
      <c r="R378" s="84">
        <f t="shared" si="129"/>
        <v>2.5000000000000001E-3</v>
      </c>
      <c r="S378" s="83">
        <f t="shared" si="129"/>
        <v>2.5000000000000001E-3</v>
      </c>
      <c r="T378" s="84">
        <f t="shared" si="129"/>
        <v>2.5000000000000001E-3</v>
      </c>
      <c r="U378" s="84">
        <f t="shared" si="129"/>
        <v>2.5000000000000001E-3</v>
      </c>
      <c r="V378" s="83">
        <f t="shared" si="129"/>
        <v>2.5000000000000001E-3</v>
      </c>
      <c r="W378" s="84">
        <f t="shared" si="129"/>
        <v>2.5000000000000001E-3</v>
      </c>
      <c r="X378" s="84">
        <f t="shared" si="129"/>
        <v>2.5000000000000001E-3</v>
      </c>
      <c r="Y378" s="83">
        <f t="shared" si="129"/>
        <v>2.5000000000000001E-3</v>
      </c>
      <c r="Z378" s="84">
        <f t="shared" si="129"/>
        <v>2.5000000000000001E-3</v>
      </c>
      <c r="AA378" s="84">
        <f t="shared" si="129"/>
        <v>2.5000000000000001E-3</v>
      </c>
      <c r="AB378" s="83">
        <f t="shared" si="129"/>
        <v>2.5000000000000001E-3</v>
      </c>
      <c r="AC378" s="84">
        <f t="shared" si="129"/>
        <v>2.5000000000000001E-3</v>
      </c>
      <c r="AD378" s="84">
        <f t="shared" si="129"/>
        <v>2.5000000000000001E-3</v>
      </c>
      <c r="AE378" s="37"/>
      <c r="AI378" s="27"/>
    </row>
    <row r="379" spans="2:35" ht="15" customHeight="1" outlineLevel="1">
      <c r="B379" s="76" t="s">
        <v>152</v>
      </c>
      <c r="E379" s="38"/>
      <c r="G379" s="353">
        <f>G378*G374</f>
        <v>6.5</v>
      </c>
      <c r="H379" s="354">
        <f t="shared" ref="H379:AD379" si="130">H378*H374</f>
        <v>5.1881308060109292</v>
      </c>
      <c r="I379" s="354">
        <f t="shared" si="130"/>
        <v>4.0358753816598369</v>
      </c>
      <c r="J379" s="353">
        <f t="shared" si="130"/>
        <v>2.7260958761249161</v>
      </c>
      <c r="K379" s="354">
        <f t="shared" si="130"/>
        <v>7.0437386431376341</v>
      </c>
      <c r="L379" s="354">
        <f t="shared" si="130"/>
        <v>5.8482287957564072</v>
      </c>
      <c r="M379" s="353">
        <f t="shared" si="130"/>
        <v>4.5354268950682028</v>
      </c>
      <c r="N379" s="354">
        <f t="shared" si="130"/>
        <v>3.3336462683168016</v>
      </c>
      <c r="O379" s="354">
        <f t="shared" si="130"/>
        <v>1.9906610533865006</v>
      </c>
      <c r="P379" s="353">
        <f t="shared" si="130"/>
        <v>0.47858613498171509</v>
      </c>
      <c r="Q379" s="354">
        <f t="shared" si="130"/>
        <v>7.8457716713574204</v>
      </c>
      <c r="R379" s="354">
        <f t="shared" si="130"/>
        <v>2.3858345294975618</v>
      </c>
      <c r="S379" s="353">
        <f t="shared" si="130"/>
        <v>0</v>
      </c>
      <c r="T379" s="354">
        <f t="shared" si="130"/>
        <v>0</v>
      </c>
      <c r="U379" s="354">
        <f t="shared" si="130"/>
        <v>0</v>
      </c>
      <c r="V379" s="353">
        <f t="shared" si="130"/>
        <v>0</v>
      </c>
      <c r="W379" s="354">
        <f t="shared" si="130"/>
        <v>5.3497024496359282</v>
      </c>
      <c r="X379" s="354">
        <f t="shared" si="130"/>
        <v>7.8446622843366951</v>
      </c>
      <c r="Y379" s="353">
        <f t="shared" si="130"/>
        <v>10.0108081487612</v>
      </c>
      <c r="Z379" s="354">
        <f t="shared" si="130"/>
        <v>12.51742074770978</v>
      </c>
      <c r="AA379" s="354">
        <f t="shared" si="130"/>
        <v>15.030299878155731</v>
      </c>
      <c r="AB379" s="353">
        <f t="shared" si="130"/>
        <v>17.231034836564785</v>
      </c>
      <c r="AC379" s="354">
        <f t="shared" si="130"/>
        <v>19.755698002232872</v>
      </c>
      <c r="AD379" s="354">
        <f t="shared" si="130"/>
        <v>23.265288122618781</v>
      </c>
      <c r="AE379" s="37"/>
      <c r="AI379" s="27"/>
    </row>
    <row r="380" spans="2:35" ht="15" customHeight="1" outlineLevel="1">
      <c r="B380" s="85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I380" s="27"/>
    </row>
    <row r="381" spans="2:35" ht="15" customHeight="1" outlineLevel="1">
      <c r="B381" s="85"/>
      <c r="AI381" s="27"/>
    </row>
    <row r="382" spans="2:35" ht="15" customHeight="1" outlineLevel="1">
      <c r="B382" s="270"/>
      <c r="C382" s="270"/>
      <c r="D382" s="270"/>
      <c r="E382" s="270"/>
      <c r="F382" s="270"/>
      <c r="G382" s="270"/>
      <c r="H382" s="270"/>
      <c r="I382" s="270"/>
      <c r="J382" s="270"/>
      <c r="K382" s="270"/>
      <c r="L382" s="270"/>
      <c r="M382" s="270"/>
      <c r="N382" s="270"/>
      <c r="O382" s="363"/>
      <c r="P382" s="363"/>
      <c r="Q382" s="363"/>
      <c r="R382" s="363"/>
      <c r="S382" s="363"/>
      <c r="T382" s="363"/>
      <c r="U382" s="364"/>
      <c r="V382" s="364"/>
      <c r="W382" s="364"/>
      <c r="X382" s="363"/>
      <c r="Y382" s="363"/>
      <c r="Z382" s="363"/>
      <c r="AA382" s="363"/>
      <c r="AB382" s="363"/>
      <c r="AC382" s="363"/>
      <c r="AD382" s="363"/>
      <c r="AI382" s="27"/>
    </row>
    <row r="383" spans="2:35" ht="15" customHeight="1" outlineLevel="1">
      <c r="O383" s="338"/>
      <c r="P383" s="338"/>
      <c r="Q383" s="338"/>
      <c r="R383" s="338"/>
      <c r="S383" s="338"/>
      <c r="T383" s="338"/>
      <c r="U383" s="339"/>
      <c r="V383" s="339"/>
      <c r="W383" s="339"/>
      <c r="X383" s="338"/>
      <c r="Y383" s="338"/>
      <c r="Z383" s="338"/>
      <c r="AA383" s="338"/>
      <c r="AB383" s="338"/>
      <c r="AC383" s="338"/>
      <c r="AD383" s="338"/>
      <c r="AI383" s="27"/>
    </row>
    <row r="384" spans="2:35" ht="15" customHeight="1" outlineLevel="1">
      <c r="B384" s="73" t="s">
        <v>153</v>
      </c>
      <c r="G384" s="55">
        <f t="shared" ref="G384:AD384" si="131">G$8</f>
        <v>1</v>
      </c>
      <c r="H384" s="55">
        <f t="shared" si="131"/>
        <v>1</v>
      </c>
      <c r="I384" s="55">
        <f t="shared" si="131"/>
        <v>1</v>
      </c>
      <c r="J384" s="55">
        <f t="shared" si="131"/>
        <v>1</v>
      </c>
      <c r="K384" s="55">
        <f t="shared" si="131"/>
        <v>1</v>
      </c>
      <c r="L384" s="55">
        <f t="shared" si="131"/>
        <v>1</v>
      </c>
      <c r="M384" s="55">
        <f t="shared" si="131"/>
        <v>1</v>
      </c>
      <c r="N384" s="55">
        <f t="shared" si="131"/>
        <v>1</v>
      </c>
      <c r="O384" s="55">
        <f t="shared" si="131"/>
        <v>1</v>
      </c>
      <c r="P384" s="55">
        <f t="shared" si="131"/>
        <v>1</v>
      </c>
      <c r="Q384" s="55">
        <f t="shared" si="131"/>
        <v>1</v>
      </c>
      <c r="R384" s="55">
        <f t="shared" si="131"/>
        <v>1</v>
      </c>
      <c r="S384" s="55">
        <f t="shared" si="131"/>
        <v>0</v>
      </c>
      <c r="T384" s="55">
        <f t="shared" si="131"/>
        <v>0</v>
      </c>
      <c r="U384" s="55">
        <f t="shared" si="131"/>
        <v>0</v>
      </c>
      <c r="V384" s="55">
        <f t="shared" si="131"/>
        <v>0</v>
      </c>
      <c r="W384" s="55">
        <f t="shared" si="131"/>
        <v>0</v>
      </c>
      <c r="X384" s="55">
        <f t="shared" si="131"/>
        <v>0</v>
      </c>
      <c r="Y384" s="55">
        <f t="shared" si="131"/>
        <v>0</v>
      </c>
      <c r="Z384" s="55">
        <f t="shared" si="131"/>
        <v>0</v>
      </c>
      <c r="AA384" s="55">
        <f t="shared" si="131"/>
        <v>0</v>
      </c>
      <c r="AB384" s="55">
        <f t="shared" si="131"/>
        <v>0</v>
      </c>
      <c r="AC384" s="55">
        <f t="shared" si="131"/>
        <v>0</v>
      </c>
      <c r="AD384" s="55">
        <f t="shared" si="131"/>
        <v>0</v>
      </c>
      <c r="AI384" s="27"/>
    </row>
    <row r="385" spans="2:35" ht="15" customHeight="1" outlineLevel="1">
      <c r="B385" s="76" t="s">
        <v>154</v>
      </c>
      <c r="G385" s="68">
        <f>G374</f>
        <v>2600</v>
      </c>
      <c r="H385" s="69">
        <f t="shared" ref="H385:AD385" si="132">H374</f>
        <v>2075.2523224043716</v>
      </c>
      <c r="I385" s="69">
        <f t="shared" si="132"/>
        <v>1614.3501526639348</v>
      </c>
      <c r="J385" s="68">
        <f t="shared" si="132"/>
        <v>1090.4383504499665</v>
      </c>
      <c r="K385" s="69">
        <f t="shared" si="132"/>
        <v>2817.4954572550537</v>
      </c>
      <c r="L385" s="69">
        <f t="shared" si="132"/>
        <v>2339.291518302563</v>
      </c>
      <c r="M385" s="68">
        <f t="shared" si="132"/>
        <v>1814.170758027281</v>
      </c>
      <c r="N385" s="69">
        <f t="shared" si="132"/>
        <v>1333.4585073267206</v>
      </c>
      <c r="O385" s="69">
        <f t="shared" si="132"/>
        <v>796.26442135460024</v>
      </c>
      <c r="P385" s="68">
        <f t="shared" si="132"/>
        <v>191.43445399268603</v>
      </c>
      <c r="Q385" s="69">
        <f t="shared" si="132"/>
        <v>3138.308668542968</v>
      </c>
      <c r="R385" s="69">
        <f t="shared" si="132"/>
        <v>954.33381179902472</v>
      </c>
      <c r="S385" s="68">
        <f t="shared" si="132"/>
        <v>0</v>
      </c>
      <c r="T385" s="69">
        <f t="shared" si="132"/>
        <v>0</v>
      </c>
      <c r="U385" s="69">
        <f t="shared" si="132"/>
        <v>0</v>
      </c>
      <c r="V385" s="68">
        <f t="shared" si="132"/>
        <v>0</v>
      </c>
      <c r="W385" s="69">
        <f t="shared" si="132"/>
        <v>2139.8809798543712</v>
      </c>
      <c r="X385" s="69">
        <f t="shared" si="132"/>
        <v>3137.8649137346779</v>
      </c>
      <c r="Y385" s="68">
        <f t="shared" si="132"/>
        <v>4004.3232595044801</v>
      </c>
      <c r="Z385" s="69">
        <f t="shared" si="132"/>
        <v>5006.9682990839119</v>
      </c>
      <c r="AA385" s="69">
        <f t="shared" si="132"/>
        <v>6012.1199512622925</v>
      </c>
      <c r="AB385" s="68">
        <f t="shared" si="132"/>
        <v>6892.4139346259135</v>
      </c>
      <c r="AC385" s="69">
        <f t="shared" si="132"/>
        <v>7902.2792008931483</v>
      </c>
      <c r="AD385" s="69">
        <f t="shared" si="132"/>
        <v>9306.1152490475124</v>
      </c>
      <c r="AE385" s="37"/>
      <c r="AI385" s="27"/>
    </row>
    <row r="386" spans="2:35" ht="15" customHeight="1" outlineLevel="1">
      <c r="B386" s="76" t="s">
        <v>155</v>
      </c>
      <c r="G386" s="70">
        <f>G497</f>
        <v>-524.74767759562815</v>
      </c>
      <c r="H386" s="71">
        <f t="shared" ref="H386:AD386" si="133">H497</f>
        <v>-460.90216974043688</v>
      </c>
      <c r="I386" s="71">
        <f t="shared" si="133"/>
        <v>-523.91180221396837</v>
      </c>
      <c r="J386" s="70">
        <f t="shared" si="133"/>
        <v>1727.0571068050872</v>
      </c>
      <c r="K386" s="71">
        <f t="shared" si="133"/>
        <v>-478.20393895249089</v>
      </c>
      <c r="L386" s="71">
        <f t="shared" si="133"/>
        <v>-525.1207602752819</v>
      </c>
      <c r="M386" s="70">
        <f t="shared" si="133"/>
        <v>-480.71225070056033</v>
      </c>
      <c r="N386" s="71">
        <f t="shared" si="133"/>
        <v>-517.19408597212032</v>
      </c>
      <c r="O386" s="71">
        <f t="shared" si="133"/>
        <v>-594.82996736191421</v>
      </c>
      <c r="P386" s="70">
        <f t="shared" si="133"/>
        <v>5446.874214550282</v>
      </c>
      <c r="Q386" s="71">
        <f t="shared" si="133"/>
        <v>316.02514325605682</v>
      </c>
      <c r="R386" s="71">
        <f t="shared" si="133"/>
        <v>-501.68197967815286</v>
      </c>
      <c r="S386" s="70">
        <f t="shared" si="133"/>
        <v>2219.1930062018878</v>
      </c>
      <c r="T386" s="71">
        <f t="shared" si="133"/>
        <v>263.0908225902657</v>
      </c>
      <c r="U386" s="71">
        <f t="shared" si="133"/>
        <v>533.57489839383584</v>
      </c>
      <c r="V386" s="70">
        <f t="shared" si="133"/>
        <v>2171.3704205475101</v>
      </c>
      <c r="W386" s="71">
        <f t="shared" si="133"/>
        <v>997.98393388030684</v>
      </c>
      <c r="X386" s="71">
        <f t="shared" si="133"/>
        <v>866.45834576980201</v>
      </c>
      <c r="Y386" s="70">
        <f t="shared" si="133"/>
        <v>1002.645039579432</v>
      </c>
      <c r="Z386" s="71">
        <f t="shared" si="133"/>
        <v>1005.1516521783806</v>
      </c>
      <c r="AA386" s="71">
        <f t="shared" si="133"/>
        <v>880.29398336362101</v>
      </c>
      <c r="AB386" s="70">
        <f t="shared" si="133"/>
        <v>1009.8652662672351</v>
      </c>
      <c r="AC386" s="71">
        <f t="shared" si="133"/>
        <v>1403.8360481543646</v>
      </c>
      <c r="AD386" s="71">
        <f t="shared" si="133"/>
        <v>395.81892594598366</v>
      </c>
      <c r="AE386" s="37"/>
      <c r="AI386" s="27"/>
    </row>
    <row r="387" spans="2:35" ht="15" customHeight="1" outlineLevel="1">
      <c r="B387" s="76" t="s">
        <v>156</v>
      </c>
      <c r="G387" s="70">
        <f>G502</f>
        <v>0</v>
      </c>
      <c r="H387" s="71">
        <f t="shared" ref="H387:AD387" si="134">H502</f>
        <v>0</v>
      </c>
      <c r="I387" s="71">
        <f t="shared" si="134"/>
        <v>0</v>
      </c>
      <c r="J387" s="70">
        <f t="shared" si="134"/>
        <v>0</v>
      </c>
      <c r="K387" s="71">
        <f t="shared" si="134"/>
        <v>0</v>
      </c>
      <c r="L387" s="71">
        <f t="shared" si="134"/>
        <v>0</v>
      </c>
      <c r="M387" s="70">
        <f t="shared" si="134"/>
        <v>0</v>
      </c>
      <c r="N387" s="71">
        <f t="shared" si="134"/>
        <v>-20</v>
      </c>
      <c r="O387" s="71">
        <f t="shared" si="134"/>
        <v>-10</v>
      </c>
      <c r="P387" s="70">
        <f t="shared" si="134"/>
        <v>-2500</v>
      </c>
      <c r="Q387" s="71">
        <f t="shared" si="134"/>
        <v>-2500</v>
      </c>
      <c r="R387" s="71">
        <f t="shared" si="134"/>
        <v>-2500</v>
      </c>
      <c r="S387" s="70">
        <f t="shared" si="134"/>
        <v>-1000</v>
      </c>
      <c r="T387" s="71">
        <f t="shared" si="134"/>
        <v>0</v>
      </c>
      <c r="U387" s="71">
        <f t="shared" si="134"/>
        <v>0</v>
      </c>
      <c r="V387" s="70">
        <f t="shared" si="134"/>
        <v>0</v>
      </c>
      <c r="W387" s="71">
        <f t="shared" si="134"/>
        <v>0</v>
      </c>
      <c r="X387" s="71">
        <f t="shared" si="134"/>
        <v>0</v>
      </c>
      <c r="Y387" s="70">
        <f t="shared" si="134"/>
        <v>0</v>
      </c>
      <c r="Z387" s="71">
        <f t="shared" si="134"/>
        <v>0</v>
      </c>
      <c r="AA387" s="71">
        <f t="shared" si="134"/>
        <v>0</v>
      </c>
      <c r="AB387" s="70">
        <f t="shared" si="134"/>
        <v>0</v>
      </c>
      <c r="AC387" s="71">
        <f t="shared" si="134"/>
        <v>0</v>
      </c>
      <c r="AD387" s="71">
        <f t="shared" si="134"/>
        <v>0</v>
      </c>
      <c r="AE387" s="37"/>
      <c r="AI387" s="27"/>
    </row>
    <row r="388" spans="2:35" ht="15" customHeight="1" outlineLevel="1">
      <c r="B388" s="76" t="s">
        <v>157</v>
      </c>
      <c r="G388" s="68">
        <f>SUM(G385:G387)</f>
        <v>2075.2523224043716</v>
      </c>
      <c r="H388" s="69">
        <f t="shared" ref="H388:AD388" si="135">SUM(H385:H387)</f>
        <v>1614.3501526639348</v>
      </c>
      <c r="I388" s="69">
        <f t="shared" si="135"/>
        <v>1090.4383504499665</v>
      </c>
      <c r="J388" s="68">
        <f t="shared" si="135"/>
        <v>2817.4954572550537</v>
      </c>
      <c r="K388" s="69">
        <f t="shared" si="135"/>
        <v>2339.291518302563</v>
      </c>
      <c r="L388" s="69">
        <f t="shared" si="135"/>
        <v>1814.170758027281</v>
      </c>
      <c r="M388" s="68">
        <f t="shared" si="135"/>
        <v>1333.4585073267206</v>
      </c>
      <c r="N388" s="69">
        <f t="shared" si="135"/>
        <v>796.26442135460024</v>
      </c>
      <c r="O388" s="69">
        <f t="shared" si="135"/>
        <v>191.43445399268603</v>
      </c>
      <c r="P388" s="68">
        <f t="shared" si="135"/>
        <v>3138.308668542968</v>
      </c>
      <c r="Q388" s="69">
        <f t="shared" si="135"/>
        <v>954.33381179902472</v>
      </c>
      <c r="R388" s="69">
        <f t="shared" si="135"/>
        <v>-2047.3481678791281</v>
      </c>
      <c r="S388" s="68">
        <f t="shared" si="135"/>
        <v>1219.1930062018878</v>
      </c>
      <c r="T388" s="69">
        <f t="shared" si="135"/>
        <v>263.0908225902657</v>
      </c>
      <c r="U388" s="69">
        <f t="shared" si="135"/>
        <v>533.57489839383584</v>
      </c>
      <c r="V388" s="68">
        <f t="shared" si="135"/>
        <v>2171.3704205475101</v>
      </c>
      <c r="W388" s="69">
        <f t="shared" si="135"/>
        <v>3137.8649137346779</v>
      </c>
      <c r="X388" s="69">
        <f t="shared" si="135"/>
        <v>4004.3232595044801</v>
      </c>
      <c r="Y388" s="68">
        <f t="shared" si="135"/>
        <v>5006.9682990839119</v>
      </c>
      <c r="Z388" s="69">
        <f t="shared" si="135"/>
        <v>6012.1199512622925</v>
      </c>
      <c r="AA388" s="69">
        <f t="shared" si="135"/>
        <v>6892.4139346259135</v>
      </c>
      <c r="AB388" s="68">
        <f t="shared" si="135"/>
        <v>7902.2792008931483</v>
      </c>
      <c r="AC388" s="69">
        <f t="shared" si="135"/>
        <v>9306.1152490475124</v>
      </c>
      <c r="AD388" s="69">
        <f t="shared" si="135"/>
        <v>9701.9341749934956</v>
      </c>
      <c r="AE388" s="37"/>
      <c r="AI388" s="27"/>
    </row>
    <row r="389" spans="2:35" ht="15" customHeight="1" outlineLevel="1">
      <c r="B389" s="85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I389" s="27"/>
    </row>
    <row r="390" spans="2:35" ht="15" customHeight="1" outlineLevel="1">
      <c r="B390" s="85"/>
      <c r="AI390" s="27"/>
    </row>
    <row r="391" spans="2:35" ht="15" customHeight="1" outlineLevel="1">
      <c r="B391" s="73" t="s">
        <v>158</v>
      </c>
      <c r="G391" s="42" t="s">
        <v>34</v>
      </c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I391" s="27"/>
    </row>
    <row r="392" spans="2:35" ht="15" customHeight="1" outlineLevel="1">
      <c r="B392" s="76" t="s">
        <v>134</v>
      </c>
      <c r="G392" s="79">
        <v>0</v>
      </c>
      <c r="H392" s="69">
        <f>G394</f>
        <v>0</v>
      </c>
      <c r="I392" s="69">
        <f t="shared" ref="I392:AD392" si="136">H394</f>
        <v>0</v>
      </c>
      <c r="J392" s="68">
        <f t="shared" si="136"/>
        <v>0</v>
      </c>
      <c r="K392" s="69">
        <f t="shared" si="136"/>
        <v>0</v>
      </c>
      <c r="L392" s="69">
        <f t="shared" si="136"/>
        <v>0</v>
      </c>
      <c r="M392" s="68">
        <f t="shared" si="136"/>
        <v>0</v>
      </c>
      <c r="N392" s="69">
        <f t="shared" si="136"/>
        <v>0</v>
      </c>
      <c r="O392" s="69">
        <f t="shared" si="136"/>
        <v>0</v>
      </c>
      <c r="P392" s="68">
        <f t="shared" si="136"/>
        <v>0</v>
      </c>
      <c r="Q392" s="69">
        <f t="shared" si="136"/>
        <v>0</v>
      </c>
      <c r="R392" s="69">
        <f t="shared" si="136"/>
        <v>0</v>
      </c>
      <c r="S392" s="68">
        <f t="shared" si="136"/>
        <v>2047.3481678791281</v>
      </c>
      <c r="T392" s="69">
        <f t="shared" si="136"/>
        <v>828.15516167724036</v>
      </c>
      <c r="U392" s="69">
        <f t="shared" si="136"/>
        <v>565.06433908697466</v>
      </c>
      <c r="V392" s="68">
        <f t="shared" si="136"/>
        <v>31.489440693138818</v>
      </c>
      <c r="W392" s="69">
        <f t="shared" si="136"/>
        <v>0</v>
      </c>
      <c r="X392" s="69">
        <f t="shared" si="136"/>
        <v>0</v>
      </c>
      <c r="Y392" s="68">
        <f t="shared" si="136"/>
        <v>0</v>
      </c>
      <c r="Z392" s="69">
        <f t="shared" si="136"/>
        <v>0</v>
      </c>
      <c r="AA392" s="69">
        <f t="shared" si="136"/>
        <v>0</v>
      </c>
      <c r="AB392" s="68">
        <f t="shared" si="136"/>
        <v>0</v>
      </c>
      <c r="AC392" s="69">
        <f t="shared" si="136"/>
        <v>0</v>
      </c>
      <c r="AD392" s="69">
        <f t="shared" si="136"/>
        <v>0</v>
      </c>
      <c r="AE392" s="37"/>
      <c r="AI392" s="27"/>
    </row>
    <row r="393" spans="2:35" ht="15" customHeight="1" outlineLevel="1">
      <c r="B393" s="76" t="s">
        <v>149</v>
      </c>
      <c r="E393" s="362" t="s">
        <v>159</v>
      </c>
      <c r="G393" s="70">
        <f t="shared" ref="G393:AD393" si="137">-MIN(G392,G388)</f>
        <v>0</v>
      </c>
      <c r="H393" s="71">
        <f t="shared" si="137"/>
        <v>0</v>
      </c>
      <c r="I393" s="71">
        <f t="shared" si="137"/>
        <v>0</v>
      </c>
      <c r="J393" s="70">
        <f t="shared" si="137"/>
        <v>0</v>
      </c>
      <c r="K393" s="71">
        <f t="shared" si="137"/>
        <v>0</v>
      </c>
      <c r="L393" s="71">
        <f t="shared" si="137"/>
        <v>0</v>
      </c>
      <c r="M393" s="70">
        <f t="shared" si="137"/>
        <v>0</v>
      </c>
      <c r="N393" s="71">
        <f t="shared" si="137"/>
        <v>0</v>
      </c>
      <c r="O393" s="71">
        <f t="shared" si="137"/>
        <v>0</v>
      </c>
      <c r="P393" s="70">
        <f t="shared" si="137"/>
        <v>0</v>
      </c>
      <c r="Q393" s="71">
        <f t="shared" si="137"/>
        <v>0</v>
      </c>
      <c r="R393" s="71">
        <f t="shared" si="137"/>
        <v>2047.3481678791281</v>
      </c>
      <c r="S393" s="70">
        <f t="shared" si="137"/>
        <v>-1219.1930062018878</v>
      </c>
      <c r="T393" s="71">
        <f t="shared" si="137"/>
        <v>-263.0908225902657</v>
      </c>
      <c r="U393" s="71">
        <f t="shared" si="137"/>
        <v>-533.57489839383584</v>
      </c>
      <c r="V393" s="70">
        <f t="shared" si="137"/>
        <v>-31.489440693138818</v>
      </c>
      <c r="W393" s="71">
        <f t="shared" si="137"/>
        <v>0</v>
      </c>
      <c r="X393" s="71">
        <f t="shared" si="137"/>
        <v>0</v>
      </c>
      <c r="Y393" s="70">
        <f t="shared" si="137"/>
        <v>0</v>
      </c>
      <c r="Z393" s="71">
        <f t="shared" si="137"/>
        <v>0</v>
      </c>
      <c r="AA393" s="71">
        <f t="shared" si="137"/>
        <v>0</v>
      </c>
      <c r="AB393" s="70">
        <f t="shared" si="137"/>
        <v>0</v>
      </c>
      <c r="AC393" s="71">
        <f t="shared" si="137"/>
        <v>0</v>
      </c>
      <c r="AD393" s="71">
        <f t="shared" si="137"/>
        <v>0</v>
      </c>
      <c r="AE393" s="37"/>
      <c r="AI393" s="27"/>
    </row>
    <row r="394" spans="2:35" ht="15" customHeight="1" outlineLevel="1">
      <c r="B394" s="76" t="s">
        <v>136</v>
      </c>
      <c r="E394" s="86">
        <v>1000</v>
      </c>
      <c r="F394" s="37"/>
      <c r="G394" s="68">
        <f>SUM(G392:G393)</f>
        <v>0</v>
      </c>
      <c r="H394" s="69">
        <f t="shared" ref="H394:AD394" si="138">SUM(H392:H393)</f>
        <v>0</v>
      </c>
      <c r="I394" s="69">
        <f t="shared" si="138"/>
        <v>0</v>
      </c>
      <c r="J394" s="68">
        <f t="shared" si="138"/>
        <v>0</v>
      </c>
      <c r="K394" s="69">
        <f t="shared" si="138"/>
        <v>0</v>
      </c>
      <c r="L394" s="69">
        <f t="shared" si="138"/>
        <v>0</v>
      </c>
      <c r="M394" s="68">
        <f t="shared" si="138"/>
        <v>0</v>
      </c>
      <c r="N394" s="69">
        <f t="shared" si="138"/>
        <v>0</v>
      </c>
      <c r="O394" s="69">
        <f t="shared" si="138"/>
        <v>0</v>
      </c>
      <c r="P394" s="68">
        <f t="shared" si="138"/>
        <v>0</v>
      </c>
      <c r="Q394" s="69">
        <f t="shared" si="138"/>
        <v>0</v>
      </c>
      <c r="R394" s="69">
        <f t="shared" si="138"/>
        <v>2047.3481678791281</v>
      </c>
      <c r="S394" s="68">
        <f t="shared" si="138"/>
        <v>828.15516167724036</v>
      </c>
      <c r="T394" s="69">
        <f t="shared" si="138"/>
        <v>565.06433908697466</v>
      </c>
      <c r="U394" s="69">
        <f t="shared" si="138"/>
        <v>31.489440693138818</v>
      </c>
      <c r="V394" s="68">
        <f t="shared" si="138"/>
        <v>0</v>
      </c>
      <c r="W394" s="69">
        <f t="shared" si="138"/>
        <v>0</v>
      </c>
      <c r="X394" s="69">
        <f t="shared" si="138"/>
        <v>0</v>
      </c>
      <c r="Y394" s="68">
        <f t="shared" si="138"/>
        <v>0</v>
      </c>
      <c r="Z394" s="69">
        <f t="shared" si="138"/>
        <v>0</v>
      </c>
      <c r="AA394" s="69">
        <f t="shared" si="138"/>
        <v>0</v>
      </c>
      <c r="AB394" s="68">
        <f t="shared" si="138"/>
        <v>0</v>
      </c>
      <c r="AC394" s="69">
        <f t="shared" si="138"/>
        <v>0</v>
      </c>
      <c r="AD394" s="69">
        <f t="shared" si="138"/>
        <v>0</v>
      </c>
      <c r="AE394" s="37"/>
      <c r="AI394" s="27"/>
    </row>
    <row r="395" spans="2:35" ht="15" customHeight="1" outlineLevel="1">
      <c r="B395" s="76"/>
      <c r="E395" s="87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  <c r="AA395" s="69"/>
      <c r="AB395" s="69"/>
      <c r="AC395" s="69"/>
      <c r="AD395" s="69"/>
      <c r="AI395" s="27"/>
    </row>
    <row r="396" spans="2:35" ht="15" customHeight="1" outlineLevel="1">
      <c r="B396" s="76"/>
      <c r="E396" s="362" t="s">
        <v>150</v>
      </c>
      <c r="AI396" s="27"/>
    </row>
    <row r="397" spans="2:35" ht="15" customHeight="1" outlineLevel="1">
      <c r="B397" s="76" t="s">
        <v>151</v>
      </c>
      <c r="E397" s="82">
        <v>0.08</v>
      </c>
      <c r="F397" s="37"/>
      <c r="G397" s="83">
        <f>$E397/12</f>
        <v>6.6666666666666671E-3</v>
      </c>
      <c r="H397" s="84">
        <f t="shared" ref="H397:AD397" si="139">$E397/12</f>
        <v>6.6666666666666671E-3</v>
      </c>
      <c r="I397" s="84">
        <f t="shared" si="139"/>
        <v>6.6666666666666671E-3</v>
      </c>
      <c r="J397" s="83">
        <f t="shared" si="139"/>
        <v>6.6666666666666671E-3</v>
      </c>
      <c r="K397" s="84">
        <f t="shared" si="139"/>
        <v>6.6666666666666671E-3</v>
      </c>
      <c r="L397" s="84">
        <f t="shared" si="139"/>
        <v>6.6666666666666671E-3</v>
      </c>
      <c r="M397" s="83">
        <f t="shared" si="139"/>
        <v>6.6666666666666671E-3</v>
      </c>
      <c r="N397" s="84">
        <f t="shared" si="139"/>
        <v>6.6666666666666671E-3</v>
      </c>
      <c r="O397" s="84">
        <f t="shared" si="139"/>
        <v>6.6666666666666671E-3</v>
      </c>
      <c r="P397" s="83">
        <f t="shared" si="139"/>
        <v>6.6666666666666671E-3</v>
      </c>
      <c r="Q397" s="84">
        <f t="shared" si="139"/>
        <v>6.6666666666666671E-3</v>
      </c>
      <c r="R397" s="84">
        <f t="shared" si="139"/>
        <v>6.6666666666666671E-3</v>
      </c>
      <c r="S397" s="83">
        <f t="shared" si="139"/>
        <v>6.6666666666666671E-3</v>
      </c>
      <c r="T397" s="84">
        <f t="shared" si="139"/>
        <v>6.6666666666666671E-3</v>
      </c>
      <c r="U397" s="84">
        <f t="shared" si="139"/>
        <v>6.6666666666666671E-3</v>
      </c>
      <c r="V397" s="83">
        <f t="shared" si="139"/>
        <v>6.6666666666666671E-3</v>
      </c>
      <c r="W397" s="84">
        <f t="shared" si="139"/>
        <v>6.6666666666666671E-3</v>
      </c>
      <c r="X397" s="84">
        <f t="shared" si="139"/>
        <v>6.6666666666666671E-3</v>
      </c>
      <c r="Y397" s="83">
        <f t="shared" si="139"/>
        <v>6.6666666666666671E-3</v>
      </c>
      <c r="Z397" s="84">
        <f t="shared" si="139"/>
        <v>6.6666666666666671E-3</v>
      </c>
      <c r="AA397" s="84">
        <f t="shared" si="139"/>
        <v>6.6666666666666671E-3</v>
      </c>
      <c r="AB397" s="83">
        <f t="shared" si="139"/>
        <v>6.6666666666666671E-3</v>
      </c>
      <c r="AC397" s="84">
        <f t="shared" si="139"/>
        <v>6.6666666666666671E-3</v>
      </c>
      <c r="AD397" s="84">
        <f t="shared" si="139"/>
        <v>6.6666666666666671E-3</v>
      </c>
      <c r="AE397" s="37"/>
      <c r="AI397" s="27"/>
    </row>
    <row r="398" spans="2:35" ht="15" customHeight="1" outlineLevel="1">
      <c r="B398" s="76" t="s">
        <v>113</v>
      </c>
      <c r="E398" s="38"/>
      <c r="G398" s="68">
        <f>G397*G392</f>
        <v>0</v>
      </c>
      <c r="H398" s="69">
        <f t="shared" ref="H398:AD398" si="140">H397*H392</f>
        <v>0</v>
      </c>
      <c r="I398" s="69">
        <f t="shared" si="140"/>
        <v>0</v>
      </c>
      <c r="J398" s="68">
        <f t="shared" si="140"/>
        <v>0</v>
      </c>
      <c r="K398" s="69">
        <f t="shared" si="140"/>
        <v>0</v>
      </c>
      <c r="L398" s="69">
        <f t="shared" si="140"/>
        <v>0</v>
      </c>
      <c r="M398" s="68">
        <f t="shared" si="140"/>
        <v>0</v>
      </c>
      <c r="N398" s="69">
        <f t="shared" si="140"/>
        <v>0</v>
      </c>
      <c r="O398" s="69">
        <f t="shared" si="140"/>
        <v>0</v>
      </c>
      <c r="P398" s="68">
        <f t="shared" si="140"/>
        <v>0</v>
      </c>
      <c r="Q398" s="69">
        <f t="shared" si="140"/>
        <v>0</v>
      </c>
      <c r="R398" s="69">
        <f t="shared" si="140"/>
        <v>0</v>
      </c>
      <c r="S398" s="68">
        <f t="shared" si="140"/>
        <v>13.648987785860855</v>
      </c>
      <c r="T398" s="69">
        <f t="shared" si="140"/>
        <v>5.5210344111816028</v>
      </c>
      <c r="U398" s="69">
        <f t="shared" si="140"/>
        <v>3.7670955939131647</v>
      </c>
      <c r="V398" s="68">
        <f t="shared" si="140"/>
        <v>0.20992960462092547</v>
      </c>
      <c r="W398" s="69">
        <f t="shared" si="140"/>
        <v>0</v>
      </c>
      <c r="X398" s="69">
        <f t="shared" si="140"/>
        <v>0</v>
      </c>
      <c r="Y398" s="68">
        <f t="shared" si="140"/>
        <v>0</v>
      </c>
      <c r="Z398" s="69">
        <f t="shared" si="140"/>
        <v>0</v>
      </c>
      <c r="AA398" s="69">
        <f t="shared" si="140"/>
        <v>0</v>
      </c>
      <c r="AB398" s="68">
        <f t="shared" si="140"/>
        <v>0</v>
      </c>
      <c r="AC398" s="69">
        <f t="shared" si="140"/>
        <v>0</v>
      </c>
      <c r="AD398" s="69">
        <f t="shared" si="140"/>
        <v>0</v>
      </c>
      <c r="AE398" s="37"/>
      <c r="AI398" s="27"/>
    </row>
    <row r="399" spans="2:35" ht="15" customHeight="1" outlineLevel="1">
      <c r="B399" s="85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I399" s="27"/>
    </row>
    <row r="400" spans="2:35" ht="15" customHeight="1" outlineLevel="1">
      <c r="B400" s="190" t="s">
        <v>160</v>
      </c>
      <c r="C400" s="33"/>
      <c r="D400" s="33"/>
      <c r="E400" s="365">
        <f>IF(MAX(G394:AD394)&gt;E394,1,0)</f>
        <v>1</v>
      </c>
      <c r="G400" s="366"/>
      <c r="AI400" s="27"/>
    </row>
    <row r="401" spans="1:58" ht="15" customHeight="1" outlineLevel="1">
      <c r="AI401" s="27"/>
    </row>
    <row r="402" spans="1:58" ht="15" customHeight="1" outlineLevel="1">
      <c r="B402" s="85"/>
      <c r="AI402" s="27"/>
    </row>
    <row r="403" spans="1:58" ht="15" customHeight="1" outlineLevel="1">
      <c r="B403" s="270"/>
      <c r="C403" s="270"/>
      <c r="D403" s="270"/>
      <c r="E403" s="270"/>
      <c r="F403" s="270"/>
      <c r="G403" s="270"/>
      <c r="H403" s="270"/>
      <c r="I403" s="270"/>
      <c r="J403" s="270"/>
      <c r="K403" s="270"/>
      <c r="L403" s="270"/>
      <c r="M403" s="270"/>
      <c r="N403" s="270"/>
      <c r="O403" s="363"/>
      <c r="P403" s="363"/>
      <c r="Q403" s="363"/>
      <c r="R403" s="363"/>
      <c r="S403" s="363"/>
      <c r="T403" s="363"/>
      <c r="U403" s="364"/>
      <c r="V403" s="364"/>
      <c r="W403" s="364"/>
      <c r="X403" s="363"/>
      <c r="Y403" s="363"/>
      <c r="Z403" s="363"/>
      <c r="AA403" s="363"/>
      <c r="AB403" s="363"/>
      <c r="AC403" s="363"/>
      <c r="AD403" s="363"/>
      <c r="AI403" s="27"/>
    </row>
    <row r="404" spans="1:58" ht="15" customHeight="1" outlineLevel="1">
      <c r="O404" s="338"/>
      <c r="P404" s="338"/>
      <c r="Q404" s="338"/>
      <c r="R404" s="338"/>
      <c r="S404" s="338"/>
      <c r="T404" s="338"/>
      <c r="U404" s="339"/>
      <c r="V404" s="339"/>
      <c r="W404" s="339"/>
      <c r="X404" s="338"/>
      <c r="Y404" s="338"/>
      <c r="Z404" s="338"/>
      <c r="AA404" s="338"/>
      <c r="AB404" s="338"/>
      <c r="AC404" s="338"/>
      <c r="AD404" s="338"/>
      <c r="AI404" s="27"/>
    </row>
    <row r="405" spans="1:58" ht="15" customHeight="1" outlineLevel="1">
      <c r="B405" s="73" t="s">
        <v>113</v>
      </c>
      <c r="G405" s="55">
        <f t="shared" ref="G405:AD405" si="141">G$8</f>
        <v>1</v>
      </c>
      <c r="H405" s="55">
        <f t="shared" si="141"/>
        <v>1</v>
      </c>
      <c r="I405" s="55">
        <f t="shared" si="141"/>
        <v>1</v>
      </c>
      <c r="J405" s="55">
        <f t="shared" si="141"/>
        <v>1</v>
      </c>
      <c r="K405" s="55">
        <f t="shared" si="141"/>
        <v>1</v>
      </c>
      <c r="L405" s="55">
        <f t="shared" si="141"/>
        <v>1</v>
      </c>
      <c r="M405" s="55">
        <f t="shared" si="141"/>
        <v>1</v>
      </c>
      <c r="N405" s="55">
        <f t="shared" si="141"/>
        <v>1</v>
      </c>
      <c r="O405" s="55">
        <f t="shared" si="141"/>
        <v>1</v>
      </c>
      <c r="P405" s="55">
        <f t="shared" si="141"/>
        <v>1</v>
      </c>
      <c r="Q405" s="55">
        <f t="shared" si="141"/>
        <v>1</v>
      </c>
      <c r="R405" s="55">
        <f t="shared" si="141"/>
        <v>1</v>
      </c>
      <c r="S405" s="55">
        <f t="shared" si="141"/>
        <v>0</v>
      </c>
      <c r="T405" s="55">
        <f t="shared" si="141"/>
        <v>0</v>
      </c>
      <c r="U405" s="55">
        <f t="shared" si="141"/>
        <v>0</v>
      </c>
      <c r="V405" s="55">
        <f t="shared" si="141"/>
        <v>0</v>
      </c>
      <c r="W405" s="55">
        <f t="shared" si="141"/>
        <v>0</v>
      </c>
      <c r="X405" s="55">
        <f t="shared" si="141"/>
        <v>0</v>
      </c>
      <c r="Y405" s="55">
        <f t="shared" si="141"/>
        <v>0</v>
      </c>
      <c r="Z405" s="55">
        <f t="shared" si="141"/>
        <v>0</v>
      </c>
      <c r="AA405" s="55">
        <f t="shared" si="141"/>
        <v>0</v>
      </c>
      <c r="AB405" s="55">
        <f t="shared" si="141"/>
        <v>0</v>
      </c>
      <c r="AC405" s="55">
        <f t="shared" si="141"/>
        <v>0</v>
      </c>
      <c r="AD405" s="55">
        <f t="shared" si="141"/>
        <v>0</v>
      </c>
      <c r="AI405" s="27"/>
    </row>
    <row r="406" spans="1:58" ht="15" customHeight="1" outlineLevel="1">
      <c r="B406" s="76" t="s">
        <v>113</v>
      </c>
      <c r="G406" s="359">
        <f>G398</f>
        <v>0</v>
      </c>
      <c r="H406" s="360">
        <f t="shared" ref="H406:AD406" si="142">H398</f>
        <v>0</v>
      </c>
      <c r="I406" s="360">
        <f t="shared" si="142"/>
        <v>0</v>
      </c>
      <c r="J406" s="361">
        <f t="shared" si="142"/>
        <v>0</v>
      </c>
      <c r="K406" s="360">
        <f t="shared" si="142"/>
        <v>0</v>
      </c>
      <c r="L406" s="360">
        <f t="shared" si="142"/>
        <v>0</v>
      </c>
      <c r="M406" s="361">
        <f t="shared" si="142"/>
        <v>0</v>
      </c>
      <c r="N406" s="360">
        <f t="shared" si="142"/>
        <v>0</v>
      </c>
      <c r="O406" s="360">
        <f t="shared" si="142"/>
        <v>0</v>
      </c>
      <c r="P406" s="361">
        <f t="shared" si="142"/>
        <v>0</v>
      </c>
      <c r="Q406" s="360">
        <f t="shared" si="142"/>
        <v>0</v>
      </c>
      <c r="R406" s="360">
        <f t="shared" si="142"/>
        <v>0</v>
      </c>
      <c r="S406" s="361">
        <f t="shared" si="142"/>
        <v>13.648987785860855</v>
      </c>
      <c r="T406" s="360">
        <f t="shared" si="142"/>
        <v>5.5210344111816028</v>
      </c>
      <c r="U406" s="360">
        <f t="shared" si="142"/>
        <v>3.7670955939131647</v>
      </c>
      <c r="V406" s="361">
        <f t="shared" si="142"/>
        <v>0.20992960462092547</v>
      </c>
      <c r="W406" s="360">
        <f t="shared" si="142"/>
        <v>0</v>
      </c>
      <c r="X406" s="360">
        <f t="shared" si="142"/>
        <v>0</v>
      </c>
      <c r="Y406" s="361">
        <f t="shared" si="142"/>
        <v>0</v>
      </c>
      <c r="Z406" s="360">
        <f t="shared" si="142"/>
        <v>0</v>
      </c>
      <c r="AA406" s="360">
        <f t="shared" si="142"/>
        <v>0</v>
      </c>
      <c r="AB406" s="361">
        <f t="shared" si="142"/>
        <v>0</v>
      </c>
      <c r="AC406" s="360">
        <f t="shared" si="142"/>
        <v>0</v>
      </c>
      <c r="AD406" s="360">
        <f t="shared" si="142"/>
        <v>0</v>
      </c>
      <c r="AE406" s="328"/>
      <c r="AI406" s="27"/>
    </row>
    <row r="407" spans="1:58" ht="15" customHeight="1" outlineLevel="1">
      <c r="B407" s="76" t="s">
        <v>161</v>
      </c>
      <c r="G407" s="367">
        <f>-G379</f>
        <v>-6.5</v>
      </c>
      <c r="H407" s="71">
        <f t="shared" ref="H407:AD407" si="143">-H379</f>
        <v>-5.1881308060109292</v>
      </c>
      <c r="I407" s="71">
        <f t="shared" si="143"/>
        <v>-4.0358753816598369</v>
      </c>
      <c r="J407" s="70">
        <f t="shared" si="143"/>
        <v>-2.7260958761249161</v>
      </c>
      <c r="K407" s="71">
        <f t="shared" si="143"/>
        <v>-7.0437386431376341</v>
      </c>
      <c r="L407" s="71">
        <f t="shared" si="143"/>
        <v>-5.8482287957564072</v>
      </c>
      <c r="M407" s="70">
        <f t="shared" si="143"/>
        <v>-4.5354268950682028</v>
      </c>
      <c r="N407" s="71">
        <f t="shared" si="143"/>
        <v>-3.3336462683168016</v>
      </c>
      <c r="O407" s="71">
        <f t="shared" si="143"/>
        <v>-1.9906610533865006</v>
      </c>
      <c r="P407" s="70">
        <f t="shared" si="143"/>
        <v>-0.47858613498171509</v>
      </c>
      <c r="Q407" s="71">
        <f t="shared" si="143"/>
        <v>-7.8457716713574204</v>
      </c>
      <c r="R407" s="71">
        <f t="shared" si="143"/>
        <v>-2.3858345294975618</v>
      </c>
      <c r="S407" s="70">
        <f t="shared" si="143"/>
        <v>0</v>
      </c>
      <c r="T407" s="71">
        <f t="shared" si="143"/>
        <v>0</v>
      </c>
      <c r="U407" s="71">
        <f t="shared" si="143"/>
        <v>0</v>
      </c>
      <c r="V407" s="70">
        <f t="shared" si="143"/>
        <v>0</v>
      </c>
      <c r="W407" s="71">
        <f t="shared" si="143"/>
        <v>-5.3497024496359282</v>
      </c>
      <c r="X407" s="71">
        <f t="shared" si="143"/>
        <v>-7.8446622843366951</v>
      </c>
      <c r="Y407" s="70">
        <f t="shared" si="143"/>
        <v>-10.0108081487612</v>
      </c>
      <c r="Z407" s="71">
        <f t="shared" si="143"/>
        <v>-12.51742074770978</v>
      </c>
      <c r="AA407" s="71">
        <f t="shared" si="143"/>
        <v>-15.030299878155731</v>
      </c>
      <c r="AB407" s="70">
        <f t="shared" si="143"/>
        <v>-17.231034836564785</v>
      </c>
      <c r="AC407" s="71">
        <f t="shared" si="143"/>
        <v>-19.755698002232872</v>
      </c>
      <c r="AD407" s="71">
        <f t="shared" si="143"/>
        <v>-23.265288122618781</v>
      </c>
      <c r="AE407" s="328"/>
      <c r="AI407" s="27"/>
    </row>
    <row r="408" spans="1:58" ht="15" customHeight="1" outlineLevel="1" thickBot="1">
      <c r="B408" s="76" t="s">
        <v>162</v>
      </c>
      <c r="G408" s="368">
        <f>SUM(G406:G407)</f>
        <v>-6.5</v>
      </c>
      <c r="H408" s="369">
        <f t="shared" ref="H408:AD408" si="144">SUM(H406:H407)</f>
        <v>-5.1881308060109292</v>
      </c>
      <c r="I408" s="369">
        <f t="shared" si="144"/>
        <v>-4.0358753816598369</v>
      </c>
      <c r="J408" s="370">
        <f t="shared" si="144"/>
        <v>-2.7260958761249161</v>
      </c>
      <c r="K408" s="369">
        <f t="shared" si="144"/>
        <v>-7.0437386431376341</v>
      </c>
      <c r="L408" s="369">
        <f t="shared" si="144"/>
        <v>-5.8482287957564072</v>
      </c>
      <c r="M408" s="370">
        <f t="shared" si="144"/>
        <v>-4.5354268950682028</v>
      </c>
      <c r="N408" s="369">
        <f t="shared" si="144"/>
        <v>-3.3336462683168016</v>
      </c>
      <c r="O408" s="369">
        <f t="shared" si="144"/>
        <v>-1.9906610533865006</v>
      </c>
      <c r="P408" s="370">
        <f t="shared" si="144"/>
        <v>-0.47858613498171509</v>
      </c>
      <c r="Q408" s="369">
        <f t="shared" si="144"/>
        <v>-7.8457716713574204</v>
      </c>
      <c r="R408" s="369">
        <f t="shared" si="144"/>
        <v>-2.3858345294975618</v>
      </c>
      <c r="S408" s="370">
        <f t="shared" si="144"/>
        <v>13.648987785860855</v>
      </c>
      <c r="T408" s="369">
        <f t="shared" si="144"/>
        <v>5.5210344111816028</v>
      </c>
      <c r="U408" s="369">
        <f t="shared" si="144"/>
        <v>3.7670955939131647</v>
      </c>
      <c r="V408" s="370">
        <f t="shared" si="144"/>
        <v>0.20992960462092547</v>
      </c>
      <c r="W408" s="369">
        <f t="shared" si="144"/>
        <v>-5.3497024496359282</v>
      </c>
      <c r="X408" s="369">
        <f t="shared" si="144"/>
        <v>-7.8446622843366951</v>
      </c>
      <c r="Y408" s="370">
        <f t="shared" si="144"/>
        <v>-10.0108081487612</v>
      </c>
      <c r="Z408" s="369">
        <f t="shared" si="144"/>
        <v>-12.51742074770978</v>
      </c>
      <c r="AA408" s="369">
        <f t="shared" si="144"/>
        <v>-15.030299878155731</v>
      </c>
      <c r="AB408" s="370">
        <f t="shared" si="144"/>
        <v>-17.231034836564785</v>
      </c>
      <c r="AC408" s="369">
        <f t="shared" si="144"/>
        <v>-19.755698002232872</v>
      </c>
      <c r="AD408" s="371">
        <f t="shared" si="144"/>
        <v>-23.265288122618781</v>
      </c>
      <c r="AI408" s="27"/>
    </row>
    <row r="409" spans="1:58" ht="15" customHeight="1" outlineLevel="1">
      <c r="B409" s="76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I409" s="27"/>
    </row>
    <row r="410" spans="1:58" ht="15" customHeight="1" outlineLevel="1">
      <c r="B410" s="72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I410" s="27"/>
    </row>
    <row r="411" spans="1:58" ht="15" customHeight="1">
      <c r="AI411" s="27"/>
    </row>
    <row r="412" spans="1:58" s="27" customFormat="1" ht="15" customHeight="1">
      <c r="A412" s="23" t="s">
        <v>10</v>
      </c>
      <c r="B412" s="24" t="s">
        <v>95</v>
      </c>
      <c r="C412" s="24"/>
      <c r="D412" s="24"/>
      <c r="E412" s="25"/>
      <c r="F412" s="25"/>
      <c r="G412" s="25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24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  <c r="AD412" s="24"/>
      <c r="AE412" s="23"/>
      <c r="AG412" s="23"/>
      <c r="AH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</row>
    <row r="413" spans="1:58" s="27" customFormat="1" ht="15" customHeight="1" outlineLevel="1">
      <c r="A413" s="23"/>
      <c r="B413" s="28"/>
      <c r="C413" s="28"/>
      <c r="D413" s="28"/>
      <c r="E413" s="29"/>
      <c r="F413" s="29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G413" s="23"/>
      <c r="AH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</row>
    <row r="414" spans="1:58" s="27" customFormat="1" ht="15" customHeight="1" outlineLevel="1">
      <c r="A414" s="23"/>
      <c r="B414" s="31" t="s">
        <v>13</v>
      </c>
      <c r="C414" s="28"/>
      <c r="D414" s="28"/>
      <c r="E414" s="29"/>
      <c r="F414" s="29"/>
      <c r="G414" s="48">
        <f t="shared" ref="G414:AD414" si="145">G$5</f>
        <v>2024</v>
      </c>
      <c r="H414" s="49">
        <f t="shared" si="145"/>
        <v>2024</v>
      </c>
      <c r="I414" s="49">
        <f t="shared" si="145"/>
        <v>2024</v>
      </c>
      <c r="J414" s="50">
        <f t="shared" si="145"/>
        <v>2024</v>
      </c>
      <c r="K414" s="49">
        <f t="shared" si="145"/>
        <v>2024</v>
      </c>
      <c r="L414" s="49">
        <f t="shared" si="145"/>
        <v>2024</v>
      </c>
      <c r="M414" s="50">
        <f t="shared" si="145"/>
        <v>2024</v>
      </c>
      <c r="N414" s="49">
        <f t="shared" si="145"/>
        <v>2024</v>
      </c>
      <c r="O414" s="49">
        <f t="shared" si="145"/>
        <v>2024</v>
      </c>
      <c r="P414" s="50">
        <f t="shared" si="145"/>
        <v>2024</v>
      </c>
      <c r="Q414" s="51">
        <f t="shared" si="145"/>
        <v>2024</v>
      </c>
      <c r="R414" s="255">
        <f t="shared" si="145"/>
        <v>2024</v>
      </c>
      <c r="S414" s="52">
        <f t="shared" si="145"/>
        <v>2025</v>
      </c>
      <c r="T414" s="51">
        <f t="shared" si="145"/>
        <v>2025</v>
      </c>
      <c r="U414" s="51">
        <f t="shared" si="145"/>
        <v>2025</v>
      </c>
      <c r="V414" s="53">
        <f t="shared" si="145"/>
        <v>2025</v>
      </c>
      <c r="W414" s="51">
        <f t="shared" si="145"/>
        <v>2025</v>
      </c>
      <c r="X414" s="51">
        <f t="shared" si="145"/>
        <v>2025</v>
      </c>
      <c r="Y414" s="53">
        <f t="shared" si="145"/>
        <v>2025</v>
      </c>
      <c r="Z414" s="51">
        <f t="shared" si="145"/>
        <v>2025</v>
      </c>
      <c r="AA414" s="51">
        <f t="shared" si="145"/>
        <v>2025</v>
      </c>
      <c r="AB414" s="53">
        <f t="shared" si="145"/>
        <v>2025</v>
      </c>
      <c r="AC414" s="51">
        <f t="shared" si="145"/>
        <v>2025</v>
      </c>
      <c r="AD414" s="255">
        <f t="shared" si="145"/>
        <v>2025</v>
      </c>
      <c r="AE414" s="40"/>
      <c r="AG414" s="23"/>
      <c r="AH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</row>
    <row r="415" spans="1:58" ht="15" customHeight="1" outlineLevel="1">
      <c r="F415" s="32"/>
      <c r="G415" s="256">
        <f t="shared" ref="G415:AD415" si="146">G$6</f>
        <v>1</v>
      </c>
      <c r="H415" s="257">
        <f t="shared" si="146"/>
        <v>1</v>
      </c>
      <c r="I415" s="54">
        <f t="shared" si="146"/>
        <v>1</v>
      </c>
      <c r="J415" s="258">
        <f t="shared" si="146"/>
        <v>2</v>
      </c>
      <c r="K415" s="257">
        <f t="shared" si="146"/>
        <v>2</v>
      </c>
      <c r="L415" s="215">
        <f t="shared" si="146"/>
        <v>2</v>
      </c>
      <c r="M415" s="258">
        <f t="shared" si="146"/>
        <v>3</v>
      </c>
      <c r="N415" s="257">
        <f t="shared" si="146"/>
        <v>3</v>
      </c>
      <c r="O415" s="215">
        <f t="shared" si="146"/>
        <v>3</v>
      </c>
      <c r="P415" s="216">
        <f t="shared" si="146"/>
        <v>4</v>
      </c>
      <c r="Q415" s="214">
        <f t="shared" si="146"/>
        <v>4</v>
      </c>
      <c r="R415" s="215">
        <f t="shared" si="146"/>
        <v>4</v>
      </c>
      <c r="S415" s="213">
        <f t="shared" si="146"/>
        <v>1</v>
      </c>
      <c r="T415" s="214">
        <f t="shared" si="146"/>
        <v>1</v>
      </c>
      <c r="U415" s="215">
        <f t="shared" si="146"/>
        <v>1</v>
      </c>
      <c r="V415" s="216">
        <f t="shared" si="146"/>
        <v>2</v>
      </c>
      <c r="W415" s="214">
        <f t="shared" si="146"/>
        <v>2</v>
      </c>
      <c r="X415" s="215">
        <f t="shared" si="146"/>
        <v>2</v>
      </c>
      <c r="Y415" s="216">
        <f t="shared" si="146"/>
        <v>3</v>
      </c>
      <c r="Z415" s="214">
        <f t="shared" si="146"/>
        <v>3</v>
      </c>
      <c r="AA415" s="215">
        <f t="shared" si="146"/>
        <v>3</v>
      </c>
      <c r="AB415" s="216">
        <f t="shared" si="146"/>
        <v>4</v>
      </c>
      <c r="AC415" s="214">
        <f t="shared" si="146"/>
        <v>4</v>
      </c>
      <c r="AD415" s="215">
        <f t="shared" si="146"/>
        <v>4</v>
      </c>
      <c r="AE415" s="40"/>
      <c r="AI415" s="27"/>
    </row>
    <row r="416" spans="1:58" ht="15" customHeight="1" outlineLevel="1" thickBot="1">
      <c r="G416" s="218">
        <f t="shared" ref="G416:AD416" si="147">G$7</f>
        <v>45322</v>
      </c>
      <c r="H416" s="219">
        <f t="shared" si="147"/>
        <v>45351</v>
      </c>
      <c r="I416" s="219">
        <f t="shared" si="147"/>
        <v>45382</v>
      </c>
      <c r="J416" s="220">
        <f t="shared" si="147"/>
        <v>45412</v>
      </c>
      <c r="K416" s="219">
        <f t="shared" si="147"/>
        <v>45443</v>
      </c>
      <c r="L416" s="219">
        <f t="shared" si="147"/>
        <v>45473</v>
      </c>
      <c r="M416" s="220">
        <f t="shared" si="147"/>
        <v>45504</v>
      </c>
      <c r="N416" s="219">
        <f t="shared" si="147"/>
        <v>45535</v>
      </c>
      <c r="O416" s="219">
        <f t="shared" si="147"/>
        <v>45565</v>
      </c>
      <c r="P416" s="220">
        <f t="shared" si="147"/>
        <v>45596</v>
      </c>
      <c r="Q416" s="219">
        <f t="shared" si="147"/>
        <v>45626</v>
      </c>
      <c r="R416" s="219">
        <f t="shared" si="147"/>
        <v>45657</v>
      </c>
      <c r="S416" s="218">
        <f t="shared" si="147"/>
        <v>45688</v>
      </c>
      <c r="T416" s="219">
        <f t="shared" si="147"/>
        <v>45716</v>
      </c>
      <c r="U416" s="219">
        <f t="shared" si="147"/>
        <v>45747</v>
      </c>
      <c r="V416" s="220">
        <f t="shared" si="147"/>
        <v>45777</v>
      </c>
      <c r="W416" s="219">
        <f t="shared" si="147"/>
        <v>45808</v>
      </c>
      <c r="X416" s="219">
        <f t="shared" si="147"/>
        <v>45838</v>
      </c>
      <c r="Y416" s="220">
        <f t="shared" si="147"/>
        <v>45869</v>
      </c>
      <c r="Z416" s="219">
        <f t="shared" si="147"/>
        <v>45900</v>
      </c>
      <c r="AA416" s="219">
        <f t="shared" si="147"/>
        <v>45930</v>
      </c>
      <c r="AB416" s="220">
        <f t="shared" si="147"/>
        <v>45961</v>
      </c>
      <c r="AC416" s="219">
        <f t="shared" si="147"/>
        <v>45991</v>
      </c>
      <c r="AD416" s="219">
        <f t="shared" si="147"/>
        <v>46022</v>
      </c>
      <c r="AE416" s="40"/>
      <c r="AI416" s="27"/>
    </row>
    <row r="417" spans="2:35" ht="15" customHeight="1" outlineLevel="1">
      <c r="C417" s="190"/>
      <c r="D417" s="190"/>
      <c r="G417" s="278"/>
      <c r="H417" s="278"/>
      <c r="I417" s="278"/>
      <c r="J417" s="278"/>
      <c r="K417" s="278"/>
      <c r="L417" s="278"/>
      <c r="M417" s="278"/>
      <c r="N417" s="278"/>
      <c r="O417" s="278"/>
      <c r="P417" s="278"/>
      <c r="Q417" s="278"/>
      <c r="R417" s="278"/>
      <c r="S417" s="278"/>
      <c r="T417" s="278"/>
      <c r="U417" s="278"/>
      <c r="V417" s="278"/>
      <c r="W417" s="278"/>
      <c r="X417" s="278"/>
      <c r="Y417" s="278"/>
      <c r="Z417" s="278"/>
      <c r="AA417" s="278"/>
      <c r="AB417" s="278"/>
      <c r="AC417" s="278"/>
      <c r="AD417" s="278"/>
      <c r="AI417" s="27"/>
    </row>
    <row r="418" spans="2:35" ht="15" customHeight="1" outlineLevel="1">
      <c r="B418" s="372" t="s">
        <v>96</v>
      </c>
      <c r="G418" s="373">
        <f>H418-1</f>
        <v>2023</v>
      </c>
      <c r="H418" s="373">
        <f>I418-1</f>
        <v>2024</v>
      </c>
      <c r="I418" s="373">
        <f>AD414</f>
        <v>2025</v>
      </c>
      <c r="AI418" s="27"/>
    </row>
    <row r="419" spans="2:35" ht="15" customHeight="1" outlineLevel="1">
      <c r="B419" s="59" t="s">
        <v>97</v>
      </c>
      <c r="G419" s="374">
        <v>0.26</v>
      </c>
      <c r="H419" s="375">
        <v>0.28000000000000003</v>
      </c>
      <c r="I419" s="375">
        <v>0.28999999999999998</v>
      </c>
      <c r="J419" s="37"/>
      <c r="M419" s="55"/>
      <c r="O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I419" s="27"/>
    </row>
    <row r="420" spans="2:35" ht="15" customHeight="1" outlineLevel="1">
      <c r="B420" s="59" t="s">
        <v>98</v>
      </c>
      <c r="E420" s="42" t="s">
        <v>34</v>
      </c>
      <c r="G420" s="269">
        <v>6845</v>
      </c>
      <c r="H420" s="34">
        <f>SUM(G426:R426)</f>
        <v>8637.2609230299622</v>
      </c>
      <c r="I420" s="34">
        <f>SUM(S426:AD426)</f>
        <v>13214.806310411925</v>
      </c>
      <c r="J420" s="37"/>
      <c r="M420" s="55"/>
      <c r="O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I420" s="27"/>
    </row>
    <row r="421" spans="2:35" ht="15" customHeight="1" outlineLevel="1">
      <c r="B421" s="59" t="s">
        <v>99</v>
      </c>
      <c r="G421" s="376">
        <f>G418+1</f>
        <v>2024</v>
      </c>
      <c r="H421" s="377">
        <f>H418+1</f>
        <v>2025</v>
      </c>
      <c r="I421" s="377">
        <f>I418+1</f>
        <v>2026</v>
      </c>
      <c r="J421" s="37"/>
      <c r="M421" s="338"/>
      <c r="O421" s="338"/>
      <c r="Q421" s="338"/>
      <c r="R421" s="338"/>
      <c r="S421" s="338"/>
      <c r="T421" s="338"/>
      <c r="U421" s="339"/>
      <c r="V421" s="339"/>
      <c r="W421" s="339"/>
      <c r="X421" s="338"/>
      <c r="Y421" s="338"/>
      <c r="Z421" s="338"/>
      <c r="AA421" s="338"/>
      <c r="AB421" s="338"/>
      <c r="AC421" s="338"/>
      <c r="AD421" s="338"/>
      <c r="AI421" s="27"/>
    </row>
    <row r="422" spans="2:35" ht="15" customHeight="1" outlineLevel="1">
      <c r="B422" s="59" t="s">
        <v>100</v>
      </c>
      <c r="G422" s="252">
        <f>G420*G419/12</f>
        <v>148.30833333333334</v>
      </c>
      <c r="H422" s="34">
        <f>H420*H419/12</f>
        <v>201.53608820403247</v>
      </c>
      <c r="I422" s="34">
        <f>I420*I419/12</f>
        <v>319.35781916828813</v>
      </c>
      <c r="J422" s="37"/>
      <c r="M422" s="55"/>
      <c r="O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I422" s="27"/>
    </row>
    <row r="423" spans="2:35" ht="15" customHeight="1" outlineLevel="1">
      <c r="B423" s="60"/>
      <c r="C423" s="61"/>
      <c r="D423" s="61"/>
      <c r="E423" s="62"/>
      <c r="F423" s="62"/>
      <c r="G423" s="378"/>
      <c r="H423" s="378"/>
      <c r="I423" s="378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I423" s="27"/>
    </row>
    <row r="424" spans="2:35" ht="15" customHeight="1" outlineLevel="1">
      <c r="B424" s="60"/>
      <c r="C424" s="61"/>
      <c r="D424" s="61"/>
      <c r="E424" s="62"/>
      <c r="F424" s="62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I424" s="27"/>
    </row>
    <row r="425" spans="2:35" ht="15" customHeight="1" outlineLevel="1">
      <c r="B425" s="372" t="s">
        <v>101</v>
      </c>
      <c r="C425" s="190"/>
      <c r="D425" s="190"/>
      <c r="G425" s="55">
        <f t="shared" ref="G425:AD425" si="148">G$8</f>
        <v>1</v>
      </c>
      <c r="H425" s="55">
        <f t="shared" si="148"/>
        <v>1</v>
      </c>
      <c r="I425" s="55">
        <f t="shared" si="148"/>
        <v>1</v>
      </c>
      <c r="J425" s="55">
        <f t="shared" si="148"/>
        <v>1</v>
      </c>
      <c r="K425" s="55">
        <f t="shared" si="148"/>
        <v>1</v>
      </c>
      <c r="L425" s="55">
        <f t="shared" si="148"/>
        <v>1</v>
      </c>
      <c r="M425" s="55">
        <f t="shared" si="148"/>
        <v>1</v>
      </c>
      <c r="N425" s="55">
        <f t="shared" si="148"/>
        <v>1</v>
      </c>
      <c r="O425" s="55">
        <f t="shared" si="148"/>
        <v>1</v>
      </c>
      <c r="P425" s="55">
        <f t="shared" si="148"/>
        <v>1</v>
      </c>
      <c r="Q425" s="55">
        <f t="shared" si="148"/>
        <v>1</v>
      </c>
      <c r="R425" s="55">
        <f t="shared" si="148"/>
        <v>1</v>
      </c>
      <c r="S425" s="55">
        <f t="shared" si="148"/>
        <v>0</v>
      </c>
      <c r="T425" s="55">
        <f t="shared" si="148"/>
        <v>0</v>
      </c>
      <c r="U425" s="55">
        <f t="shared" si="148"/>
        <v>0</v>
      </c>
      <c r="V425" s="55">
        <f t="shared" si="148"/>
        <v>0</v>
      </c>
      <c r="W425" s="55">
        <f t="shared" si="148"/>
        <v>0</v>
      </c>
      <c r="X425" s="55">
        <f t="shared" si="148"/>
        <v>0</v>
      </c>
      <c r="Y425" s="55">
        <f t="shared" si="148"/>
        <v>0</v>
      </c>
      <c r="Z425" s="55">
        <f t="shared" si="148"/>
        <v>0</v>
      </c>
      <c r="AA425" s="55">
        <f t="shared" si="148"/>
        <v>0</v>
      </c>
      <c r="AB425" s="55">
        <f t="shared" si="148"/>
        <v>0</v>
      </c>
      <c r="AC425" s="55">
        <f t="shared" si="148"/>
        <v>0</v>
      </c>
      <c r="AD425" s="55">
        <f t="shared" si="148"/>
        <v>0</v>
      </c>
      <c r="AI425" s="27"/>
    </row>
    <row r="426" spans="2:35" ht="15" customHeight="1" outlineLevel="1">
      <c r="B426" s="59" t="s">
        <v>98</v>
      </c>
      <c r="C426" s="190"/>
      <c r="D426" s="190"/>
      <c r="G426" s="246">
        <f>G460</f>
        <v>343.90112021857914</v>
      </c>
      <c r="H426" s="247">
        <f t="shared" ref="H426:AD426" si="149">H460</f>
        <v>322.78810348360651</v>
      </c>
      <c r="I426" s="247">
        <f t="shared" si="149"/>
        <v>341.43699560023896</v>
      </c>
      <c r="J426" s="246">
        <f t="shared" si="149"/>
        <v>840.46553121310114</v>
      </c>
      <c r="K426" s="247">
        <f t="shared" si="149"/>
        <v>914.39738411424219</v>
      </c>
      <c r="L426" s="247">
        <f t="shared" si="149"/>
        <v>979.95130049636919</v>
      </c>
      <c r="M426" s="246">
        <f t="shared" si="149"/>
        <v>967.1890723661727</v>
      </c>
      <c r="N426" s="247">
        <f t="shared" si="149"/>
        <v>870.14712780499519</v>
      </c>
      <c r="O426" s="247">
        <f t="shared" si="149"/>
        <v>899.53717537695002</v>
      </c>
      <c r="P426" s="246">
        <f t="shared" si="149"/>
        <v>734.02378898313532</v>
      </c>
      <c r="Q426" s="247">
        <f t="shared" si="149"/>
        <v>687.49228599492096</v>
      </c>
      <c r="R426" s="247">
        <f t="shared" si="149"/>
        <v>735.93103737765114</v>
      </c>
      <c r="S426" s="246">
        <f t="shared" si="149"/>
        <v>484.10478556407691</v>
      </c>
      <c r="T426" s="247">
        <f t="shared" si="149"/>
        <v>839.46917729492054</v>
      </c>
      <c r="U426" s="247">
        <f t="shared" si="149"/>
        <v>931.48667775602473</v>
      </c>
      <c r="V426" s="246">
        <f t="shared" si="149"/>
        <v>1133.5398420848767</v>
      </c>
      <c r="W426" s="247">
        <f t="shared" si="149"/>
        <v>978.1300220843392</v>
      </c>
      <c r="X426" s="247">
        <f t="shared" si="149"/>
        <v>1141.5944339738344</v>
      </c>
      <c r="Y426" s="246">
        <f t="shared" si="149"/>
        <v>1129.0911277834646</v>
      </c>
      <c r="Z426" s="247">
        <f t="shared" si="149"/>
        <v>991.94774038241303</v>
      </c>
      <c r="AA426" s="247">
        <f t="shared" si="149"/>
        <v>1148.7800715676535</v>
      </c>
      <c r="AB426" s="246">
        <f t="shared" si="149"/>
        <v>1515.4780211379345</v>
      </c>
      <c r="AC426" s="247">
        <f t="shared" si="149"/>
        <v>1399.6721363583972</v>
      </c>
      <c r="AD426" s="247">
        <f t="shared" si="149"/>
        <v>1521.5122744239886</v>
      </c>
      <c r="AE426" s="37"/>
      <c r="AI426" s="27"/>
    </row>
    <row r="427" spans="2:35" ht="15" customHeight="1" outlineLevel="1">
      <c r="B427" s="59" t="s">
        <v>102</v>
      </c>
      <c r="C427" s="190"/>
      <c r="D427" s="190"/>
      <c r="G427" s="379">
        <f>_xlfn.XLOOKUP(G414,$G$418:$I$418,$G$419:$I$419)</f>
        <v>0.28000000000000003</v>
      </c>
      <c r="H427" s="380">
        <f t="shared" ref="H427:AD427" si="150">_xlfn.XLOOKUP(H414,$G$418:$I$418,$G$419:$I$419)</f>
        <v>0.28000000000000003</v>
      </c>
      <c r="I427" s="380">
        <f t="shared" si="150"/>
        <v>0.28000000000000003</v>
      </c>
      <c r="J427" s="379">
        <f t="shared" si="150"/>
        <v>0.28000000000000003</v>
      </c>
      <c r="K427" s="380">
        <f t="shared" si="150"/>
        <v>0.28000000000000003</v>
      </c>
      <c r="L427" s="380">
        <f t="shared" si="150"/>
        <v>0.28000000000000003</v>
      </c>
      <c r="M427" s="379">
        <f t="shared" si="150"/>
        <v>0.28000000000000003</v>
      </c>
      <c r="N427" s="380">
        <f t="shared" si="150"/>
        <v>0.28000000000000003</v>
      </c>
      <c r="O427" s="380">
        <f t="shared" si="150"/>
        <v>0.28000000000000003</v>
      </c>
      <c r="P427" s="379">
        <f t="shared" si="150"/>
        <v>0.28000000000000003</v>
      </c>
      <c r="Q427" s="380">
        <f t="shared" si="150"/>
        <v>0.28000000000000003</v>
      </c>
      <c r="R427" s="380">
        <f t="shared" si="150"/>
        <v>0.28000000000000003</v>
      </c>
      <c r="S427" s="379">
        <f t="shared" si="150"/>
        <v>0.28999999999999998</v>
      </c>
      <c r="T427" s="380">
        <f t="shared" si="150"/>
        <v>0.28999999999999998</v>
      </c>
      <c r="U427" s="380">
        <f t="shared" si="150"/>
        <v>0.28999999999999998</v>
      </c>
      <c r="V427" s="379">
        <f t="shared" si="150"/>
        <v>0.28999999999999998</v>
      </c>
      <c r="W427" s="380">
        <f t="shared" si="150"/>
        <v>0.28999999999999998</v>
      </c>
      <c r="X427" s="380">
        <f t="shared" si="150"/>
        <v>0.28999999999999998</v>
      </c>
      <c r="Y427" s="379">
        <f t="shared" si="150"/>
        <v>0.28999999999999998</v>
      </c>
      <c r="Z427" s="380">
        <f t="shared" si="150"/>
        <v>0.28999999999999998</v>
      </c>
      <c r="AA427" s="380">
        <f t="shared" si="150"/>
        <v>0.28999999999999998</v>
      </c>
      <c r="AB427" s="379">
        <f t="shared" si="150"/>
        <v>0.28999999999999998</v>
      </c>
      <c r="AC427" s="380">
        <f t="shared" si="150"/>
        <v>0.28999999999999998</v>
      </c>
      <c r="AD427" s="380">
        <f t="shared" si="150"/>
        <v>0.28999999999999998</v>
      </c>
      <c r="AE427" s="37"/>
      <c r="AI427" s="27"/>
    </row>
    <row r="428" spans="2:35" ht="15" customHeight="1" outlineLevel="1">
      <c r="B428" s="59" t="s">
        <v>101</v>
      </c>
      <c r="C428" s="190"/>
      <c r="D428" s="190"/>
      <c r="G428" s="246">
        <f>G427*G426</f>
        <v>96.292313661202172</v>
      </c>
      <c r="H428" s="247">
        <f t="shared" ref="H428:AD428" si="151">H427*H426</f>
        <v>90.380668975409833</v>
      </c>
      <c r="I428" s="247">
        <f t="shared" si="151"/>
        <v>95.602358768066921</v>
      </c>
      <c r="J428" s="246">
        <f t="shared" si="151"/>
        <v>235.33034873966835</v>
      </c>
      <c r="K428" s="247">
        <f t="shared" si="151"/>
        <v>256.03126755198781</v>
      </c>
      <c r="L428" s="247">
        <f t="shared" si="151"/>
        <v>274.38636413898342</v>
      </c>
      <c r="M428" s="246">
        <f t="shared" si="151"/>
        <v>270.8129402625284</v>
      </c>
      <c r="N428" s="247">
        <f t="shared" si="151"/>
        <v>243.64119578539868</v>
      </c>
      <c r="O428" s="247">
        <f t="shared" si="151"/>
        <v>251.87040910554603</v>
      </c>
      <c r="P428" s="246">
        <f t="shared" si="151"/>
        <v>205.52666091527792</v>
      </c>
      <c r="Q428" s="247">
        <f t="shared" si="151"/>
        <v>192.49784007857789</v>
      </c>
      <c r="R428" s="247">
        <f t="shared" si="151"/>
        <v>206.06069046574234</v>
      </c>
      <c r="S428" s="246">
        <f t="shared" si="151"/>
        <v>140.39038781358229</v>
      </c>
      <c r="T428" s="247">
        <f t="shared" si="151"/>
        <v>243.44606141552694</v>
      </c>
      <c r="U428" s="247">
        <f t="shared" si="151"/>
        <v>270.13113654924717</v>
      </c>
      <c r="V428" s="246">
        <f t="shared" si="151"/>
        <v>328.72655420461422</v>
      </c>
      <c r="W428" s="247">
        <f t="shared" si="151"/>
        <v>283.65770640445834</v>
      </c>
      <c r="X428" s="247">
        <f t="shared" si="151"/>
        <v>331.06238585241192</v>
      </c>
      <c r="Y428" s="246">
        <f t="shared" si="151"/>
        <v>327.4364270572047</v>
      </c>
      <c r="Z428" s="247">
        <f t="shared" si="151"/>
        <v>287.66484471089979</v>
      </c>
      <c r="AA428" s="247">
        <f t="shared" si="151"/>
        <v>333.14622075461949</v>
      </c>
      <c r="AB428" s="246">
        <f t="shared" si="151"/>
        <v>439.48862613000097</v>
      </c>
      <c r="AC428" s="247">
        <f t="shared" si="151"/>
        <v>405.90491954393514</v>
      </c>
      <c r="AD428" s="247">
        <f t="shared" si="151"/>
        <v>441.23855958295667</v>
      </c>
      <c r="AE428" s="37"/>
      <c r="AI428" s="27"/>
    </row>
    <row r="429" spans="2:35" ht="15" customHeight="1" outlineLevel="1">
      <c r="B429" s="60"/>
      <c r="C429" s="61"/>
      <c r="D429" s="61"/>
      <c r="E429" s="62"/>
      <c r="F429" s="62"/>
      <c r="G429" s="378"/>
      <c r="H429" s="378"/>
      <c r="I429" s="378"/>
      <c r="J429" s="378"/>
      <c r="K429" s="378"/>
      <c r="L429" s="378"/>
      <c r="M429" s="378"/>
      <c r="N429" s="378"/>
      <c r="O429" s="378"/>
      <c r="P429" s="378"/>
      <c r="Q429" s="378"/>
      <c r="R429" s="378"/>
      <c r="S429" s="378"/>
      <c r="T429" s="378"/>
      <c r="U429" s="378"/>
      <c r="V429" s="378"/>
      <c r="W429" s="378"/>
      <c r="X429" s="378"/>
      <c r="Y429" s="378"/>
      <c r="Z429" s="378"/>
      <c r="AA429" s="378"/>
      <c r="AB429" s="378"/>
      <c r="AC429" s="378"/>
      <c r="AD429" s="378"/>
      <c r="AI429" s="27"/>
    </row>
    <row r="430" spans="2:35" ht="15" customHeight="1" outlineLevel="1">
      <c r="B430" s="372" t="s">
        <v>103</v>
      </c>
      <c r="C430" s="190"/>
      <c r="D430" s="190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I430" s="27"/>
    </row>
    <row r="431" spans="2:35" ht="15" customHeight="1" outlineLevel="1">
      <c r="B431" s="59" t="s">
        <v>104</v>
      </c>
      <c r="C431" s="190"/>
      <c r="D431" s="190"/>
      <c r="G431" s="246">
        <f>_xlfn.XLOOKUP(G414,$G$421:$I$421,$G$422:$I$422)</f>
        <v>148.30833333333334</v>
      </c>
      <c r="H431" s="247">
        <f t="shared" ref="H431:AD431" si="152">_xlfn.XLOOKUP(H414,$G$421:$I$421,$G$422:$I$422)</f>
        <v>148.30833333333334</v>
      </c>
      <c r="I431" s="247">
        <f t="shared" si="152"/>
        <v>148.30833333333334</v>
      </c>
      <c r="J431" s="246">
        <f t="shared" si="152"/>
        <v>148.30833333333334</v>
      </c>
      <c r="K431" s="247">
        <f t="shared" si="152"/>
        <v>148.30833333333334</v>
      </c>
      <c r="L431" s="247">
        <f t="shared" si="152"/>
        <v>148.30833333333334</v>
      </c>
      <c r="M431" s="246">
        <f t="shared" si="152"/>
        <v>148.30833333333334</v>
      </c>
      <c r="N431" s="247">
        <f t="shared" si="152"/>
        <v>148.30833333333334</v>
      </c>
      <c r="O431" s="247">
        <f t="shared" si="152"/>
        <v>148.30833333333334</v>
      </c>
      <c r="P431" s="246">
        <f t="shared" si="152"/>
        <v>148.30833333333334</v>
      </c>
      <c r="Q431" s="247">
        <f t="shared" si="152"/>
        <v>148.30833333333334</v>
      </c>
      <c r="R431" s="247">
        <f t="shared" si="152"/>
        <v>148.30833333333334</v>
      </c>
      <c r="S431" s="246">
        <f t="shared" si="152"/>
        <v>201.53608820403247</v>
      </c>
      <c r="T431" s="247">
        <f t="shared" si="152"/>
        <v>201.53608820403247</v>
      </c>
      <c r="U431" s="247">
        <f t="shared" si="152"/>
        <v>201.53608820403247</v>
      </c>
      <c r="V431" s="246">
        <f t="shared" si="152"/>
        <v>201.53608820403247</v>
      </c>
      <c r="W431" s="247">
        <f t="shared" si="152"/>
        <v>201.53608820403247</v>
      </c>
      <c r="X431" s="247">
        <f t="shared" si="152"/>
        <v>201.53608820403247</v>
      </c>
      <c r="Y431" s="246">
        <f t="shared" si="152"/>
        <v>201.53608820403247</v>
      </c>
      <c r="Z431" s="247">
        <f t="shared" si="152"/>
        <v>201.53608820403247</v>
      </c>
      <c r="AA431" s="247">
        <f t="shared" si="152"/>
        <v>201.53608820403247</v>
      </c>
      <c r="AB431" s="246">
        <f t="shared" si="152"/>
        <v>201.53608820403247</v>
      </c>
      <c r="AC431" s="247">
        <f t="shared" si="152"/>
        <v>201.53608820403247</v>
      </c>
      <c r="AD431" s="247">
        <f t="shared" si="152"/>
        <v>201.53608820403247</v>
      </c>
      <c r="AE431" s="37"/>
      <c r="AI431" s="27"/>
    </row>
    <row r="432" spans="2:35" ht="15" customHeight="1" outlineLevel="1">
      <c r="B432" s="59" t="s">
        <v>105</v>
      </c>
      <c r="C432" s="190"/>
      <c r="D432" s="190"/>
      <c r="G432" s="252">
        <f>G433-G431</f>
        <v>-52.016019672131165</v>
      </c>
      <c r="H432" s="34">
        <f t="shared" ref="H432:AD432" si="153">H433-H431</f>
        <v>-57.927664357923504</v>
      </c>
      <c r="I432" s="34">
        <f t="shared" si="153"/>
        <v>-52.705974565266416</v>
      </c>
      <c r="J432" s="252">
        <f t="shared" si="153"/>
        <v>87.022015406335015</v>
      </c>
      <c r="K432" s="34">
        <f t="shared" si="153"/>
        <v>107.72293421865447</v>
      </c>
      <c r="L432" s="34">
        <f t="shared" si="153"/>
        <v>126.07803080565009</v>
      </c>
      <c r="M432" s="252">
        <f t="shared" si="153"/>
        <v>122.50460692919506</v>
      </c>
      <c r="N432" s="34">
        <f t="shared" si="153"/>
        <v>95.332862452065342</v>
      </c>
      <c r="O432" s="34">
        <f t="shared" si="153"/>
        <v>103.56207577221269</v>
      </c>
      <c r="P432" s="252">
        <f t="shared" si="153"/>
        <v>57.218327581944578</v>
      </c>
      <c r="Q432" s="34">
        <f t="shared" si="153"/>
        <v>44.189506745244557</v>
      </c>
      <c r="R432" s="34">
        <f t="shared" si="153"/>
        <v>57.752357132409003</v>
      </c>
      <c r="S432" s="252">
        <f t="shared" si="153"/>
        <v>-61.145700390450173</v>
      </c>
      <c r="T432" s="34">
        <f t="shared" si="153"/>
        <v>41.909973211494474</v>
      </c>
      <c r="U432" s="34">
        <f t="shared" si="153"/>
        <v>68.595048345214707</v>
      </c>
      <c r="V432" s="252">
        <f t="shared" si="153"/>
        <v>127.19046600058175</v>
      </c>
      <c r="W432" s="34">
        <f t="shared" si="153"/>
        <v>82.121618200425871</v>
      </c>
      <c r="X432" s="34">
        <f t="shared" si="153"/>
        <v>129.52629764837945</v>
      </c>
      <c r="Y432" s="252">
        <f t="shared" si="153"/>
        <v>125.90033885317223</v>
      </c>
      <c r="Z432" s="34">
        <f t="shared" si="153"/>
        <v>86.128756506867319</v>
      </c>
      <c r="AA432" s="34">
        <f t="shared" si="153"/>
        <v>131.61013255058702</v>
      </c>
      <c r="AB432" s="252">
        <f t="shared" si="153"/>
        <v>237.9525379259685</v>
      </c>
      <c r="AC432" s="34">
        <f t="shared" si="153"/>
        <v>204.36883133990267</v>
      </c>
      <c r="AD432" s="34">
        <f t="shared" si="153"/>
        <v>239.7024713789242</v>
      </c>
      <c r="AE432" s="37"/>
      <c r="AI432" s="27"/>
    </row>
    <row r="433" spans="1:58" ht="15" customHeight="1" outlineLevel="1">
      <c r="B433" s="59" t="s">
        <v>101</v>
      </c>
      <c r="C433" s="190"/>
      <c r="D433" s="190"/>
      <c r="G433" s="246">
        <f>G428</f>
        <v>96.292313661202172</v>
      </c>
      <c r="H433" s="247">
        <f t="shared" ref="H433:AD433" si="154">H428</f>
        <v>90.380668975409833</v>
      </c>
      <c r="I433" s="247">
        <f t="shared" si="154"/>
        <v>95.602358768066921</v>
      </c>
      <c r="J433" s="246">
        <f t="shared" si="154"/>
        <v>235.33034873966835</v>
      </c>
      <c r="K433" s="247">
        <f t="shared" si="154"/>
        <v>256.03126755198781</v>
      </c>
      <c r="L433" s="247">
        <f t="shared" si="154"/>
        <v>274.38636413898342</v>
      </c>
      <c r="M433" s="246">
        <f t="shared" si="154"/>
        <v>270.8129402625284</v>
      </c>
      <c r="N433" s="247">
        <f t="shared" si="154"/>
        <v>243.64119578539868</v>
      </c>
      <c r="O433" s="247">
        <f t="shared" si="154"/>
        <v>251.87040910554603</v>
      </c>
      <c r="P433" s="246">
        <f t="shared" si="154"/>
        <v>205.52666091527792</v>
      </c>
      <c r="Q433" s="247">
        <f t="shared" si="154"/>
        <v>192.49784007857789</v>
      </c>
      <c r="R433" s="247">
        <f t="shared" si="154"/>
        <v>206.06069046574234</v>
      </c>
      <c r="S433" s="246">
        <f t="shared" si="154"/>
        <v>140.39038781358229</v>
      </c>
      <c r="T433" s="247">
        <f t="shared" si="154"/>
        <v>243.44606141552694</v>
      </c>
      <c r="U433" s="247">
        <f t="shared" si="154"/>
        <v>270.13113654924717</v>
      </c>
      <c r="V433" s="246">
        <f t="shared" si="154"/>
        <v>328.72655420461422</v>
      </c>
      <c r="W433" s="247">
        <f t="shared" si="154"/>
        <v>283.65770640445834</v>
      </c>
      <c r="X433" s="247">
        <f t="shared" si="154"/>
        <v>331.06238585241192</v>
      </c>
      <c r="Y433" s="246">
        <f t="shared" si="154"/>
        <v>327.4364270572047</v>
      </c>
      <c r="Z433" s="247">
        <f t="shared" si="154"/>
        <v>287.66484471089979</v>
      </c>
      <c r="AA433" s="247">
        <f t="shared" si="154"/>
        <v>333.14622075461949</v>
      </c>
      <c r="AB433" s="246">
        <f t="shared" si="154"/>
        <v>439.48862613000097</v>
      </c>
      <c r="AC433" s="247">
        <f t="shared" si="154"/>
        <v>405.90491954393514</v>
      </c>
      <c r="AD433" s="247">
        <f t="shared" si="154"/>
        <v>441.23855958295667</v>
      </c>
      <c r="AE433" s="37"/>
      <c r="AI433" s="27"/>
    </row>
    <row r="434" spans="1:58" ht="15" customHeight="1" outlineLevel="1">
      <c r="B434" s="59"/>
      <c r="C434" s="190"/>
      <c r="D434" s="190"/>
      <c r="G434" s="247"/>
      <c r="H434" s="247"/>
      <c r="I434" s="247"/>
      <c r="J434" s="247"/>
      <c r="K434" s="247"/>
      <c r="L434" s="247"/>
      <c r="M434" s="247"/>
      <c r="N434" s="247"/>
      <c r="O434" s="247"/>
      <c r="P434" s="247"/>
      <c r="Q434" s="247"/>
      <c r="R434" s="247"/>
      <c r="S434" s="247"/>
      <c r="T434" s="247"/>
      <c r="U434" s="247"/>
      <c r="V434" s="247"/>
      <c r="W434" s="247"/>
      <c r="X434" s="247"/>
      <c r="Y434" s="247"/>
      <c r="Z434" s="247"/>
      <c r="AA434" s="247"/>
      <c r="AB434" s="247"/>
      <c r="AC434" s="247"/>
      <c r="AD434" s="247"/>
      <c r="AI434" s="27"/>
    </row>
    <row r="435" spans="1:58" s="44" customFormat="1" ht="15" customHeight="1" outlineLevel="1">
      <c r="A435" s="23"/>
      <c r="F435" s="23"/>
      <c r="G435" s="23"/>
      <c r="H435" s="23"/>
      <c r="AD435" s="45" t="s">
        <v>213</v>
      </c>
      <c r="AG435" s="23"/>
      <c r="AH435" s="23"/>
      <c r="AI435" s="27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</row>
    <row r="436" spans="1:58" s="44" customFormat="1" ht="15" customHeight="1" outlineLevel="1">
      <c r="A436" s="23"/>
      <c r="F436" s="23"/>
      <c r="G436" s="23"/>
      <c r="H436" s="23"/>
      <c r="AD436" s="45"/>
      <c r="AG436" s="23"/>
      <c r="AH436" s="23"/>
      <c r="AI436" s="27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</row>
    <row r="437" spans="1:58" ht="15" customHeight="1" outlineLevel="1">
      <c r="B437" s="64"/>
      <c r="C437" s="65"/>
      <c r="D437" s="65"/>
      <c r="E437" s="66"/>
      <c r="F437" s="66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  <c r="AC437" s="67"/>
      <c r="AD437" s="67"/>
      <c r="AI437" s="27"/>
    </row>
    <row r="438" spans="1:58" ht="15" customHeight="1">
      <c r="B438" s="60"/>
      <c r="C438" s="61"/>
      <c r="D438" s="61"/>
      <c r="E438" s="62"/>
      <c r="F438" s="62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I438" s="27"/>
    </row>
    <row r="439" spans="1:58" s="27" customFormat="1" ht="15" customHeight="1">
      <c r="A439" s="23" t="s">
        <v>10</v>
      </c>
      <c r="B439" s="24" t="s">
        <v>106</v>
      </c>
      <c r="C439" s="24"/>
      <c r="D439" s="24"/>
      <c r="E439" s="25"/>
      <c r="F439" s="25"/>
      <c r="G439" s="25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24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  <c r="AD439" s="24"/>
      <c r="AE439" s="23"/>
      <c r="AG439" s="23"/>
      <c r="AH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</row>
    <row r="440" spans="1:58" s="27" customFormat="1" ht="15" customHeight="1" outlineLevel="1">
      <c r="A440" s="23"/>
      <c r="B440" s="28"/>
      <c r="C440" s="28"/>
      <c r="D440" s="28"/>
      <c r="E440" s="29"/>
      <c r="F440" s="29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G440" s="23"/>
      <c r="AH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</row>
    <row r="441" spans="1:58" s="27" customFormat="1" ht="15" customHeight="1" outlineLevel="1">
      <c r="A441" s="23"/>
      <c r="B441" s="31" t="s">
        <v>13</v>
      </c>
      <c r="C441" s="28"/>
      <c r="D441" s="28"/>
      <c r="E441" s="29"/>
      <c r="F441" s="29"/>
      <c r="G441" s="48">
        <f t="shared" ref="G441:AD441" si="155">G$5</f>
        <v>2024</v>
      </c>
      <c r="H441" s="49">
        <f t="shared" si="155"/>
        <v>2024</v>
      </c>
      <c r="I441" s="49">
        <f t="shared" si="155"/>
        <v>2024</v>
      </c>
      <c r="J441" s="50">
        <f t="shared" si="155"/>
        <v>2024</v>
      </c>
      <c r="K441" s="49">
        <f t="shared" si="155"/>
        <v>2024</v>
      </c>
      <c r="L441" s="49">
        <f t="shared" si="155"/>
        <v>2024</v>
      </c>
      <c r="M441" s="50">
        <f t="shared" si="155"/>
        <v>2024</v>
      </c>
      <c r="N441" s="49">
        <f t="shared" si="155"/>
        <v>2024</v>
      </c>
      <c r="O441" s="49">
        <f t="shared" si="155"/>
        <v>2024</v>
      </c>
      <c r="P441" s="50">
        <f t="shared" si="155"/>
        <v>2024</v>
      </c>
      <c r="Q441" s="51">
        <f t="shared" si="155"/>
        <v>2024</v>
      </c>
      <c r="R441" s="255">
        <f t="shared" si="155"/>
        <v>2024</v>
      </c>
      <c r="S441" s="52">
        <f t="shared" si="155"/>
        <v>2025</v>
      </c>
      <c r="T441" s="51">
        <f t="shared" si="155"/>
        <v>2025</v>
      </c>
      <c r="U441" s="51">
        <f t="shared" si="155"/>
        <v>2025</v>
      </c>
      <c r="V441" s="53">
        <f t="shared" si="155"/>
        <v>2025</v>
      </c>
      <c r="W441" s="51">
        <f t="shared" si="155"/>
        <v>2025</v>
      </c>
      <c r="X441" s="51">
        <f t="shared" si="155"/>
        <v>2025</v>
      </c>
      <c r="Y441" s="53">
        <f t="shared" si="155"/>
        <v>2025</v>
      </c>
      <c r="Z441" s="51">
        <f t="shared" si="155"/>
        <v>2025</v>
      </c>
      <c r="AA441" s="51">
        <f t="shared" si="155"/>
        <v>2025</v>
      </c>
      <c r="AB441" s="53">
        <f t="shared" si="155"/>
        <v>2025</v>
      </c>
      <c r="AC441" s="51">
        <f t="shared" si="155"/>
        <v>2025</v>
      </c>
      <c r="AD441" s="255">
        <f t="shared" si="155"/>
        <v>2025</v>
      </c>
      <c r="AE441" s="40"/>
      <c r="AG441" s="23"/>
      <c r="AH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</row>
    <row r="442" spans="1:58" ht="15" customHeight="1" outlineLevel="1">
      <c r="F442" s="32"/>
      <c r="G442" s="256">
        <f t="shared" ref="G442:AD442" si="156">G$6</f>
        <v>1</v>
      </c>
      <c r="H442" s="257">
        <f t="shared" si="156"/>
        <v>1</v>
      </c>
      <c r="I442" s="54">
        <f t="shared" si="156"/>
        <v>1</v>
      </c>
      <c r="J442" s="258">
        <f t="shared" si="156"/>
        <v>2</v>
      </c>
      <c r="K442" s="257">
        <f t="shared" si="156"/>
        <v>2</v>
      </c>
      <c r="L442" s="215">
        <f t="shared" si="156"/>
        <v>2</v>
      </c>
      <c r="M442" s="258">
        <f t="shared" si="156"/>
        <v>3</v>
      </c>
      <c r="N442" s="257">
        <f t="shared" si="156"/>
        <v>3</v>
      </c>
      <c r="O442" s="215">
        <f t="shared" si="156"/>
        <v>3</v>
      </c>
      <c r="P442" s="216">
        <f t="shared" si="156"/>
        <v>4</v>
      </c>
      <c r="Q442" s="214">
        <f t="shared" si="156"/>
        <v>4</v>
      </c>
      <c r="R442" s="215">
        <f t="shared" si="156"/>
        <v>4</v>
      </c>
      <c r="S442" s="213">
        <f t="shared" si="156"/>
        <v>1</v>
      </c>
      <c r="T442" s="214">
        <f t="shared" si="156"/>
        <v>1</v>
      </c>
      <c r="U442" s="215">
        <f t="shared" si="156"/>
        <v>1</v>
      </c>
      <c r="V442" s="216">
        <f t="shared" si="156"/>
        <v>2</v>
      </c>
      <c r="W442" s="214">
        <f t="shared" si="156"/>
        <v>2</v>
      </c>
      <c r="X442" s="215">
        <f t="shared" si="156"/>
        <v>2</v>
      </c>
      <c r="Y442" s="216">
        <f t="shared" si="156"/>
        <v>3</v>
      </c>
      <c r="Z442" s="214">
        <f t="shared" si="156"/>
        <v>3</v>
      </c>
      <c r="AA442" s="215">
        <f t="shared" si="156"/>
        <v>3</v>
      </c>
      <c r="AB442" s="216">
        <f t="shared" si="156"/>
        <v>4</v>
      </c>
      <c r="AC442" s="214">
        <f t="shared" si="156"/>
        <v>4</v>
      </c>
      <c r="AD442" s="215">
        <f t="shared" si="156"/>
        <v>4</v>
      </c>
      <c r="AE442" s="40"/>
      <c r="AI442" s="27"/>
    </row>
    <row r="443" spans="1:58" ht="15" customHeight="1" outlineLevel="1" thickBot="1">
      <c r="G443" s="218">
        <f t="shared" ref="G443:AD443" si="157">G$7</f>
        <v>45322</v>
      </c>
      <c r="H443" s="219">
        <f t="shared" si="157"/>
        <v>45351</v>
      </c>
      <c r="I443" s="219">
        <f t="shared" si="157"/>
        <v>45382</v>
      </c>
      <c r="J443" s="220">
        <f t="shared" si="157"/>
        <v>45412</v>
      </c>
      <c r="K443" s="219">
        <f t="shared" si="157"/>
        <v>45443</v>
      </c>
      <c r="L443" s="219">
        <f t="shared" si="157"/>
        <v>45473</v>
      </c>
      <c r="M443" s="220">
        <f t="shared" si="157"/>
        <v>45504</v>
      </c>
      <c r="N443" s="219">
        <f t="shared" si="157"/>
        <v>45535</v>
      </c>
      <c r="O443" s="219">
        <f t="shared" si="157"/>
        <v>45565</v>
      </c>
      <c r="P443" s="220">
        <f t="shared" si="157"/>
        <v>45596</v>
      </c>
      <c r="Q443" s="219">
        <f t="shared" si="157"/>
        <v>45626</v>
      </c>
      <c r="R443" s="219">
        <f t="shared" si="157"/>
        <v>45657</v>
      </c>
      <c r="S443" s="218">
        <f t="shared" si="157"/>
        <v>45688</v>
      </c>
      <c r="T443" s="219">
        <f t="shared" si="157"/>
        <v>45716</v>
      </c>
      <c r="U443" s="219">
        <f t="shared" si="157"/>
        <v>45747</v>
      </c>
      <c r="V443" s="220">
        <f t="shared" si="157"/>
        <v>45777</v>
      </c>
      <c r="W443" s="219">
        <f t="shared" si="157"/>
        <v>45808</v>
      </c>
      <c r="X443" s="219">
        <f t="shared" si="157"/>
        <v>45838</v>
      </c>
      <c r="Y443" s="220">
        <f t="shared" si="157"/>
        <v>45869</v>
      </c>
      <c r="Z443" s="219">
        <f t="shared" si="157"/>
        <v>45900</v>
      </c>
      <c r="AA443" s="219">
        <f t="shared" si="157"/>
        <v>45930</v>
      </c>
      <c r="AB443" s="220">
        <f t="shared" si="157"/>
        <v>45961</v>
      </c>
      <c r="AC443" s="219">
        <f t="shared" si="157"/>
        <v>45991</v>
      </c>
      <c r="AD443" s="219">
        <f t="shared" si="157"/>
        <v>46022</v>
      </c>
      <c r="AE443" s="40"/>
      <c r="AI443" s="27"/>
    </row>
    <row r="444" spans="1:58" ht="15" customHeight="1" outlineLevel="1">
      <c r="C444" s="190"/>
      <c r="D444" s="190"/>
      <c r="G444" s="278"/>
      <c r="H444" s="278"/>
      <c r="I444" s="278"/>
      <c r="J444" s="278"/>
      <c r="K444" s="278"/>
      <c r="L444" s="278"/>
      <c r="M444" s="278"/>
      <c r="N444" s="278"/>
      <c r="O444" s="278"/>
      <c r="P444" s="278"/>
      <c r="Q444" s="278"/>
      <c r="R444" s="278"/>
      <c r="S444" s="278"/>
      <c r="T444" s="278"/>
      <c r="U444" s="278"/>
      <c r="V444" s="278"/>
      <c r="W444" s="278"/>
      <c r="X444" s="278"/>
      <c r="Y444" s="278"/>
      <c r="Z444" s="278"/>
      <c r="AA444" s="278"/>
      <c r="AB444" s="278"/>
      <c r="AC444" s="278"/>
      <c r="AD444" s="278"/>
      <c r="AI444" s="27"/>
    </row>
    <row r="445" spans="1:58" ht="15" customHeight="1" outlineLevel="1">
      <c r="C445" s="190"/>
      <c r="D445" s="190"/>
      <c r="G445" s="55">
        <f t="shared" ref="G445:AD445" si="158">G$8</f>
        <v>1</v>
      </c>
      <c r="H445" s="55">
        <f t="shared" si="158"/>
        <v>1</v>
      </c>
      <c r="I445" s="55">
        <f t="shared" si="158"/>
        <v>1</v>
      </c>
      <c r="J445" s="55">
        <f t="shared" si="158"/>
        <v>1</v>
      </c>
      <c r="K445" s="55">
        <f t="shared" si="158"/>
        <v>1</v>
      </c>
      <c r="L445" s="55">
        <f t="shared" si="158"/>
        <v>1</v>
      </c>
      <c r="M445" s="55">
        <f t="shared" si="158"/>
        <v>1</v>
      </c>
      <c r="N445" s="55">
        <f t="shared" si="158"/>
        <v>1</v>
      </c>
      <c r="O445" s="55">
        <f t="shared" si="158"/>
        <v>1</v>
      </c>
      <c r="P445" s="55">
        <f t="shared" si="158"/>
        <v>1</v>
      </c>
      <c r="Q445" s="55">
        <f t="shared" si="158"/>
        <v>1</v>
      </c>
      <c r="R445" s="55">
        <f t="shared" si="158"/>
        <v>1</v>
      </c>
      <c r="S445" s="55">
        <f t="shared" si="158"/>
        <v>0</v>
      </c>
      <c r="T445" s="55">
        <f t="shared" si="158"/>
        <v>0</v>
      </c>
      <c r="U445" s="55">
        <f t="shared" si="158"/>
        <v>0</v>
      </c>
      <c r="V445" s="55">
        <f t="shared" si="158"/>
        <v>0</v>
      </c>
      <c r="W445" s="55">
        <f t="shared" si="158"/>
        <v>0</v>
      </c>
      <c r="X445" s="55">
        <f t="shared" si="158"/>
        <v>0</v>
      </c>
      <c r="Y445" s="55">
        <f t="shared" si="158"/>
        <v>0</v>
      </c>
      <c r="Z445" s="55">
        <f t="shared" si="158"/>
        <v>0</v>
      </c>
      <c r="AA445" s="55">
        <f t="shared" si="158"/>
        <v>0</v>
      </c>
      <c r="AB445" s="55">
        <f t="shared" si="158"/>
        <v>0</v>
      </c>
      <c r="AC445" s="55">
        <f t="shared" si="158"/>
        <v>0</v>
      </c>
      <c r="AD445" s="55">
        <f t="shared" si="158"/>
        <v>0</v>
      </c>
      <c r="AI445" s="27"/>
    </row>
    <row r="446" spans="1:58" ht="15" customHeight="1" outlineLevel="1">
      <c r="B446" s="59" t="s">
        <v>28</v>
      </c>
      <c r="G446" s="246">
        <f t="shared" ref="G446:AD446" si="159">G34</f>
        <v>733.33333333333326</v>
      </c>
      <c r="H446" s="247">
        <f t="shared" si="159"/>
        <v>733.33333333333326</v>
      </c>
      <c r="I446" s="247">
        <f t="shared" si="159"/>
        <v>733.33333333333326</v>
      </c>
      <c r="J446" s="246">
        <f t="shared" si="159"/>
        <v>1222.2222222222222</v>
      </c>
      <c r="K446" s="247">
        <f t="shared" si="159"/>
        <v>1358.5858585858587</v>
      </c>
      <c r="L446" s="247">
        <f t="shared" si="159"/>
        <v>1358.5858585858587</v>
      </c>
      <c r="M446" s="246">
        <f t="shared" si="159"/>
        <v>1358.5858585858587</v>
      </c>
      <c r="N446" s="247">
        <f t="shared" si="159"/>
        <v>1358.5858585858587</v>
      </c>
      <c r="O446" s="247">
        <f t="shared" si="159"/>
        <v>1358.5858585858587</v>
      </c>
      <c r="P446" s="246">
        <f t="shared" si="159"/>
        <v>1208.5858585858587</v>
      </c>
      <c r="Q446" s="247">
        <f t="shared" si="159"/>
        <v>1208.5858585858587</v>
      </c>
      <c r="R446" s="247">
        <f t="shared" si="159"/>
        <v>1208.5858585858587</v>
      </c>
      <c r="S446" s="246">
        <f t="shared" si="159"/>
        <v>986.36363636363637</v>
      </c>
      <c r="T446" s="247">
        <f t="shared" si="159"/>
        <v>1423.8636363636365</v>
      </c>
      <c r="U446" s="247">
        <f t="shared" si="159"/>
        <v>1423.8636363636365</v>
      </c>
      <c r="V446" s="246">
        <f t="shared" si="159"/>
        <v>1620.8333333333333</v>
      </c>
      <c r="W446" s="247">
        <f t="shared" si="159"/>
        <v>1620.8333333333333</v>
      </c>
      <c r="X446" s="247">
        <f t="shared" si="159"/>
        <v>1620.8333333333333</v>
      </c>
      <c r="Y446" s="246">
        <f t="shared" si="159"/>
        <v>1620.8333333333333</v>
      </c>
      <c r="Z446" s="247">
        <f t="shared" si="159"/>
        <v>1620.8333333333333</v>
      </c>
      <c r="AA446" s="247">
        <f t="shared" si="159"/>
        <v>1620.8333333333333</v>
      </c>
      <c r="AB446" s="246">
        <f t="shared" si="159"/>
        <v>1999.9999999999998</v>
      </c>
      <c r="AC446" s="247">
        <f t="shared" si="159"/>
        <v>1999.9999999999998</v>
      </c>
      <c r="AD446" s="247">
        <f t="shared" si="159"/>
        <v>1999.9999999999998</v>
      </c>
      <c r="AE446" s="37"/>
      <c r="AI446" s="27"/>
    </row>
    <row r="447" spans="1:58" ht="15" customHeight="1" outlineLevel="1">
      <c r="B447" s="59" t="s">
        <v>107</v>
      </c>
      <c r="G447" s="252">
        <f t="shared" ref="G447:AD447" si="160">-G304</f>
        <v>-354.93221311475412</v>
      </c>
      <c r="H447" s="34">
        <f t="shared" si="160"/>
        <v>-374.73336065573767</v>
      </c>
      <c r="I447" s="34">
        <f t="shared" si="160"/>
        <v>-354.93221311475412</v>
      </c>
      <c r="J447" s="252">
        <f t="shared" si="160"/>
        <v>-343.4827868852459</v>
      </c>
      <c r="K447" s="34">
        <f t="shared" si="160"/>
        <v>-410.23221311475413</v>
      </c>
      <c r="L447" s="34">
        <f t="shared" si="160"/>
        <v>-343.4827868852459</v>
      </c>
      <c r="M447" s="252">
        <f t="shared" si="160"/>
        <v>-354.93221311475412</v>
      </c>
      <c r="N447" s="34">
        <f t="shared" si="160"/>
        <v>-450.77237704918031</v>
      </c>
      <c r="O447" s="34">
        <f t="shared" si="160"/>
        <v>-420.03934426229506</v>
      </c>
      <c r="P447" s="252">
        <f t="shared" si="160"/>
        <v>-434.04065573770498</v>
      </c>
      <c r="Q447" s="34">
        <f t="shared" si="160"/>
        <v>-487.93934426229509</v>
      </c>
      <c r="R447" s="34">
        <f t="shared" si="160"/>
        <v>-434.04065573770498</v>
      </c>
      <c r="S447" s="252">
        <f t="shared" si="160"/>
        <v>-441.6098630136986</v>
      </c>
      <c r="T447" s="34">
        <f t="shared" si="160"/>
        <v>-531.87342465753431</v>
      </c>
      <c r="U447" s="34">
        <f t="shared" si="160"/>
        <v>-441.6098630136986</v>
      </c>
      <c r="V447" s="252">
        <f t="shared" si="160"/>
        <v>-440.08356164383565</v>
      </c>
      <c r="W447" s="34">
        <f t="shared" si="160"/>
        <v>-601.05301369863002</v>
      </c>
      <c r="X447" s="34">
        <f t="shared" si="160"/>
        <v>-440.08356164383565</v>
      </c>
      <c r="Y447" s="252">
        <f t="shared" si="160"/>
        <v>-454.75301369863007</v>
      </c>
      <c r="Z447" s="34">
        <f t="shared" si="160"/>
        <v>-594.40301369863005</v>
      </c>
      <c r="AA447" s="34">
        <f t="shared" si="160"/>
        <v>-440.08356164383565</v>
      </c>
      <c r="AB447" s="252">
        <f t="shared" si="160"/>
        <v>-454.75301369863007</v>
      </c>
      <c r="AC447" s="34">
        <f t="shared" si="160"/>
        <v>-573.08356164383565</v>
      </c>
      <c r="AD447" s="34">
        <f t="shared" si="160"/>
        <v>-454.75301369863007</v>
      </c>
      <c r="AE447" s="37"/>
      <c r="AI447" s="27"/>
    </row>
    <row r="448" spans="1:58" ht="15" customHeight="1" outlineLevel="1">
      <c r="B448" s="381" t="s">
        <v>108</v>
      </c>
      <c r="G448" s="246">
        <f>SUM(G446:G447)</f>
        <v>378.40112021857914</v>
      </c>
      <c r="H448" s="247">
        <f t="shared" ref="H448:AD448" si="161">SUM(H446:H447)</f>
        <v>358.59997267759559</v>
      </c>
      <c r="I448" s="247">
        <f t="shared" si="161"/>
        <v>378.40112021857914</v>
      </c>
      <c r="J448" s="246">
        <f t="shared" si="161"/>
        <v>878.73943533697627</v>
      </c>
      <c r="K448" s="247">
        <f t="shared" si="161"/>
        <v>948.35364547110453</v>
      </c>
      <c r="L448" s="247">
        <f t="shared" si="161"/>
        <v>1015.1030717006128</v>
      </c>
      <c r="M448" s="246">
        <f t="shared" si="161"/>
        <v>1003.6536454711045</v>
      </c>
      <c r="N448" s="247">
        <f t="shared" si="161"/>
        <v>907.81348153667841</v>
      </c>
      <c r="O448" s="247">
        <f t="shared" si="161"/>
        <v>938.54651432356354</v>
      </c>
      <c r="P448" s="246">
        <f t="shared" si="161"/>
        <v>774.54520284815362</v>
      </c>
      <c r="Q448" s="247">
        <f t="shared" si="161"/>
        <v>720.64651432356357</v>
      </c>
      <c r="R448" s="247">
        <f t="shared" si="161"/>
        <v>774.54520284815362</v>
      </c>
      <c r="S448" s="246">
        <f t="shared" si="161"/>
        <v>544.75377334993777</v>
      </c>
      <c r="T448" s="247">
        <f t="shared" si="161"/>
        <v>891.99021170610217</v>
      </c>
      <c r="U448" s="247">
        <f t="shared" si="161"/>
        <v>982.25377334993789</v>
      </c>
      <c r="V448" s="246">
        <f t="shared" si="161"/>
        <v>1180.7497716894977</v>
      </c>
      <c r="W448" s="247">
        <f t="shared" si="161"/>
        <v>1019.7803196347032</v>
      </c>
      <c r="X448" s="247">
        <f t="shared" si="161"/>
        <v>1180.7497716894977</v>
      </c>
      <c r="Y448" s="246">
        <f t="shared" si="161"/>
        <v>1166.0803196347033</v>
      </c>
      <c r="Z448" s="247">
        <f t="shared" si="161"/>
        <v>1026.4303196347032</v>
      </c>
      <c r="AA448" s="247">
        <f t="shared" si="161"/>
        <v>1180.7497716894977</v>
      </c>
      <c r="AB448" s="246">
        <f t="shared" si="161"/>
        <v>1545.2469863013698</v>
      </c>
      <c r="AC448" s="247">
        <f t="shared" si="161"/>
        <v>1426.9164383561642</v>
      </c>
      <c r="AD448" s="247">
        <f t="shared" si="161"/>
        <v>1545.2469863013698</v>
      </c>
      <c r="AE448" s="37"/>
      <c r="AI448" s="27"/>
    </row>
    <row r="449" spans="2:35" ht="15" customHeight="1" outlineLevel="1">
      <c r="B449" s="382"/>
      <c r="G449" s="37"/>
      <c r="J449" s="37"/>
      <c r="M449" s="37"/>
      <c r="P449" s="37"/>
      <c r="S449" s="37"/>
      <c r="V449" s="37"/>
      <c r="Y449" s="37"/>
      <c r="AB449" s="37"/>
      <c r="AE449" s="37"/>
      <c r="AI449" s="27"/>
    </row>
    <row r="450" spans="2:35" ht="15" customHeight="1" outlineLevel="1">
      <c r="B450" s="59"/>
      <c r="G450" s="37"/>
      <c r="J450" s="37"/>
      <c r="M450" s="37"/>
      <c r="P450" s="37"/>
      <c r="S450" s="37"/>
      <c r="V450" s="37"/>
      <c r="Y450" s="37"/>
      <c r="AB450" s="37"/>
      <c r="AE450" s="37"/>
      <c r="AI450" s="27"/>
    </row>
    <row r="451" spans="2:35" ht="15" customHeight="1" outlineLevel="1">
      <c r="B451" s="59" t="s">
        <v>109</v>
      </c>
      <c r="G451" s="252">
        <f t="shared" ref="G451:AD451" si="162">-G312</f>
        <v>-40</v>
      </c>
      <c r="H451" s="34">
        <f t="shared" si="162"/>
        <v>-40</v>
      </c>
      <c r="I451" s="34">
        <f t="shared" si="162"/>
        <v>-40</v>
      </c>
      <c r="J451" s="252">
        <f t="shared" si="162"/>
        <v>-40</v>
      </c>
      <c r="K451" s="34">
        <f t="shared" si="162"/>
        <v>-40</v>
      </c>
      <c r="L451" s="34">
        <f t="shared" si="162"/>
        <v>-40</v>
      </c>
      <c r="M451" s="252">
        <f t="shared" si="162"/>
        <v>-40</v>
      </c>
      <c r="N451" s="34">
        <f t="shared" si="162"/>
        <v>-40</v>
      </c>
      <c r="O451" s="34">
        <f t="shared" si="162"/>
        <v>-40</v>
      </c>
      <c r="P451" s="252">
        <f t="shared" si="162"/>
        <v>-40</v>
      </c>
      <c r="Q451" s="34">
        <f t="shared" si="162"/>
        <v>-40</v>
      </c>
      <c r="R451" s="34">
        <f t="shared" si="162"/>
        <v>-40</v>
      </c>
      <c r="S451" s="252">
        <f t="shared" si="162"/>
        <v>-46</v>
      </c>
      <c r="T451" s="34">
        <f t="shared" si="162"/>
        <v>-46</v>
      </c>
      <c r="U451" s="34">
        <f t="shared" si="162"/>
        <v>-46</v>
      </c>
      <c r="V451" s="252">
        <f t="shared" si="162"/>
        <v>-46</v>
      </c>
      <c r="W451" s="34">
        <f t="shared" si="162"/>
        <v>-46</v>
      </c>
      <c r="X451" s="34">
        <f t="shared" si="162"/>
        <v>-46</v>
      </c>
      <c r="Y451" s="252">
        <f t="shared" si="162"/>
        <v>-46</v>
      </c>
      <c r="Z451" s="34">
        <f t="shared" si="162"/>
        <v>-46</v>
      </c>
      <c r="AA451" s="34">
        <f t="shared" si="162"/>
        <v>-46</v>
      </c>
      <c r="AB451" s="252">
        <f t="shared" si="162"/>
        <v>-46</v>
      </c>
      <c r="AC451" s="34">
        <f t="shared" si="162"/>
        <v>-46</v>
      </c>
      <c r="AD451" s="34">
        <f t="shared" si="162"/>
        <v>-46</v>
      </c>
      <c r="AE451" s="37"/>
      <c r="AI451" s="27"/>
    </row>
    <row r="452" spans="2:35" ht="15" customHeight="1" outlineLevel="1">
      <c r="B452" s="381" t="s">
        <v>110</v>
      </c>
      <c r="G452" s="246">
        <f>G448+G451</f>
        <v>338.40112021857914</v>
      </c>
      <c r="H452" s="247">
        <f t="shared" ref="H452:AD452" si="163">H448+H451</f>
        <v>318.59997267759559</v>
      </c>
      <c r="I452" s="247">
        <f t="shared" si="163"/>
        <v>338.40112021857914</v>
      </c>
      <c r="J452" s="246">
        <f t="shared" si="163"/>
        <v>838.73943533697627</v>
      </c>
      <c r="K452" s="247">
        <f t="shared" si="163"/>
        <v>908.35364547110453</v>
      </c>
      <c r="L452" s="247">
        <f t="shared" si="163"/>
        <v>975.10307170061276</v>
      </c>
      <c r="M452" s="246">
        <f t="shared" si="163"/>
        <v>963.65364547110448</v>
      </c>
      <c r="N452" s="247">
        <f t="shared" si="163"/>
        <v>867.81348153667841</v>
      </c>
      <c r="O452" s="247">
        <f t="shared" si="163"/>
        <v>898.54651432356354</v>
      </c>
      <c r="P452" s="246">
        <f t="shared" si="163"/>
        <v>734.54520284815362</v>
      </c>
      <c r="Q452" s="247">
        <f t="shared" si="163"/>
        <v>680.64651432356357</v>
      </c>
      <c r="R452" s="247">
        <f t="shared" si="163"/>
        <v>734.54520284815362</v>
      </c>
      <c r="S452" s="246">
        <f t="shared" si="163"/>
        <v>498.75377334993777</v>
      </c>
      <c r="T452" s="247">
        <f t="shared" si="163"/>
        <v>845.99021170610217</v>
      </c>
      <c r="U452" s="247">
        <f t="shared" si="163"/>
        <v>936.25377334993789</v>
      </c>
      <c r="V452" s="246">
        <f t="shared" si="163"/>
        <v>1134.7497716894977</v>
      </c>
      <c r="W452" s="247">
        <f t="shared" si="163"/>
        <v>973.78031963470323</v>
      </c>
      <c r="X452" s="247">
        <f t="shared" si="163"/>
        <v>1134.7497716894977</v>
      </c>
      <c r="Y452" s="246">
        <f t="shared" si="163"/>
        <v>1120.0803196347033</v>
      </c>
      <c r="Z452" s="247">
        <f t="shared" si="163"/>
        <v>980.43031963470321</v>
      </c>
      <c r="AA452" s="247">
        <f t="shared" si="163"/>
        <v>1134.7497716894977</v>
      </c>
      <c r="AB452" s="246">
        <f t="shared" si="163"/>
        <v>1499.2469863013698</v>
      </c>
      <c r="AC452" s="247">
        <f t="shared" si="163"/>
        <v>1380.9164383561642</v>
      </c>
      <c r="AD452" s="247">
        <f t="shared" si="163"/>
        <v>1499.2469863013698</v>
      </c>
      <c r="AE452" s="37"/>
      <c r="AI452" s="27"/>
    </row>
    <row r="453" spans="2:35" ht="15" customHeight="1" outlineLevel="1">
      <c r="B453" s="382"/>
      <c r="G453" s="37"/>
      <c r="J453" s="37"/>
      <c r="M453" s="37"/>
      <c r="P453" s="37"/>
      <c r="S453" s="37"/>
      <c r="V453" s="37"/>
      <c r="Y453" s="37"/>
      <c r="AB453" s="37"/>
      <c r="AE453" s="37"/>
      <c r="AI453" s="27"/>
    </row>
    <row r="454" spans="2:35" ht="15" customHeight="1" outlineLevel="1">
      <c r="B454" s="59"/>
      <c r="G454" s="37"/>
      <c r="J454" s="37"/>
      <c r="M454" s="37"/>
      <c r="P454" s="37"/>
      <c r="S454" s="37"/>
      <c r="V454" s="37"/>
      <c r="Y454" s="37"/>
      <c r="AB454" s="37"/>
      <c r="AE454" s="37"/>
      <c r="AI454" s="27"/>
    </row>
    <row r="455" spans="2:35" ht="15" customHeight="1" outlineLevel="1">
      <c r="B455" s="59" t="s">
        <v>111</v>
      </c>
      <c r="G455" s="252">
        <f t="shared" ref="G455:AD455" si="164">-G353</f>
        <v>-1</v>
      </c>
      <c r="H455" s="34">
        <f t="shared" si="164"/>
        <v>-1</v>
      </c>
      <c r="I455" s="34">
        <f t="shared" si="164"/>
        <v>-1</v>
      </c>
      <c r="J455" s="252">
        <f t="shared" si="164"/>
        <v>-1</v>
      </c>
      <c r="K455" s="34">
        <f t="shared" si="164"/>
        <v>-1</v>
      </c>
      <c r="L455" s="34">
        <f t="shared" si="164"/>
        <v>-1</v>
      </c>
      <c r="M455" s="252">
        <f t="shared" si="164"/>
        <v>-1</v>
      </c>
      <c r="N455" s="34">
        <f t="shared" si="164"/>
        <v>-1</v>
      </c>
      <c r="O455" s="34">
        <f t="shared" si="164"/>
        <v>-1</v>
      </c>
      <c r="P455" s="252">
        <f t="shared" si="164"/>
        <v>-1</v>
      </c>
      <c r="Q455" s="34">
        <f t="shared" si="164"/>
        <v>-1</v>
      </c>
      <c r="R455" s="34">
        <f t="shared" si="164"/>
        <v>-1</v>
      </c>
      <c r="S455" s="252">
        <f t="shared" si="164"/>
        <v>-1</v>
      </c>
      <c r="T455" s="34">
        <f t="shared" si="164"/>
        <v>-1</v>
      </c>
      <c r="U455" s="34">
        <f t="shared" si="164"/>
        <v>-1</v>
      </c>
      <c r="V455" s="252">
        <f t="shared" si="164"/>
        <v>-1</v>
      </c>
      <c r="W455" s="34">
        <f t="shared" si="164"/>
        <v>-1</v>
      </c>
      <c r="X455" s="34">
        <f t="shared" si="164"/>
        <v>-1</v>
      </c>
      <c r="Y455" s="252">
        <f t="shared" si="164"/>
        <v>-1</v>
      </c>
      <c r="Z455" s="34">
        <f t="shared" si="164"/>
        <v>-1</v>
      </c>
      <c r="AA455" s="34">
        <f t="shared" si="164"/>
        <v>-1</v>
      </c>
      <c r="AB455" s="252">
        <f t="shared" si="164"/>
        <v>-1</v>
      </c>
      <c r="AC455" s="34">
        <f t="shared" si="164"/>
        <v>-1</v>
      </c>
      <c r="AD455" s="34">
        <f t="shared" si="164"/>
        <v>-1</v>
      </c>
      <c r="AE455" s="37"/>
      <c r="AI455" s="27"/>
    </row>
    <row r="456" spans="2:35" ht="15" customHeight="1" outlineLevel="1">
      <c r="B456" s="381" t="s">
        <v>112</v>
      </c>
      <c r="G456" s="246">
        <f>G452+G455</f>
        <v>337.40112021857914</v>
      </c>
      <c r="H456" s="247">
        <f t="shared" ref="H456:AD456" si="165">H452+H455</f>
        <v>317.59997267759559</v>
      </c>
      <c r="I456" s="247">
        <f t="shared" si="165"/>
        <v>337.40112021857914</v>
      </c>
      <c r="J456" s="246">
        <f t="shared" si="165"/>
        <v>837.73943533697627</v>
      </c>
      <c r="K456" s="247">
        <f t="shared" si="165"/>
        <v>907.35364547110453</v>
      </c>
      <c r="L456" s="247">
        <f t="shared" si="165"/>
        <v>974.10307170061276</v>
      </c>
      <c r="M456" s="246">
        <f t="shared" si="165"/>
        <v>962.65364547110448</v>
      </c>
      <c r="N456" s="247">
        <f t="shared" si="165"/>
        <v>866.81348153667841</v>
      </c>
      <c r="O456" s="247">
        <f t="shared" si="165"/>
        <v>897.54651432356354</v>
      </c>
      <c r="P456" s="246">
        <f t="shared" si="165"/>
        <v>733.54520284815362</v>
      </c>
      <c r="Q456" s="247">
        <f t="shared" si="165"/>
        <v>679.64651432356357</v>
      </c>
      <c r="R456" s="247">
        <f t="shared" si="165"/>
        <v>733.54520284815362</v>
      </c>
      <c r="S456" s="246">
        <f t="shared" si="165"/>
        <v>497.75377334993777</v>
      </c>
      <c r="T456" s="247">
        <f t="shared" si="165"/>
        <v>844.99021170610217</v>
      </c>
      <c r="U456" s="247">
        <f t="shared" si="165"/>
        <v>935.25377334993789</v>
      </c>
      <c r="V456" s="246">
        <f t="shared" si="165"/>
        <v>1133.7497716894977</v>
      </c>
      <c r="W456" s="247">
        <f t="shared" si="165"/>
        <v>972.78031963470323</v>
      </c>
      <c r="X456" s="247">
        <f t="shared" si="165"/>
        <v>1133.7497716894977</v>
      </c>
      <c r="Y456" s="246">
        <f t="shared" si="165"/>
        <v>1119.0803196347033</v>
      </c>
      <c r="Z456" s="247">
        <f t="shared" si="165"/>
        <v>979.43031963470321</v>
      </c>
      <c r="AA456" s="247">
        <f t="shared" si="165"/>
        <v>1133.7497716894977</v>
      </c>
      <c r="AB456" s="246">
        <f t="shared" si="165"/>
        <v>1498.2469863013698</v>
      </c>
      <c r="AC456" s="247">
        <f t="shared" si="165"/>
        <v>1379.9164383561642</v>
      </c>
      <c r="AD456" s="247">
        <f t="shared" si="165"/>
        <v>1498.2469863013698</v>
      </c>
      <c r="AE456" s="37"/>
      <c r="AI456" s="27"/>
    </row>
    <row r="457" spans="2:35" ht="15" customHeight="1" outlineLevel="1">
      <c r="B457" s="382"/>
      <c r="G457" s="37"/>
      <c r="J457" s="37"/>
      <c r="M457" s="37"/>
      <c r="P457" s="37"/>
      <c r="S457" s="37"/>
      <c r="V457" s="37"/>
      <c r="Y457" s="37"/>
      <c r="AB457" s="37"/>
      <c r="AE457" s="37"/>
      <c r="AI457" s="27"/>
    </row>
    <row r="458" spans="2:35" ht="15" customHeight="1" outlineLevel="1">
      <c r="B458" s="59"/>
      <c r="C458" s="33"/>
      <c r="D458" s="33"/>
      <c r="G458" s="37"/>
      <c r="J458" s="37"/>
      <c r="M458" s="37"/>
      <c r="P458" s="37"/>
      <c r="S458" s="37"/>
      <c r="V458" s="37"/>
      <c r="Y458" s="37"/>
      <c r="AB458" s="37"/>
      <c r="AE458" s="37"/>
      <c r="AI458" s="27"/>
    </row>
    <row r="459" spans="2:35" ht="15" customHeight="1" outlineLevel="1">
      <c r="B459" s="59" t="s">
        <v>113</v>
      </c>
      <c r="G459" s="252">
        <f t="shared" ref="G459:AD459" si="166">-G408</f>
        <v>6.5</v>
      </c>
      <c r="H459" s="34">
        <f t="shared" si="166"/>
        <v>5.1881308060109292</v>
      </c>
      <c r="I459" s="34">
        <f t="shared" si="166"/>
        <v>4.0358753816598369</v>
      </c>
      <c r="J459" s="252">
        <f t="shared" si="166"/>
        <v>2.7260958761249161</v>
      </c>
      <c r="K459" s="34">
        <f t="shared" si="166"/>
        <v>7.0437386431376341</v>
      </c>
      <c r="L459" s="34">
        <f t="shared" si="166"/>
        <v>5.8482287957564072</v>
      </c>
      <c r="M459" s="252">
        <f t="shared" si="166"/>
        <v>4.5354268950682028</v>
      </c>
      <c r="N459" s="34">
        <f t="shared" si="166"/>
        <v>3.3336462683168016</v>
      </c>
      <c r="O459" s="34">
        <f t="shared" si="166"/>
        <v>1.9906610533865006</v>
      </c>
      <c r="P459" s="252">
        <f t="shared" si="166"/>
        <v>0.47858613498171509</v>
      </c>
      <c r="Q459" s="34">
        <f t="shared" si="166"/>
        <v>7.8457716713574204</v>
      </c>
      <c r="R459" s="34">
        <f t="shared" si="166"/>
        <v>2.3858345294975618</v>
      </c>
      <c r="S459" s="252">
        <f t="shared" si="166"/>
        <v>-13.648987785860855</v>
      </c>
      <c r="T459" s="34">
        <f t="shared" si="166"/>
        <v>-5.5210344111816028</v>
      </c>
      <c r="U459" s="34">
        <f t="shared" si="166"/>
        <v>-3.7670955939131647</v>
      </c>
      <c r="V459" s="252">
        <f t="shared" si="166"/>
        <v>-0.20992960462092547</v>
      </c>
      <c r="W459" s="34">
        <f t="shared" si="166"/>
        <v>5.3497024496359282</v>
      </c>
      <c r="X459" s="34">
        <f t="shared" si="166"/>
        <v>7.8446622843366951</v>
      </c>
      <c r="Y459" s="252">
        <f t="shared" si="166"/>
        <v>10.0108081487612</v>
      </c>
      <c r="Z459" s="34">
        <f t="shared" si="166"/>
        <v>12.51742074770978</v>
      </c>
      <c r="AA459" s="34">
        <f t="shared" si="166"/>
        <v>15.030299878155731</v>
      </c>
      <c r="AB459" s="252">
        <f t="shared" si="166"/>
        <v>17.231034836564785</v>
      </c>
      <c r="AC459" s="34">
        <f t="shared" si="166"/>
        <v>19.755698002232872</v>
      </c>
      <c r="AD459" s="34">
        <f t="shared" si="166"/>
        <v>23.265288122618781</v>
      </c>
      <c r="AE459" s="37"/>
      <c r="AI459" s="27"/>
    </row>
    <row r="460" spans="2:35" ht="15" customHeight="1" outlineLevel="1">
      <c r="B460" s="381" t="s">
        <v>98</v>
      </c>
      <c r="G460" s="246">
        <f>G456+G459</f>
        <v>343.90112021857914</v>
      </c>
      <c r="H460" s="247">
        <f t="shared" ref="H460:AD460" si="167">H456+H459</f>
        <v>322.78810348360651</v>
      </c>
      <c r="I460" s="247">
        <f t="shared" si="167"/>
        <v>341.43699560023896</v>
      </c>
      <c r="J460" s="246">
        <f t="shared" si="167"/>
        <v>840.46553121310114</v>
      </c>
      <c r="K460" s="247">
        <f t="shared" si="167"/>
        <v>914.39738411424219</v>
      </c>
      <c r="L460" s="247">
        <f t="shared" si="167"/>
        <v>979.95130049636919</v>
      </c>
      <c r="M460" s="246">
        <f t="shared" si="167"/>
        <v>967.1890723661727</v>
      </c>
      <c r="N460" s="247">
        <f t="shared" si="167"/>
        <v>870.14712780499519</v>
      </c>
      <c r="O460" s="247">
        <f t="shared" si="167"/>
        <v>899.53717537695002</v>
      </c>
      <c r="P460" s="246">
        <f t="shared" si="167"/>
        <v>734.02378898313532</v>
      </c>
      <c r="Q460" s="247">
        <f t="shared" si="167"/>
        <v>687.49228599492096</v>
      </c>
      <c r="R460" s="247">
        <f t="shared" si="167"/>
        <v>735.93103737765114</v>
      </c>
      <c r="S460" s="246">
        <f t="shared" si="167"/>
        <v>484.10478556407691</v>
      </c>
      <c r="T460" s="247">
        <f t="shared" si="167"/>
        <v>839.46917729492054</v>
      </c>
      <c r="U460" s="247">
        <f t="shared" si="167"/>
        <v>931.48667775602473</v>
      </c>
      <c r="V460" s="246">
        <f t="shared" si="167"/>
        <v>1133.5398420848767</v>
      </c>
      <c r="W460" s="247">
        <f t="shared" si="167"/>
        <v>978.1300220843392</v>
      </c>
      <c r="X460" s="247">
        <f t="shared" si="167"/>
        <v>1141.5944339738344</v>
      </c>
      <c r="Y460" s="246">
        <f t="shared" si="167"/>
        <v>1129.0911277834646</v>
      </c>
      <c r="Z460" s="247">
        <f t="shared" si="167"/>
        <v>991.94774038241303</v>
      </c>
      <c r="AA460" s="247">
        <f t="shared" si="167"/>
        <v>1148.7800715676535</v>
      </c>
      <c r="AB460" s="246">
        <f t="shared" si="167"/>
        <v>1515.4780211379345</v>
      </c>
      <c r="AC460" s="247">
        <f t="shared" si="167"/>
        <v>1399.6721363583972</v>
      </c>
      <c r="AD460" s="247">
        <f t="shared" si="167"/>
        <v>1521.5122744239886</v>
      </c>
      <c r="AE460" s="37"/>
      <c r="AI460" s="27"/>
    </row>
    <row r="461" spans="2:35" ht="15" customHeight="1" outlineLevel="1">
      <c r="B461" s="382"/>
      <c r="G461" s="37"/>
      <c r="J461" s="37"/>
      <c r="M461" s="37"/>
      <c r="P461" s="37"/>
      <c r="S461" s="37"/>
      <c r="V461" s="37"/>
      <c r="Y461" s="37"/>
      <c r="AB461" s="37"/>
      <c r="AE461" s="37"/>
      <c r="AI461" s="27"/>
    </row>
    <row r="462" spans="2:35" ht="15" customHeight="1" outlineLevel="1">
      <c r="B462" s="382"/>
      <c r="G462" s="37"/>
      <c r="J462" s="37"/>
      <c r="M462" s="37"/>
      <c r="P462" s="37"/>
      <c r="S462" s="37"/>
      <c r="V462" s="37"/>
      <c r="Y462" s="37"/>
      <c r="AB462" s="37"/>
      <c r="AE462" s="37"/>
      <c r="AI462" s="27"/>
    </row>
    <row r="463" spans="2:35" ht="15" customHeight="1" outlineLevel="1">
      <c r="B463" s="59" t="s">
        <v>114</v>
      </c>
      <c r="G463" s="252">
        <f>-G431</f>
        <v>-148.30833333333334</v>
      </c>
      <c r="H463" s="34">
        <f t="shared" ref="H463:AD464" si="168">-H431</f>
        <v>-148.30833333333334</v>
      </c>
      <c r="I463" s="34">
        <f t="shared" si="168"/>
        <v>-148.30833333333334</v>
      </c>
      <c r="J463" s="252">
        <f t="shared" si="168"/>
        <v>-148.30833333333334</v>
      </c>
      <c r="K463" s="34">
        <f t="shared" si="168"/>
        <v>-148.30833333333334</v>
      </c>
      <c r="L463" s="34">
        <f t="shared" si="168"/>
        <v>-148.30833333333334</v>
      </c>
      <c r="M463" s="252">
        <f t="shared" si="168"/>
        <v>-148.30833333333334</v>
      </c>
      <c r="N463" s="34">
        <f t="shared" si="168"/>
        <v>-148.30833333333334</v>
      </c>
      <c r="O463" s="34">
        <f t="shared" si="168"/>
        <v>-148.30833333333334</v>
      </c>
      <c r="P463" s="252">
        <f t="shared" si="168"/>
        <v>-148.30833333333334</v>
      </c>
      <c r="Q463" s="34">
        <f t="shared" si="168"/>
        <v>-148.30833333333334</v>
      </c>
      <c r="R463" s="34">
        <f t="shared" si="168"/>
        <v>-148.30833333333334</v>
      </c>
      <c r="S463" s="252">
        <f t="shared" si="168"/>
        <v>-201.53608820403247</v>
      </c>
      <c r="T463" s="34">
        <f t="shared" si="168"/>
        <v>-201.53608820403247</v>
      </c>
      <c r="U463" s="34">
        <f t="shared" si="168"/>
        <v>-201.53608820403247</v>
      </c>
      <c r="V463" s="252">
        <f t="shared" si="168"/>
        <v>-201.53608820403247</v>
      </c>
      <c r="W463" s="34">
        <f t="shared" si="168"/>
        <v>-201.53608820403247</v>
      </c>
      <c r="X463" s="34">
        <f t="shared" si="168"/>
        <v>-201.53608820403247</v>
      </c>
      <c r="Y463" s="252">
        <f t="shared" si="168"/>
        <v>-201.53608820403247</v>
      </c>
      <c r="Z463" s="34">
        <f t="shared" si="168"/>
        <v>-201.53608820403247</v>
      </c>
      <c r="AA463" s="34">
        <f t="shared" si="168"/>
        <v>-201.53608820403247</v>
      </c>
      <c r="AB463" s="252">
        <f t="shared" si="168"/>
        <v>-201.53608820403247</v>
      </c>
      <c r="AC463" s="34">
        <f t="shared" si="168"/>
        <v>-201.53608820403247</v>
      </c>
      <c r="AD463" s="34">
        <f t="shared" si="168"/>
        <v>-201.53608820403247</v>
      </c>
      <c r="AE463" s="37"/>
      <c r="AI463" s="27"/>
    </row>
    <row r="464" spans="2:35" ht="15" customHeight="1" outlineLevel="1">
      <c r="B464" s="59" t="s">
        <v>115</v>
      </c>
      <c r="G464" s="252">
        <f>-G432</f>
        <v>52.016019672131165</v>
      </c>
      <c r="H464" s="34">
        <f t="shared" si="168"/>
        <v>57.927664357923504</v>
      </c>
      <c r="I464" s="34">
        <f t="shared" si="168"/>
        <v>52.705974565266416</v>
      </c>
      <c r="J464" s="252">
        <f t="shared" si="168"/>
        <v>-87.022015406335015</v>
      </c>
      <c r="K464" s="34">
        <f t="shared" si="168"/>
        <v>-107.72293421865447</v>
      </c>
      <c r="L464" s="34">
        <f t="shared" si="168"/>
        <v>-126.07803080565009</v>
      </c>
      <c r="M464" s="252">
        <f t="shared" si="168"/>
        <v>-122.50460692919506</v>
      </c>
      <c r="N464" s="34">
        <f t="shared" si="168"/>
        <v>-95.332862452065342</v>
      </c>
      <c r="O464" s="34">
        <f t="shared" si="168"/>
        <v>-103.56207577221269</v>
      </c>
      <c r="P464" s="252">
        <f t="shared" si="168"/>
        <v>-57.218327581944578</v>
      </c>
      <c r="Q464" s="34">
        <f t="shared" si="168"/>
        <v>-44.189506745244557</v>
      </c>
      <c r="R464" s="34">
        <f t="shared" si="168"/>
        <v>-57.752357132409003</v>
      </c>
      <c r="S464" s="252">
        <f t="shared" si="168"/>
        <v>61.145700390450173</v>
      </c>
      <c r="T464" s="34">
        <f t="shared" si="168"/>
        <v>-41.909973211494474</v>
      </c>
      <c r="U464" s="34">
        <f t="shared" si="168"/>
        <v>-68.595048345214707</v>
      </c>
      <c r="V464" s="252">
        <f t="shared" si="168"/>
        <v>-127.19046600058175</v>
      </c>
      <c r="W464" s="34">
        <f t="shared" si="168"/>
        <v>-82.121618200425871</v>
      </c>
      <c r="X464" s="34">
        <f t="shared" si="168"/>
        <v>-129.52629764837945</v>
      </c>
      <c r="Y464" s="252">
        <f t="shared" si="168"/>
        <v>-125.90033885317223</v>
      </c>
      <c r="Z464" s="34">
        <f t="shared" si="168"/>
        <v>-86.128756506867319</v>
      </c>
      <c r="AA464" s="34">
        <f t="shared" si="168"/>
        <v>-131.61013255058702</v>
      </c>
      <c r="AB464" s="252">
        <f t="shared" si="168"/>
        <v>-237.9525379259685</v>
      </c>
      <c r="AC464" s="34">
        <f t="shared" si="168"/>
        <v>-204.36883133990267</v>
      </c>
      <c r="AD464" s="34">
        <f t="shared" si="168"/>
        <v>-239.7024713789242</v>
      </c>
      <c r="AE464" s="37"/>
      <c r="AI464" s="27"/>
    </row>
    <row r="465" spans="1:58" ht="15" customHeight="1" outlineLevel="1">
      <c r="B465" s="59" t="s">
        <v>116</v>
      </c>
      <c r="G465" s="246">
        <f>SUM(G463:G464)</f>
        <v>-96.292313661202172</v>
      </c>
      <c r="H465" s="247">
        <f t="shared" ref="H465:AD465" si="169">SUM(H463:H464)</f>
        <v>-90.380668975409833</v>
      </c>
      <c r="I465" s="247">
        <f t="shared" si="169"/>
        <v>-95.602358768066921</v>
      </c>
      <c r="J465" s="246">
        <f t="shared" si="169"/>
        <v>-235.33034873966835</v>
      </c>
      <c r="K465" s="247">
        <f t="shared" si="169"/>
        <v>-256.03126755198781</v>
      </c>
      <c r="L465" s="247">
        <f t="shared" si="169"/>
        <v>-274.38636413898342</v>
      </c>
      <c r="M465" s="246">
        <f t="shared" si="169"/>
        <v>-270.8129402625284</v>
      </c>
      <c r="N465" s="247">
        <f t="shared" si="169"/>
        <v>-243.64119578539868</v>
      </c>
      <c r="O465" s="247">
        <f t="shared" si="169"/>
        <v>-251.87040910554603</v>
      </c>
      <c r="P465" s="246">
        <f t="shared" si="169"/>
        <v>-205.52666091527792</v>
      </c>
      <c r="Q465" s="247">
        <f t="shared" si="169"/>
        <v>-192.49784007857789</v>
      </c>
      <c r="R465" s="247">
        <f t="shared" si="169"/>
        <v>-206.06069046574234</v>
      </c>
      <c r="S465" s="246">
        <f t="shared" si="169"/>
        <v>-140.39038781358229</v>
      </c>
      <c r="T465" s="247">
        <f t="shared" si="169"/>
        <v>-243.44606141552694</v>
      </c>
      <c r="U465" s="247">
        <f t="shared" si="169"/>
        <v>-270.13113654924717</v>
      </c>
      <c r="V465" s="246">
        <f t="shared" si="169"/>
        <v>-328.72655420461422</v>
      </c>
      <c r="W465" s="247">
        <f t="shared" si="169"/>
        <v>-283.65770640445834</v>
      </c>
      <c r="X465" s="247">
        <f t="shared" si="169"/>
        <v>-331.06238585241192</v>
      </c>
      <c r="Y465" s="246">
        <f t="shared" si="169"/>
        <v>-327.4364270572047</v>
      </c>
      <c r="Z465" s="247">
        <f t="shared" si="169"/>
        <v>-287.66484471089979</v>
      </c>
      <c r="AA465" s="247">
        <f t="shared" si="169"/>
        <v>-333.14622075461949</v>
      </c>
      <c r="AB465" s="246">
        <f t="shared" si="169"/>
        <v>-439.48862613000097</v>
      </c>
      <c r="AC465" s="247">
        <f t="shared" si="169"/>
        <v>-405.90491954393514</v>
      </c>
      <c r="AD465" s="247">
        <f t="shared" si="169"/>
        <v>-441.23855958295667</v>
      </c>
      <c r="AE465" s="37"/>
      <c r="AI465" s="27"/>
    </row>
    <row r="466" spans="1:58" ht="15" customHeight="1" outlineLevel="1">
      <c r="B466" s="382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I466" s="27"/>
    </row>
    <row r="467" spans="1:58" ht="15" customHeight="1" outlineLevel="1">
      <c r="B467" s="382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I467" s="27"/>
    </row>
    <row r="468" spans="1:58" ht="15" customHeight="1" outlineLevel="1" thickBot="1">
      <c r="B468" s="381" t="s">
        <v>117</v>
      </c>
      <c r="G468" s="325">
        <f>G460+G465</f>
        <v>247.60880655737697</v>
      </c>
      <c r="H468" s="326">
        <f t="shared" ref="H468:AD468" si="170">H460+H465</f>
        <v>232.40743450819667</v>
      </c>
      <c r="I468" s="326">
        <f t="shared" si="170"/>
        <v>245.83463683217204</v>
      </c>
      <c r="J468" s="327">
        <f t="shared" si="170"/>
        <v>605.13518247343279</v>
      </c>
      <c r="K468" s="326">
        <f t="shared" si="170"/>
        <v>658.36611656225432</v>
      </c>
      <c r="L468" s="326">
        <f t="shared" si="170"/>
        <v>705.5649363573857</v>
      </c>
      <c r="M468" s="327">
        <f t="shared" si="170"/>
        <v>696.3761321036443</v>
      </c>
      <c r="N468" s="326">
        <f t="shared" si="170"/>
        <v>626.50593201959646</v>
      </c>
      <c r="O468" s="326">
        <f t="shared" si="170"/>
        <v>647.66676627140396</v>
      </c>
      <c r="P468" s="327">
        <f t="shared" si="170"/>
        <v>528.49712806785737</v>
      </c>
      <c r="Q468" s="326">
        <f t="shared" si="170"/>
        <v>494.99444591634307</v>
      </c>
      <c r="R468" s="326">
        <f t="shared" si="170"/>
        <v>529.87034691190877</v>
      </c>
      <c r="S468" s="327">
        <f t="shared" si="170"/>
        <v>343.71439775049464</v>
      </c>
      <c r="T468" s="326">
        <f t="shared" si="170"/>
        <v>596.02311587939357</v>
      </c>
      <c r="U468" s="326">
        <f t="shared" si="170"/>
        <v>661.35554120677762</v>
      </c>
      <c r="V468" s="327">
        <f t="shared" si="170"/>
        <v>804.81328788026246</v>
      </c>
      <c r="W468" s="326">
        <f t="shared" si="170"/>
        <v>694.47231567988092</v>
      </c>
      <c r="X468" s="326">
        <f t="shared" si="170"/>
        <v>810.53204812142246</v>
      </c>
      <c r="Y468" s="327">
        <f t="shared" si="170"/>
        <v>801.65470072625988</v>
      </c>
      <c r="Z468" s="326">
        <f t="shared" si="170"/>
        <v>704.28289567151319</v>
      </c>
      <c r="AA468" s="326">
        <f t="shared" si="170"/>
        <v>815.63385081303409</v>
      </c>
      <c r="AB468" s="327">
        <f t="shared" si="170"/>
        <v>1075.9893950079336</v>
      </c>
      <c r="AC468" s="326">
        <f t="shared" si="170"/>
        <v>993.76721681446202</v>
      </c>
      <c r="AD468" s="326">
        <f t="shared" si="170"/>
        <v>1080.273714841032</v>
      </c>
      <c r="AE468" s="328"/>
      <c r="AI468" s="27"/>
    </row>
    <row r="469" spans="1:58" ht="15" customHeight="1" outlineLevel="1">
      <c r="B469" s="35"/>
      <c r="G469" s="329"/>
      <c r="H469" s="329"/>
      <c r="I469" s="329"/>
      <c r="J469" s="329"/>
      <c r="K469" s="329"/>
      <c r="L469" s="329"/>
      <c r="M469" s="329"/>
      <c r="N469" s="329"/>
      <c r="O469" s="329"/>
      <c r="P469" s="329"/>
      <c r="Q469" s="329"/>
      <c r="R469" s="329"/>
      <c r="S469" s="329"/>
      <c r="T469" s="329"/>
      <c r="U469" s="329"/>
      <c r="V469" s="329"/>
      <c r="W469" s="329"/>
      <c r="X469" s="329"/>
      <c r="Y469" s="329"/>
      <c r="Z469" s="329"/>
      <c r="AA469" s="329"/>
      <c r="AB469" s="329"/>
      <c r="AC469" s="329"/>
      <c r="AD469" s="329"/>
      <c r="AI469" s="27"/>
    </row>
    <row r="470" spans="1:58" ht="15" customHeight="1" outlineLevel="1">
      <c r="B470" s="35"/>
      <c r="AI470" s="27"/>
    </row>
    <row r="471" spans="1:58" ht="15" customHeight="1" outlineLevel="1">
      <c r="B471" s="383"/>
      <c r="C471" s="270"/>
      <c r="D471" s="270"/>
      <c r="E471" s="270"/>
      <c r="F471" s="270"/>
      <c r="G471" s="270"/>
      <c r="H471" s="270"/>
      <c r="I471" s="270"/>
      <c r="J471" s="270"/>
      <c r="K471" s="270"/>
      <c r="L471" s="270"/>
      <c r="M471" s="270"/>
      <c r="N471" s="270"/>
      <c r="O471" s="270"/>
      <c r="P471" s="270"/>
      <c r="Q471" s="270"/>
      <c r="R471" s="270"/>
      <c r="S471" s="270"/>
      <c r="T471" s="270"/>
      <c r="U471" s="270"/>
      <c r="V471" s="270"/>
      <c r="W471" s="270"/>
      <c r="X471" s="270"/>
      <c r="Y471" s="270"/>
      <c r="Z471" s="270"/>
      <c r="AA471" s="270"/>
      <c r="AB471" s="270"/>
      <c r="AC471" s="270"/>
      <c r="AD471" s="270"/>
      <c r="AI471" s="27"/>
    </row>
    <row r="472" spans="1:58" ht="15" customHeight="1" outlineLevel="1">
      <c r="B472" s="384" t="s">
        <v>118</v>
      </c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I472" s="27"/>
    </row>
    <row r="473" spans="1:58" ht="15" customHeight="1" outlineLevel="1">
      <c r="B473" s="385" t="s">
        <v>108</v>
      </c>
      <c r="C473" s="62"/>
      <c r="D473" s="62"/>
      <c r="E473" s="62"/>
      <c r="F473" s="62"/>
      <c r="G473" s="386">
        <f>G448/G$446</f>
        <v>0.51600152757078976</v>
      </c>
      <c r="H473" s="378">
        <f t="shared" ref="H473:AD473" si="171">H448/H$446</f>
        <v>0.48899996274217583</v>
      </c>
      <c r="I473" s="378">
        <f t="shared" si="171"/>
        <v>0.51600152757078976</v>
      </c>
      <c r="J473" s="386">
        <f t="shared" si="171"/>
        <v>0.71896862891207147</v>
      </c>
      <c r="K473" s="378">
        <f t="shared" si="171"/>
        <v>0.69804469071850817</v>
      </c>
      <c r="L473" s="378">
        <f t="shared" si="171"/>
        <v>0.74717623864952165</v>
      </c>
      <c r="M473" s="386">
        <f t="shared" si="171"/>
        <v>0.73874877993783894</v>
      </c>
      <c r="N473" s="378">
        <f t="shared" si="171"/>
        <v>0.66820471875190457</v>
      </c>
      <c r="O473" s="378">
        <f t="shared" si="171"/>
        <v>0.69082605887013226</v>
      </c>
      <c r="P473" s="386">
        <f t="shared" si="171"/>
        <v>0.64086899358100458</v>
      </c>
      <c r="Q473" s="378">
        <f t="shared" si="171"/>
        <v>0.59627250244908303</v>
      </c>
      <c r="R473" s="378">
        <f t="shared" si="171"/>
        <v>0.64086899358100458</v>
      </c>
      <c r="S473" s="386">
        <f t="shared" si="171"/>
        <v>0.55228493150684932</v>
      </c>
      <c r="T473" s="378">
        <f t="shared" si="171"/>
        <v>0.62645761077523532</v>
      </c>
      <c r="U473" s="378">
        <f t="shared" si="171"/>
        <v>0.6898510140047448</v>
      </c>
      <c r="V473" s="386">
        <f t="shared" si="171"/>
        <v>0.72848314962848193</v>
      </c>
      <c r="W473" s="378">
        <f t="shared" si="171"/>
        <v>0.62917037715251611</v>
      </c>
      <c r="X473" s="378">
        <f t="shared" si="171"/>
        <v>0.72848314962848193</v>
      </c>
      <c r="Y473" s="386">
        <f t="shared" si="171"/>
        <v>0.71943258794943132</v>
      </c>
      <c r="Z473" s="378">
        <f t="shared" si="171"/>
        <v>0.63327320491601224</v>
      </c>
      <c r="AA473" s="378">
        <f t="shared" si="171"/>
        <v>0.72848314962848193</v>
      </c>
      <c r="AB473" s="386">
        <f t="shared" si="171"/>
        <v>0.77262349315068501</v>
      </c>
      <c r="AC473" s="378">
        <f t="shared" si="171"/>
        <v>0.71345821917808216</v>
      </c>
      <c r="AD473" s="378">
        <f t="shared" si="171"/>
        <v>0.77262349315068501</v>
      </c>
      <c r="AE473" s="37"/>
      <c r="AI473" s="27"/>
    </row>
    <row r="474" spans="1:58" ht="15" customHeight="1" outlineLevel="1">
      <c r="B474" s="385" t="s">
        <v>110</v>
      </c>
      <c r="C474" s="62"/>
      <c r="D474" s="62"/>
      <c r="E474" s="62"/>
      <c r="F474" s="62"/>
      <c r="G474" s="387">
        <f>G452/G$446</f>
        <v>0.46145607302533526</v>
      </c>
      <c r="H474" s="63">
        <f t="shared" ref="H474:AD474" si="172">H452/H$446</f>
        <v>0.43445450819672132</v>
      </c>
      <c r="I474" s="63">
        <f t="shared" si="172"/>
        <v>0.46145607302533526</v>
      </c>
      <c r="J474" s="387">
        <f t="shared" si="172"/>
        <v>0.68624135618479876</v>
      </c>
      <c r="K474" s="63">
        <f t="shared" si="172"/>
        <v>0.66860231153635197</v>
      </c>
      <c r="L474" s="63">
        <f t="shared" si="172"/>
        <v>0.71773385946736545</v>
      </c>
      <c r="M474" s="387">
        <f t="shared" si="172"/>
        <v>0.70930640075568285</v>
      </c>
      <c r="N474" s="63">
        <f t="shared" si="172"/>
        <v>0.63876233956974837</v>
      </c>
      <c r="O474" s="63">
        <f t="shared" si="172"/>
        <v>0.66138367968797607</v>
      </c>
      <c r="P474" s="387">
        <f t="shared" si="172"/>
        <v>0.60777246203064939</v>
      </c>
      <c r="Q474" s="63">
        <f t="shared" si="172"/>
        <v>0.56317597089872784</v>
      </c>
      <c r="R474" s="63">
        <f t="shared" si="172"/>
        <v>0.60777246203064939</v>
      </c>
      <c r="S474" s="387">
        <f t="shared" si="172"/>
        <v>0.50564898680638848</v>
      </c>
      <c r="T474" s="63">
        <f t="shared" si="172"/>
        <v>0.59415114628999988</v>
      </c>
      <c r="U474" s="63">
        <f t="shared" si="172"/>
        <v>0.65754454951950936</v>
      </c>
      <c r="V474" s="387">
        <f t="shared" si="172"/>
        <v>0.70010268690354616</v>
      </c>
      <c r="W474" s="63">
        <f t="shared" si="172"/>
        <v>0.60078991442758045</v>
      </c>
      <c r="X474" s="63">
        <f t="shared" si="172"/>
        <v>0.70010268690354616</v>
      </c>
      <c r="Y474" s="387">
        <f t="shared" si="172"/>
        <v>0.69105212522449566</v>
      </c>
      <c r="Z474" s="63">
        <f t="shared" si="172"/>
        <v>0.60489274219107658</v>
      </c>
      <c r="AA474" s="63">
        <f t="shared" si="172"/>
        <v>0.70010268690354616</v>
      </c>
      <c r="AB474" s="387">
        <f t="shared" si="172"/>
        <v>0.74962349315068499</v>
      </c>
      <c r="AC474" s="63">
        <f t="shared" si="172"/>
        <v>0.69045821917808214</v>
      </c>
      <c r="AD474" s="63">
        <f t="shared" si="172"/>
        <v>0.74962349315068499</v>
      </c>
      <c r="AE474" s="37"/>
      <c r="AI474" s="27"/>
    </row>
    <row r="475" spans="1:58" ht="15" customHeight="1" outlineLevel="1">
      <c r="B475" s="385" t="s">
        <v>117</v>
      </c>
      <c r="C475" s="62"/>
      <c r="D475" s="62"/>
      <c r="E475" s="62"/>
      <c r="F475" s="62"/>
      <c r="G475" s="387">
        <f>G468/G$446</f>
        <v>0.33764837257824137</v>
      </c>
      <c r="H475" s="63">
        <f t="shared" ref="H475:AD475" si="173">H468/H$446</f>
        <v>0.31691922887481366</v>
      </c>
      <c r="I475" s="63">
        <f t="shared" si="173"/>
        <v>0.33522905022568916</v>
      </c>
      <c r="J475" s="387">
        <f t="shared" si="173"/>
        <v>0.49511060384189959</v>
      </c>
      <c r="K475" s="63">
        <f t="shared" si="173"/>
        <v>0.48459662111273738</v>
      </c>
      <c r="L475" s="63">
        <f t="shared" si="173"/>
        <v>0.51933775984670028</v>
      </c>
      <c r="M475" s="387">
        <f t="shared" si="173"/>
        <v>0.51257425336996865</v>
      </c>
      <c r="N475" s="63">
        <f t="shared" si="173"/>
        <v>0.46114563025977728</v>
      </c>
      <c r="O475" s="63">
        <f t="shared" si="173"/>
        <v>0.47672126290608913</v>
      </c>
      <c r="P475" s="387">
        <f t="shared" si="173"/>
        <v>0.43728554683424886</v>
      </c>
      <c r="Q475" s="63">
        <f t="shared" si="173"/>
        <v>0.40956498241302097</v>
      </c>
      <c r="R475" s="63">
        <f t="shared" si="173"/>
        <v>0.43842176635419111</v>
      </c>
      <c r="S475" s="387">
        <f t="shared" si="173"/>
        <v>0.34846620970096231</v>
      </c>
      <c r="T475" s="63">
        <f t="shared" si="173"/>
        <v>0.41859564403341287</v>
      </c>
      <c r="U475" s="63">
        <f t="shared" si="173"/>
        <v>0.46447955008935693</v>
      </c>
      <c r="V475" s="387">
        <f t="shared" si="173"/>
        <v>0.49654290254823391</v>
      </c>
      <c r="W475" s="63">
        <f t="shared" si="173"/>
        <v>0.42846621018810138</v>
      </c>
      <c r="X475" s="63">
        <f t="shared" si="173"/>
        <v>0.50007118650164883</v>
      </c>
      <c r="Y475" s="387">
        <f t="shared" si="173"/>
        <v>0.49459415983111149</v>
      </c>
      <c r="Z475" s="63">
        <f t="shared" si="173"/>
        <v>0.43451901018293876</v>
      </c>
      <c r="AA475" s="63">
        <f t="shared" si="173"/>
        <v>0.503218828265111</v>
      </c>
      <c r="AB475" s="387">
        <f t="shared" si="173"/>
        <v>0.53799469750396689</v>
      </c>
      <c r="AC475" s="63">
        <f t="shared" si="173"/>
        <v>0.49688360840723106</v>
      </c>
      <c r="AD475" s="63">
        <f t="shared" si="173"/>
        <v>0.54013685742051609</v>
      </c>
      <c r="AE475" s="37"/>
      <c r="AI475" s="27"/>
    </row>
    <row r="476" spans="1:58" ht="15" customHeight="1" outlineLevel="1">
      <c r="B476" s="35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I476" s="27"/>
    </row>
    <row r="477" spans="1:58" ht="15" customHeight="1" outlineLevel="1">
      <c r="B477" s="35"/>
      <c r="AI477" s="27"/>
    </row>
    <row r="478" spans="1:58" s="44" customFormat="1" ht="15" customHeight="1" outlineLevel="1">
      <c r="A478" s="23"/>
      <c r="F478" s="23"/>
      <c r="G478" s="23"/>
      <c r="H478" s="23"/>
      <c r="AD478" s="45" t="s">
        <v>214</v>
      </c>
      <c r="AG478" s="23"/>
      <c r="AH478" s="23"/>
      <c r="AI478" s="27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</row>
    <row r="479" spans="1:58" ht="15" customHeight="1" outlineLevel="1">
      <c r="B479" s="35"/>
      <c r="AI479" s="27"/>
    </row>
    <row r="480" spans="1:58" ht="15" customHeight="1" outlineLevel="1">
      <c r="AI480" s="27"/>
    </row>
    <row r="481" spans="1:57" ht="15" customHeight="1" outlineLevel="1"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</row>
    <row r="483" spans="1:57" s="27" customFormat="1" ht="15" customHeight="1">
      <c r="A483" s="23" t="s">
        <v>10</v>
      </c>
      <c r="B483" s="24" t="s">
        <v>119</v>
      </c>
      <c r="C483" s="24"/>
      <c r="D483" s="24"/>
      <c r="E483" s="25"/>
      <c r="F483" s="25"/>
      <c r="G483" s="25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24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24"/>
      <c r="AE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</row>
    <row r="484" spans="1:57" s="27" customFormat="1" ht="15" customHeight="1" outlineLevel="1">
      <c r="A484" s="23"/>
      <c r="B484" s="28"/>
      <c r="C484" s="28"/>
      <c r="D484" s="28"/>
      <c r="E484" s="29"/>
      <c r="F484" s="29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</row>
    <row r="485" spans="1:57" s="27" customFormat="1" ht="15" customHeight="1" outlineLevel="1">
      <c r="A485" s="23"/>
      <c r="B485" s="31" t="s">
        <v>13</v>
      </c>
      <c r="C485" s="28"/>
      <c r="D485" s="28"/>
      <c r="E485" s="29"/>
      <c r="F485" s="29"/>
      <c r="G485" s="48">
        <f t="shared" ref="G485:AD485" si="174">G$5</f>
        <v>2024</v>
      </c>
      <c r="H485" s="49">
        <f t="shared" si="174"/>
        <v>2024</v>
      </c>
      <c r="I485" s="49">
        <f t="shared" si="174"/>
        <v>2024</v>
      </c>
      <c r="J485" s="50">
        <f t="shared" si="174"/>
        <v>2024</v>
      </c>
      <c r="K485" s="49">
        <f t="shared" si="174"/>
        <v>2024</v>
      </c>
      <c r="L485" s="49">
        <f t="shared" si="174"/>
        <v>2024</v>
      </c>
      <c r="M485" s="50">
        <f t="shared" si="174"/>
        <v>2024</v>
      </c>
      <c r="N485" s="49">
        <f t="shared" si="174"/>
        <v>2024</v>
      </c>
      <c r="O485" s="49">
        <f t="shared" si="174"/>
        <v>2024</v>
      </c>
      <c r="P485" s="50">
        <f t="shared" si="174"/>
        <v>2024</v>
      </c>
      <c r="Q485" s="51">
        <f t="shared" si="174"/>
        <v>2024</v>
      </c>
      <c r="R485" s="255">
        <f t="shared" si="174"/>
        <v>2024</v>
      </c>
      <c r="S485" s="52">
        <f t="shared" si="174"/>
        <v>2025</v>
      </c>
      <c r="T485" s="51">
        <f t="shared" si="174"/>
        <v>2025</v>
      </c>
      <c r="U485" s="51">
        <f t="shared" si="174"/>
        <v>2025</v>
      </c>
      <c r="V485" s="53">
        <f t="shared" si="174"/>
        <v>2025</v>
      </c>
      <c r="W485" s="51">
        <f t="shared" si="174"/>
        <v>2025</v>
      </c>
      <c r="X485" s="51">
        <f t="shared" si="174"/>
        <v>2025</v>
      </c>
      <c r="Y485" s="53">
        <f t="shared" si="174"/>
        <v>2025</v>
      </c>
      <c r="Z485" s="51">
        <f t="shared" si="174"/>
        <v>2025</v>
      </c>
      <c r="AA485" s="51">
        <f t="shared" si="174"/>
        <v>2025</v>
      </c>
      <c r="AB485" s="53">
        <f t="shared" si="174"/>
        <v>2025</v>
      </c>
      <c r="AC485" s="51">
        <f t="shared" si="174"/>
        <v>2025</v>
      </c>
      <c r="AD485" s="255">
        <f t="shared" si="174"/>
        <v>2025</v>
      </c>
      <c r="AE485" s="40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</row>
    <row r="486" spans="1:57" ht="15" customHeight="1" outlineLevel="1">
      <c r="F486" s="32"/>
      <c r="G486" s="256">
        <f t="shared" ref="G486:AD486" si="175">G$6</f>
        <v>1</v>
      </c>
      <c r="H486" s="257">
        <f t="shared" si="175"/>
        <v>1</v>
      </c>
      <c r="I486" s="54">
        <f t="shared" si="175"/>
        <v>1</v>
      </c>
      <c r="J486" s="258">
        <f t="shared" si="175"/>
        <v>2</v>
      </c>
      <c r="K486" s="257">
        <f t="shared" si="175"/>
        <v>2</v>
      </c>
      <c r="L486" s="215">
        <f t="shared" si="175"/>
        <v>2</v>
      </c>
      <c r="M486" s="258">
        <f t="shared" si="175"/>
        <v>3</v>
      </c>
      <c r="N486" s="257">
        <f t="shared" si="175"/>
        <v>3</v>
      </c>
      <c r="O486" s="215">
        <f t="shared" si="175"/>
        <v>3</v>
      </c>
      <c r="P486" s="216">
        <f t="shared" si="175"/>
        <v>4</v>
      </c>
      <c r="Q486" s="214">
        <f t="shared" si="175"/>
        <v>4</v>
      </c>
      <c r="R486" s="215">
        <f t="shared" si="175"/>
        <v>4</v>
      </c>
      <c r="S486" s="213">
        <f t="shared" si="175"/>
        <v>1</v>
      </c>
      <c r="T486" s="214">
        <f t="shared" si="175"/>
        <v>1</v>
      </c>
      <c r="U486" s="215">
        <f t="shared" si="175"/>
        <v>1</v>
      </c>
      <c r="V486" s="216">
        <f t="shared" si="175"/>
        <v>2</v>
      </c>
      <c r="W486" s="214">
        <f t="shared" si="175"/>
        <v>2</v>
      </c>
      <c r="X486" s="215">
        <f t="shared" si="175"/>
        <v>2</v>
      </c>
      <c r="Y486" s="216">
        <f t="shared" si="175"/>
        <v>3</v>
      </c>
      <c r="Z486" s="214">
        <f t="shared" si="175"/>
        <v>3</v>
      </c>
      <c r="AA486" s="215">
        <f t="shared" si="175"/>
        <v>3</v>
      </c>
      <c r="AB486" s="216">
        <f t="shared" si="175"/>
        <v>4</v>
      </c>
      <c r="AC486" s="214">
        <f t="shared" si="175"/>
        <v>4</v>
      </c>
      <c r="AD486" s="215">
        <f t="shared" si="175"/>
        <v>4</v>
      </c>
      <c r="AE486" s="40"/>
    </row>
    <row r="487" spans="1:57" ht="15" customHeight="1" outlineLevel="1" thickBot="1">
      <c r="G487" s="218">
        <f t="shared" ref="G487:AD487" si="176">G$7</f>
        <v>45322</v>
      </c>
      <c r="H487" s="219">
        <f t="shared" si="176"/>
        <v>45351</v>
      </c>
      <c r="I487" s="219">
        <f t="shared" si="176"/>
        <v>45382</v>
      </c>
      <c r="J487" s="220">
        <f t="shared" si="176"/>
        <v>45412</v>
      </c>
      <c r="K487" s="219">
        <f t="shared" si="176"/>
        <v>45443</v>
      </c>
      <c r="L487" s="219">
        <f t="shared" si="176"/>
        <v>45473</v>
      </c>
      <c r="M487" s="220">
        <f t="shared" si="176"/>
        <v>45504</v>
      </c>
      <c r="N487" s="219">
        <f t="shared" si="176"/>
        <v>45535</v>
      </c>
      <c r="O487" s="219">
        <f t="shared" si="176"/>
        <v>45565</v>
      </c>
      <c r="P487" s="220">
        <f t="shared" si="176"/>
        <v>45596</v>
      </c>
      <c r="Q487" s="219">
        <f t="shared" si="176"/>
        <v>45626</v>
      </c>
      <c r="R487" s="219">
        <f t="shared" si="176"/>
        <v>45657</v>
      </c>
      <c r="S487" s="218">
        <f t="shared" si="176"/>
        <v>45688</v>
      </c>
      <c r="T487" s="219">
        <f t="shared" si="176"/>
        <v>45716</v>
      </c>
      <c r="U487" s="219">
        <f t="shared" si="176"/>
        <v>45747</v>
      </c>
      <c r="V487" s="220">
        <f t="shared" si="176"/>
        <v>45777</v>
      </c>
      <c r="W487" s="219">
        <f t="shared" si="176"/>
        <v>45808</v>
      </c>
      <c r="X487" s="219">
        <f t="shared" si="176"/>
        <v>45838</v>
      </c>
      <c r="Y487" s="220">
        <f t="shared" si="176"/>
        <v>45869</v>
      </c>
      <c r="Z487" s="219">
        <f t="shared" si="176"/>
        <v>45900</v>
      </c>
      <c r="AA487" s="219">
        <f t="shared" si="176"/>
        <v>45930</v>
      </c>
      <c r="AB487" s="220">
        <f t="shared" si="176"/>
        <v>45961</v>
      </c>
      <c r="AC487" s="219">
        <f t="shared" si="176"/>
        <v>45991</v>
      </c>
      <c r="AD487" s="219">
        <f t="shared" si="176"/>
        <v>46022</v>
      </c>
      <c r="AE487" s="40"/>
    </row>
    <row r="488" spans="1:57" ht="15" customHeight="1" outlineLevel="1">
      <c r="C488" s="190"/>
      <c r="D488" s="190"/>
      <c r="G488" s="278"/>
      <c r="H488" s="278"/>
      <c r="I488" s="278"/>
      <c r="J488" s="278"/>
      <c r="K488" s="278"/>
      <c r="L488" s="278"/>
      <c r="M488" s="278"/>
      <c r="N488" s="278"/>
      <c r="O488" s="278"/>
      <c r="P488" s="278"/>
      <c r="Q488" s="278"/>
      <c r="R488" s="278"/>
      <c r="S488" s="278"/>
      <c r="T488" s="278"/>
      <c r="U488" s="278"/>
      <c r="V488" s="278"/>
      <c r="W488" s="278"/>
      <c r="X488" s="278"/>
      <c r="Y488" s="278"/>
      <c r="Z488" s="278"/>
      <c r="AA488" s="278"/>
      <c r="AB488" s="278"/>
      <c r="AC488" s="278"/>
      <c r="AD488" s="278"/>
    </row>
    <row r="489" spans="1:57" ht="15" customHeight="1" outlineLevel="1">
      <c r="C489" s="190"/>
      <c r="D489" s="190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</row>
    <row r="490" spans="1:57" ht="15" customHeight="1" outlineLevel="1">
      <c r="B490" s="388" t="s">
        <v>120</v>
      </c>
      <c r="C490" s="389"/>
      <c r="G490" s="55">
        <f t="shared" ref="G490:AD490" si="177">G$8</f>
        <v>1</v>
      </c>
      <c r="H490" s="55">
        <f t="shared" si="177"/>
        <v>1</v>
      </c>
      <c r="I490" s="55">
        <f t="shared" si="177"/>
        <v>1</v>
      </c>
      <c r="J490" s="55">
        <f t="shared" si="177"/>
        <v>1</v>
      </c>
      <c r="K490" s="55">
        <f t="shared" si="177"/>
        <v>1</v>
      </c>
      <c r="L490" s="55">
        <f t="shared" si="177"/>
        <v>1</v>
      </c>
      <c r="M490" s="55">
        <f t="shared" si="177"/>
        <v>1</v>
      </c>
      <c r="N490" s="55">
        <f t="shared" si="177"/>
        <v>1</v>
      </c>
      <c r="O490" s="55">
        <f t="shared" si="177"/>
        <v>1</v>
      </c>
      <c r="P490" s="55">
        <f t="shared" si="177"/>
        <v>1</v>
      </c>
      <c r="Q490" s="55">
        <f t="shared" si="177"/>
        <v>1</v>
      </c>
      <c r="R490" s="55">
        <f t="shared" si="177"/>
        <v>1</v>
      </c>
      <c r="S490" s="55">
        <f t="shared" si="177"/>
        <v>0</v>
      </c>
      <c r="T490" s="55">
        <f t="shared" si="177"/>
        <v>0</v>
      </c>
      <c r="U490" s="55">
        <f t="shared" si="177"/>
        <v>0</v>
      </c>
      <c r="V490" s="55">
        <f t="shared" si="177"/>
        <v>0</v>
      </c>
      <c r="W490" s="55">
        <f t="shared" si="177"/>
        <v>0</v>
      </c>
      <c r="X490" s="55">
        <f t="shared" si="177"/>
        <v>0</v>
      </c>
      <c r="Y490" s="55">
        <f t="shared" si="177"/>
        <v>0</v>
      </c>
      <c r="Z490" s="55">
        <f t="shared" si="177"/>
        <v>0</v>
      </c>
      <c r="AA490" s="55">
        <f t="shared" si="177"/>
        <v>0</v>
      </c>
      <c r="AB490" s="55">
        <f t="shared" si="177"/>
        <v>0</v>
      </c>
      <c r="AC490" s="55">
        <f t="shared" si="177"/>
        <v>0</v>
      </c>
      <c r="AD490" s="55">
        <f t="shared" si="177"/>
        <v>0</v>
      </c>
    </row>
    <row r="491" spans="1:57" ht="15" customHeight="1" outlineLevel="1">
      <c r="B491" s="59" t="s">
        <v>117</v>
      </c>
      <c r="C491" s="390"/>
      <c r="G491" s="68">
        <f>G468</f>
        <v>247.60880655737697</v>
      </c>
      <c r="H491" s="69">
        <f t="shared" ref="H491:AD491" si="178">H468</f>
        <v>232.40743450819667</v>
      </c>
      <c r="I491" s="69">
        <f t="shared" si="178"/>
        <v>245.83463683217204</v>
      </c>
      <c r="J491" s="68">
        <f t="shared" si="178"/>
        <v>605.13518247343279</v>
      </c>
      <c r="K491" s="69">
        <f t="shared" si="178"/>
        <v>658.36611656225432</v>
      </c>
      <c r="L491" s="69">
        <f t="shared" si="178"/>
        <v>705.5649363573857</v>
      </c>
      <c r="M491" s="68">
        <f t="shared" si="178"/>
        <v>696.3761321036443</v>
      </c>
      <c r="N491" s="69">
        <f t="shared" si="178"/>
        <v>626.50593201959646</v>
      </c>
      <c r="O491" s="69">
        <f t="shared" si="178"/>
        <v>647.66676627140396</v>
      </c>
      <c r="P491" s="68">
        <f t="shared" si="178"/>
        <v>528.49712806785737</v>
      </c>
      <c r="Q491" s="69">
        <f t="shared" si="178"/>
        <v>494.99444591634307</v>
      </c>
      <c r="R491" s="69">
        <f t="shared" si="178"/>
        <v>529.87034691190877</v>
      </c>
      <c r="S491" s="68">
        <f t="shared" si="178"/>
        <v>343.71439775049464</v>
      </c>
      <c r="T491" s="69">
        <f t="shared" si="178"/>
        <v>596.02311587939357</v>
      </c>
      <c r="U491" s="69">
        <f t="shared" si="178"/>
        <v>661.35554120677762</v>
      </c>
      <c r="V491" s="68">
        <f t="shared" si="178"/>
        <v>804.81328788026246</v>
      </c>
      <c r="W491" s="69">
        <f t="shared" si="178"/>
        <v>694.47231567988092</v>
      </c>
      <c r="X491" s="69">
        <f t="shared" si="178"/>
        <v>810.53204812142246</v>
      </c>
      <c r="Y491" s="68">
        <f t="shared" si="178"/>
        <v>801.65470072625988</v>
      </c>
      <c r="Z491" s="69">
        <f t="shared" si="178"/>
        <v>704.28289567151319</v>
      </c>
      <c r="AA491" s="69">
        <f t="shared" si="178"/>
        <v>815.63385081303409</v>
      </c>
      <c r="AB491" s="68">
        <f t="shared" si="178"/>
        <v>1075.9893950079336</v>
      </c>
      <c r="AC491" s="69">
        <f t="shared" si="178"/>
        <v>993.76721681446202</v>
      </c>
      <c r="AD491" s="69">
        <f t="shared" si="178"/>
        <v>1080.273714841032</v>
      </c>
      <c r="AE491" s="37"/>
    </row>
    <row r="492" spans="1:57" ht="15" customHeight="1" outlineLevel="1">
      <c r="B492" s="59" t="s">
        <v>111</v>
      </c>
      <c r="C492" s="390"/>
      <c r="G492" s="70">
        <f>-G455</f>
        <v>1</v>
      </c>
      <c r="H492" s="71">
        <f t="shared" ref="H492:AD492" si="179">-H455</f>
        <v>1</v>
      </c>
      <c r="I492" s="71">
        <f t="shared" si="179"/>
        <v>1</v>
      </c>
      <c r="J492" s="70">
        <f t="shared" si="179"/>
        <v>1</v>
      </c>
      <c r="K492" s="71">
        <f t="shared" si="179"/>
        <v>1</v>
      </c>
      <c r="L492" s="71">
        <f t="shared" si="179"/>
        <v>1</v>
      </c>
      <c r="M492" s="70">
        <f t="shared" si="179"/>
        <v>1</v>
      </c>
      <c r="N492" s="71">
        <f t="shared" si="179"/>
        <v>1</v>
      </c>
      <c r="O492" s="71">
        <f t="shared" si="179"/>
        <v>1</v>
      </c>
      <c r="P492" s="70">
        <f t="shared" si="179"/>
        <v>1</v>
      </c>
      <c r="Q492" s="71">
        <f t="shared" si="179"/>
        <v>1</v>
      </c>
      <c r="R492" s="71">
        <f t="shared" si="179"/>
        <v>1</v>
      </c>
      <c r="S492" s="70">
        <f t="shared" si="179"/>
        <v>1</v>
      </c>
      <c r="T492" s="71">
        <f t="shared" si="179"/>
        <v>1</v>
      </c>
      <c r="U492" s="71">
        <f t="shared" si="179"/>
        <v>1</v>
      </c>
      <c r="V492" s="70">
        <f t="shared" si="179"/>
        <v>1</v>
      </c>
      <c r="W492" s="71">
        <f t="shared" si="179"/>
        <v>1</v>
      </c>
      <c r="X492" s="71">
        <f t="shared" si="179"/>
        <v>1</v>
      </c>
      <c r="Y492" s="70">
        <f t="shared" si="179"/>
        <v>1</v>
      </c>
      <c r="Z492" s="71">
        <f t="shared" si="179"/>
        <v>1</v>
      </c>
      <c r="AA492" s="71">
        <f t="shared" si="179"/>
        <v>1</v>
      </c>
      <c r="AB492" s="70">
        <f t="shared" si="179"/>
        <v>1</v>
      </c>
      <c r="AC492" s="71">
        <f t="shared" si="179"/>
        <v>1</v>
      </c>
      <c r="AD492" s="71">
        <f t="shared" si="179"/>
        <v>1</v>
      </c>
      <c r="AE492" s="37"/>
    </row>
    <row r="493" spans="1:57" ht="15" customHeight="1" outlineLevel="1">
      <c r="B493" s="59" t="s">
        <v>115</v>
      </c>
      <c r="C493" s="390"/>
      <c r="G493" s="70">
        <f>-G464</f>
        <v>-52.016019672131165</v>
      </c>
      <c r="H493" s="71">
        <f t="shared" ref="H493:AD493" si="180">-H464</f>
        <v>-57.927664357923504</v>
      </c>
      <c r="I493" s="71">
        <f t="shared" si="180"/>
        <v>-52.705974565266416</v>
      </c>
      <c r="J493" s="70">
        <f t="shared" si="180"/>
        <v>87.022015406335015</v>
      </c>
      <c r="K493" s="71">
        <f t="shared" si="180"/>
        <v>107.72293421865447</v>
      </c>
      <c r="L493" s="71">
        <f t="shared" si="180"/>
        <v>126.07803080565009</v>
      </c>
      <c r="M493" s="70">
        <f t="shared" si="180"/>
        <v>122.50460692919506</v>
      </c>
      <c r="N493" s="71">
        <f t="shared" si="180"/>
        <v>95.332862452065342</v>
      </c>
      <c r="O493" s="71">
        <f t="shared" si="180"/>
        <v>103.56207577221269</v>
      </c>
      <c r="P493" s="70">
        <f t="shared" si="180"/>
        <v>57.218327581944578</v>
      </c>
      <c r="Q493" s="71">
        <f t="shared" si="180"/>
        <v>44.189506745244557</v>
      </c>
      <c r="R493" s="71">
        <f t="shared" si="180"/>
        <v>57.752357132409003</v>
      </c>
      <c r="S493" s="70">
        <f t="shared" si="180"/>
        <v>-61.145700390450173</v>
      </c>
      <c r="T493" s="71">
        <f t="shared" si="180"/>
        <v>41.909973211494474</v>
      </c>
      <c r="U493" s="71">
        <f t="shared" si="180"/>
        <v>68.595048345214707</v>
      </c>
      <c r="V493" s="70">
        <f t="shared" si="180"/>
        <v>127.19046600058175</v>
      </c>
      <c r="W493" s="71">
        <f t="shared" si="180"/>
        <v>82.121618200425871</v>
      </c>
      <c r="X493" s="71">
        <f t="shared" si="180"/>
        <v>129.52629764837945</v>
      </c>
      <c r="Y493" s="70">
        <f t="shared" si="180"/>
        <v>125.90033885317223</v>
      </c>
      <c r="Z493" s="71">
        <f t="shared" si="180"/>
        <v>86.128756506867319</v>
      </c>
      <c r="AA493" s="71">
        <f t="shared" si="180"/>
        <v>131.61013255058702</v>
      </c>
      <c r="AB493" s="70">
        <f t="shared" si="180"/>
        <v>237.9525379259685</v>
      </c>
      <c r="AC493" s="71">
        <f t="shared" si="180"/>
        <v>204.36883133990267</v>
      </c>
      <c r="AD493" s="71">
        <f t="shared" si="180"/>
        <v>239.7024713789242</v>
      </c>
      <c r="AE493" s="37"/>
    </row>
    <row r="494" spans="1:57" ht="15" customHeight="1" outlineLevel="1">
      <c r="B494" s="391" t="s">
        <v>41</v>
      </c>
      <c r="C494" s="390"/>
      <c r="G494" s="70">
        <f>G67</f>
        <v>-733.33333333333303</v>
      </c>
      <c r="H494" s="71">
        <f t="shared" ref="H494:AD494" si="181">H67</f>
        <v>-733.33333333333303</v>
      </c>
      <c r="I494" s="71">
        <f t="shared" si="181"/>
        <v>-733.33333333333303</v>
      </c>
      <c r="J494" s="70">
        <f t="shared" si="181"/>
        <v>977.77777777777828</v>
      </c>
      <c r="K494" s="71">
        <f t="shared" si="181"/>
        <v>-1358.5858585858587</v>
      </c>
      <c r="L494" s="71">
        <f t="shared" si="181"/>
        <v>-1358.5858585858587</v>
      </c>
      <c r="M494" s="70">
        <f t="shared" si="181"/>
        <v>-1358.5858585858587</v>
      </c>
      <c r="N494" s="71">
        <f t="shared" si="181"/>
        <v>-1358.5858585858587</v>
      </c>
      <c r="O494" s="71">
        <f t="shared" si="181"/>
        <v>-1358.5858585858587</v>
      </c>
      <c r="P494" s="70">
        <f t="shared" si="181"/>
        <v>4791.4141414141413</v>
      </c>
      <c r="Q494" s="71">
        <f t="shared" si="181"/>
        <v>-358.58585858585866</v>
      </c>
      <c r="R494" s="71">
        <f t="shared" si="181"/>
        <v>-358.58585858585866</v>
      </c>
      <c r="S494" s="70">
        <f t="shared" si="181"/>
        <v>1863.636363636364</v>
      </c>
      <c r="T494" s="71">
        <f t="shared" si="181"/>
        <v>-573.86363636363603</v>
      </c>
      <c r="U494" s="71">
        <f t="shared" si="181"/>
        <v>-136.36363636363603</v>
      </c>
      <c r="V494" s="70">
        <f t="shared" si="181"/>
        <v>1166.6666666666661</v>
      </c>
      <c r="W494" s="71">
        <f t="shared" si="181"/>
        <v>0</v>
      </c>
      <c r="X494" s="71">
        <f t="shared" si="181"/>
        <v>0</v>
      </c>
      <c r="Y494" s="70">
        <f t="shared" si="181"/>
        <v>0</v>
      </c>
      <c r="Z494" s="71">
        <f t="shared" si="181"/>
        <v>0</v>
      </c>
      <c r="AA494" s="71">
        <f t="shared" si="181"/>
        <v>0</v>
      </c>
      <c r="AB494" s="70">
        <f t="shared" si="181"/>
        <v>-379.16666666666697</v>
      </c>
      <c r="AC494" s="71">
        <f t="shared" si="181"/>
        <v>0</v>
      </c>
      <c r="AD494" s="71">
        <f t="shared" si="181"/>
        <v>0</v>
      </c>
      <c r="AE494" s="37"/>
    </row>
    <row r="495" spans="1:57" ht="15" customHeight="1" outlineLevel="1">
      <c r="B495" s="391" t="s">
        <v>68</v>
      </c>
      <c r="C495" s="390"/>
      <c r="G495" s="70">
        <f>G194</f>
        <v>57.992868852459011</v>
      </c>
      <c r="H495" s="71">
        <f t="shared" ref="H495:AD495" si="182">H194</f>
        <v>54.251393442622955</v>
      </c>
      <c r="I495" s="71">
        <f t="shared" si="182"/>
        <v>57.992868852459026</v>
      </c>
      <c r="J495" s="70">
        <f t="shared" si="182"/>
        <v>56.122131147540983</v>
      </c>
      <c r="K495" s="71">
        <f t="shared" si="182"/>
        <v>57.992868852459026</v>
      </c>
      <c r="L495" s="71">
        <f t="shared" si="182"/>
        <v>56.122131147540983</v>
      </c>
      <c r="M495" s="70">
        <f t="shared" si="182"/>
        <v>57.992868852459026</v>
      </c>
      <c r="N495" s="71">
        <f t="shared" si="182"/>
        <v>63.552978142076483</v>
      </c>
      <c r="O495" s="71">
        <f t="shared" si="182"/>
        <v>66.527049180327822</v>
      </c>
      <c r="P495" s="70">
        <f t="shared" si="182"/>
        <v>68.744617486338825</v>
      </c>
      <c r="Q495" s="71">
        <f t="shared" si="182"/>
        <v>66.527049180327822</v>
      </c>
      <c r="R495" s="71">
        <f t="shared" si="182"/>
        <v>-663.81882513661196</v>
      </c>
      <c r="S495" s="70">
        <f t="shared" si="182"/>
        <v>71.987945205479463</v>
      </c>
      <c r="T495" s="71">
        <f t="shared" si="182"/>
        <v>65.021369863013689</v>
      </c>
      <c r="U495" s="71">
        <f t="shared" si="182"/>
        <v>71.987945205479463</v>
      </c>
      <c r="V495" s="70">
        <f t="shared" si="182"/>
        <v>71.69999999999996</v>
      </c>
      <c r="W495" s="71">
        <f t="shared" si="182"/>
        <v>74.090000000000032</v>
      </c>
      <c r="X495" s="71">
        <f t="shared" si="182"/>
        <v>71.699999999999989</v>
      </c>
      <c r="Y495" s="70">
        <f t="shared" si="182"/>
        <v>74.089999999999975</v>
      </c>
      <c r="Z495" s="71">
        <f t="shared" si="182"/>
        <v>74.090000000000032</v>
      </c>
      <c r="AA495" s="71">
        <f t="shared" si="182"/>
        <v>71.699999999999932</v>
      </c>
      <c r="AB495" s="70">
        <f t="shared" si="182"/>
        <v>74.090000000000032</v>
      </c>
      <c r="AC495" s="71">
        <f t="shared" si="182"/>
        <v>71.699999999999932</v>
      </c>
      <c r="AD495" s="71">
        <f t="shared" si="182"/>
        <v>-792.1572602739725</v>
      </c>
      <c r="AE495" s="37"/>
    </row>
    <row r="496" spans="1:57" ht="15" customHeight="1" outlineLevel="1">
      <c r="B496" s="391" t="s">
        <v>80</v>
      </c>
      <c r="C496" s="390"/>
      <c r="G496" s="70">
        <f>G281</f>
        <v>-46</v>
      </c>
      <c r="H496" s="71">
        <f t="shared" ref="H496:AD496" si="183">H281</f>
        <v>42.7</v>
      </c>
      <c r="I496" s="71">
        <f t="shared" si="183"/>
        <v>-42.7</v>
      </c>
      <c r="J496" s="70">
        <f t="shared" si="183"/>
        <v>0</v>
      </c>
      <c r="K496" s="71">
        <f t="shared" si="183"/>
        <v>55.3</v>
      </c>
      <c r="L496" s="71">
        <f t="shared" si="183"/>
        <v>-55.3</v>
      </c>
      <c r="M496" s="70">
        <f t="shared" si="183"/>
        <v>0</v>
      </c>
      <c r="N496" s="71">
        <f t="shared" si="183"/>
        <v>55</v>
      </c>
      <c r="O496" s="71">
        <f t="shared" si="183"/>
        <v>-55</v>
      </c>
      <c r="P496" s="70">
        <f t="shared" si="183"/>
        <v>0</v>
      </c>
      <c r="Q496" s="71">
        <f t="shared" si="183"/>
        <v>67.900000000000006</v>
      </c>
      <c r="R496" s="71">
        <f t="shared" si="183"/>
        <v>-67.900000000000006</v>
      </c>
      <c r="S496" s="70">
        <f t="shared" si="183"/>
        <v>0</v>
      </c>
      <c r="T496" s="71">
        <f t="shared" si="183"/>
        <v>133</v>
      </c>
      <c r="U496" s="71">
        <f t="shared" si="183"/>
        <v>-133</v>
      </c>
      <c r="V496" s="70">
        <f t="shared" si="183"/>
        <v>0</v>
      </c>
      <c r="W496" s="71">
        <f t="shared" si="183"/>
        <v>146.29999999999998</v>
      </c>
      <c r="X496" s="71">
        <f t="shared" si="183"/>
        <v>-146.29999999999998</v>
      </c>
      <c r="Y496" s="70">
        <f t="shared" si="183"/>
        <v>0</v>
      </c>
      <c r="Z496" s="71">
        <f t="shared" si="183"/>
        <v>139.65</v>
      </c>
      <c r="AA496" s="71">
        <f t="shared" si="183"/>
        <v>-139.65</v>
      </c>
      <c r="AB496" s="70">
        <f t="shared" si="183"/>
        <v>0</v>
      </c>
      <c r="AC496" s="71">
        <f t="shared" si="183"/>
        <v>133</v>
      </c>
      <c r="AD496" s="71">
        <f t="shared" si="183"/>
        <v>-133</v>
      </c>
      <c r="AE496" s="37"/>
    </row>
    <row r="497" spans="2:31" ht="15" customHeight="1" outlineLevel="1">
      <c r="B497" s="59" t="s">
        <v>121</v>
      </c>
      <c r="C497" s="392"/>
      <c r="G497" s="68">
        <f>SUM(G491:G496)</f>
        <v>-524.74767759562815</v>
      </c>
      <c r="H497" s="69">
        <f t="shared" ref="H497:AD497" si="184">SUM(H491:H496)</f>
        <v>-460.90216974043688</v>
      </c>
      <c r="I497" s="69">
        <f t="shared" si="184"/>
        <v>-523.91180221396837</v>
      </c>
      <c r="J497" s="68">
        <f t="shared" si="184"/>
        <v>1727.0571068050872</v>
      </c>
      <c r="K497" s="69">
        <f t="shared" si="184"/>
        <v>-478.20393895249089</v>
      </c>
      <c r="L497" s="69">
        <f t="shared" si="184"/>
        <v>-525.1207602752819</v>
      </c>
      <c r="M497" s="68">
        <f t="shared" si="184"/>
        <v>-480.71225070056033</v>
      </c>
      <c r="N497" s="69">
        <f t="shared" si="184"/>
        <v>-517.19408597212032</v>
      </c>
      <c r="O497" s="69">
        <f t="shared" si="184"/>
        <v>-594.82996736191421</v>
      </c>
      <c r="P497" s="68">
        <f t="shared" si="184"/>
        <v>5446.874214550282</v>
      </c>
      <c r="Q497" s="69">
        <f t="shared" si="184"/>
        <v>316.02514325605682</v>
      </c>
      <c r="R497" s="69">
        <f t="shared" si="184"/>
        <v>-501.68197967815286</v>
      </c>
      <c r="S497" s="68">
        <f t="shared" si="184"/>
        <v>2219.1930062018878</v>
      </c>
      <c r="T497" s="69">
        <f t="shared" si="184"/>
        <v>263.0908225902657</v>
      </c>
      <c r="U497" s="69">
        <f t="shared" si="184"/>
        <v>533.57489839383584</v>
      </c>
      <c r="V497" s="68">
        <f t="shared" si="184"/>
        <v>2171.3704205475101</v>
      </c>
      <c r="W497" s="69">
        <f t="shared" si="184"/>
        <v>997.98393388030684</v>
      </c>
      <c r="X497" s="69">
        <f t="shared" si="184"/>
        <v>866.45834576980201</v>
      </c>
      <c r="Y497" s="68">
        <f t="shared" si="184"/>
        <v>1002.645039579432</v>
      </c>
      <c r="Z497" s="69">
        <f t="shared" si="184"/>
        <v>1005.1516521783806</v>
      </c>
      <c r="AA497" s="69">
        <f t="shared" si="184"/>
        <v>880.29398336362101</v>
      </c>
      <c r="AB497" s="68">
        <f t="shared" si="184"/>
        <v>1009.8652662672351</v>
      </c>
      <c r="AC497" s="69">
        <f t="shared" si="184"/>
        <v>1403.8360481543646</v>
      </c>
      <c r="AD497" s="69">
        <f t="shared" si="184"/>
        <v>395.81892594598366</v>
      </c>
      <c r="AE497" s="37"/>
    </row>
    <row r="498" spans="2:31" ht="15" customHeight="1" outlineLevel="1">
      <c r="B498" s="393"/>
      <c r="C498" s="394"/>
      <c r="G498" s="69"/>
      <c r="H498" s="395"/>
      <c r="I498" s="395"/>
      <c r="J498" s="395"/>
      <c r="K498" s="395"/>
      <c r="L498" s="395"/>
      <c r="M498" s="395"/>
      <c r="N498" s="395"/>
      <c r="O498" s="395"/>
      <c r="P498" s="395"/>
      <c r="Q498" s="395"/>
      <c r="R498" s="395"/>
      <c r="S498" s="395"/>
      <c r="T498" s="395"/>
      <c r="U498" s="395"/>
      <c r="V498" s="395"/>
      <c r="W498" s="395"/>
      <c r="X498" s="395"/>
      <c r="Y498" s="395"/>
      <c r="Z498" s="395"/>
      <c r="AA498" s="395"/>
      <c r="AB498" s="395"/>
      <c r="AC498" s="395"/>
      <c r="AD498" s="395"/>
    </row>
    <row r="499" spans="2:31" ht="15" customHeight="1" outlineLevel="1">
      <c r="B499" s="393"/>
      <c r="C499" s="394"/>
      <c r="G499" s="71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</row>
    <row r="500" spans="2:31" ht="15" customHeight="1" outlineLevel="1">
      <c r="B500" s="388" t="s">
        <v>122</v>
      </c>
      <c r="C500" s="394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</row>
    <row r="501" spans="2:31" ht="15" customHeight="1" outlineLevel="1">
      <c r="B501" s="59" t="s">
        <v>123</v>
      </c>
      <c r="C501" s="352"/>
      <c r="G501" s="68">
        <f t="shared" ref="G501:AD501" si="185">-G359</f>
        <v>0</v>
      </c>
      <c r="H501" s="69">
        <f t="shared" si="185"/>
        <v>0</v>
      </c>
      <c r="I501" s="69">
        <f t="shared" si="185"/>
        <v>0</v>
      </c>
      <c r="J501" s="68">
        <f t="shared" si="185"/>
        <v>0</v>
      </c>
      <c r="K501" s="69">
        <f t="shared" si="185"/>
        <v>0</v>
      </c>
      <c r="L501" s="69">
        <f t="shared" si="185"/>
        <v>0</v>
      </c>
      <c r="M501" s="68">
        <f t="shared" si="185"/>
        <v>0</v>
      </c>
      <c r="N501" s="69">
        <f t="shared" si="185"/>
        <v>-20</v>
      </c>
      <c r="O501" s="69">
        <f t="shared" si="185"/>
        <v>-10</v>
      </c>
      <c r="P501" s="68">
        <f t="shared" si="185"/>
        <v>-2500</v>
      </c>
      <c r="Q501" s="69">
        <f t="shared" si="185"/>
        <v>-2500</v>
      </c>
      <c r="R501" s="69">
        <f t="shared" si="185"/>
        <v>-2500</v>
      </c>
      <c r="S501" s="68">
        <f t="shared" si="185"/>
        <v>-1000</v>
      </c>
      <c r="T501" s="69">
        <f t="shared" si="185"/>
        <v>0</v>
      </c>
      <c r="U501" s="69">
        <f t="shared" si="185"/>
        <v>0</v>
      </c>
      <c r="V501" s="68">
        <f t="shared" si="185"/>
        <v>0</v>
      </c>
      <c r="W501" s="69">
        <f t="shared" si="185"/>
        <v>0</v>
      </c>
      <c r="X501" s="69">
        <f t="shared" si="185"/>
        <v>0</v>
      </c>
      <c r="Y501" s="68">
        <f t="shared" si="185"/>
        <v>0</v>
      </c>
      <c r="Z501" s="69">
        <f t="shared" si="185"/>
        <v>0</v>
      </c>
      <c r="AA501" s="69">
        <f t="shared" si="185"/>
        <v>0</v>
      </c>
      <c r="AB501" s="68">
        <f t="shared" si="185"/>
        <v>0</v>
      </c>
      <c r="AC501" s="69">
        <f t="shared" si="185"/>
        <v>0</v>
      </c>
      <c r="AD501" s="69">
        <f t="shared" si="185"/>
        <v>0</v>
      </c>
      <c r="AE501" s="37"/>
    </row>
    <row r="502" spans="2:31" ht="15" customHeight="1" outlineLevel="1">
      <c r="B502" s="59" t="s">
        <v>121</v>
      </c>
      <c r="C502" s="392"/>
      <c r="G502" s="68">
        <f>SUM(G501)</f>
        <v>0</v>
      </c>
      <c r="H502" s="69">
        <f t="shared" ref="H502:AD502" si="186">SUM(H501)</f>
        <v>0</v>
      </c>
      <c r="I502" s="69">
        <f t="shared" si="186"/>
        <v>0</v>
      </c>
      <c r="J502" s="68">
        <f t="shared" si="186"/>
        <v>0</v>
      </c>
      <c r="K502" s="69">
        <f t="shared" si="186"/>
        <v>0</v>
      </c>
      <c r="L502" s="69">
        <f t="shared" si="186"/>
        <v>0</v>
      </c>
      <c r="M502" s="68">
        <f t="shared" si="186"/>
        <v>0</v>
      </c>
      <c r="N502" s="69">
        <f t="shared" si="186"/>
        <v>-20</v>
      </c>
      <c r="O502" s="69">
        <f t="shared" si="186"/>
        <v>-10</v>
      </c>
      <c r="P502" s="68">
        <f t="shared" si="186"/>
        <v>-2500</v>
      </c>
      <c r="Q502" s="69">
        <f t="shared" si="186"/>
        <v>-2500</v>
      </c>
      <c r="R502" s="69">
        <f t="shared" si="186"/>
        <v>-2500</v>
      </c>
      <c r="S502" s="68">
        <f t="shared" si="186"/>
        <v>-1000</v>
      </c>
      <c r="T502" s="69">
        <f t="shared" si="186"/>
        <v>0</v>
      </c>
      <c r="U502" s="69">
        <f t="shared" si="186"/>
        <v>0</v>
      </c>
      <c r="V502" s="68">
        <f t="shared" si="186"/>
        <v>0</v>
      </c>
      <c r="W502" s="69">
        <f t="shared" si="186"/>
        <v>0</v>
      </c>
      <c r="X502" s="69">
        <f t="shared" si="186"/>
        <v>0</v>
      </c>
      <c r="Y502" s="68">
        <f t="shared" si="186"/>
        <v>0</v>
      </c>
      <c r="Z502" s="69">
        <f t="shared" si="186"/>
        <v>0</v>
      </c>
      <c r="AA502" s="69">
        <f t="shared" si="186"/>
        <v>0</v>
      </c>
      <c r="AB502" s="68">
        <f t="shared" si="186"/>
        <v>0</v>
      </c>
      <c r="AC502" s="69">
        <f t="shared" si="186"/>
        <v>0</v>
      </c>
      <c r="AD502" s="69">
        <f t="shared" si="186"/>
        <v>0</v>
      </c>
      <c r="AE502" s="37"/>
    </row>
    <row r="503" spans="2:31" ht="15" customHeight="1" outlineLevel="1">
      <c r="B503" s="396"/>
      <c r="C503" s="394"/>
      <c r="G503" s="69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95"/>
      <c r="AA503" s="395"/>
      <c r="AB503" s="395"/>
      <c r="AC503" s="395"/>
      <c r="AD503" s="395"/>
    </row>
    <row r="504" spans="2:31" ht="15" customHeight="1" outlineLevel="1">
      <c r="B504" s="396"/>
      <c r="C504" s="394"/>
      <c r="G504" s="71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</row>
    <row r="505" spans="2:31" ht="15" customHeight="1" outlineLevel="1">
      <c r="B505" s="388" t="s">
        <v>124</v>
      </c>
      <c r="C505" s="394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</row>
    <row r="506" spans="2:31" ht="15" customHeight="1" outlineLevel="1">
      <c r="B506" s="59" t="s">
        <v>125</v>
      </c>
      <c r="C506" s="352"/>
      <c r="G506" s="68">
        <f t="shared" ref="G506:AD506" si="187">G393</f>
        <v>0</v>
      </c>
      <c r="H506" s="69">
        <f t="shared" si="187"/>
        <v>0</v>
      </c>
      <c r="I506" s="69">
        <f t="shared" si="187"/>
        <v>0</v>
      </c>
      <c r="J506" s="68">
        <f t="shared" si="187"/>
        <v>0</v>
      </c>
      <c r="K506" s="69">
        <f t="shared" si="187"/>
        <v>0</v>
      </c>
      <c r="L506" s="69">
        <f t="shared" si="187"/>
        <v>0</v>
      </c>
      <c r="M506" s="68">
        <f t="shared" si="187"/>
        <v>0</v>
      </c>
      <c r="N506" s="69">
        <f t="shared" si="187"/>
        <v>0</v>
      </c>
      <c r="O506" s="69">
        <f t="shared" si="187"/>
        <v>0</v>
      </c>
      <c r="P506" s="68">
        <f t="shared" si="187"/>
        <v>0</v>
      </c>
      <c r="Q506" s="69">
        <f t="shared" si="187"/>
        <v>0</v>
      </c>
      <c r="R506" s="69">
        <f t="shared" si="187"/>
        <v>2047.3481678791281</v>
      </c>
      <c r="S506" s="68">
        <f t="shared" si="187"/>
        <v>-1219.1930062018878</v>
      </c>
      <c r="T506" s="69">
        <f t="shared" si="187"/>
        <v>-263.0908225902657</v>
      </c>
      <c r="U506" s="69">
        <f t="shared" si="187"/>
        <v>-533.57489839383584</v>
      </c>
      <c r="V506" s="68">
        <f t="shared" si="187"/>
        <v>-31.489440693138818</v>
      </c>
      <c r="W506" s="69">
        <f t="shared" si="187"/>
        <v>0</v>
      </c>
      <c r="X506" s="69">
        <f t="shared" si="187"/>
        <v>0</v>
      </c>
      <c r="Y506" s="68">
        <f t="shared" si="187"/>
        <v>0</v>
      </c>
      <c r="Z506" s="69">
        <f t="shared" si="187"/>
        <v>0</v>
      </c>
      <c r="AA506" s="69">
        <f t="shared" si="187"/>
        <v>0</v>
      </c>
      <c r="AB506" s="68">
        <f t="shared" si="187"/>
        <v>0</v>
      </c>
      <c r="AC506" s="69">
        <f t="shared" si="187"/>
        <v>0</v>
      </c>
      <c r="AD506" s="69">
        <f t="shared" si="187"/>
        <v>0</v>
      </c>
      <c r="AE506" s="37"/>
    </row>
    <row r="507" spans="2:31" ht="15" customHeight="1" outlineLevel="1">
      <c r="B507" s="59" t="s">
        <v>121</v>
      </c>
      <c r="C507" s="392"/>
      <c r="G507" s="68">
        <f>SUM(G506:G506)</f>
        <v>0</v>
      </c>
      <c r="H507" s="69">
        <f t="shared" ref="H507:AD507" si="188">SUM(H506:H506)</f>
        <v>0</v>
      </c>
      <c r="I507" s="69">
        <f t="shared" si="188"/>
        <v>0</v>
      </c>
      <c r="J507" s="68">
        <f t="shared" si="188"/>
        <v>0</v>
      </c>
      <c r="K507" s="69">
        <f t="shared" si="188"/>
        <v>0</v>
      </c>
      <c r="L507" s="69">
        <f t="shared" si="188"/>
        <v>0</v>
      </c>
      <c r="M507" s="68">
        <f t="shared" si="188"/>
        <v>0</v>
      </c>
      <c r="N507" s="69">
        <f t="shared" si="188"/>
        <v>0</v>
      </c>
      <c r="O507" s="69">
        <f t="shared" si="188"/>
        <v>0</v>
      </c>
      <c r="P507" s="68">
        <f t="shared" si="188"/>
        <v>0</v>
      </c>
      <c r="Q507" s="69">
        <f t="shared" si="188"/>
        <v>0</v>
      </c>
      <c r="R507" s="69">
        <f t="shared" si="188"/>
        <v>2047.3481678791281</v>
      </c>
      <c r="S507" s="68">
        <f t="shared" si="188"/>
        <v>-1219.1930062018878</v>
      </c>
      <c r="T507" s="69">
        <f t="shared" si="188"/>
        <v>-263.0908225902657</v>
      </c>
      <c r="U507" s="69">
        <f t="shared" si="188"/>
        <v>-533.57489839383584</v>
      </c>
      <c r="V507" s="68">
        <f t="shared" si="188"/>
        <v>-31.489440693138818</v>
      </c>
      <c r="W507" s="69">
        <f t="shared" si="188"/>
        <v>0</v>
      </c>
      <c r="X507" s="69">
        <f t="shared" si="188"/>
        <v>0</v>
      </c>
      <c r="Y507" s="68">
        <f t="shared" si="188"/>
        <v>0</v>
      </c>
      <c r="Z507" s="69">
        <f t="shared" si="188"/>
        <v>0</v>
      </c>
      <c r="AA507" s="69">
        <f t="shared" si="188"/>
        <v>0</v>
      </c>
      <c r="AB507" s="68">
        <f t="shared" si="188"/>
        <v>0</v>
      </c>
      <c r="AC507" s="69">
        <f t="shared" si="188"/>
        <v>0</v>
      </c>
      <c r="AD507" s="69">
        <f t="shared" si="188"/>
        <v>0</v>
      </c>
      <c r="AE507" s="37"/>
    </row>
    <row r="508" spans="2:31" ht="15" customHeight="1" outlineLevel="1">
      <c r="B508" s="393"/>
      <c r="C508" s="352"/>
      <c r="G508" s="69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95"/>
      <c r="AA508" s="395"/>
      <c r="AB508" s="395"/>
      <c r="AC508" s="395"/>
      <c r="AD508" s="395"/>
    </row>
    <row r="509" spans="2:31" ht="15" customHeight="1" outlineLevel="1">
      <c r="B509" s="396"/>
      <c r="C509" s="394"/>
      <c r="G509" s="71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</row>
    <row r="510" spans="2:31" ht="15" customHeight="1" outlineLevel="1">
      <c r="B510" s="388" t="s">
        <v>126</v>
      </c>
      <c r="C510" s="394"/>
      <c r="G510" s="42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</row>
    <row r="511" spans="2:31" ht="15" customHeight="1" outlineLevel="1">
      <c r="B511" s="59" t="s">
        <v>37</v>
      </c>
      <c r="C511" s="392"/>
      <c r="G511" s="359">
        <f>G374</f>
        <v>2600</v>
      </c>
      <c r="H511" s="360">
        <f>G513</f>
        <v>2075.2523224043716</v>
      </c>
      <c r="I511" s="360">
        <f t="shared" ref="I511:AD511" si="189">H513</f>
        <v>1614.3501526639348</v>
      </c>
      <c r="J511" s="361">
        <f t="shared" si="189"/>
        <v>1090.4383504499665</v>
      </c>
      <c r="K511" s="360">
        <f t="shared" si="189"/>
        <v>2817.4954572550537</v>
      </c>
      <c r="L511" s="360">
        <f t="shared" si="189"/>
        <v>2339.291518302563</v>
      </c>
      <c r="M511" s="361">
        <f t="shared" si="189"/>
        <v>1814.170758027281</v>
      </c>
      <c r="N511" s="360">
        <f t="shared" si="189"/>
        <v>1333.4585073267206</v>
      </c>
      <c r="O511" s="360">
        <f t="shared" si="189"/>
        <v>796.26442135460024</v>
      </c>
      <c r="P511" s="361">
        <f t="shared" si="189"/>
        <v>191.43445399268603</v>
      </c>
      <c r="Q511" s="360">
        <f t="shared" si="189"/>
        <v>3138.308668542968</v>
      </c>
      <c r="R511" s="360">
        <f t="shared" si="189"/>
        <v>954.33381179902472</v>
      </c>
      <c r="S511" s="361">
        <f t="shared" si="189"/>
        <v>0</v>
      </c>
      <c r="T511" s="360">
        <f t="shared" si="189"/>
        <v>0</v>
      </c>
      <c r="U511" s="360">
        <f t="shared" si="189"/>
        <v>0</v>
      </c>
      <c r="V511" s="361">
        <f t="shared" si="189"/>
        <v>0</v>
      </c>
      <c r="W511" s="360">
        <f t="shared" si="189"/>
        <v>2139.8809798543712</v>
      </c>
      <c r="X511" s="360">
        <f t="shared" si="189"/>
        <v>3137.8649137346779</v>
      </c>
      <c r="Y511" s="361">
        <f t="shared" si="189"/>
        <v>4004.3232595044801</v>
      </c>
      <c r="Z511" s="360">
        <f t="shared" si="189"/>
        <v>5006.9682990839119</v>
      </c>
      <c r="AA511" s="360">
        <f t="shared" si="189"/>
        <v>6012.1199512622925</v>
      </c>
      <c r="AB511" s="361">
        <f t="shared" si="189"/>
        <v>6892.4139346259135</v>
      </c>
      <c r="AC511" s="360">
        <f t="shared" si="189"/>
        <v>7902.2792008931483</v>
      </c>
      <c r="AD511" s="360">
        <f t="shared" si="189"/>
        <v>9306.1152490475124</v>
      </c>
      <c r="AE511" s="328"/>
    </row>
    <row r="512" spans="2:31" ht="15" customHeight="1" outlineLevel="1">
      <c r="B512" s="59" t="s">
        <v>127</v>
      </c>
      <c r="C512" s="392"/>
      <c r="G512" s="367">
        <f>G507+G502+G497</f>
        <v>-524.74767759562815</v>
      </c>
      <c r="H512" s="71">
        <f t="shared" ref="H512:AD512" si="190">H507+H502+H497</f>
        <v>-460.90216974043688</v>
      </c>
      <c r="I512" s="71">
        <f t="shared" si="190"/>
        <v>-523.91180221396837</v>
      </c>
      <c r="J512" s="70">
        <f t="shared" si="190"/>
        <v>1727.0571068050872</v>
      </c>
      <c r="K512" s="71">
        <f t="shared" si="190"/>
        <v>-478.20393895249089</v>
      </c>
      <c r="L512" s="71">
        <f t="shared" si="190"/>
        <v>-525.1207602752819</v>
      </c>
      <c r="M512" s="70">
        <f t="shared" si="190"/>
        <v>-480.71225070056033</v>
      </c>
      <c r="N512" s="71">
        <f t="shared" si="190"/>
        <v>-537.19408597212032</v>
      </c>
      <c r="O512" s="71">
        <f t="shared" si="190"/>
        <v>-604.82996736191421</v>
      </c>
      <c r="P512" s="70">
        <f t="shared" si="190"/>
        <v>2946.874214550282</v>
      </c>
      <c r="Q512" s="71">
        <f t="shared" si="190"/>
        <v>-2183.9748567439433</v>
      </c>
      <c r="R512" s="71">
        <f t="shared" si="190"/>
        <v>-954.33381179902472</v>
      </c>
      <c r="S512" s="70">
        <f t="shared" si="190"/>
        <v>0</v>
      </c>
      <c r="T512" s="71">
        <f t="shared" si="190"/>
        <v>0</v>
      </c>
      <c r="U512" s="71">
        <f t="shared" si="190"/>
        <v>0</v>
      </c>
      <c r="V512" s="70">
        <f t="shared" si="190"/>
        <v>2139.8809798543712</v>
      </c>
      <c r="W512" s="71">
        <f t="shared" si="190"/>
        <v>997.98393388030684</v>
      </c>
      <c r="X512" s="71">
        <f t="shared" si="190"/>
        <v>866.45834576980201</v>
      </c>
      <c r="Y512" s="70">
        <f t="shared" si="190"/>
        <v>1002.645039579432</v>
      </c>
      <c r="Z512" s="71">
        <f t="shared" si="190"/>
        <v>1005.1516521783806</v>
      </c>
      <c r="AA512" s="71">
        <f t="shared" si="190"/>
        <v>880.29398336362101</v>
      </c>
      <c r="AB512" s="70">
        <f t="shared" si="190"/>
        <v>1009.8652662672351</v>
      </c>
      <c r="AC512" s="71">
        <f t="shared" si="190"/>
        <v>1403.8360481543646</v>
      </c>
      <c r="AD512" s="71">
        <f t="shared" si="190"/>
        <v>395.81892594598366</v>
      </c>
      <c r="AE512" s="328"/>
    </row>
    <row r="513" spans="2:31" ht="15" customHeight="1" outlineLevel="1" thickBot="1">
      <c r="B513" s="59" t="s">
        <v>40</v>
      </c>
      <c r="C513" s="397"/>
      <c r="G513" s="359">
        <f>SUM(G511:G512)</f>
        <v>2075.2523224043716</v>
      </c>
      <c r="H513" s="360">
        <f t="shared" ref="H513:AD513" si="191">SUM(H511:H512)</f>
        <v>1614.3501526639348</v>
      </c>
      <c r="I513" s="360">
        <f t="shared" si="191"/>
        <v>1090.4383504499665</v>
      </c>
      <c r="J513" s="361">
        <f t="shared" si="191"/>
        <v>2817.4954572550537</v>
      </c>
      <c r="K513" s="360">
        <f t="shared" si="191"/>
        <v>2339.291518302563</v>
      </c>
      <c r="L513" s="360">
        <f t="shared" si="191"/>
        <v>1814.170758027281</v>
      </c>
      <c r="M513" s="361">
        <f t="shared" si="191"/>
        <v>1333.4585073267206</v>
      </c>
      <c r="N513" s="360">
        <f t="shared" si="191"/>
        <v>796.26442135460024</v>
      </c>
      <c r="O513" s="360">
        <f t="shared" si="191"/>
        <v>191.43445399268603</v>
      </c>
      <c r="P513" s="361">
        <f t="shared" si="191"/>
        <v>3138.308668542968</v>
      </c>
      <c r="Q513" s="360">
        <f t="shared" si="191"/>
        <v>954.33381179902472</v>
      </c>
      <c r="R513" s="360">
        <f t="shared" si="191"/>
        <v>0</v>
      </c>
      <c r="S513" s="361">
        <f t="shared" si="191"/>
        <v>0</v>
      </c>
      <c r="T513" s="360">
        <f t="shared" si="191"/>
        <v>0</v>
      </c>
      <c r="U513" s="360">
        <f t="shared" si="191"/>
        <v>0</v>
      </c>
      <c r="V513" s="361">
        <f t="shared" si="191"/>
        <v>2139.8809798543712</v>
      </c>
      <c r="W513" s="360">
        <f t="shared" si="191"/>
        <v>3137.8649137346779</v>
      </c>
      <c r="X513" s="360">
        <f t="shared" si="191"/>
        <v>4004.3232595044801</v>
      </c>
      <c r="Y513" s="361">
        <f t="shared" si="191"/>
        <v>5006.9682990839119</v>
      </c>
      <c r="Z513" s="360">
        <f t="shared" si="191"/>
        <v>6012.1199512622925</v>
      </c>
      <c r="AA513" s="360">
        <f t="shared" si="191"/>
        <v>6892.4139346259135</v>
      </c>
      <c r="AB513" s="361">
        <f t="shared" si="191"/>
        <v>7902.2792008931483</v>
      </c>
      <c r="AC513" s="360">
        <f t="shared" si="191"/>
        <v>9306.1152490475124</v>
      </c>
      <c r="AD513" s="360">
        <f t="shared" si="191"/>
        <v>9701.9341749934956</v>
      </c>
      <c r="AE513" s="328"/>
    </row>
    <row r="514" spans="2:31" ht="15" customHeight="1" outlineLevel="1">
      <c r="C514" s="190"/>
      <c r="G514" s="398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99"/>
      <c r="AA514" s="399"/>
      <c r="AB514" s="399"/>
      <c r="AC514" s="399"/>
      <c r="AD514" s="399"/>
    </row>
    <row r="515" spans="2:31" ht="15" customHeight="1" outlineLevel="1">
      <c r="C515" s="190"/>
      <c r="G515" s="190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</row>
    <row r="516" spans="2:31" ht="15" customHeight="1" outlineLevel="1">
      <c r="B516" s="72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</row>
    <row r="517" spans="2:31" ht="15" customHeight="1">
      <c r="B517" s="35"/>
    </row>
  </sheetData>
  <conditionalFormatting sqref="E117 E247">
    <cfRule type="expression" dxfId="9" priority="4">
      <formula>E117&gt;0</formula>
    </cfRule>
  </conditionalFormatting>
  <conditionalFormatting sqref="E400">
    <cfRule type="expression" dxfId="8" priority="2">
      <formula>E400&gt;0</formula>
    </cfRule>
  </conditionalFormatting>
  <conditionalFormatting sqref="G11:AD20">
    <cfRule type="expression" dxfId="7" priority="10">
      <formula>G11=1</formula>
    </cfRule>
  </conditionalFormatting>
  <conditionalFormatting sqref="G81:AD88">
    <cfRule type="expression" dxfId="6" priority="8">
      <formula>OR(G81&gt;G$89,G81&lt;0,G81="")</formula>
    </cfRule>
  </conditionalFormatting>
  <conditionalFormatting sqref="G117:AD117 G247:AD247">
    <cfRule type="expression" dxfId="5" priority="6">
      <formula>G117&gt;0</formula>
    </cfRule>
  </conditionalFormatting>
  <conditionalFormatting sqref="G208:AD217">
    <cfRule type="expression" dxfId="4" priority="7">
      <formula>OR(G208&gt;G$218,G208&lt;0,G208="")</formula>
    </cfRule>
  </conditionalFormatting>
  <conditionalFormatting sqref="G394:AD394">
    <cfRule type="expression" dxfId="3" priority="9">
      <formula>G394&gt;$E$394</formula>
    </cfRule>
  </conditionalFormatting>
  <conditionalFormatting sqref="H93:AD100 H222:AD231 H309:AD311">
    <cfRule type="expression" dxfId="2" priority="11">
      <formula>H93&lt;G93</formula>
    </cfRule>
    <cfRule type="expression" dxfId="1" priority="12">
      <formula>H93&gt;G93</formula>
    </cfRule>
  </conditionalFormatting>
  <dataValidations disablePrompts="1" count="2">
    <dataValidation type="list" allowBlank="1" showInputMessage="1" showErrorMessage="1" sqref="E174" xr:uid="{EE6CA362-FF4B-4015-9FD9-948B69C35D71}">
      <formula1>$S$171:$AD$171</formula1>
    </dataValidation>
    <dataValidation type="list" allowBlank="1" showInputMessage="1" showErrorMessage="1" sqref="C174" xr:uid="{71172996-3713-4B3C-A51A-E546FD8688CE}">
      <formula1>$G$171:$R$171</formula1>
    </dataValidation>
  </dataValidations>
  <printOptions horizontalCentered="1"/>
  <pageMargins left="0" right="0" top="0" bottom="0" header="0" footer="0"/>
  <pageSetup paperSize="5" scale="80" fitToHeight="0" pageOrder="overThenDown" orientation="landscape" r:id="rId1"/>
  <headerFooter>
    <oddFooter>&amp;L&amp;"Open Sans,Bold"&amp;K002060FP&amp;&amp;A Budgeting and Forecasting Model&amp;C&amp;"Open Sans,Bold"&amp;K002060Page &amp;P of &amp;N&amp;R&amp;G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6680-4C44-494F-A885-087D0F6F4BD8}">
  <sheetPr>
    <pageSetUpPr autoPageBreaks="0"/>
  </sheetPr>
  <dimension ref="A1:AM297"/>
  <sheetViews>
    <sheetView showGridLines="0" zoomScaleNormal="100" zoomScaleSheetLayoutView="100" workbookViewId="0">
      <pane ySplit="1" topLeftCell="A2" activePane="bottomLeft" state="frozen"/>
      <selection activeCell="A2" sqref="A2"/>
      <selection pane="bottomLeft" sqref="A1:S1"/>
    </sheetView>
  </sheetViews>
  <sheetFormatPr baseColWidth="10" defaultColWidth="8.7109375" defaultRowHeight="15" customHeight="1" outlineLevelRow="1"/>
  <cols>
    <col min="1" max="1" width="4.7109375" style="88" customWidth="1"/>
    <col min="2" max="2" width="25.7109375" style="88" customWidth="1"/>
    <col min="3" max="3" width="7.5703125" style="88" customWidth="1"/>
    <col min="4" max="4" width="1.7109375" style="88" customWidth="1"/>
    <col min="5" max="12" width="8.7109375" style="88" customWidth="1"/>
    <col min="13" max="13" width="3.7109375" style="88" customWidth="1"/>
    <col min="14" max="15" width="8.7109375" style="88" customWidth="1"/>
    <col min="16" max="16" width="1.7109375" style="88" customWidth="1"/>
    <col min="17" max="16384" width="8.7109375" style="88"/>
  </cols>
  <sheetData>
    <row r="1" spans="1:39" ht="50.1" customHeight="1">
      <c r="A1" s="451"/>
      <c r="B1" s="452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</row>
    <row r="3" spans="1:39" s="85" customFormat="1" ht="15" customHeight="1">
      <c r="A3" s="193" t="s">
        <v>10</v>
      </c>
      <c r="B3" s="89" t="s">
        <v>106</v>
      </c>
      <c r="C3" s="25"/>
      <c r="D3" s="25"/>
      <c r="E3" s="90"/>
      <c r="F3" s="90"/>
      <c r="G3" s="90"/>
      <c r="H3" s="91"/>
      <c r="I3" s="90"/>
      <c r="J3" s="90"/>
      <c r="K3" s="90"/>
      <c r="L3" s="91"/>
      <c r="M3" s="90"/>
      <c r="N3" s="91"/>
      <c r="O3" s="91"/>
      <c r="Q3" s="88"/>
      <c r="R3" s="88"/>
      <c r="S3" s="88"/>
      <c r="T3" s="88"/>
      <c r="U3" s="88"/>
      <c r="V3" s="88"/>
      <c r="W3" s="88"/>
      <c r="X3" s="88"/>
      <c r="Y3" s="88"/>
    </row>
    <row r="4" spans="1:39" s="85" customFormat="1" ht="15" customHeight="1" outlineLevel="1">
      <c r="A4" s="193"/>
      <c r="B4" s="28"/>
      <c r="C4" s="29"/>
      <c r="D4" s="29"/>
      <c r="E4" s="92"/>
      <c r="F4" s="92"/>
      <c r="G4" s="92"/>
      <c r="H4" s="92"/>
      <c r="I4" s="88"/>
      <c r="J4" s="88"/>
      <c r="K4" s="88"/>
      <c r="L4" s="88"/>
      <c r="M4" s="88"/>
      <c r="N4" s="88"/>
      <c r="O4" s="88"/>
      <c r="R4" s="88"/>
      <c r="S4" s="88"/>
      <c r="T4" s="88"/>
      <c r="U4" s="88"/>
      <c r="V4" s="88"/>
      <c r="W4" s="88"/>
      <c r="X4" s="88"/>
      <c r="Y4" s="88"/>
    </row>
    <row r="5" spans="1:39" ht="15" customHeight="1" outlineLevel="1">
      <c r="B5" s="31" t="s">
        <v>13</v>
      </c>
      <c r="C5" s="93"/>
      <c r="D5" s="93"/>
      <c r="E5" s="52">
        <f>YEAR(Model!G7)</f>
        <v>2024</v>
      </c>
      <c r="F5" s="51">
        <f>E5</f>
        <v>2024</v>
      </c>
      <c r="G5" s="51">
        <f>F5</f>
        <v>2024</v>
      </c>
      <c r="H5" s="94">
        <f>G5</f>
        <v>2024</v>
      </c>
      <c r="I5" s="53">
        <f>E5+1</f>
        <v>2025</v>
      </c>
      <c r="J5" s="51">
        <f>F5+1</f>
        <v>2025</v>
      </c>
      <c r="K5" s="51">
        <f>G5+1</f>
        <v>2025</v>
      </c>
      <c r="L5" s="94">
        <f>H5+1</f>
        <v>2025</v>
      </c>
      <c r="M5" s="40"/>
      <c r="N5" s="400"/>
      <c r="O5" s="401"/>
      <c r="P5" s="9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</row>
    <row r="6" spans="1:39" ht="15" customHeight="1" outlineLevel="1" thickBot="1">
      <c r="E6" s="96">
        <v>1</v>
      </c>
      <c r="F6" s="54">
        <f>E6+1</f>
        <v>2</v>
      </c>
      <c r="G6" s="54">
        <f>F6+1</f>
        <v>3</v>
      </c>
      <c r="H6" s="54">
        <f>G6+1</f>
        <v>4</v>
      </c>
      <c r="I6" s="97">
        <f>E6</f>
        <v>1</v>
      </c>
      <c r="J6" s="54">
        <f>F6</f>
        <v>2</v>
      </c>
      <c r="K6" s="54">
        <f>G6</f>
        <v>3</v>
      </c>
      <c r="L6" s="54">
        <f>H6</f>
        <v>4</v>
      </c>
      <c r="M6" s="40"/>
      <c r="N6" s="98">
        <f>H5</f>
        <v>2024</v>
      </c>
      <c r="O6" s="99">
        <f>L5</f>
        <v>2025</v>
      </c>
      <c r="P6" s="9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</row>
    <row r="7" spans="1:39" ht="15" customHeight="1" outlineLevel="1">
      <c r="E7" s="100"/>
      <c r="F7" s="100"/>
      <c r="G7" s="101"/>
      <c r="H7" s="101"/>
      <c r="I7" s="402"/>
      <c r="J7" s="101"/>
      <c r="K7" s="101"/>
      <c r="L7" s="101"/>
      <c r="N7" s="100"/>
      <c r="O7" s="100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</row>
    <row r="8" spans="1:39" ht="15" customHeight="1" outlineLevel="1">
      <c r="G8" s="102"/>
      <c r="H8" s="102"/>
      <c r="I8" s="103"/>
      <c r="J8" s="102"/>
      <c r="K8" s="102"/>
      <c r="L8" s="102"/>
      <c r="P8" s="102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</row>
    <row r="9" spans="1:39" ht="15" customHeight="1" outlineLevel="1">
      <c r="E9" s="55">
        <f>IF(SUMIFS(Model!$G$8:$AD$8,Model!$G$6:$AD$6,Totals!E$6,Model!$G$5:$AD$5,Totals!E$5)=3,1,0)</f>
        <v>1</v>
      </c>
      <c r="F9" s="55">
        <f>IF(SUMIFS(Model!$G$8:$AD$8,Model!$G$6:$AD$6,Totals!F$6,Model!$G$5:$AD$5,Totals!F$5)=3,1,0)</f>
        <v>1</v>
      </c>
      <c r="G9" s="55">
        <f>IF(SUMIFS(Model!$G$8:$AD$8,Model!$G$6:$AD$6,Totals!G$6,Model!$G$5:$AD$5,Totals!G$5)=3,1,0)</f>
        <v>1</v>
      </c>
      <c r="H9" s="55">
        <f>IF(SUMIFS(Model!$G$8:$AD$8,Model!$G$6:$AD$6,Totals!H$6,Model!$G$5:$AD$5,Totals!H$5)=3,1,0)</f>
        <v>1</v>
      </c>
      <c r="I9" s="55">
        <f>IF(SUMIFS(Model!$G$8:$AD$8,Model!$G$6:$AD$6,Totals!I$6,Model!$G$5:$AD$5,Totals!I$5)=3,1,0)</f>
        <v>0</v>
      </c>
      <c r="J9" s="55">
        <f>IF(SUMIFS(Model!$G$8:$AD$8,Model!$G$6:$AD$6,Totals!J$6,Model!$G$5:$AD$5,Totals!J$5)=3,1,0)</f>
        <v>0</v>
      </c>
      <c r="K9" s="55">
        <f>IF(SUMIFS(Model!$G$8:$AD$8,Model!$G$6:$AD$6,Totals!K$6,Model!$G$5:$AD$5,Totals!K$5)=3,1,0)</f>
        <v>0</v>
      </c>
      <c r="L9" s="55">
        <f>IF(SUMIFS(Model!$G$8:$AD$8,Model!$G$6:$AD$6,Totals!L$6,Model!$G$5:$AD$5,Totals!L$5)=3,1,0)</f>
        <v>0</v>
      </c>
      <c r="M9" s="102"/>
      <c r="N9" s="55">
        <f>IF(SUMIFS($E$9:$L$9,$E$5:$L$5,N6)=4,1,0)</f>
        <v>1</v>
      </c>
      <c r="O9" s="55">
        <f t="shared" ref="O9" si="0">IF(SUMIFS($E$9:$L$9,$E$5:$L$5,O6)=4,1,0)</f>
        <v>0</v>
      </c>
      <c r="P9" s="102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</row>
    <row r="10" spans="1:39" ht="15" customHeight="1" outlineLevel="1">
      <c r="B10" s="59" t="s">
        <v>28</v>
      </c>
      <c r="E10" s="104">
        <f>SUMIFS(Model!$G446:$AD446,Model!$G$6:$AD$6,E$6,Model!$G$5:$AD$5,E$5)</f>
        <v>2200</v>
      </c>
      <c r="F10" s="105">
        <f>SUMIFS(Model!$G446:$AD446,Model!$G$6:$AD$6,F$6,Model!$G$5:$AD$5,F$5)</f>
        <v>3939.3939393939395</v>
      </c>
      <c r="G10" s="105">
        <f>SUMIFS(Model!$G446:$AD446,Model!$G$6:$AD$6,G$6,Model!$G$5:$AD$5,G$5)</f>
        <v>4075.757575757576</v>
      </c>
      <c r="H10" s="105">
        <f>SUMIFS(Model!$G446:$AD446,Model!$G$6:$AD$6,H$6,Model!$G$5:$AD$5,H$5)</f>
        <v>3625.757575757576</v>
      </c>
      <c r="I10" s="104">
        <f>SUMIFS(Model!$G446:$AD446,Model!$G$6:$AD$6,I$6,Model!$G$5:$AD$5,I$5)</f>
        <v>3834.0909090909095</v>
      </c>
      <c r="J10" s="105">
        <f>SUMIFS(Model!$G446:$AD446,Model!$G$6:$AD$6,J$6,Model!$G$5:$AD$5,J$5)</f>
        <v>4862.5</v>
      </c>
      <c r="K10" s="105">
        <f>SUMIFS(Model!$G446:$AD446,Model!$G$6:$AD$6,K$6,Model!$G$5:$AD$5,K$5)</f>
        <v>4862.5</v>
      </c>
      <c r="L10" s="105">
        <f>SUMIFS(Model!$G446:$AD446,Model!$G$6:$AD$6,L$6,Model!$G$5:$AD$5,L$5)</f>
        <v>5999.9999999999991</v>
      </c>
      <c r="M10" s="106"/>
      <c r="N10" s="104">
        <f>SUMIFS($E10:$L10,$E$5:$L$5,N$6)</f>
        <v>13840.909090909092</v>
      </c>
      <c r="O10" s="104">
        <f>SUMIFS($E10:$L10,$E$5:$L$5,O$6)</f>
        <v>19559.090909090908</v>
      </c>
      <c r="P10" s="107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</row>
    <row r="11" spans="1:39" ht="15" customHeight="1" outlineLevel="1">
      <c r="B11" s="59" t="s">
        <v>107</v>
      </c>
      <c r="E11" s="108">
        <f>SUMIFS(Model!$G447:$AD447,Model!$G$6:$AD$6,E$6,Model!$G$5:$AD$5,E$5)</f>
        <v>-1084.597786885246</v>
      </c>
      <c r="F11" s="109">
        <f>SUMIFS(Model!$G447:$AD447,Model!$G$6:$AD$6,F$6,Model!$G$5:$AD$5,F$5)</f>
        <v>-1097.1977868852459</v>
      </c>
      <c r="G11" s="109">
        <f>SUMIFS(Model!$G447:$AD447,Model!$G$6:$AD$6,G$6,Model!$G$5:$AD$5,G$5)</f>
        <v>-1225.7439344262295</v>
      </c>
      <c r="H11" s="109">
        <f>SUMIFS(Model!$G447:$AD447,Model!$G$6:$AD$6,H$6,Model!$G$5:$AD$5,H$5)</f>
        <v>-1356.0206557377051</v>
      </c>
      <c r="I11" s="108">
        <f>SUMIFS(Model!$G447:$AD447,Model!$G$6:$AD$6,I$6,Model!$G$5:$AD$5,I$5)</f>
        <v>-1415.0931506849315</v>
      </c>
      <c r="J11" s="109">
        <f>SUMIFS(Model!$G447:$AD447,Model!$G$6:$AD$6,J$6,Model!$G$5:$AD$5,J$5)</f>
        <v>-1481.2201369863014</v>
      </c>
      <c r="K11" s="109">
        <f>SUMIFS(Model!$G447:$AD447,Model!$G$6:$AD$6,K$6,Model!$G$5:$AD$5,K$5)</f>
        <v>-1489.2395890410958</v>
      </c>
      <c r="L11" s="109">
        <f>SUMIFS(Model!$G447:$AD447,Model!$G$6:$AD$6,L$6,Model!$G$5:$AD$5,L$5)</f>
        <v>-1482.5895890410957</v>
      </c>
      <c r="M11" s="106"/>
      <c r="N11" s="108">
        <f>SUMIFS($E11:$L11,$E$5:$L$5,N$6)</f>
        <v>-4763.5601639344268</v>
      </c>
      <c r="O11" s="108">
        <f>SUMIFS($E11:$L11,$E$5:$L$5,O$6)</f>
        <v>-5868.1424657534244</v>
      </c>
      <c r="P11" s="107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</row>
    <row r="12" spans="1:39" ht="15" customHeight="1" outlineLevel="1">
      <c r="B12" s="381" t="s">
        <v>108</v>
      </c>
      <c r="E12" s="246">
        <f>SUM(E10:E11)</f>
        <v>1115.402213114754</v>
      </c>
      <c r="F12" s="247">
        <f t="shared" ref="F12:L12" si="1">SUM(F10:F11)</f>
        <v>2842.1961525086936</v>
      </c>
      <c r="G12" s="247">
        <f t="shared" si="1"/>
        <v>2850.0136413313467</v>
      </c>
      <c r="H12" s="247">
        <f t="shared" si="1"/>
        <v>2269.7369200198709</v>
      </c>
      <c r="I12" s="246">
        <f t="shared" si="1"/>
        <v>2418.9977584059779</v>
      </c>
      <c r="J12" s="247">
        <f t="shared" si="1"/>
        <v>3381.2798630136986</v>
      </c>
      <c r="K12" s="247">
        <f t="shared" si="1"/>
        <v>3373.2604109589042</v>
      </c>
      <c r="L12" s="247">
        <f t="shared" si="1"/>
        <v>4517.4104109589034</v>
      </c>
      <c r="M12" s="252"/>
      <c r="N12" s="246">
        <f>SUM(N10:N11)</f>
        <v>9077.3489269746642</v>
      </c>
      <c r="O12" s="246">
        <f t="shared" ref="O12" si="2">SUM(O10:O11)</f>
        <v>13690.948443337484</v>
      </c>
      <c r="P12" s="107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</row>
    <row r="13" spans="1:39" ht="15" customHeight="1" outlineLevel="1">
      <c r="B13" s="382"/>
      <c r="E13" s="37"/>
      <c r="G13" s="102"/>
      <c r="H13" s="102"/>
      <c r="I13" s="403"/>
      <c r="J13" s="102"/>
      <c r="K13" s="102"/>
      <c r="L13" s="102"/>
      <c r="M13" s="106"/>
      <c r="N13" s="106"/>
      <c r="O13" s="106"/>
      <c r="P13" s="107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</row>
    <row r="14" spans="1:39" ht="15" customHeight="1" outlineLevel="1">
      <c r="B14" s="59"/>
      <c r="E14" s="37"/>
      <c r="G14" s="102"/>
      <c r="H14" s="102"/>
      <c r="I14" s="403"/>
      <c r="J14" s="102"/>
      <c r="K14" s="102"/>
      <c r="L14" s="102"/>
      <c r="M14" s="106"/>
      <c r="N14" s="106"/>
      <c r="O14" s="106"/>
      <c r="P14" s="107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</row>
    <row r="15" spans="1:39" ht="15" customHeight="1" outlineLevel="1">
      <c r="B15" s="59" t="s">
        <v>109</v>
      </c>
      <c r="E15" s="108">
        <f>SUMIFS(Model!$G451:$AD451,Model!$G$6:$AD$6,E$6,Model!$G$5:$AD$5,E$5)</f>
        <v>-120</v>
      </c>
      <c r="F15" s="109">
        <f>SUMIFS(Model!$G451:$AD451,Model!$G$6:$AD$6,F$6,Model!$G$5:$AD$5,F$5)</f>
        <v>-120</v>
      </c>
      <c r="G15" s="109">
        <f>SUMIFS(Model!$G451:$AD451,Model!$G$6:$AD$6,G$6,Model!$G$5:$AD$5,G$5)</f>
        <v>-120</v>
      </c>
      <c r="H15" s="109">
        <f>SUMIFS(Model!$G451:$AD451,Model!$G$6:$AD$6,H$6,Model!$G$5:$AD$5,H$5)</f>
        <v>-120</v>
      </c>
      <c r="I15" s="108">
        <f>SUMIFS(Model!$G451:$AD451,Model!$G$6:$AD$6,I$6,Model!$G$5:$AD$5,I$5)</f>
        <v>-138</v>
      </c>
      <c r="J15" s="109">
        <f>SUMIFS(Model!$G451:$AD451,Model!$G$6:$AD$6,J$6,Model!$G$5:$AD$5,J$5)</f>
        <v>-138</v>
      </c>
      <c r="K15" s="109">
        <f>SUMIFS(Model!$G451:$AD451,Model!$G$6:$AD$6,K$6,Model!$G$5:$AD$5,K$5)</f>
        <v>-138</v>
      </c>
      <c r="L15" s="109">
        <f>SUMIFS(Model!$G451:$AD451,Model!$G$6:$AD$6,L$6,Model!$G$5:$AD$5,L$5)</f>
        <v>-138</v>
      </c>
      <c r="M15" s="106"/>
      <c r="N15" s="108">
        <f>SUMIFS($E15:$L15,$E$5:$L$5,N$6)</f>
        <v>-480</v>
      </c>
      <c r="O15" s="108">
        <f>SUMIFS($E15:$L15,$E$5:$L$5,O$6)</f>
        <v>-552</v>
      </c>
      <c r="P15" s="107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</row>
    <row r="16" spans="1:39" ht="15" customHeight="1" outlineLevel="1">
      <c r="B16" s="381" t="s">
        <v>110</v>
      </c>
      <c r="E16" s="246">
        <f>E12+E15</f>
        <v>995.40221311475398</v>
      </c>
      <c r="F16" s="247">
        <f t="shared" ref="F16:O16" si="3">F12+F15</f>
        <v>2722.1961525086936</v>
      </c>
      <c r="G16" s="247">
        <f t="shared" si="3"/>
        <v>2730.0136413313467</v>
      </c>
      <c r="H16" s="247">
        <f t="shared" si="3"/>
        <v>2149.7369200198709</v>
      </c>
      <c r="I16" s="246">
        <f t="shared" si="3"/>
        <v>2280.9977584059779</v>
      </c>
      <c r="J16" s="247">
        <f t="shared" si="3"/>
        <v>3243.2798630136986</v>
      </c>
      <c r="K16" s="247">
        <f t="shared" si="3"/>
        <v>3235.2604109589042</v>
      </c>
      <c r="L16" s="247">
        <f t="shared" si="3"/>
        <v>4379.4104109589034</v>
      </c>
      <c r="M16" s="252"/>
      <c r="N16" s="246">
        <f t="shared" si="3"/>
        <v>8597.3489269746642</v>
      </c>
      <c r="O16" s="246">
        <f t="shared" si="3"/>
        <v>13138.948443337484</v>
      </c>
      <c r="P16" s="107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</row>
    <row r="17" spans="2:39" ht="15" customHeight="1" outlineLevel="1">
      <c r="B17" s="382"/>
      <c r="E17" s="37"/>
      <c r="G17" s="102"/>
      <c r="H17" s="102"/>
      <c r="I17" s="403"/>
      <c r="J17" s="102"/>
      <c r="K17" s="102"/>
      <c r="L17" s="102"/>
      <c r="M17" s="106"/>
      <c r="N17" s="106"/>
      <c r="O17" s="106"/>
      <c r="P17" s="107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</row>
    <row r="18" spans="2:39" ht="15" customHeight="1" outlineLevel="1">
      <c r="B18" s="59"/>
      <c r="E18" s="37"/>
      <c r="G18" s="102"/>
      <c r="H18" s="102"/>
      <c r="I18" s="403"/>
      <c r="J18" s="102"/>
      <c r="K18" s="102"/>
      <c r="L18" s="102"/>
      <c r="M18" s="106"/>
      <c r="N18" s="106"/>
      <c r="O18" s="106"/>
      <c r="P18" s="107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</row>
    <row r="19" spans="2:39" ht="15" customHeight="1" outlineLevel="1">
      <c r="B19" s="59" t="s">
        <v>111</v>
      </c>
      <c r="E19" s="108">
        <f>SUMIFS(Model!$G455:$AD455,Model!$G$6:$AD$6,E$6,Model!$G$5:$AD$5,E$5)</f>
        <v>-3</v>
      </c>
      <c r="F19" s="109">
        <f>SUMIFS(Model!$G455:$AD455,Model!$G$6:$AD$6,F$6,Model!$G$5:$AD$5,F$5)</f>
        <v>-3</v>
      </c>
      <c r="G19" s="109">
        <f>SUMIFS(Model!$G455:$AD455,Model!$G$6:$AD$6,G$6,Model!$G$5:$AD$5,G$5)</f>
        <v>-3</v>
      </c>
      <c r="H19" s="109">
        <f>SUMIFS(Model!$G455:$AD455,Model!$G$6:$AD$6,H$6,Model!$G$5:$AD$5,H$5)</f>
        <v>-3</v>
      </c>
      <c r="I19" s="108">
        <f>SUMIFS(Model!$G455:$AD455,Model!$G$6:$AD$6,I$6,Model!$G$5:$AD$5,I$5)</f>
        <v>-3</v>
      </c>
      <c r="J19" s="109">
        <f>SUMIFS(Model!$G455:$AD455,Model!$G$6:$AD$6,J$6,Model!$G$5:$AD$5,J$5)</f>
        <v>-3</v>
      </c>
      <c r="K19" s="109">
        <f>SUMIFS(Model!$G455:$AD455,Model!$G$6:$AD$6,K$6,Model!$G$5:$AD$5,K$5)</f>
        <v>-3</v>
      </c>
      <c r="L19" s="109">
        <f>SUMIFS(Model!$G455:$AD455,Model!$G$6:$AD$6,L$6,Model!$G$5:$AD$5,L$5)</f>
        <v>-3</v>
      </c>
      <c r="M19" s="106"/>
      <c r="N19" s="108">
        <f>SUMIFS($E19:$L19,$E$5:$L$5,N$6)</f>
        <v>-12</v>
      </c>
      <c r="O19" s="108">
        <f>SUMIFS($E19:$L19,$E$5:$L$5,O$6)</f>
        <v>-12</v>
      </c>
      <c r="P19" s="107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</row>
    <row r="20" spans="2:39" ht="15" customHeight="1" outlineLevel="1">
      <c r="B20" s="381" t="s">
        <v>112</v>
      </c>
      <c r="E20" s="246">
        <f>E16+E19</f>
        <v>992.40221311475398</v>
      </c>
      <c r="F20" s="247">
        <f t="shared" ref="F20:O20" si="4">F16+F19</f>
        <v>2719.1961525086936</v>
      </c>
      <c r="G20" s="247">
        <f t="shared" si="4"/>
        <v>2727.0136413313467</v>
      </c>
      <c r="H20" s="247">
        <f t="shared" si="4"/>
        <v>2146.7369200198709</v>
      </c>
      <c r="I20" s="246">
        <f t="shared" si="4"/>
        <v>2277.9977584059779</v>
      </c>
      <c r="J20" s="247">
        <f t="shared" si="4"/>
        <v>3240.2798630136986</v>
      </c>
      <c r="K20" s="247">
        <f t="shared" si="4"/>
        <v>3232.2604109589042</v>
      </c>
      <c r="L20" s="247">
        <f t="shared" si="4"/>
        <v>4376.4104109589034</v>
      </c>
      <c r="M20" s="252"/>
      <c r="N20" s="246">
        <f t="shared" si="4"/>
        <v>8585.3489269746642</v>
      </c>
      <c r="O20" s="246">
        <f t="shared" si="4"/>
        <v>13126.948443337484</v>
      </c>
      <c r="P20" s="107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</row>
    <row r="21" spans="2:39" ht="15" customHeight="1" outlineLevel="1">
      <c r="B21" s="382"/>
      <c r="E21" s="37"/>
      <c r="G21" s="102"/>
      <c r="H21" s="102"/>
      <c r="I21" s="403"/>
      <c r="J21" s="102"/>
      <c r="K21" s="102"/>
      <c r="L21" s="102"/>
      <c r="M21" s="106"/>
      <c r="N21" s="106"/>
      <c r="O21" s="106"/>
      <c r="P21" s="107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</row>
    <row r="22" spans="2:39" ht="15" customHeight="1" outlineLevel="1">
      <c r="B22" s="59"/>
      <c r="E22" s="37"/>
      <c r="G22" s="102"/>
      <c r="H22" s="102"/>
      <c r="I22" s="403"/>
      <c r="J22" s="102"/>
      <c r="K22" s="102"/>
      <c r="L22" s="102"/>
      <c r="M22" s="106"/>
      <c r="N22" s="106"/>
      <c r="O22" s="106"/>
      <c r="P22" s="107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</row>
    <row r="23" spans="2:39" ht="15" customHeight="1" outlineLevel="1">
      <c r="B23" s="59" t="s">
        <v>113</v>
      </c>
      <c r="E23" s="108">
        <f>SUMIFS(Model!$G459:$AD459,Model!$G$6:$AD$6,E$6,Model!$G$5:$AD$5,E$5)</f>
        <v>15.724006187670765</v>
      </c>
      <c r="F23" s="109">
        <f>SUMIFS(Model!$G459:$AD459,Model!$G$6:$AD$6,F$6,Model!$G$5:$AD$5,F$5)</f>
        <v>15.618063315018958</v>
      </c>
      <c r="G23" s="109">
        <f>SUMIFS(Model!$G459:$AD459,Model!$G$6:$AD$6,G$6,Model!$G$5:$AD$5,G$5)</f>
        <v>9.8597342167715052</v>
      </c>
      <c r="H23" s="109">
        <f>SUMIFS(Model!$G459:$AD459,Model!$G$6:$AD$6,H$6,Model!$G$5:$AD$5,H$5)</f>
        <v>10.710192335836696</v>
      </c>
      <c r="I23" s="108">
        <f>SUMIFS(Model!$G459:$AD459,Model!$G$6:$AD$6,I$6,Model!$G$5:$AD$5,I$5)</f>
        <v>-22.937117790955622</v>
      </c>
      <c r="J23" s="109">
        <f>SUMIFS(Model!$G459:$AD459,Model!$G$6:$AD$6,J$6,Model!$G$5:$AD$5,J$5)</f>
        <v>12.984435129351699</v>
      </c>
      <c r="K23" s="109">
        <f>SUMIFS(Model!$G459:$AD459,Model!$G$6:$AD$6,K$6,Model!$G$5:$AD$5,K$5)</f>
        <v>37.558528774626708</v>
      </c>
      <c r="L23" s="109">
        <f>SUMIFS(Model!$G459:$AD459,Model!$G$6:$AD$6,L$6,Model!$G$5:$AD$5,L$5)</f>
        <v>60.252020961416434</v>
      </c>
      <c r="M23" s="106"/>
      <c r="N23" s="108">
        <f>SUMIFS($E23:$L23,$E$5:$L$5,N$6)</f>
        <v>51.911996055297926</v>
      </c>
      <c r="O23" s="108">
        <f>SUMIFS($E23:$L23,$E$5:$L$5,O$6)</f>
        <v>87.857867074439213</v>
      </c>
      <c r="P23" s="107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</row>
    <row r="24" spans="2:39" ht="15" customHeight="1" outlineLevel="1">
      <c r="B24" s="381" t="s">
        <v>98</v>
      </c>
      <c r="E24" s="246">
        <f>E20+E23</f>
        <v>1008.1262193024247</v>
      </c>
      <c r="F24" s="247">
        <f t="shared" ref="F24:O24" si="5">F20+F23</f>
        <v>2734.8142158237124</v>
      </c>
      <c r="G24" s="247">
        <f t="shared" si="5"/>
        <v>2736.873375548118</v>
      </c>
      <c r="H24" s="247">
        <f t="shared" si="5"/>
        <v>2157.4471123557078</v>
      </c>
      <c r="I24" s="246">
        <f t="shared" si="5"/>
        <v>2255.0606406150223</v>
      </c>
      <c r="J24" s="247">
        <f t="shared" si="5"/>
        <v>3253.2642981430504</v>
      </c>
      <c r="K24" s="247">
        <f t="shared" si="5"/>
        <v>3269.8189397335309</v>
      </c>
      <c r="L24" s="247">
        <f t="shared" si="5"/>
        <v>4436.6624319203202</v>
      </c>
      <c r="M24" s="252"/>
      <c r="N24" s="246">
        <f t="shared" si="5"/>
        <v>8637.2609230299622</v>
      </c>
      <c r="O24" s="246">
        <f t="shared" si="5"/>
        <v>13214.806310411923</v>
      </c>
      <c r="P24" s="107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</row>
    <row r="25" spans="2:39" ht="15" customHeight="1" outlineLevel="1">
      <c r="B25" s="382"/>
      <c r="E25" s="37"/>
      <c r="G25" s="102"/>
      <c r="H25" s="102"/>
      <c r="I25" s="403"/>
      <c r="J25" s="102"/>
      <c r="K25" s="102"/>
      <c r="L25" s="102"/>
      <c r="M25" s="106"/>
      <c r="N25" s="106"/>
      <c r="O25" s="106"/>
      <c r="P25" s="107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</row>
    <row r="26" spans="2:39" ht="15" customHeight="1" outlineLevel="1">
      <c r="B26" s="382"/>
      <c r="E26" s="37"/>
      <c r="G26" s="102"/>
      <c r="H26" s="102"/>
      <c r="I26" s="403"/>
      <c r="J26" s="102"/>
      <c r="K26" s="102"/>
      <c r="L26" s="102"/>
      <c r="M26" s="106"/>
      <c r="N26" s="106"/>
      <c r="O26" s="106"/>
      <c r="P26" s="107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</row>
    <row r="27" spans="2:39" ht="15" customHeight="1" outlineLevel="1">
      <c r="B27" s="59" t="s">
        <v>114</v>
      </c>
      <c r="E27" s="108">
        <f>SUMIFS(Model!$G463:$AD463,Model!$G$6:$AD$6,E$6,Model!$G$5:$AD$5,E$5)</f>
        <v>-444.92500000000001</v>
      </c>
      <c r="F27" s="109">
        <f>SUMIFS(Model!$G463:$AD463,Model!$G$6:$AD$6,F$6,Model!$G$5:$AD$5,F$5)</f>
        <v>-444.92500000000001</v>
      </c>
      <c r="G27" s="109">
        <f>SUMIFS(Model!$G463:$AD463,Model!$G$6:$AD$6,G$6,Model!$G$5:$AD$5,G$5)</f>
        <v>-444.92500000000001</v>
      </c>
      <c r="H27" s="109">
        <f>SUMIFS(Model!$G463:$AD463,Model!$G$6:$AD$6,H$6,Model!$G$5:$AD$5,H$5)</f>
        <v>-444.92500000000001</v>
      </c>
      <c r="I27" s="108">
        <f>SUMIFS(Model!$G463:$AD463,Model!$G$6:$AD$6,I$6,Model!$G$5:$AD$5,I$5)</f>
        <v>-604.6082646120974</v>
      </c>
      <c r="J27" s="109">
        <f>SUMIFS(Model!$G463:$AD463,Model!$G$6:$AD$6,J$6,Model!$G$5:$AD$5,J$5)</f>
        <v>-604.6082646120974</v>
      </c>
      <c r="K27" s="109">
        <f>SUMIFS(Model!$G463:$AD463,Model!$G$6:$AD$6,K$6,Model!$G$5:$AD$5,K$5)</f>
        <v>-604.6082646120974</v>
      </c>
      <c r="L27" s="109">
        <f>SUMIFS(Model!$G463:$AD463,Model!$G$6:$AD$6,L$6,Model!$G$5:$AD$5,L$5)</f>
        <v>-604.6082646120974</v>
      </c>
      <c r="M27" s="106"/>
      <c r="N27" s="108">
        <f>SUMIFS($E27:$L27,$E$5:$L$5,N$6)</f>
        <v>-1779.7</v>
      </c>
      <c r="O27" s="108">
        <f>SUMIFS($E27:$L27,$E$5:$L$5,O$6)</f>
        <v>-2418.4330584483896</v>
      </c>
      <c r="P27" s="107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</row>
    <row r="28" spans="2:39" ht="15" customHeight="1" outlineLevel="1">
      <c r="B28" s="59" t="s">
        <v>115</v>
      </c>
      <c r="E28" s="108">
        <f>SUMIFS(Model!$G464:$AD464,Model!$G$6:$AD$6,E$6,Model!$G$5:$AD$5,E$5)</f>
        <v>162.64965859532109</v>
      </c>
      <c r="F28" s="109">
        <f>SUMIFS(Model!$G464:$AD464,Model!$G$6:$AD$6,F$6,Model!$G$5:$AD$5,F$5)</f>
        <v>-320.82298043063957</v>
      </c>
      <c r="G28" s="109">
        <f>SUMIFS(Model!$G464:$AD464,Model!$G$6:$AD$6,G$6,Model!$G$5:$AD$5,G$5)</f>
        <v>-321.39954515347313</v>
      </c>
      <c r="H28" s="109">
        <f>SUMIFS(Model!$G464:$AD464,Model!$G$6:$AD$6,H$6,Model!$G$5:$AD$5,H$5)</f>
        <v>-159.16019145959814</v>
      </c>
      <c r="I28" s="108">
        <f>SUMIFS(Model!$G464:$AD464,Model!$G$6:$AD$6,I$6,Model!$G$5:$AD$5,I$5)</f>
        <v>-49.359321166259008</v>
      </c>
      <c r="J28" s="109">
        <f>SUMIFS(Model!$G464:$AD464,Model!$G$6:$AD$6,J$6,Model!$G$5:$AD$5,J$5)</f>
        <v>-338.83838184938708</v>
      </c>
      <c r="K28" s="109">
        <f>SUMIFS(Model!$G464:$AD464,Model!$G$6:$AD$6,K$6,Model!$G$5:$AD$5,K$5)</f>
        <v>-343.63922791062657</v>
      </c>
      <c r="L28" s="109">
        <f>SUMIFS(Model!$G464:$AD464,Model!$G$6:$AD$6,L$6,Model!$G$5:$AD$5,L$5)</f>
        <v>-682.02384064479543</v>
      </c>
      <c r="M28" s="106"/>
      <c r="N28" s="108">
        <f>SUMIFS($E28:$L28,$E$5:$L$5,N$6)</f>
        <v>-638.73305844838978</v>
      </c>
      <c r="O28" s="108">
        <f>SUMIFS($E28:$L28,$E$5:$L$5,O$6)</f>
        <v>-1413.8607715710682</v>
      </c>
      <c r="P28" s="107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</row>
    <row r="29" spans="2:39" ht="15" customHeight="1" outlineLevel="1">
      <c r="B29" s="59" t="s">
        <v>116</v>
      </c>
      <c r="E29" s="246">
        <f>SUM(E27:E28)</f>
        <v>-282.2753414046789</v>
      </c>
      <c r="F29" s="247">
        <f t="shared" ref="F29:L29" si="6">SUM(F27:F28)</f>
        <v>-765.74798043063959</v>
      </c>
      <c r="G29" s="247">
        <f t="shared" si="6"/>
        <v>-766.32454515347308</v>
      </c>
      <c r="H29" s="247">
        <f t="shared" si="6"/>
        <v>-604.08519145959815</v>
      </c>
      <c r="I29" s="246">
        <f t="shared" si="6"/>
        <v>-653.96758577835635</v>
      </c>
      <c r="J29" s="247">
        <f t="shared" si="6"/>
        <v>-943.44664646148453</v>
      </c>
      <c r="K29" s="247">
        <f t="shared" si="6"/>
        <v>-948.24749252272397</v>
      </c>
      <c r="L29" s="247">
        <f t="shared" si="6"/>
        <v>-1286.6321052568928</v>
      </c>
      <c r="M29" s="252"/>
      <c r="N29" s="246">
        <f>SUM(N27:N28)</f>
        <v>-2418.4330584483896</v>
      </c>
      <c r="O29" s="246">
        <f>SUM(O27:O28)</f>
        <v>-3832.2938300194578</v>
      </c>
      <c r="P29" s="107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</row>
    <row r="30" spans="2:39" ht="15" customHeight="1" outlineLevel="1">
      <c r="B30" s="382"/>
      <c r="E30" s="38"/>
      <c r="F30" s="110"/>
      <c r="G30" s="111"/>
      <c r="H30" s="111"/>
      <c r="I30" s="112"/>
      <c r="J30" s="111"/>
      <c r="K30" s="111"/>
      <c r="L30" s="111"/>
      <c r="M30" s="102"/>
      <c r="N30" s="111"/>
      <c r="O30" s="111"/>
      <c r="P30" s="102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</row>
    <row r="31" spans="2:39" ht="15" customHeight="1" outlineLevel="1">
      <c r="B31" s="382"/>
      <c r="E31" s="55"/>
      <c r="G31" s="102"/>
      <c r="H31" s="102"/>
      <c r="I31" s="103"/>
      <c r="J31" s="102"/>
      <c r="K31" s="102"/>
      <c r="L31" s="102"/>
      <c r="M31" s="102"/>
      <c r="N31" s="102"/>
      <c r="O31" s="102"/>
      <c r="P31" s="102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</row>
    <row r="32" spans="2:39" ht="15" customHeight="1" outlineLevel="1" thickBot="1">
      <c r="B32" s="381" t="s">
        <v>117</v>
      </c>
      <c r="E32" s="325">
        <f>E24+E29</f>
        <v>725.85087789774582</v>
      </c>
      <c r="F32" s="326">
        <f t="shared" ref="F32:L32" si="7">F24+F29</f>
        <v>1969.0662353930729</v>
      </c>
      <c r="G32" s="326">
        <f t="shared" si="7"/>
        <v>1970.5488303946449</v>
      </c>
      <c r="H32" s="326">
        <f t="shared" si="7"/>
        <v>1553.3619208961095</v>
      </c>
      <c r="I32" s="327">
        <f t="shared" si="7"/>
        <v>1601.0930548366659</v>
      </c>
      <c r="J32" s="326">
        <f t="shared" si="7"/>
        <v>2309.8176516815656</v>
      </c>
      <c r="K32" s="326">
        <f t="shared" si="7"/>
        <v>2321.571447210807</v>
      </c>
      <c r="L32" s="326">
        <f t="shared" si="7"/>
        <v>3150.0303266634273</v>
      </c>
      <c r="M32" s="404"/>
      <c r="N32" s="325">
        <f>N24+N29</f>
        <v>6218.8278645815726</v>
      </c>
      <c r="O32" s="327">
        <f>O24+O29</f>
        <v>9382.5124803924646</v>
      </c>
      <c r="P32" s="40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</row>
    <row r="33" spans="1:39" ht="15" customHeight="1" outlineLevel="1">
      <c r="E33" s="113"/>
      <c r="F33" s="113"/>
      <c r="G33" s="114"/>
      <c r="H33" s="114"/>
      <c r="I33" s="115"/>
      <c r="J33" s="114"/>
      <c r="K33" s="114"/>
      <c r="L33" s="114"/>
      <c r="N33" s="113"/>
      <c r="O33" s="113"/>
      <c r="P33" s="102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</row>
    <row r="34" spans="1:39" ht="15" customHeight="1" outlineLevel="1">
      <c r="G34" s="102"/>
      <c r="H34" s="102"/>
      <c r="I34" s="103"/>
      <c r="J34" s="102"/>
      <c r="K34" s="102"/>
      <c r="L34" s="102"/>
      <c r="P34" s="102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</row>
    <row r="35" spans="1:39" ht="15" customHeight="1" outlineLevel="1">
      <c r="B35" s="406"/>
      <c r="C35" s="406"/>
      <c r="D35" s="406"/>
      <c r="E35" s="406"/>
      <c r="F35" s="406"/>
      <c r="G35" s="407"/>
      <c r="H35" s="407"/>
      <c r="I35" s="408"/>
      <c r="J35" s="407"/>
      <c r="K35" s="407"/>
      <c r="L35" s="407"/>
      <c r="M35" s="406"/>
      <c r="N35" s="406"/>
      <c r="O35" s="406"/>
      <c r="P35" s="102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</row>
    <row r="36" spans="1:39" ht="15" customHeight="1" outlineLevel="1">
      <c r="B36" s="384" t="s">
        <v>118</v>
      </c>
      <c r="G36" s="102"/>
      <c r="H36" s="102"/>
      <c r="I36" s="103"/>
      <c r="J36" s="102"/>
      <c r="K36" s="102"/>
      <c r="L36" s="102"/>
      <c r="P36" s="102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</row>
    <row r="37" spans="1:39" ht="15" customHeight="1" outlineLevel="1">
      <c r="B37" s="385" t="s">
        <v>108</v>
      </c>
      <c r="E37" s="386">
        <f t="shared" ref="E37:L37" si="8">E12/E$10</f>
        <v>0.50700100596125186</v>
      </c>
      <c r="F37" s="378">
        <f t="shared" si="8"/>
        <v>0.72148056179066833</v>
      </c>
      <c r="G37" s="378">
        <f t="shared" si="8"/>
        <v>0.69925985251995859</v>
      </c>
      <c r="H37" s="378">
        <f t="shared" si="8"/>
        <v>0.6260034965370308</v>
      </c>
      <c r="I37" s="386">
        <f t="shared" si="8"/>
        <v>0.63091820610470073</v>
      </c>
      <c r="J37" s="378">
        <f t="shared" si="8"/>
        <v>0.69537889213649329</v>
      </c>
      <c r="K37" s="378">
        <f t="shared" si="8"/>
        <v>0.69372964749797517</v>
      </c>
      <c r="L37" s="378">
        <f t="shared" si="8"/>
        <v>0.7529017351598174</v>
      </c>
      <c r="M37" s="409"/>
      <c r="N37" s="386">
        <f>N12/N$10</f>
        <v>0.65583473364020561</v>
      </c>
      <c r="O37" s="386">
        <f>O12/O$10</f>
        <v>0.69997877237607409</v>
      </c>
      <c r="P37" s="107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</row>
    <row r="38" spans="1:39" ht="15" customHeight="1" outlineLevel="1">
      <c r="B38" s="385" t="s">
        <v>110</v>
      </c>
      <c r="E38" s="387">
        <f t="shared" ref="E38:L38" si="9">E16/E$10</f>
        <v>0.45245555141579724</v>
      </c>
      <c r="F38" s="63">
        <f t="shared" si="9"/>
        <v>0.6910190233291299</v>
      </c>
      <c r="G38" s="63">
        <f t="shared" si="9"/>
        <v>0.6698174733378025</v>
      </c>
      <c r="H38" s="63">
        <f t="shared" si="9"/>
        <v>0.59290696498667561</v>
      </c>
      <c r="I38" s="387">
        <f t="shared" si="9"/>
        <v>0.59492531932343229</v>
      </c>
      <c r="J38" s="63">
        <f t="shared" si="9"/>
        <v>0.66699842941155751</v>
      </c>
      <c r="K38" s="63">
        <f t="shared" si="9"/>
        <v>0.66534918477303939</v>
      </c>
      <c r="L38" s="63">
        <f t="shared" si="9"/>
        <v>0.72990173515981738</v>
      </c>
      <c r="M38" s="409"/>
      <c r="N38" s="387">
        <f>N16/N$10</f>
        <v>0.62115493068454053</v>
      </c>
      <c r="O38" s="387">
        <f>O16/O$10</f>
        <v>0.67175660179740804</v>
      </c>
      <c r="P38" s="107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</row>
    <row r="39" spans="1:39" ht="15" customHeight="1" outlineLevel="1">
      <c r="B39" s="385" t="s">
        <v>117</v>
      </c>
      <c r="E39" s="387">
        <f t="shared" ref="E39:L39" si="10">E32/E$10</f>
        <v>0.3299322172262481</v>
      </c>
      <c r="F39" s="63">
        <f t="shared" si="10"/>
        <v>0.49983989052285699</v>
      </c>
      <c r="G39" s="63">
        <f t="shared" si="10"/>
        <v>0.48348038217861172</v>
      </c>
      <c r="H39" s="63">
        <f t="shared" si="10"/>
        <v>0.42842409853382041</v>
      </c>
      <c r="I39" s="387">
        <f t="shared" si="10"/>
        <v>0.41759392064501066</v>
      </c>
      <c r="J39" s="63">
        <f t="shared" si="10"/>
        <v>0.47502676641266128</v>
      </c>
      <c r="K39" s="63">
        <f t="shared" si="10"/>
        <v>0.47744399942638704</v>
      </c>
      <c r="L39" s="63">
        <f t="shared" si="10"/>
        <v>0.52500505444390466</v>
      </c>
      <c r="M39" s="409"/>
      <c r="N39" s="387">
        <f>N32/N$10</f>
        <v>0.44930776033101671</v>
      </c>
      <c r="O39" s="387">
        <f>O32/O$10</f>
        <v>0.47970084724293338</v>
      </c>
      <c r="P39" s="107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</row>
    <row r="40" spans="1:39" ht="15" customHeight="1" outlineLevel="1">
      <c r="E40" s="110"/>
      <c r="F40" s="110"/>
      <c r="G40" s="110"/>
      <c r="H40" s="110"/>
      <c r="I40" s="110"/>
      <c r="J40" s="110"/>
      <c r="K40" s="110"/>
      <c r="L40" s="110"/>
      <c r="N40" s="110"/>
      <c r="O40" s="110"/>
      <c r="P40" s="102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</row>
    <row r="41" spans="1:39" ht="15" customHeight="1" outlineLevel="1">
      <c r="B41" s="116"/>
      <c r="C41" s="116"/>
      <c r="D41" s="116"/>
      <c r="E41" s="116"/>
      <c r="F41" s="116"/>
      <c r="G41" s="117"/>
      <c r="H41" s="117"/>
      <c r="I41" s="118"/>
      <c r="J41" s="117"/>
      <c r="K41" s="117"/>
      <c r="L41" s="117"/>
      <c r="M41" s="116"/>
      <c r="N41" s="116"/>
      <c r="O41" s="116"/>
      <c r="P41" s="102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</row>
    <row r="42" spans="1:39" ht="15" customHeight="1">
      <c r="G42" s="102"/>
      <c r="H42" s="102"/>
      <c r="I42" s="103"/>
      <c r="J42" s="102"/>
      <c r="K42" s="102"/>
      <c r="L42" s="102"/>
      <c r="P42" s="102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</row>
    <row r="43" spans="1:39" ht="15" customHeight="1">
      <c r="A43" s="88" t="s">
        <v>10</v>
      </c>
      <c r="B43" s="24" t="s">
        <v>119</v>
      </c>
      <c r="C43" s="119"/>
      <c r="D43" s="119"/>
      <c r="E43" s="120"/>
      <c r="F43" s="120"/>
      <c r="G43" s="120"/>
      <c r="H43" s="91"/>
      <c r="I43" s="120"/>
      <c r="J43" s="120"/>
      <c r="K43" s="120"/>
      <c r="L43" s="91"/>
      <c r="M43" s="120"/>
      <c r="N43" s="91"/>
      <c r="O43" s="91"/>
      <c r="P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</row>
    <row r="44" spans="1:39" ht="15" customHeight="1" outlineLevel="1">
      <c r="B44" s="28"/>
      <c r="C44" s="29"/>
      <c r="D44" s="29"/>
      <c r="E44" s="92"/>
      <c r="F44" s="92"/>
      <c r="G44" s="92"/>
      <c r="H44" s="92"/>
      <c r="P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</row>
    <row r="45" spans="1:39" ht="15" customHeight="1" outlineLevel="1">
      <c r="B45" s="31" t="s">
        <v>13</v>
      </c>
      <c r="C45" s="93"/>
      <c r="D45" s="93"/>
      <c r="E45" s="52">
        <f t="shared" ref="E45:L45" si="11">E$5</f>
        <v>2024</v>
      </c>
      <c r="F45" s="51">
        <f t="shared" si="11"/>
        <v>2024</v>
      </c>
      <c r="G45" s="51">
        <f t="shared" si="11"/>
        <v>2024</v>
      </c>
      <c r="H45" s="94">
        <f t="shared" si="11"/>
        <v>2024</v>
      </c>
      <c r="I45" s="53">
        <f t="shared" si="11"/>
        <v>2025</v>
      </c>
      <c r="J45" s="51">
        <f t="shared" si="11"/>
        <v>2025</v>
      </c>
      <c r="K45" s="51">
        <f t="shared" si="11"/>
        <v>2025</v>
      </c>
      <c r="L45" s="94">
        <f t="shared" si="11"/>
        <v>2025</v>
      </c>
      <c r="M45" s="40"/>
      <c r="N45" s="121"/>
      <c r="O45" s="410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</row>
    <row r="46" spans="1:39" ht="15" customHeight="1" outlineLevel="1" thickBot="1">
      <c r="E46" s="411">
        <f t="shared" ref="E46:L46" si="12">E$6</f>
        <v>1</v>
      </c>
      <c r="F46" s="412">
        <f t="shared" si="12"/>
        <v>2</v>
      </c>
      <c r="G46" s="412">
        <f t="shared" si="12"/>
        <v>3</v>
      </c>
      <c r="H46" s="412">
        <f t="shared" si="12"/>
        <v>4</v>
      </c>
      <c r="I46" s="413">
        <f t="shared" si="12"/>
        <v>1</v>
      </c>
      <c r="J46" s="412">
        <f t="shared" si="12"/>
        <v>2</v>
      </c>
      <c r="K46" s="412">
        <f t="shared" si="12"/>
        <v>3</v>
      </c>
      <c r="L46" s="412">
        <f t="shared" si="12"/>
        <v>4</v>
      </c>
      <c r="M46" s="40"/>
      <c r="N46" s="414">
        <f>N$6</f>
        <v>2024</v>
      </c>
      <c r="O46" s="415">
        <f>O$6</f>
        <v>2025</v>
      </c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</row>
    <row r="47" spans="1:39" ht="15" customHeight="1" outlineLevel="1"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</row>
    <row r="48" spans="1:39" ht="15" customHeight="1" outlineLevel="1"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</row>
    <row r="49" spans="2:39" ht="15" customHeight="1" outlineLevel="1">
      <c r="B49" s="388" t="s">
        <v>120</v>
      </c>
      <c r="E49" s="55">
        <f t="shared" ref="E49:L49" si="13">E$9</f>
        <v>1</v>
      </c>
      <c r="F49" s="55">
        <f t="shared" si="13"/>
        <v>1</v>
      </c>
      <c r="G49" s="55">
        <f t="shared" si="13"/>
        <v>1</v>
      </c>
      <c r="H49" s="55">
        <f t="shared" si="13"/>
        <v>1</v>
      </c>
      <c r="I49" s="55">
        <f t="shared" si="13"/>
        <v>0</v>
      </c>
      <c r="J49" s="55">
        <f t="shared" si="13"/>
        <v>0</v>
      </c>
      <c r="K49" s="55">
        <f t="shared" si="13"/>
        <v>0</v>
      </c>
      <c r="L49" s="55">
        <f t="shared" si="13"/>
        <v>0</v>
      </c>
      <c r="M49" s="102"/>
      <c r="N49" s="55">
        <f>N$9</f>
        <v>1</v>
      </c>
      <c r="O49" s="55">
        <f>O$9</f>
        <v>0</v>
      </c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</row>
    <row r="50" spans="2:39" ht="15" customHeight="1" outlineLevel="1">
      <c r="B50" s="59" t="s">
        <v>117</v>
      </c>
      <c r="E50" s="68">
        <f>E32</f>
        <v>725.85087789774582</v>
      </c>
      <c r="F50" s="69">
        <f t="shared" ref="F50:L50" si="14">F32</f>
        <v>1969.0662353930729</v>
      </c>
      <c r="G50" s="69">
        <f t="shared" si="14"/>
        <v>1970.5488303946449</v>
      </c>
      <c r="H50" s="122">
        <f t="shared" si="14"/>
        <v>1553.3619208961095</v>
      </c>
      <c r="I50" s="69">
        <f t="shared" si="14"/>
        <v>1601.0930548366659</v>
      </c>
      <c r="J50" s="69">
        <f t="shared" si="14"/>
        <v>2309.8176516815656</v>
      </c>
      <c r="K50" s="69">
        <f t="shared" si="14"/>
        <v>2321.571447210807</v>
      </c>
      <c r="L50" s="122">
        <f t="shared" si="14"/>
        <v>3150.0303266634273</v>
      </c>
      <c r="N50" s="68">
        <f>N32</f>
        <v>6218.8278645815726</v>
      </c>
      <c r="O50" s="122">
        <f>O32</f>
        <v>9382.5124803924646</v>
      </c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</row>
    <row r="51" spans="2:39" ht="15" customHeight="1" outlineLevel="1">
      <c r="B51" s="59" t="s">
        <v>111</v>
      </c>
      <c r="E51" s="70">
        <f>-E19</f>
        <v>3</v>
      </c>
      <c r="F51" s="71">
        <f t="shared" ref="F51:L51" si="15">-F19</f>
        <v>3</v>
      </c>
      <c r="G51" s="71">
        <f t="shared" si="15"/>
        <v>3</v>
      </c>
      <c r="H51" s="123">
        <f t="shared" si="15"/>
        <v>3</v>
      </c>
      <c r="I51" s="71">
        <f t="shared" si="15"/>
        <v>3</v>
      </c>
      <c r="J51" s="71">
        <f t="shared" si="15"/>
        <v>3</v>
      </c>
      <c r="K51" s="71">
        <f t="shared" si="15"/>
        <v>3</v>
      </c>
      <c r="L51" s="123">
        <f t="shared" si="15"/>
        <v>3</v>
      </c>
      <c r="N51" s="70">
        <f>-N19</f>
        <v>12</v>
      </c>
      <c r="O51" s="123">
        <f>-O19</f>
        <v>12</v>
      </c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</row>
    <row r="52" spans="2:39" ht="15" customHeight="1" outlineLevel="1">
      <c r="B52" s="59" t="s">
        <v>115</v>
      </c>
      <c r="E52" s="70">
        <f>-E28</f>
        <v>-162.64965859532109</v>
      </c>
      <c r="F52" s="71">
        <f t="shared" ref="F52:L52" si="16">-F28</f>
        <v>320.82298043063957</v>
      </c>
      <c r="G52" s="71">
        <f t="shared" si="16"/>
        <v>321.39954515347313</v>
      </c>
      <c r="H52" s="123">
        <f t="shared" si="16"/>
        <v>159.16019145959814</v>
      </c>
      <c r="I52" s="71">
        <f t="shared" si="16"/>
        <v>49.359321166259008</v>
      </c>
      <c r="J52" s="71">
        <f t="shared" si="16"/>
        <v>338.83838184938708</v>
      </c>
      <c r="K52" s="71">
        <f t="shared" si="16"/>
        <v>343.63922791062657</v>
      </c>
      <c r="L52" s="123">
        <f t="shared" si="16"/>
        <v>682.02384064479543</v>
      </c>
      <c r="N52" s="70">
        <f>-N28</f>
        <v>638.73305844838978</v>
      </c>
      <c r="O52" s="123">
        <f>-O28</f>
        <v>1413.8607715710682</v>
      </c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</row>
    <row r="53" spans="2:39" ht="15" customHeight="1" outlineLevel="1">
      <c r="B53" s="391" t="s">
        <v>41</v>
      </c>
      <c r="E53" s="70">
        <f>SUMIFS(Model!$G494:$AD494,Model!$G$6:$AD$6,E$6,Model!$G$5:$AD$5,E$5)</f>
        <v>-2199.9999999999991</v>
      </c>
      <c r="F53" s="71">
        <f>SUMIFS(Model!$G494:$AD494,Model!$G$6:$AD$6,F$6,Model!$G$5:$AD$5,F$5)</f>
        <v>-1739.393939393939</v>
      </c>
      <c r="G53" s="71">
        <f>SUMIFS(Model!$G494:$AD494,Model!$G$6:$AD$6,G$6,Model!$G$5:$AD$5,G$5)</f>
        <v>-4075.757575757576</v>
      </c>
      <c r="H53" s="123">
        <f>SUMIFS(Model!$G494:$AD494,Model!$G$6:$AD$6,H$6,Model!$G$5:$AD$5,H$5)</f>
        <v>4074.242424242424</v>
      </c>
      <c r="I53" s="71">
        <f>SUMIFS(Model!$G494:$AD494,Model!$G$6:$AD$6,I$6,Model!$G$5:$AD$5,I$5)</f>
        <v>1153.4090909090919</v>
      </c>
      <c r="J53" s="71">
        <f>SUMIFS(Model!$G494:$AD494,Model!$G$6:$AD$6,J$6,Model!$G$5:$AD$5,J$5)</f>
        <v>1166.6666666666661</v>
      </c>
      <c r="K53" s="71">
        <f>SUMIFS(Model!$G494:$AD494,Model!$G$6:$AD$6,K$6,Model!$G$5:$AD$5,K$5)</f>
        <v>0</v>
      </c>
      <c r="L53" s="123">
        <f>SUMIFS(Model!$G494:$AD494,Model!$G$6:$AD$6,L$6,Model!$G$5:$AD$5,L$5)</f>
        <v>-379.16666666666697</v>
      </c>
      <c r="N53" s="70">
        <f>SUMIFS($E53:$L53,$E$5:$L$5,N$6)</f>
        <v>-3940.9090909090901</v>
      </c>
      <c r="O53" s="123">
        <f>SUMIFS($E53:$L53,$E$5:$L$5,O$6)</f>
        <v>1940.909090909091</v>
      </c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</row>
    <row r="54" spans="2:39" ht="15" customHeight="1" outlineLevel="1">
      <c r="B54" s="391" t="s">
        <v>68</v>
      </c>
      <c r="E54" s="70">
        <f>SUMIFS(Model!$G495:$AD495,Model!$G$6:$AD$6,E$6,Model!$G$5:$AD$5,E$5)</f>
        <v>170.23713114754099</v>
      </c>
      <c r="F54" s="71">
        <f>SUMIFS(Model!$G495:$AD495,Model!$G$6:$AD$6,F$6,Model!$G$5:$AD$5,F$5)</f>
        <v>170.23713114754099</v>
      </c>
      <c r="G54" s="71">
        <f>SUMIFS(Model!$G495:$AD495,Model!$G$6:$AD$6,G$6,Model!$G$5:$AD$5,G$5)</f>
        <v>188.07289617486333</v>
      </c>
      <c r="H54" s="123">
        <f>SUMIFS(Model!$G495:$AD495,Model!$G$6:$AD$6,H$6,Model!$G$5:$AD$5,H$5)</f>
        <v>-528.54715846994532</v>
      </c>
      <c r="I54" s="71">
        <f>SUMIFS(Model!$G495:$AD495,Model!$G$6:$AD$6,I$6,Model!$G$5:$AD$5,I$5)</f>
        <v>208.99726027397261</v>
      </c>
      <c r="J54" s="71">
        <f>SUMIFS(Model!$G495:$AD495,Model!$G$6:$AD$6,J$6,Model!$G$5:$AD$5,J$5)</f>
        <v>217.48999999999998</v>
      </c>
      <c r="K54" s="71">
        <f>SUMIFS(Model!$G495:$AD495,Model!$G$6:$AD$6,K$6,Model!$G$5:$AD$5,K$5)</f>
        <v>219.87999999999994</v>
      </c>
      <c r="L54" s="123">
        <f>SUMIFS(Model!$G495:$AD495,Model!$G$6:$AD$6,L$6,Model!$G$5:$AD$5,L$5)</f>
        <v>-646.36726027397253</v>
      </c>
      <c r="N54" s="70">
        <f>SUMIFS($E54:$L54,$E$5:$L$5,N$6)</f>
        <v>0</v>
      </c>
      <c r="O54" s="123">
        <f t="shared" ref="O54:O55" si="17">SUMIFS($E54:$L54,$E$5:$L$5,O$6)</f>
        <v>0</v>
      </c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</row>
    <row r="55" spans="2:39" ht="15" customHeight="1" outlineLevel="1">
      <c r="B55" s="391" t="s">
        <v>80</v>
      </c>
      <c r="E55" s="70">
        <f>SUMIFS(Model!$G496:$AD496,Model!$G$6:$AD$6,E$6,Model!$G$5:$AD$5,E$5)</f>
        <v>-46</v>
      </c>
      <c r="F55" s="71">
        <f>SUMIFS(Model!$G496:$AD496,Model!$G$6:$AD$6,F$6,Model!$G$5:$AD$5,F$5)</f>
        <v>0</v>
      </c>
      <c r="G55" s="71">
        <f>SUMIFS(Model!$G496:$AD496,Model!$G$6:$AD$6,G$6,Model!$G$5:$AD$5,G$5)</f>
        <v>0</v>
      </c>
      <c r="H55" s="123">
        <f>SUMIFS(Model!$G496:$AD496,Model!$G$6:$AD$6,H$6,Model!$G$5:$AD$5,H$5)</f>
        <v>0</v>
      </c>
      <c r="I55" s="71">
        <f>SUMIFS(Model!$G496:$AD496,Model!$G$6:$AD$6,I$6,Model!$G$5:$AD$5,I$5)</f>
        <v>0</v>
      </c>
      <c r="J55" s="71">
        <f>SUMIFS(Model!$G496:$AD496,Model!$G$6:$AD$6,J$6,Model!$G$5:$AD$5,J$5)</f>
        <v>0</v>
      </c>
      <c r="K55" s="71">
        <f>SUMIFS(Model!$G496:$AD496,Model!$G$6:$AD$6,K$6,Model!$G$5:$AD$5,K$5)</f>
        <v>0</v>
      </c>
      <c r="L55" s="123">
        <f>SUMIFS(Model!$G496:$AD496,Model!$G$6:$AD$6,L$6,Model!$G$5:$AD$5,L$5)</f>
        <v>0</v>
      </c>
      <c r="N55" s="70">
        <f>SUMIFS($E55:$L55,$E$5:$L$5,N$6)</f>
        <v>-46</v>
      </c>
      <c r="O55" s="123">
        <f t="shared" si="17"/>
        <v>0</v>
      </c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</row>
    <row r="56" spans="2:39" ht="15" customHeight="1" outlineLevel="1">
      <c r="B56" s="59" t="s">
        <v>121</v>
      </c>
      <c r="E56" s="124">
        <f t="shared" ref="E56:L56" si="18">SUM(E50:E55)</f>
        <v>-1509.5616495500333</v>
      </c>
      <c r="F56" s="125">
        <f t="shared" si="18"/>
        <v>723.73240757731469</v>
      </c>
      <c r="G56" s="125">
        <f t="shared" si="18"/>
        <v>-1592.7363040345949</v>
      </c>
      <c r="H56" s="126">
        <f t="shared" si="18"/>
        <v>5261.2173781281863</v>
      </c>
      <c r="I56" s="125">
        <f t="shared" si="18"/>
        <v>3015.8587271859897</v>
      </c>
      <c r="J56" s="125">
        <f t="shared" si="18"/>
        <v>4035.8127001976186</v>
      </c>
      <c r="K56" s="125">
        <f t="shared" si="18"/>
        <v>2888.0906751214338</v>
      </c>
      <c r="L56" s="126">
        <f t="shared" si="18"/>
        <v>2809.520240367583</v>
      </c>
      <c r="N56" s="124">
        <f>SUM(N50:N55)</f>
        <v>2882.6518321208723</v>
      </c>
      <c r="O56" s="126">
        <f>SUM(O50:O55)</f>
        <v>12749.282342872622</v>
      </c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</row>
    <row r="57" spans="2:39" ht="15" customHeight="1" outlineLevel="1">
      <c r="B57" s="393"/>
      <c r="E57" s="71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</row>
    <row r="58" spans="2:39" ht="15" customHeight="1" outlineLevel="1">
      <c r="B58" s="393"/>
      <c r="E58" s="71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</row>
    <row r="59" spans="2:39" ht="15" customHeight="1" outlineLevel="1">
      <c r="B59" s="388" t="s">
        <v>122</v>
      </c>
      <c r="E59" s="5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</row>
    <row r="60" spans="2:39" ht="15" customHeight="1" outlineLevel="1">
      <c r="B60" s="59" t="s">
        <v>123</v>
      </c>
      <c r="E60" s="68">
        <f>SUMIFS(Model!$G501:$AD501,Model!$G$6:$AD$6,E$6,Model!$G$5:$AD$5,E$5)</f>
        <v>0</v>
      </c>
      <c r="F60" s="69">
        <f>SUMIFS(Model!$G501:$AD501,Model!$G$6:$AD$6,F$6,Model!$G$5:$AD$5,F$5)</f>
        <v>0</v>
      </c>
      <c r="G60" s="69">
        <f>SUMIFS(Model!$G501:$AD501,Model!$G$6:$AD$6,G$6,Model!$G$5:$AD$5,G$5)</f>
        <v>-30</v>
      </c>
      <c r="H60" s="122">
        <f>SUMIFS(Model!$G501:$AD501,Model!$G$6:$AD$6,H$6,Model!$G$5:$AD$5,H$5)</f>
        <v>-7500</v>
      </c>
      <c r="I60" s="69">
        <f>SUMIFS(Model!$G501:$AD501,Model!$G$6:$AD$6,I$6,Model!$G$5:$AD$5,I$5)</f>
        <v>-1000</v>
      </c>
      <c r="J60" s="69">
        <f>SUMIFS(Model!$G501:$AD501,Model!$G$6:$AD$6,J$6,Model!$G$5:$AD$5,J$5)</f>
        <v>0</v>
      </c>
      <c r="K60" s="69">
        <f>SUMIFS(Model!$G501:$AD501,Model!$G$6:$AD$6,K$6,Model!$G$5:$AD$5,K$5)</f>
        <v>0</v>
      </c>
      <c r="L60" s="122">
        <f>SUMIFS(Model!$G501:$AD501,Model!$G$6:$AD$6,L$6,Model!$G$5:$AD$5,L$5)</f>
        <v>0</v>
      </c>
      <c r="N60" s="68">
        <f>SUMIFS($E60:$L60,$E$5:$L$5,N$6)</f>
        <v>-7530</v>
      </c>
      <c r="O60" s="122">
        <f>SUMIFS($E60:$L60,$E$5:$L$5,O$6)</f>
        <v>-1000</v>
      </c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</row>
    <row r="61" spans="2:39" ht="15" customHeight="1" outlineLevel="1">
      <c r="B61" s="59" t="s">
        <v>121</v>
      </c>
      <c r="E61" s="124">
        <f>SUM(E60)</f>
        <v>0</v>
      </c>
      <c r="F61" s="125">
        <f t="shared" ref="F61:L61" si="19">SUM(F60)</f>
        <v>0</v>
      </c>
      <c r="G61" s="125">
        <f t="shared" si="19"/>
        <v>-30</v>
      </c>
      <c r="H61" s="126">
        <f t="shared" si="19"/>
        <v>-7500</v>
      </c>
      <c r="I61" s="125">
        <f t="shared" si="19"/>
        <v>-1000</v>
      </c>
      <c r="J61" s="125">
        <f t="shared" si="19"/>
        <v>0</v>
      </c>
      <c r="K61" s="125">
        <f t="shared" si="19"/>
        <v>0</v>
      </c>
      <c r="L61" s="126">
        <f t="shared" si="19"/>
        <v>0</v>
      </c>
      <c r="N61" s="124">
        <f>SUM(N60)</f>
        <v>-7530</v>
      </c>
      <c r="O61" s="126">
        <f>SUM(O60)</f>
        <v>-1000</v>
      </c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</row>
    <row r="62" spans="2:39" ht="15" customHeight="1" outlineLevel="1">
      <c r="B62" s="396"/>
      <c r="E62" s="71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</row>
    <row r="63" spans="2:39" ht="15" customHeight="1" outlineLevel="1">
      <c r="B63" s="396"/>
      <c r="E63" s="71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</row>
    <row r="64" spans="2:39" ht="15" customHeight="1" outlineLevel="1">
      <c r="B64" s="388" t="s">
        <v>124</v>
      </c>
      <c r="E64" s="5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</row>
    <row r="65" spans="1:39" ht="15" customHeight="1" outlineLevel="1">
      <c r="B65" s="59" t="s">
        <v>125</v>
      </c>
      <c r="E65" s="68">
        <f>SUMIFS(Model!$G506:$AD506,Model!$G$6:$AD$6,E$6,Model!$G$5:$AD$5,E$5)</f>
        <v>0</v>
      </c>
      <c r="F65" s="69">
        <f>SUMIFS(Model!$G506:$AD506,Model!$G$6:$AD$6,F$6,Model!$G$5:$AD$5,F$5)</f>
        <v>0</v>
      </c>
      <c r="G65" s="69">
        <f>SUMIFS(Model!$G506:$AD506,Model!$G$6:$AD$6,G$6,Model!$G$5:$AD$5,G$5)</f>
        <v>0</v>
      </c>
      <c r="H65" s="122">
        <f>SUMIFS(Model!$G506:$AD506,Model!$G$6:$AD$6,H$6,Model!$G$5:$AD$5,H$5)</f>
        <v>2047.3481678791281</v>
      </c>
      <c r="I65" s="69">
        <f>SUMIFS(Model!$G506:$AD506,Model!$G$6:$AD$6,I$6,Model!$G$5:$AD$5,I$5)</f>
        <v>-2015.8587271859894</v>
      </c>
      <c r="J65" s="69">
        <f>SUMIFS(Model!$G506:$AD506,Model!$G$6:$AD$6,J$6,Model!$G$5:$AD$5,J$5)</f>
        <v>-31.489440693138818</v>
      </c>
      <c r="K65" s="69">
        <f>SUMIFS(Model!$G506:$AD506,Model!$G$6:$AD$6,K$6,Model!$G$5:$AD$5,K$5)</f>
        <v>0</v>
      </c>
      <c r="L65" s="122">
        <f>SUMIFS(Model!$G506:$AD506,Model!$G$6:$AD$6,L$6,Model!$G$5:$AD$5,L$5)</f>
        <v>0</v>
      </c>
      <c r="N65" s="68">
        <f>SUMIFS($E65:$L65,$E$5:$L$5,N$6)</f>
        <v>2047.3481678791281</v>
      </c>
      <c r="O65" s="122">
        <f>SUMIFS($E65:$L65,$E$5:$L$5,O$6)</f>
        <v>-2047.3481678791281</v>
      </c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</row>
    <row r="66" spans="1:39" ht="15" customHeight="1" outlineLevel="1">
      <c r="B66" s="59" t="s">
        <v>121</v>
      </c>
      <c r="E66" s="124">
        <f t="shared" ref="E66:L66" si="20">SUM(E65)</f>
        <v>0</v>
      </c>
      <c r="F66" s="125">
        <f t="shared" si="20"/>
        <v>0</v>
      </c>
      <c r="G66" s="125">
        <f t="shared" si="20"/>
        <v>0</v>
      </c>
      <c r="H66" s="126">
        <f t="shared" si="20"/>
        <v>2047.3481678791281</v>
      </c>
      <c r="I66" s="125">
        <f t="shared" si="20"/>
        <v>-2015.8587271859894</v>
      </c>
      <c r="J66" s="125">
        <f t="shared" si="20"/>
        <v>-31.489440693138818</v>
      </c>
      <c r="K66" s="125">
        <f t="shared" si="20"/>
        <v>0</v>
      </c>
      <c r="L66" s="126">
        <f t="shared" si="20"/>
        <v>0</v>
      </c>
      <c r="N66" s="124">
        <f>SUM(N65)</f>
        <v>2047.3481678791281</v>
      </c>
      <c r="O66" s="126">
        <f>SUM(O65)</f>
        <v>-2047.3481678791281</v>
      </c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</row>
    <row r="67" spans="1:39" ht="15" customHeight="1" outlineLevel="1">
      <c r="B67" s="393"/>
      <c r="E67" s="71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</row>
    <row r="68" spans="1:39" ht="15" customHeight="1" outlineLevel="1">
      <c r="B68" s="396"/>
      <c r="E68" s="71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</row>
    <row r="69" spans="1:39" ht="15" customHeight="1" outlineLevel="1">
      <c r="B69" s="388" t="s">
        <v>126</v>
      </c>
      <c r="E69" s="5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</row>
    <row r="70" spans="1:39" ht="15" customHeight="1" outlineLevel="1">
      <c r="B70" s="59" t="s">
        <v>37</v>
      </c>
      <c r="E70" s="416">
        <f>Model!G511</f>
        <v>2600</v>
      </c>
      <c r="F70" s="127">
        <f>E72</f>
        <v>1090.4383504499667</v>
      </c>
      <c r="G70" s="127">
        <f t="shared" ref="G70:L70" si="21">F72</f>
        <v>1814.1707580272814</v>
      </c>
      <c r="H70" s="128">
        <f t="shared" si="21"/>
        <v>191.43445399268649</v>
      </c>
      <c r="I70" s="127">
        <f t="shared" si="21"/>
        <v>1.3642420526593924E-12</v>
      </c>
      <c r="J70" s="127">
        <f t="shared" si="21"/>
        <v>1.3642420526593924E-12</v>
      </c>
      <c r="K70" s="127">
        <f t="shared" si="21"/>
        <v>4004.323259504481</v>
      </c>
      <c r="L70" s="129">
        <f t="shared" si="21"/>
        <v>6892.4139346259144</v>
      </c>
      <c r="M70" s="417"/>
      <c r="N70" s="418">
        <f>E70</f>
        <v>2600</v>
      </c>
      <c r="O70" s="129">
        <f>N72</f>
        <v>0</v>
      </c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</row>
    <row r="71" spans="1:39" ht="15" customHeight="1" outlineLevel="1">
      <c r="B71" s="59" t="s">
        <v>127</v>
      </c>
      <c r="E71" s="80">
        <f>E66+E61+E56</f>
        <v>-1509.5616495500333</v>
      </c>
      <c r="F71" s="75">
        <f t="shared" ref="F71:L71" si="22">F66+F61+F56</f>
        <v>723.73240757731469</v>
      </c>
      <c r="G71" s="75">
        <f t="shared" si="22"/>
        <v>-1622.7363040345949</v>
      </c>
      <c r="H71" s="130">
        <f t="shared" si="22"/>
        <v>-191.43445399268512</v>
      </c>
      <c r="I71" s="75">
        <f t="shared" si="22"/>
        <v>0</v>
      </c>
      <c r="J71" s="75">
        <f t="shared" si="22"/>
        <v>4004.3232595044797</v>
      </c>
      <c r="K71" s="75">
        <f t="shared" si="22"/>
        <v>2888.0906751214338</v>
      </c>
      <c r="L71" s="131">
        <f t="shared" si="22"/>
        <v>2809.520240367583</v>
      </c>
      <c r="M71" s="417"/>
      <c r="N71" s="187">
        <f>N66+N61+N56</f>
        <v>-2599.9999999999991</v>
      </c>
      <c r="O71" s="131">
        <f>O66+O61+O56</f>
        <v>9701.9341749934938</v>
      </c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</row>
    <row r="72" spans="1:39" ht="15" customHeight="1" outlineLevel="1" thickBot="1">
      <c r="B72" s="59" t="s">
        <v>40</v>
      </c>
      <c r="E72" s="132">
        <f>SUM(E70:E71)</f>
        <v>1090.4383504499667</v>
      </c>
      <c r="F72" s="133">
        <f t="shared" ref="F72:L72" si="23">SUM(F70:F71)</f>
        <v>1814.1707580272814</v>
      </c>
      <c r="G72" s="133">
        <f t="shared" si="23"/>
        <v>191.43445399268649</v>
      </c>
      <c r="H72" s="134">
        <f t="shared" si="23"/>
        <v>1.3642420526593924E-12</v>
      </c>
      <c r="I72" s="133">
        <f t="shared" si="23"/>
        <v>1.3642420526593924E-12</v>
      </c>
      <c r="J72" s="133">
        <f t="shared" si="23"/>
        <v>4004.323259504481</v>
      </c>
      <c r="K72" s="133">
        <f t="shared" si="23"/>
        <v>6892.4139346259144</v>
      </c>
      <c r="L72" s="135">
        <f t="shared" si="23"/>
        <v>9701.9341749934974</v>
      </c>
      <c r="M72" s="417"/>
      <c r="N72" s="188">
        <f>SUM(N70:N71)</f>
        <v>0</v>
      </c>
      <c r="O72" s="135">
        <f>SUM(O70:O71)</f>
        <v>9701.9341749934938</v>
      </c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</row>
    <row r="73" spans="1:39" ht="15" customHeight="1" outlineLevel="1"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</row>
    <row r="74" spans="1:39" ht="15" customHeight="1" outlineLevel="1">
      <c r="G74" s="102"/>
      <c r="H74" s="102"/>
      <c r="I74" s="103"/>
      <c r="J74" s="102"/>
      <c r="K74" s="102"/>
      <c r="L74" s="102"/>
      <c r="P74" s="102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</row>
    <row r="75" spans="1:39" ht="15" customHeight="1" outlineLevel="1">
      <c r="G75" s="102"/>
      <c r="H75" s="102"/>
      <c r="I75" s="103"/>
      <c r="J75" s="102"/>
      <c r="K75" s="102"/>
      <c r="L75" s="102"/>
      <c r="P75" s="102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</row>
    <row r="76" spans="1:39" ht="15" customHeight="1" outlineLevel="1">
      <c r="B76" s="116"/>
      <c r="C76" s="116"/>
      <c r="D76" s="116"/>
      <c r="E76" s="116"/>
      <c r="F76" s="116"/>
      <c r="G76" s="117"/>
      <c r="H76" s="117"/>
      <c r="I76" s="118"/>
      <c r="J76" s="117"/>
      <c r="K76" s="117"/>
      <c r="L76" s="117"/>
      <c r="M76" s="116"/>
      <c r="N76" s="116"/>
      <c r="O76" s="116"/>
      <c r="P76" s="102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</row>
    <row r="77" spans="1:39" ht="15" customHeight="1">
      <c r="G77" s="102"/>
      <c r="H77" s="102"/>
      <c r="I77" s="103"/>
      <c r="J77" s="102"/>
      <c r="K77" s="102"/>
      <c r="L77" s="102"/>
      <c r="P77" s="102"/>
    </row>
    <row r="78" spans="1:39" ht="15" customHeight="1">
      <c r="A78" s="88" t="s">
        <v>10</v>
      </c>
      <c r="B78" s="24" t="s">
        <v>163</v>
      </c>
      <c r="C78" s="119"/>
      <c r="D78" s="119"/>
      <c r="E78" s="120"/>
      <c r="F78" s="120"/>
      <c r="G78" s="120"/>
      <c r="H78" s="91"/>
      <c r="I78" s="120"/>
      <c r="J78" s="120"/>
      <c r="K78" s="120"/>
      <c r="L78" s="91"/>
      <c r="M78" s="120"/>
      <c r="N78" s="91"/>
      <c r="O78" s="91"/>
    </row>
    <row r="79" spans="1:39" ht="15" customHeight="1" outlineLevel="1">
      <c r="B79" s="28"/>
      <c r="C79" s="29"/>
      <c r="D79" s="29"/>
      <c r="E79" s="92"/>
      <c r="F79" s="92"/>
      <c r="G79" s="92"/>
      <c r="H79" s="92"/>
    </row>
    <row r="80" spans="1:39" ht="15" customHeight="1" outlineLevel="1">
      <c r="B80" s="31" t="s">
        <v>13</v>
      </c>
      <c r="C80" s="93"/>
      <c r="D80" s="93"/>
      <c r="E80" s="52">
        <f t="shared" ref="E80:L80" si="24">E$5</f>
        <v>2024</v>
      </c>
      <c r="F80" s="51">
        <f t="shared" si="24"/>
        <v>2024</v>
      </c>
      <c r="G80" s="51">
        <f t="shared" si="24"/>
        <v>2024</v>
      </c>
      <c r="H80" s="94">
        <f t="shared" si="24"/>
        <v>2024</v>
      </c>
      <c r="I80" s="53">
        <f t="shared" si="24"/>
        <v>2025</v>
      </c>
      <c r="J80" s="51">
        <f t="shared" si="24"/>
        <v>2025</v>
      </c>
      <c r="K80" s="51">
        <f t="shared" si="24"/>
        <v>2025</v>
      </c>
      <c r="L80" s="94">
        <f t="shared" si="24"/>
        <v>2025</v>
      </c>
      <c r="M80" s="40"/>
      <c r="N80" s="121"/>
      <c r="O80" s="136"/>
      <c r="P80" s="95"/>
    </row>
    <row r="81" spans="2:16" ht="15" customHeight="1" outlineLevel="1" thickBot="1">
      <c r="E81" s="96">
        <f t="shared" ref="E81:L81" si="25">E$6</f>
        <v>1</v>
      </c>
      <c r="F81" s="54">
        <f t="shared" si="25"/>
        <v>2</v>
      </c>
      <c r="G81" s="54">
        <f t="shared" si="25"/>
        <v>3</v>
      </c>
      <c r="H81" s="54">
        <f t="shared" si="25"/>
        <v>4</v>
      </c>
      <c r="I81" s="97">
        <f t="shared" si="25"/>
        <v>1</v>
      </c>
      <c r="J81" s="54">
        <f t="shared" si="25"/>
        <v>2</v>
      </c>
      <c r="K81" s="54">
        <f t="shared" si="25"/>
        <v>3</v>
      </c>
      <c r="L81" s="54">
        <f t="shared" si="25"/>
        <v>4</v>
      </c>
      <c r="M81" s="40"/>
      <c r="N81" s="98">
        <f>N$6</f>
        <v>2024</v>
      </c>
      <c r="O81" s="99">
        <f>O$6</f>
        <v>2025</v>
      </c>
      <c r="P81" s="95"/>
    </row>
    <row r="82" spans="2:16" ht="15" customHeight="1" outlineLevel="1">
      <c r="E82" s="100"/>
      <c r="F82" s="100"/>
      <c r="G82" s="100"/>
      <c r="H82" s="100"/>
      <c r="I82" s="100"/>
      <c r="J82" s="100"/>
      <c r="K82" s="100"/>
      <c r="L82" s="100"/>
      <c r="N82" s="100"/>
      <c r="O82" s="100"/>
    </row>
    <row r="83" spans="2:16" ht="15" customHeight="1" outlineLevel="1"/>
    <row r="84" spans="2:16" ht="15" customHeight="1" outlineLevel="1">
      <c r="B84" s="41" t="s">
        <v>12</v>
      </c>
      <c r="E84" s="55">
        <f t="shared" ref="E84:L84" si="26">E$9</f>
        <v>1</v>
      </c>
      <c r="F84" s="55">
        <f t="shared" si="26"/>
        <v>1</v>
      </c>
      <c r="G84" s="55">
        <f t="shared" si="26"/>
        <v>1</v>
      </c>
      <c r="H84" s="55">
        <f t="shared" si="26"/>
        <v>1</v>
      </c>
      <c r="I84" s="55">
        <f t="shared" si="26"/>
        <v>0</v>
      </c>
      <c r="J84" s="55">
        <f t="shared" si="26"/>
        <v>0</v>
      </c>
      <c r="K84" s="55">
        <f t="shared" si="26"/>
        <v>0</v>
      </c>
      <c r="L84" s="55">
        <f t="shared" si="26"/>
        <v>0</v>
      </c>
      <c r="M84" s="102"/>
      <c r="N84" s="55">
        <f>N$9</f>
        <v>1</v>
      </c>
      <c r="O84" s="55">
        <f>O$9</f>
        <v>0</v>
      </c>
    </row>
    <row r="85" spans="2:16" ht="15" customHeight="1" outlineLevel="1">
      <c r="B85" s="46" t="str">
        <f>Model!B11</f>
        <v>Atlantis Food</v>
      </c>
      <c r="E85" s="104">
        <f>SUMIFS(Model!$G24:$AD24,Model!$G$6:$AD$6,E$6,Model!$G$5:$AD$5,E$5)</f>
        <v>2200</v>
      </c>
      <c r="F85" s="105">
        <f>SUMIFS(Model!$G24:$AD24,Model!$G$6:$AD$6,F$6,Model!$G$5:$AD$5,F$5)</f>
        <v>0</v>
      </c>
      <c r="G85" s="105">
        <f>SUMIFS(Model!$G24:$AD24,Model!$G$6:$AD$6,G$6,Model!$G$5:$AD$5,G$5)</f>
        <v>0</v>
      </c>
      <c r="H85" s="105">
        <f>SUMIFS(Model!$G24:$AD24,Model!$G$6:$AD$6,H$6,Model!$G$5:$AD$5,H$5)</f>
        <v>0</v>
      </c>
      <c r="I85" s="104">
        <f>SUMIFS(Model!$G24:$AD24,Model!$G$6:$AD$6,I$6,Model!$G$5:$AD$5,I$5)</f>
        <v>0</v>
      </c>
      <c r="J85" s="105">
        <f>SUMIFS(Model!$G24:$AD24,Model!$G$6:$AD$6,J$6,Model!$G$5:$AD$5,J$5)</f>
        <v>0</v>
      </c>
      <c r="K85" s="105">
        <f>SUMIFS(Model!$G24:$AD24,Model!$G$6:$AD$6,K$6,Model!$G$5:$AD$5,K$5)</f>
        <v>0</v>
      </c>
      <c r="L85" s="105">
        <f>SUMIFS(Model!$G24:$AD24,Model!$G$6:$AD$6,L$6,Model!$G$5:$AD$5,L$5)</f>
        <v>0</v>
      </c>
      <c r="M85" s="106"/>
      <c r="N85" s="104">
        <f>SUMIFS($E85:$L85,$E$5:$L$5,N$6)</f>
        <v>2200</v>
      </c>
      <c r="O85" s="104">
        <f t="shared" ref="N85:O94" si="27">SUMIFS($E85:$L85,$E$5:$L$5,O$6)</f>
        <v>0</v>
      </c>
      <c r="P85" s="106"/>
    </row>
    <row r="86" spans="2:16" ht="15" customHeight="1" outlineLevel="1">
      <c r="B86" s="46" t="str">
        <f>Model!B12</f>
        <v>FocusRite</v>
      </c>
      <c r="E86" s="108">
        <f>SUMIFS(Model!$G25:$AD25,Model!$G$6:$AD$6,E$6,Model!$G$5:$AD$5,E$5)</f>
        <v>0</v>
      </c>
      <c r="F86" s="109">
        <f>SUMIFS(Model!$G25:$AD25,Model!$G$6:$AD$6,F$6,Model!$G$5:$AD$5,F$5)</f>
        <v>3000</v>
      </c>
      <c r="G86" s="109">
        <f>SUMIFS(Model!$G25:$AD25,Model!$G$6:$AD$6,G$6,Model!$G$5:$AD$5,G$5)</f>
        <v>3000</v>
      </c>
      <c r="H86" s="109">
        <f>SUMIFS(Model!$G25:$AD25,Model!$G$6:$AD$6,H$6,Model!$G$5:$AD$5,H$5)</f>
        <v>0</v>
      </c>
      <c r="I86" s="108">
        <f>SUMIFS(Model!$G25:$AD25,Model!$G$6:$AD$6,I$6,Model!$G$5:$AD$5,I$5)</f>
        <v>0</v>
      </c>
      <c r="J86" s="109">
        <f>SUMIFS(Model!$G25:$AD25,Model!$G$6:$AD$6,J$6,Model!$G$5:$AD$5,J$5)</f>
        <v>0</v>
      </c>
      <c r="K86" s="109">
        <f>SUMIFS(Model!$G25:$AD25,Model!$G$6:$AD$6,K$6,Model!$G$5:$AD$5,K$5)</f>
        <v>0</v>
      </c>
      <c r="L86" s="109">
        <f>SUMIFS(Model!$G25:$AD25,Model!$G$6:$AD$6,L$6,Model!$G$5:$AD$5,L$5)</f>
        <v>0</v>
      </c>
      <c r="M86" s="106"/>
      <c r="N86" s="108">
        <f t="shared" si="27"/>
        <v>6000</v>
      </c>
      <c r="O86" s="108">
        <f t="shared" si="27"/>
        <v>0</v>
      </c>
      <c r="P86" s="106"/>
    </row>
    <row r="87" spans="2:16" ht="15" customHeight="1" outlineLevel="1">
      <c r="B87" s="46" t="str">
        <f>Model!B13</f>
        <v>NextLevel AI</v>
      </c>
      <c r="E87" s="108">
        <f>SUMIFS(Model!$G26:$AD26,Model!$G$6:$AD$6,E$6,Model!$G$5:$AD$5,E$5)</f>
        <v>0</v>
      </c>
      <c r="F87" s="109">
        <f>SUMIFS(Model!$G26:$AD26,Model!$G$6:$AD$6,F$6,Model!$G$5:$AD$5,F$5)</f>
        <v>666.66666666666663</v>
      </c>
      <c r="G87" s="109">
        <f>SUMIFS(Model!$G26:$AD26,Model!$G$6:$AD$6,G$6,Model!$G$5:$AD$5,G$5)</f>
        <v>666.66666666666663</v>
      </c>
      <c r="H87" s="109">
        <f>SUMIFS(Model!$G26:$AD26,Model!$G$6:$AD$6,H$6,Model!$G$5:$AD$5,H$5)</f>
        <v>666.66666666666663</v>
      </c>
      <c r="I87" s="108">
        <f>SUMIFS(Model!$G26:$AD26,Model!$G$6:$AD$6,I$6,Model!$G$5:$AD$5,I$5)</f>
        <v>0</v>
      </c>
      <c r="J87" s="109">
        <f>SUMIFS(Model!$G26:$AD26,Model!$G$6:$AD$6,J$6,Model!$G$5:$AD$5,J$5)</f>
        <v>0</v>
      </c>
      <c r="K87" s="109">
        <f>SUMIFS(Model!$G26:$AD26,Model!$G$6:$AD$6,K$6,Model!$G$5:$AD$5,K$5)</f>
        <v>0</v>
      </c>
      <c r="L87" s="109">
        <f>SUMIFS(Model!$G26:$AD26,Model!$G$6:$AD$6,L$6,Model!$G$5:$AD$5,L$5)</f>
        <v>0</v>
      </c>
      <c r="M87" s="106"/>
      <c r="N87" s="108">
        <f t="shared" si="27"/>
        <v>2000</v>
      </c>
      <c r="O87" s="108">
        <f t="shared" si="27"/>
        <v>0</v>
      </c>
      <c r="P87" s="106"/>
    </row>
    <row r="88" spans="2:16" ht="15" customHeight="1" outlineLevel="1">
      <c r="B88" s="46" t="str">
        <f>Model!B14</f>
        <v>Hemway Rail</v>
      </c>
      <c r="E88" s="108">
        <f>SUMIFS(Model!$G27:$AD27,Model!$G$6:$AD$6,E$6,Model!$G$5:$AD$5,E$5)</f>
        <v>0</v>
      </c>
      <c r="F88" s="109">
        <f>SUMIFS(Model!$G27:$AD27,Model!$G$6:$AD$6,F$6,Model!$G$5:$AD$5,F$5)</f>
        <v>272.72727272727275</v>
      </c>
      <c r="G88" s="109">
        <f>SUMIFS(Model!$G27:$AD27,Model!$G$6:$AD$6,G$6,Model!$G$5:$AD$5,G$5)</f>
        <v>409.09090909090912</v>
      </c>
      <c r="H88" s="109">
        <f>SUMIFS(Model!$G27:$AD27,Model!$G$6:$AD$6,H$6,Model!$G$5:$AD$5,H$5)</f>
        <v>409.09090909090912</v>
      </c>
      <c r="I88" s="108">
        <f>SUMIFS(Model!$G27:$AD27,Model!$G$6:$AD$6,I$6,Model!$G$5:$AD$5,I$5)</f>
        <v>409.09090909090912</v>
      </c>
      <c r="J88" s="109">
        <f>SUMIFS(Model!$G27:$AD27,Model!$G$6:$AD$6,J$6,Model!$G$5:$AD$5,J$5)</f>
        <v>0</v>
      </c>
      <c r="K88" s="109">
        <f>SUMIFS(Model!$G27:$AD27,Model!$G$6:$AD$6,K$6,Model!$G$5:$AD$5,K$5)</f>
        <v>0</v>
      </c>
      <c r="L88" s="109">
        <f>SUMIFS(Model!$G27:$AD27,Model!$G$6:$AD$6,L$6,Model!$G$5:$AD$5,L$5)</f>
        <v>0</v>
      </c>
      <c r="M88" s="106"/>
      <c r="N88" s="108">
        <f t="shared" si="27"/>
        <v>1090.909090909091</v>
      </c>
      <c r="O88" s="108">
        <f t="shared" si="27"/>
        <v>409.09090909090912</v>
      </c>
      <c r="P88" s="106"/>
    </row>
    <row r="89" spans="2:16" ht="15" customHeight="1" outlineLevel="1">
      <c r="B89" s="46" t="str">
        <f>Model!B15</f>
        <v>Rail Works</v>
      </c>
      <c r="E89" s="108">
        <f>SUMIFS(Model!$G28:$AD28,Model!$G$6:$AD$6,E$6,Model!$G$5:$AD$5,E$5)</f>
        <v>0</v>
      </c>
      <c r="F89" s="109">
        <f>SUMIFS(Model!$G28:$AD28,Model!$G$6:$AD$6,F$6,Model!$G$5:$AD$5,F$5)</f>
        <v>0</v>
      </c>
      <c r="G89" s="109">
        <f>SUMIFS(Model!$G28:$AD28,Model!$G$6:$AD$6,G$6,Model!$G$5:$AD$5,G$5)</f>
        <v>0</v>
      </c>
      <c r="H89" s="109">
        <f>SUMIFS(Model!$G28:$AD28,Model!$G$6:$AD$6,H$6,Model!$G$5:$AD$5,H$5)</f>
        <v>750</v>
      </c>
      <c r="I89" s="108">
        <f>SUMIFS(Model!$G28:$AD28,Model!$G$6:$AD$6,I$6,Model!$G$5:$AD$5,I$5)</f>
        <v>750</v>
      </c>
      <c r="J89" s="109">
        <f>SUMIFS(Model!$G28:$AD28,Model!$G$6:$AD$6,J$6,Model!$G$5:$AD$5,J$5)</f>
        <v>750</v>
      </c>
      <c r="K89" s="109">
        <f>SUMIFS(Model!$G28:$AD28,Model!$G$6:$AD$6,K$6,Model!$G$5:$AD$5,K$5)</f>
        <v>750</v>
      </c>
      <c r="L89" s="109">
        <f>SUMIFS(Model!$G28:$AD28,Model!$G$6:$AD$6,L$6,Model!$G$5:$AD$5,L$5)</f>
        <v>0</v>
      </c>
      <c r="M89" s="106"/>
      <c r="N89" s="108">
        <f t="shared" si="27"/>
        <v>750</v>
      </c>
      <c r="O89" s="108">
        <f t="shared" si="27"/>
        <v>2250</v>
      </c>
      <c r="P89" s="106"/>
    </row>
    <row r="90" spans="2:16" ht="15" customHeight="1" outlineLevel="1">
      <c r="B90" s="46" t="str">
        <f>Model!B16</f>
        <v>Eastlink Air</v>
      </c>
      <c r="E90" s="108">
        <f>SUMIFS(Model!$G29:$AD29,Model!$G$6:$AD$6,E$6,Model!$G$5:$AD$5,E$5)</f>
        <v>0</v>
      </c>
      <c r="F90" s="109">
        <f>SUMIFS(Model!$G29:$AD29,Model!$G$6:$AD$6,F$6,Model!$G$5:$AD$5,F$5)</f>
        <v>0</v>
      </c>
      <c r="G90" s="109">
        <f>SUMIFS(Model!$G29:$AD29,Model!$G$6:$AD$6,G$6,Model!$G$5:$AD$5,G$5)</f>
        <v>0</v>
      </c>
      <c r="H90" s="109">
        <f>SUMIFS(Model!$G29:$AD29,Model!$G$6:$AD$6,H$6,Model!$G$5:$AD$5,H$5)</f>
        <v>925</v>
      </c>
      <c r="I90" s="108">
        <f>SUMIFS(Model!$G29:$AD29,Model!$G$6:$AD$6,I$6,Model!$G$5:$AD$5,I$5)</f>
        <v>925</v>
      </c>
      <c r="J90" s="109">
        <f>SUMIFS(Model!$G29:$AD29,Model!$G$6:$AD$6,J$6,Model!$G$5:$AD$5,J$5)</f>
        <v>925</v>
      </c>
      <c r="K90" s="109">
        <f>SUMIFS(Model!$G29:$AD29,Model!$G$6:$AD$6,K$6,Model!$G$5:$AD$5,K$5)</f>
        <v>925</v>
      </c>
      <c r="L90" s="109">
        <f>SUMIFS(Model!$G29:$AD29,Model!$G$6:$AD$6,L$6,Model!$G$5:$AD$5,L$5)</f>
        <v>0</v>
      </c>
      <c r="M90" s="106"/>
      <c r="N90" s="108">
        <f t="shared" si="27"/>
        <v>925</v>
      </c>
      <c r="O90" s="108">
        <f t="shared" si="27"/>
        <v>2775</v>
      </c>
      <c r="P90" s="106"/>
    </row>
    <row r="91" spans="2:16" ht="15" customHeight="1" outlineLevel="1">
      <c r="B91" s="46" t="str">
        <f>Model!B17</f>
        <v>Trans Loop</v>
      </c>
      <c r="E91" s="108">
        <f>SUMIFS(Model!$G30:$AD30,Model!$G$6:$AD$6,E$6,Model!$G$5:$AD$5,E$5)</f>
        <v>0</v>
      </c>
      <c r="F91" s="109">
        <f>SUMIFS(Model!$G30:$AD30,Model!$G$6:$AD$6,F$6,Model!$G$5:$AD$5,F$5)</f>
        <v>0</v>
      </c>
      <c r="G91" s="109">
        <f>SUMIFS(Model!$G30:$AD30,Model!$G$6:$AD$6,G$6,Model!$G$5:$AD$5,G$5)</f>
        <v>0</v>
      </c>
      <c r="H91" s="109">
        <f>SUMIFS(Model!$G30:$AD30,Model!$G$6:$AD$6,H$6,Model!$G$5:$AD$5,H$5)</f>
        <v>874.99999999999989</v>
      </c>
      <c r="I91" s="108">
        <f>SUMIFS(Model!$G30:$AD30,Model!$G$6:$AD$6,I$6,Model!$G$5:$AD$5,I$5)</f>
        <v>874.99999999999989</v>
      </c>
      <c r="J91" s="109">
        <f>SUMIFS(Model!$G30:$AD30,Model!$G$6:$AD$6,J$6,Model!$G$5:$AD$5,J$5)</f>
        <v>874.99999999999989</v>
      </c>
      <c r="K91" s="109">
        <f>SUMIFS(Model!$G30:$AD30,Model!$G$6:$AD$6,K$6,Model!$G$5:$AD$5,K$5)</f>
        <v>874.99999999999989</v>
      </c>
      <c r="L91" s="109">
        <f>SUMIFS(Model!$G30:$AD30,Model!$G$6:$AD$6,L$6,Model!$G$5:$AD$5,L$5)</f>
        <v>0</v>
      </c>
      <c r="M91" s="106"/>
      <c r="N91" s="108">
        <f t="shared" si="27"/>
        <v>874.99999999999989</v>
      </c>
      <c r="O91" s="108">
        <f t="shared" si="27"/>
        <v>2624.9999999999995</v>
      </c>
      <c r="P91" s="106"/>
    </row>
    <row r="92" spans="2:16" ht="15" customHeight="1" outlineLevel="1">
      <c r="B92" s="46" t="str">
        <f>Model!B18</f>
        <v>High Travel</v>
      </c>
      <c r="E92" s="108">
        <f>SUMIFS(Model!$G31:$AD31,Model!$G$6:$AD$6,E$6,Model!$G$5:$AD$5,E$5)</f>
        <v>0</v>
      </c>
      <c r="F92" s="109">
        <f>SUMIFS(Model!$G31:$AD31,Model!$G$6:$AD$6,F$6,Model!$G$5:$AD$5,F$5)</f>
        <v>0</v>
      </c>
      <c r="G92" s="109">
        <f>SUMIFS(Model!$G31:$AD31,Model!$G$6:$AD$6,G$6,Model!$G$5:$AD$5,G$5)</f>
        <v>0</v>
      </c>
      <c r="H92" s="109">
        <f>SUMIFS(Model!$G31:$AD31,Model!$G$6:$AD$6,H$6,Model!$G$5:$AD$5,H$5)</f>
        <v>0</v>
      </c>
      <c r="I92" s="108">
        <f>SUMIFS(Model!$G31:$AD31,Model!$G$6:$AD$6,I$6,Model!$G$5:$AD$5,I$5)</f>
        <v>875</v>
      </c>
      <c r="J92" s="109">
        <f>SUMIFS(Model!$G31:$AD31,Model!$G$6:$AD$6,J$6,Model!$G$5:$AD$5,J$5)</f>
        <v>1312.5</v>
      </c>
      <c r="K92" s="109">
        <f>SUMIFS(Model!$G31:$AD31,Model!$G$6:$AD$6,K$6,Model!$G$5:$AD$5,K$5)</f>
        <v>1312.5</v>
      </c>
      <c r="L92" s="109">
        <f>SUMIFS(Model!$G31:$AD31,Model!$G$6:$AD$6,L$6,Model!$G$5:$AD$5,L$5)</f>
        <v>0</v>
      </c>
      <c r="M92" s="106"/>
      <c r="N92" s="108">
        <f t="shared" si="27"/>
        <v>0</v>
      </c>
      <c r="O92" s="108">
        <f t="shared" si="27"/>
        <v>3500</v>
      </c>
      <c r="P92" s="106"/>
    </row>
    <row r="93" spans="2:16" ht="15" customHeight="1" outlineLevel="1">
      <c r="B93" s="46" t="str">
        <f>Model!B19</f>
        <v>Arc Finance</v>
      </c>
      <c r="E93" s="108">
        <f>SUMIFS(Model!$G32:$AD32,Model!$G$6:$AD$6,E$6,Model!$G$5:$AD$5,E$5)</f>
        <v>0</v>
      </c>
      <c r="F93" s="109">
        <f>SUMIFS(Model!$G32:$AD32,Model!$G$6:$AD$6,F$6,Model!$G$5:$AD$5,F$5)</f>
        <v>0</v>
      </c>
      <c r="G93" s="109">
        <f>SUMIFS(Model!$G32:$AD32,Model!$G$6:$AD$6,G$6,Model!$G$5:$AD$5,G$5)</f>
        <v>0</v>
      </c>
      <c r="H93" s="109">
        <f>SUMIFS(Model!$G32:$AD32,Model!$G$6:$AD$6,H$6,Model!$G$5:$AD$5,H$5)</f>
        <v>0</v>
      </c>
      <c r="I93" s="108">
        <f>SUMIFS(Model!$G32:$AD32,Model!$G$6:$AD$6,I$6,Model!$G$5:$AD$5,I$5)</f>
        <v>0</v>
      </c>
      <c r="J93" s="109">
        <f>SUMIFS(Model!$G32:$AD32,Model!$G$6:$AD$6,J$6,Model!$G$5:$AD$5,J$5)</f>
        <v>1000</v>
      </c>
      <c r="K93" s="109">
        <f>SUMIFS(Model!$G32:$AD32,Model!$G$6:$AD$6,K$6,Model!$G$5:$AD$5,K$5)</f>
        <v>1000</v>
      </c>
      <c r="L93" s="109">
        <f>SUMIFS(Model!$G32:$AD32,Model!$G$6:$AD$6,L$6,Model!$G$5:$AD$5,L$5)</f>
        <v>1000</v>
      </c>
      <c r="M93" s="106"/>
      <c r="N93" s="108">
        <f t="shared" si="27"/>
        <v>0</v>
      </c>
      <c r="O93" s="108">
        <f t="shared" si="27"/>
        <v>3000</v>
      </c>
      <c r="P93" s="106"/>
    </row>
    <row r="94" spans="2:16" ht="15" customHeight="1" outlineLevel="1">
      <c r="B94" s="46" t="str">
        <f>Model!B20</f>
        <v>GiveWay</v>
      </c>
      <c r="E94" s="108">
        <f>SUMIFS(Model!$G33:$AD33,Model!$G$6:$AD$6,E$6,Model!$G$5:$AD$5,E$5)</f>
        <v>0</v>
      </c>
      <c r="F94" s="109">
        <f>SUMIFS(Model!$G33:$AD33,Model!$G$6:$AD$6,F$6,Model!$G$5:$AD$5,F$5)</f>
        <v>0</v>
      </c>
      <c r="G94" s="109">
        <f>SUMIFS(Model!$G33:$AD33,Model!$G$6:$AD$6,G$6,Model!$G$5:$AD$5,G$5)</f>
        <v>0</v>
      </c>
      <c r="H94" s="109">
        <f>SUMIFS(Model!$G33:$AD33,Model!$G$6:$AD$6,H$6,Model!$G$5:$AD$5,H$5)</f>
        <v>0</v>
      </c>
      <c r="I94" s="108">
        <f>SUMIFS(Model!$G33:$AD33,Model!$G$6:$AD$6,I$6,Model!$G$5:$AD$5,I$5)</f>
        <v>0</v>
      </c>
      <c r="J94" s="109">
        <f>SUMIFS(Model!$G33:$AD33,Model!$G$6:$AD$6,J$6,Model!$G$5:$AD$5,J$5)</f>
        <v>0</v>
      </c>
      <c r="K94" s="109">
        <f>SUMIFS(Model!$G33:$AD33,Model!$G$6:$AD$6,K$6,Model!$G$5:$AD$5,K$5)</f>
        <v>0</v>
      </c>
      <c r="L94" s="109">
        <f>SUMIFS(Model!$G33:$AD33,Model!$G$6:$AD$6,L$6,Model!$G$5:$AD$5,L$5)</f>
        <v>5000</v>
      </c>
      <c r="M94" s="106"/>
      <c r="N94" s="108">
        <f t="shared" si="27"/>
        <v>0</v>
      </c>
      <c r="O94" s="108">
        <f t="shared" si="27"/>
        <v>5000</v>
      </c>
      <c r="P94" s="106"/>
    </row>
    <row r="95" spans="2:16" ht="15" customHeight="1" outlineLevel="1">
      <c r="B95" s="46" t="s">
        <v>55</v>
      </c>
      <c r="E95" s="104">
        <f>SUM(E85:E94)</f>
        <v>2200</v>
      </c>
      <c r="F95" s="105">
        <f t="shared" ref="F95:L95" si="28">SUM(F85:F94)</f>
        <v>3939.393939393939</v>
      </c>
      <c r="G95" s="105">
        <f t="shared" si="28"/>
        <v>4075.7575757575755</v>
      </c>
      <c r="H95" s="105">
        <f t="shared" si="28"/>
        <v>3625.757575757576</v>
      </c>
      <c r="I95" s="104">
        <f t="shared" si="28"/>
        <v>3834.090909090909</v>
      </c>
      <c r="J95" s="105">
        <f t="shared" si="28"/>
        <v>4862.5</v>
      </c>
      <c r="K95" s="105">
        <f t="shared" si="28"/>
        <v>4862.5</v>
      </c>
      <c r="L95" s="105">
        <f t="shared" si="28"/>
        <v>6000</v>
      </c>
      <c r="M95" s="106"/>
      <c r="N95" s="104">
        <f>SUM(N85:N94)</f>
        <v>13840.909090909092</v>
      </c>
      <c r="O95" s="104">
        <f>SUM(O85:O94)</f>
        <v>19559.090909090908</v>
      </c>
      <c r="P95" s="106"/>
    </row>
    <row r="96" spans="2:16" ht="15" customHeight="1" outlineLevel="1">
      <c r="E96" s="110"/>
      <c r="F96" s="110"/>
      <c r="G96" s="111"/>
      <c r="H96" s="111"/>
      <c r="I96" s="112"/>
      <c r="J96" s="111"/>
      <c r="K96" s="111"/>
      <c r="L96" s="111"/>
      <c r="N96" s="110"/>
      <c r="O96" s="110"/>
    </row>
    <row r="97" spans="2:16" ht="15" customHeight="1" outlineLevel="1">
      <c r="G97" s="102"/>
      <c r="H97" s="102"/>
      <c r="I97" s="103"/>
      <c r="J97" s="102"/>
      <c r="K97" s="102"/>
      <c r="L97" s="102"/>
    </row>
    <row r="98" spans="2:16" ht="15" customHeight="1" outlineLevel="1">
      <c r="B98" s="41" t="s">
        <v>30</v>
      </c>
      <c r="E98" s="55">
        <f t="shared" ref="E98:L98" si="29">E$9</f>
        <v>1</v>
      </c>
      <c r="F98" s="55">
        <f t="shared" si="29"/>
        <v>1</v>
      </c>
      <c r="G98" s="55">
        <f t="shared" si="29"/>
        <v>1</v>
      </c>
      <c r="H98" s="55">
        <f t="shared" si="29"/>
        <v>1</v>
      </c>
      <c r="I98" s="55">
        <f t="shared" si="29"/>
        <v>0</v>
      </c>
      <c r="J98" s="55">
        <f t="shared" si="29"/>
        <v>0</v>
      </c>
      <c r="K98" s="55">
        <f t="shared" si="29"/>
        <v>0</v>
      </c>
      <c r="L98" s="55">
        <f t="shared" si="29"/>
        <v>0</v>
      </c>
      <c r="M98" s="102"/>
      <c r="N98" s="55">
        <f>N$9</f>
        <v>1</v>
      </c>
      <c r="O98" s="55">
        <f>O$9</f>
        <v>0</v>
      </c>
    </row>
    <row r="99" spans="2:16" ht="15" customHeight="1" outlineLevel="1">
      <c r="B99" s="46" t="str">
        <f>Model!B24</f>
        <v>Atlantis Food</v>
      </c>
      <c r="E99" s="104">
        <f>SUMIFS(Model!$G46:$AD46,Model!$G$6:$AD$6,E$6,Model!$G$5:$AD$5,E$5)</f>
        <v>0</v>
      </c>
      <c r="F99" s="105">
        <f>SUMIFS(Model!$G46:$AD46,Model!$G$6:$AD$6,F$6,Model!$G$5:$AD$5,F$5)</f>
        <v>2200</v>
      </c>
      <c r="G99" s="105">
        <f>SUMIFS(Model!$G46:$AD46,Model!$G$6:$AD$6,G$6,Model!$G$5:$AD$5,G$5)</f>
        <v>0</v>
      </c>
      <c r="H99" s="105">
        <f>SUMIFS(Model!$G46:$AD46,Model!$G$6:$AD$6,H$6,Model!$G$5:$AD$5,H$5)</f>
        <v>0</v>
      </c>
      <c r="I99" s="104">
        <f>SUMIFS(Model!$G46:$AD46,Model!$G$6:$AD$6,I$6,Model!$G$5:$AD$5,I$5)</f>
        <v>0</v>
      </c>
      <c r="J99" s="105">
        <f>SUMIFS(Model!$G46:$AD46,Model!$G$6:$AD$6,J$6,Model!$G$5:$AD$5,J$5)</f>
        <v>0</v>
      </c>
      <c r="K99" s="105">
        <f>SUMIFS(Model!$G46:$AD46,Model!$G$6:$AD$6,K$6,Model!$G$5:$AD$5,K$5)</f>
        <v>0</v>
      </c>
      <c r="L99" s="105">
        <f>SUMIFS(Model!$G46:$AD46,Model!$G$6:$AD$6,L$6,Model!$G$5:$AD$5,L$5)</f>
        <v>0</v>
      </c>
      <c r="M99" s="106"/>
      <c r="N99" s="104">
        <f>SUMIFS($E99:$L99,$E$5:$L$5,N$6)</f>
        <v>2200</v>
      </c>
      <c r="O99" s="104">
        <f t="shared" ref="N99:O108" si="30">SUMIFS($E99:$L99,$E$5:$L$5,O$6)</f>
        <v>0</v>
      </c>
      <c r="P99" s="106"/>
    </row>
    <row r="100" spans="2:16" ht="15" customHeight="1" outlineLevel="1">
      <c r="B100" s="46" t="str">
        <f>Model!B25</f>
        <v>FocusRite</v>
      </c>
      <c r="E100" s="108">
        <f>SUMIFS(Model!$G47:$AD47,Model!$G$6:$AD$6,E$6,Model!$G$5:$AD$5,E$5)</f>
        <v>0</v>
      </c>
      <c r="F100" s="109">
        <f>SUMIFS(Model!$G47:$AD47,Model!$G$6:$AD$6,F$6,Model!$G$5:$AD$5,F$5)</f>
        <v>0</v>
      </c>
      <c r="G100" s="109">
        <f>SUMIFS(Model!$G47:$AD47,Model!$G$6:$AD$6,G$6,Model!$G$5:$AD$5,G$5)</f>
        <v>0</v>
      </c>
      <c r="H100" s="109">
        <f>SUMIFS(Model!$G47:$AD47,Model!$G$6:$AD$6,H$6,Model!$G$5:$AD$5,H$5)</f>
        <v>6000</v>
      </c>
      <c r="I100" s="108">
        <f>SUMIFS(Model!$G47:$AD47,Model!$G$6:$AD$6,I$6,Model!$G$5:$AD$5,I$5)</f>
        <v>0</v>
      </c>
      <c r="J100" s="109">
        <f>SUMIFS(Model!$G47:$AD47,Model!$G$6:$AD$6,J$6,Model!$G$5:$AD$5,J$5)</f>
        <v>0</v>
      </c>
      <c r="K100" s="109">
        <f>SUMIFS(Model!$G47:$AD47,Model!$G$6:$AD$6,K$6,Model!$G$5:$AD$5,K$5)</f>
        <v>0</v>
      </c>
      <c r="L100" s="109">
        <f>SUMIFS(Model!$G47:$AD47,Model!$G$6:$AD$6,L$6,Model!$G$5:$AD$5,L$5)</f>
        <v>0</v>
      </c>
      <c r="M100" s="106"/>
      <c r="N100" s="108">
        <f t="shared" si="30"/>
        <v>6000</v>
      </c>
      <c r="O100" s="108">
        <f t="shared" si="30"/>
        <v>0</v>
      </c>
      <c r="P100" s="106"/>
    </row>
    <row r="101" spans="2:16" ht="15" customHeight="1" outlineLevel="1">
      <c r="B101" s="46" t="str">
        <f>Model!B26</f>
        <v>NextLevel AI</v>
      </c>
      <c r="E101" s="108">
        <f>SUMIFS(Model!$G48:$AD48,Model!$G$6:$AD$6,E$6,Model!$G$5:$AD$5,E$5)</f>
        <v>0</v>
      </c>
      <c r="F101" s="109">
        <f>SUMIFS(Model!$G48:$AD48,Model!$G$6:$AD$6,F$6,Model!$G$5:$AD$5,F$5)</f>
        <v>0</v>
      </c>
      <c r="G101" s="109">
        <f>SUMIFS(Model!$G48:$AD48,Model!$G$6:$AD$6,G$6,Model!$G$5:$AD$5,G$5)</f>
        <v>0</v>
      </c>
      <c r="H101" s="109">
        <f>SUMIFS(Model!$G48:$AD48,Model!$G$6:$AD$6,H$6,Model!$G$5:$AD$5,H$5)</f>
        <v>0</v>
      </c>
      <c r="I101" s="108">
        <f>SUMIFS(Model!$G48:$AD48,Model!$G$6:$AD$6,I$6,Model!$G$5:$AD$5,I$5)</f>
        <v>1999.9999999999998</v>
      </c>
      <c r="J101" s="109">
        <f>SUMIFS(Model!$G48:$AD48,Model!$G$6:$AD$6,J$6,Model!$G$5:$AD$5,J$5)</f>
        <v>0</v>
      </c>
      <c r="K101" s="109">
        <f>SUMIFS(Model!$G48:$AD48,Model!$G$6:$AD$6,K$6,Model!$G$5:$AD$5,K$5)</f>
        <v>0</v>
      </c>
      <c r="L101" s="109">
        <f>SUMIFS(Model!$G48:$AD48,Model!$G$6:$AD$6,L$6,Model!$G$5:$AD$5,L$5)</f>
        <v>0</v>
      </c>
      <c r="M101" s="106"/>
      <c r="N101" s="108">
        <f t="shared" si="30"/>
        <v>0</v>
      </c>
      <c r="O101" s="108">
        <f t="shared" si="30"/>
        <v>1999.9999999999998</v>
      </c>
      <c r="P101" s="106"/>
    </row>
    <row r="102" spans="2:16" ht="15" customHeight="1" outlineLevel="1">
      <c r="B102" s="46" t="str">
        <f>Model!B27</f>
        <v>Hemway Rail</v>
      </c>
      <c r="E102" s="108">
        <f>SUMIFS(Model!$G49:$AD49,Model!$G$6:$AD$6,E$6,Model!$G$5:$AD$5,E$5)</f>
        <v>0</v>
      </c>
      <c r="F102" s="109">
        <f>SUMIFS(Model!$G49:$AD49,Model!$G$6:$AD$6,F$6,Model!$G$5:$AD$5,F$5)</f>
        <v>0</v>
      </c>
      <c r="G102" s="109">
        <f>SUMIFS(Model!$G49:$AD49,Model!$G$6:$AD$6,G$6,Model!$G$5:$AD$5,G$5)</f>
        <v>0</v>
      </c>
      <c r="H102" s="109">
        <f>SUMIFS(Model!$G49:$AD49,Model!$G$6:$AD$6,H$6,Model!$G$5:$AD$5,H$5)</f>
        <v>0</v>
      </c>
      <c r="I102" s="108">
        <f>SUMIFS(Model!$G49:$AD49,Model!$G$6:$AD$6,I$6,Model!$G$5:$AD$5,I$5)</f>
        <v>0</v>
      </c>
      <c r="J102" s="109">
        <f>SUMIFS(Model!$G49:$AD49,Model!$G$6:$AD$6,J$6,Model!$G$5:$AD$5,J$5)</f>
        <v>1500.0000000000005</v>
      </c>
      <c r="K102" s="109">
        <f>SUMIFS(Model!$G49:$AD49,Model!$G$6:$AD$6,K$6,Model!$G$5:$AD$5,K$5)</f>
        <v>0</v>
      </c>
      <c r="L102" s="109">
        <f>SUMIFS(Model!$G49:$AD49,Model!$G$6:$AD$6,L$6,Model!$G$5:$AD$5,L$5)</f>
        <v>0</v>
      </c>
      <c r="M102" s="106"/>
      <c r="N102" s="108">
        <f t="shared" si="30"/>
        <v>0</v>
      </c>
      <c r="O102" s="108">
        <f t="shared" si="30"/>
        <v>1500.0000000000005</v>
      </c>
      <c r="P102" s="106"/>
    </row>
    <row r="103" spans="2:16" ht="15" customHeight="1" outlineLevel="1">
      <c r="B103" s="46" t="str">
        <f>Model!B28</f>
        <v>Rail Works</v>
      </c>
      <c r="E103" s="108">
        <f>SUMIFS(Model!$G50:$AD50,Model!$G$6:$AD$6,E$6,Model!$G$5:$AD$5,E$5)</f>
        <v>0</v>
      </c>
      <c r="F103" s="109">
        <f>SUMIFS(Model!$G50:$AD50,Model!$G$6:$AD$6,F$6,Model!$G$5:$AD$5,F$5)</f>
        <v>0</v>
      </c>
      <c r="G103" s="109">
        <f>SUMIFS(Model!$G50:$AD50,Model!$G$6:$AD$6,G$6,Model!$G$5:$AD$5,G$5)</f>
        <v>0</v>
      </c>
      <c r="H103" s="109">
        <f>SUMIFS(Model!$G50:$AD50,Model!$G$6:$AD$6,H$6,Model!$G$5:$AD$5,H$5)</f>
        <v>500</v>
      </c>
      <c r="I103" s="108">
        <f>SUMIFS(Model!$G50:$AD50,Model!$G$6:$AD$6,I$6,Model!$G$5:$AD$5,I$5)</f>
        <v>750</v>
      </c>
      <c r="J103" s="109">
        <f>SUMIFS(Model!$G50:$AD50,Model!$G$6:$AD$6,J$6,Model!$G$5:$AD$5,J$5)</f>
        <v>750</v>
      </c>
      <c r="K103" s="109">
        <f>SUMIFS(Model!$G50:$AD50,Model!$G$6:$AD$6,K$6,Model!$G$5:$AD$5,K$5)</f>
        <v>750</v>
      </c>
      <c r="L103" s="109">
        <f>SUMIFS(Model!$G50:$AD50,Model!$G$6:$AD$6,L$6,Model!$G$5:$AD$5,L$5)</f>
        <v>250</v>
      </c>
      <c r="M103" s="106"/>
      <c r="N103" s="108">
        <f t="shared" si="30"/>
        <v>500</v>
      </c>
      <c r="O103" s="108">
        <f t="shared" si="30"/>
        <v>2500</v>
      </c>
      <c r="P103" s="106"/>
    </row>
    <row r="104" spans="2:16" ht="15" customHeight="1" outlineLevel="1">
      <c r="B104" s="46" t="str">
        <f>Model!B29</f>
        <v>Eastlink Air</v>
      </c>
      <c r="E104" s="108">
        <f>SUMIFS(Model!$G51:$AD51,Model!$G$6:$AD$6,E$6,Model!$G$5:$AD$5,E$5)</f>
        <v>0</v>
      </c>
      <c r="F104" s="109">
        <f>SUMIFS(Model!$G51:$AD51,Model!$G$6:$AD$6,F$6,Model!$G$5:$AD$5,F$5)</f>
        <v>0</v>
      </c>
      <c r="G104" s="109">
        <f>SUMIFS(Model!$G51:$AD51,Model!$G$6:$AD$6,G$6,Model!$G$5:$AD$5,G$5)</f>
        <v>0</v>
      </c>
      <c r="H104" s="109">
        <f>SUMIFS(Model!$G51:$AD51,Model!$G$6:$AD$6,H$6,Model!$G$5:$AD$5,H$5)</f>
        <v>616.66666666666663</v>
      </c>
      <c r="I104" s="108">
        <f>SUMIFS(Model!$G51:$AD51,Model!$G$6:$AD$6,I$6,Model!$G$5:$AD$5,I$5)</f>
        <v>925</v>
      </c>
      <c r="J104" s="109">
        <f>SUMIFS(Model!$G51:$AD51,Model!$G$6:$AD$6,J$6,Model!$G$5:$AD$5,J$5)</f>
        <v>925</v>
      </c>
      <c r="K104" s="109">
        <f>SUMIFS(Model!$G51:$AD51,Model!$G$6:$AD$6,K$6,Model!$G$5:$AD$5,K$5)</f>
        <v>925</v>
      </c>
      <c r="L104" s="109">
        <f>SUMIFS(Model!$G51:$AD51,Model!$G$6:$AD$6,L$6,Model!$G$5:$AD$5,L$5)</f>
        <v>308.33333333333331</v>
      </c>
      <c r="M104" s="106"/>
      <c r="N104" s="108">
        <f t="shared" si="30"/>
        <v>616.66666666666663</v>
      </c>
      <c r="O104" s="108">
        <f t="shared" si="30"/>
        <v>3083.3333333333335</v>
      </c>
      <c r="P104" s="106"/>
    </row>
    <row r="105" spans="2:16" ht="15" customHeight="1" outlineLevel="1">
      <c r="B105" s="46" t="str">
        <f>Model!B30</f>
        <v>Trans Loop</v>
      </c>
      <c r="E105" s="108">
        <f>SUMIFS(Model!$G52:$AD52,Model!$G$6:$AD$6,E$6,Model!$G$5:$AD$5,E$5)</f>
        <v>0</v>
      </c>
      <c r="F105" s="109">
        <f>SUMIFS(Model!$G52:$AD52,Model!$G$6:$AD$6,F$6,Model!$G$5:$AD$5,F$5)</f>
        <v>0</v>
      </c>
      <c r="G105" s="109">
        <f>SUMIFS(Model!$G52:$AD52,Model!$G$6:$AD$6,G$6,Model!$G$5:$AD$5,G$5)</f>
        <v>0</v>
      </c>
      <c r="H105" s="109">
        <f>SUMIFS(Model!$G52:$AD52,Model!$G$6:$AD$6,H$6,Model!$G$5:$AD$5,H$5)</f>
        <v>583.33333333333326</v>
      </c>
      <c r="I105" s="108">
        <f>SUMIFS(Model!$G52:$AD52,Model!$G$6:$AD$6,I$6,Model!$G$5:$AD$5,I$5)</f>
        <v>874.99999999999989</v>
      </c>
      <c r="J105" s="109">
        <f>SUMIFS(Model!$G52:$AD52,Model!$G$6:$AD$6,J$6,Model!$G$5:$AD$5,J$5)</f>
        <v>874.99999999999989</v>
      </c>
      <c r="K105" s="109">
        <f>SUMIFS(Model!$G52:$AD52,Model!$G$6:$AD$6,K$6,Model!$G$5:$AD$5,K$5)</f>
        <v>874.99999999999989</v>
      </c>
      <c r="L105" s="109">
        <f>SUMIFS(Model!$G52:$AD52,Model!$G$6:$AD$6,L$6,Model!$G$5:$AD$5,L$5)</f>
        <v>291.66666666666663</v>
      </c>
      <c r="M105" s="106"/>
      <c r="N105" s="108">
        <f t="shared" si="30"/>
        <v>583.33333333333326</v>
      </c>
      <c r="O105" s="108">
        <f t="shared" si="30"/>
        <v>2916.6666666666661</v>
      </c>
      <c r="P105" s="106"/>
    </row>
    <row r="106" spans="2:16" ht="15" customHeight="1" outlineLevel="1">
      <c r="B106" s="46" t="str">
        <f>Model!B31</f>
        <v>High Travel</v>
      </c>
      <c r="E106" s="108">
        <f>SUMIFS(Model!$G53:$AD53,Model!$G$6:$AD$6,E$6,Model!$G$5:$AD$5,E$5)</f>
        <v>0</v>
      </c>
      <c r="F106" s="109">
        <f>SUMIFS(Model!$G53:$AD53,Model!$G$6:$AD$6,F$6,Model!$G$5:$AD$5,F$5)</f>
        <v>0</v>
      </c>
      <c r="G106" s="109">
        <f>SUMIFS(Model!$G53:$AD53,Model!$G$6:$AD$6,G$6,Model!$G$5:$AD$5,G$5)</f>
        <v>0</v>
      </c>
      <c r="H106" s="109">
        <f>SUMIFS(Model!$G53:$AD53,Model!$G$6:$AD$6,H$6,Model!$G$5:$AD$5,H$5)</f>
        <v>0</v>
      </c>
      <c r="I106" s="108">
        <f>SUMIFS(Model!$G53:$AD53,Model!$G$6:$AD$6,I$6,Model!$G$5:$AD$5,I$5)</f>
        <v>437.5</v>
      </c>
      <c r="J106" s="109">
        <f>SUMIFS(Model!$G53:$AD53,Model!$G$6:$AD$6,J$6,Model!$G$5:$AD$5,J$5)</f>
        <v>1312.5</v>
      </c>
      <c r="K106" s="109">
        <f>SUMIFS(Model!$G53:$AD53,Model!$G$6:$AD$6,K$6,Model!$G$5:$AD$5,K$5)</f>
        <v>1312.5</v>
      </c>
      <c r="L106" s="109">
        <f>SUMIFS(Model!$G53:$AD53,Model!$G$6:$AD$6,L$6,Model!$G$5:$AD$5,L$5)</f>
        <v>437.5</v>
      </c>
      <c r="M106" s="106"/>
      <c r="N106" s="108">
        <f t="shared" si="30"/>
        <v>0</v>
      </c>
      <c r="O106" s="108">
        <f t="shared" si="30"/>
        <v>3500</v>
      </c>
      <c r="P106" s="106"/>
    </row>
    <row r="107" spans="2:16" ht="15" customHeight="1" outlineLevel="1">
      <c r="B107" s="46" t="str">
        <f>Model!B32</f>
        <v>Arc Finance</v>
      </c>
      <c r="E107" s="108">
        <f>SUMIFS(Model!$G54:$AD54,Model!$G$6:$AD$6,E$6,Model!$G$5:$AD$5,E$5)</f>
        <v>0</v>
      </c>
      <c r="F107" s="109">
        <f>SUMIFS(Model!$G54:$AD54,Model!$G$6:$AD$6,F$6,Model!$G$5:$AD$5,F$5)</f>
        <v>0</v>
      </c>
      <c r="G107" s="109">
        <f>SUMIFS(Model!$G54:$AD54,Model!$G$6:$AD$6,G$6,Model!$G$5:$AD$5,G$5)</f>
        <v>0</v>
      </c>
      <c r="H107" s="109">
        <f>SUMIFS(Model!$G54:$AD54,Model!$G$6:$AD$6,H$6,Model!$G$5:$AD$5,H$5)</f>
        <v>0</v>
      </c>
      <c r="I107" s="108">
        <f>SUMIFS(Model!$G54:$AD54,Model!$G$6:$AD$6,I$6,Model!$G$5:$AD$5,I$5)</f>
        <v>0</v>
      </c>
      <c r="J107" s="109">
        <f>SUMIFS(Model!$G54:$AD54,Model!$G$6:$AD$6,J$6,Model!$G$5:$AD$5,J$5)</f>
        <v>666.66666666666663</v>
      </c>
      <c r="K107" s="109">
        <f>SUMIFS(Model!$G54:$AD54,Model!$G$6:$AD$6,K$6,Model!$G$5:$AD$5,K$5)</f>
        <v>1000</v>
      </c>
      <c r="L107" s="109">
        <f>SUMIFS(Model!$G54:$AD54,Model!$G$6:$AD$6,L$6,Model!$G$5:$AD$5,L$5)</f>
        <v>1000</v>
      </c>
      <c r="M107" s="106"/>
      <c r="N107" s="108">
        <f t="shared" si="30"/>
        <v>0</v>
      </c>
      <c r="O107" s="108">
        <f t="shared" si="30"/>
        <v>2666.6666666666665</v>
      </c>
      <c r="P107" s="106"/>
    </row>
    <row r="108" spans="2:16" ht="15" customHeight="1" outlineLevel="1">
      <c r="B108" s="46" t="str">
        <f>Model!B33</f>
        <v>GiveWay</v>
      </c>
      <c r="E108" s="108">
        <f>SUMIFS(Model!$G55:$AD55,Model!$G$6:$AD$6,E$6,Model!$G$5:$AD$5,E$5)</f>
        <v>0</v>
      </c>
      <c r="F108" s="109">
        <f>SUMIFS(Model!$G55:$AD55,Model!$G$6:$AD$6,F$6,Model!$G$5:$AD$5,F$5)</f>
        <v>0</v>
      </c>
      <c r="G108" s="109">
        <f>SUMIFS(Model!$G55:$AD55,Model!$G$6:$AD$6,G$6,Model!$G$5:$AD$5,G$5)</f>
        <v>0</v>
      </c>
      <c r="H108" s="109">
        <f>SUMIFS(Model!$G55:$AD55,Model!$G$6:$AD$6,H$6,Model!$G$5:$AD$5,H$5)</f>
        <v>0</v>
      </c>
      <c r="I108" s="108">
        <f>SUMIFS(Model!$G55:$AD55,Model!$G$6:$AD$6,I$6,Model!$G$5:$AD$5,I$5)</f>
        <v>0</v>
      </c>
      <c r="J108" s="109">
        <f>SUMIFS(Model!$G55:$AD55,Model!$G$6:$AD$6,J$6,Model!$G$5:$AD$5,J$5)</f>
        <v>0</v>
      </c>
      <c r="K108" s="109">
        <f>SUMIFS(Model!$G55:$AD55,Model!$G$6:$AD$6,K$6,Model!$G$5:$AD$5,K$5)</f>
        <v>0</v>
      </c>
      <c r="L108" s="109">
        <f>SUMIFS(Model!$G55:$AD55,Model!$G$6:$AD$6,L$6,Model!$G$5:$AD$5,L$5)</f>
        <v>3333.333333333333</v>
      </c>
      <c r="M108" s="106"/>
      <c r="N108" s="108">
        <f t="shared" si="30"/>
        <v>0</v>
      </c>
      <c r="O108" s="108">
        <f t="shared" si="30"/>
        <v>3333.333333333333</v>
      </c>
      <c r="P108" s="106"/>
    </row>
    <row r="109" spans="2:16" ht="15" customHeight="1" outlineLevel="1">
      <c r="B109" s="46" t="s">
        <v>55</v>
      </c>
      <c r="E109" s="104">
        <f>SUM(E99:E108)</f>
        <v>0</v>
      </c>
      <c r="F109" s="105">
        <f t="shared" ref="F109:L109" si="31">SUM(F99:F108)</f>
        <v>2200</v>
      </c>
      <c r="G109" s="105">
        <f t="shared" si="31"/>
        <v>0</v>
      </c>
      <c r="H109" s="105">
        <f t="shared" si="31"/>
        <v>7700</v>
      </c>
      <c r="I109" s="104">
        <f t="shared" si="31"/>
        <v>4987.5</v>
      </c>
      <c r="J109" s="105">
        <f t="shared" si="31"/>
        <v>6029.166666666667</v>
      </c>
      <c r="K109" s="105">
        <f t="shared" si="31"/>
        <v>4862.5</v>
      </c>
      <c r="L109" s="105">
        <f t="shared" si="31"/>
        <v>5620.833333333333</v>
      </c>
      <c r="M109" s="106"/>
      <c r="N109" s="104">
        <f>SUM(N99:N108)</f>
        <v>9900</v>
      </c>
      <c r="O109" s="104">
        <f>SUM(O99:O108)</f>
        <v>21500</v>
      </c>
      <c r="P109" s="106"/>
    </row>
    <row r="110" spans="2:16" ht="15" customHeight="1" outlineLevel="1">
      <c r="E110" s="110"/>
      <c r="F110" s="110"/>
      <c r="G110" s="111"/>
      <c r="H110" s="111"/>
      <c r="I110" s="112"/>
      <c r="J110" s="111"/>
      <c r="K110" s="111"/>
      <c r="L110" s="111"/>
      <c r="N110" s="110"/>
      <c r="O110" s="110"/>
    </row>
    <row r="111" spans="2:16" ht="15" customHeight="1" outlineLevel="1">
      <c r="G111" s="102"/>
      <c r="H111" s="102"/>
      <c r="I111" s="103"/>
      <c r="J111" s="102"/>
      <c r="K111" s="102"/>
      <c r="L111" s="102"/>
    </row>
    <row r="112" spans="2:16" ht="15" customHeight="1" outlineLevel="1"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</row>
    <row r="114" spans="1:16" ht="15" customHeight="1">
      <c r="A114" s="88" t="s">
        <v>10</v>
      </c>
      <c r="B114" s="24" t="s">
        <v>164</v>
      </c>
      <c r="C114" s="25"/>
      <c r="D114" s="25"/>
      <c r="E114" s="90"/>
      <c r="F114" s="90"/>
      <c r="G114" s="90"/>
      <c r="H114" s="90"/>
      <c r="I114" s="90"/>
      <c r="J114" s="90"/>
      <c r="K114" s="90"/>
      <c r="L114" s="90"/>
      <c r="M114" s="90"/>
      <c r="N114" s="90"/>
      <c r="O114" s="90"/>
    </row>
    <row r="115" spans="1:16" ht="15" customHeight="1" outlineLevel="1">
      <c r="B115" s="28"/>
      <c r="C115" s="29"/>
      <c r="D115" s="29"/>
      <c r="E115" s="92"/>
      <c r="F115" s="92"/>
      <c r="G115" s="92"/>
      <c r="H115" s="92"/>
    </row>
    <row r="116" spans="1:16" ht="15" customHeight="1" outlineLevel="1">
      <c r="B116" s="31" t="s">
        <v>13</v>
      </c>
      <c r="C116" s="93"/>
      <c r="D116" s="93"/>
      <c r="E116" s="52">
        <f t="shared" ref="E116:L116" si="32">E$5</f>
        <v>2024</v>
      </c>
      <c r="F116" s="51">
        <f t="shared" si="32"/>
        <v>2024</v>
      </c>
      <c r="G116" s="51">
        <f t="shared" si="32"/>
        <v>2024</v>
      </c>
      <c r="H116" s="94">
        <f t="shared" si="32"/>
        <v>2024</v>
      </c>
      <c r="I116" s="53">
        <f t="shared" si="32"/>
        <v>2025</v>
      </c>
      <c r="J116" s="51">
        <f t="shared" si="32"/>
        <v>2025</v>
      </c>
      <c r="K116" s="51">
        <f t="shared" si="32"/>
        <v>2025</v>
      </c>
      <c r="L116" s="94">
        <f t="shared" si="32"/>
        <v>2025</v>
      </c>
      <c r="M116" s="40"/>
      <c r="N116" s="121"/>
      <c r="O116" s="136"/>
      <c r="P116" s="95"/>
    </row>
    <row r="117" spans="1:16" ht="15" customHeight="1" outlineLevel="1" thickBot="1">
      <c r="E117" s="96">
        <f t="shared" ref="E117:L117" si="33">E$6</f>
        <v>1</v>
      </c>
      <c r="F117" s="54">
        <f t="shared" si="33"/>
        <v>2</v>
      </c>
      <c r="G117" s="54">
        <f t="shared" si="33"/>
        <v>3</v>
      </c>
      <c r="H117" s="54">
        <f t="shared" si="33"/>
        <v>4</v>
      </c>
      <c r="I117" s="97">
        <f t="shared" si="33"/>
        <v>1</v>
      </c>
      <c r="J117" s="54">
        <f t="shared" si="33"/>
        <v>2</v>
      </c>
      <c r="K117" s="54">
        <f t="shared" si="33"/>
        <v>3</v>
      </c>
      <c r="L117" s="54">
        <f t="shared" si="33"/>
        <v>4</v>
      </c>
      <c r="M117" s="40"/>
      <c r="N117" s="98">
        <f>N$6</f>
        <v>2024</v>
      </c>
      <c r="O117" s="99">
        <f>O$6</f>
        <v>2025</v>
      </c>
      <c r="P117" s="95"/>
    </row>
    <row r="118" spans="1:16" ht="15" customHeight="1" outlineLevel="1">
      <c r="E118" s="100"/>
      <c r="F118" s="100"/>
      <c r="G118" s="100"/>
      <c r="H118" s="100"/>
      <c r="I118" s="100"/>
      <c r="J118" s="100"/>
      <c r="K118" s="100"/>
      <c r="L118" s="100"/>
      <c r="N118" s="100"/>
      <c r="O118" s="100"/>
    </row>
    <row r="119" spans="1:16" ht="15" customHeight="1" outlineLevel="1"/>
    <row r="120" spans="1:16" ht="15" customHeight="1" outlineLevel="1">
      <c r="B120" s="41" t="s">
        <v>165</v>
      </c>
      <c r="E120" s="55">
        <f t="shared" ref="E120:L120" si="34">E$9</f>
        <v>1</v>
      </c>
      <c r="F120" s="55">
        <f t="shared" si="34"/>
        <v>1</v>
      </c>
      <c r="G120" s="55">
        <f t="shared" si="34"/>
        <v>1</v>
      </c>
      <c r="H120" s="55">
        <f t="shared" si="34"/>
        <v>1</v>
      </c>
      <c r="I120" s="55">
        <f t="shared" si="34"/>
        <v>0</v>
      </c>
      <c r="J120" s="55">
        <f t="shared" si="34"/>
        <v>0</v>
      </c>
      <c r="K120" s="55">
        <f t="shared" si="34"/>
        <v>0</v>
      </c>
      <c r="L120" s="55">
        <f t="shared" si="34"/>
        <v>0</v>
      </c>
      <c r="M120" s="102"/>
      <c r="N120" s="55">
        <f>N$9</f>
        <v>1</v>
      </c>
      <c r="O120" s="55">
        <f>O$9</f>
        <v>0</v>
      </c>
    </row>
    <row r="121" spans="1:16" ht="15" customHeight="1" outlineLevel="1">
      <c r="B121" s="46" t="str">
        <f>Model!$B$81</f>
        <v>Director</v>
      </c>
      <c r="C121" s="137"/>
      <c r="D121" s="137"/>
      <c r="E121" s="104">
        <f>SUMIFS(Model!$G81:$AD81,Model!$G$6:$AD$6,E$6,Model!$G$5:$AD$5,E$5)</f>
        <v>91</v>
      </c>
      <c r="F121" s="105">
        <f>SUMIFS(Model!$G81:$AD81,Model!$G$6:$AD$6,F$6,Model!$G$5:$AD$5,F$5)</f>
        <v>91</v>
      </c>
      <c r="G121" s="105">
        <f>SUMIFS(Model!$G81:$AD81,Model!$G$6:$AD$6,G$6,Model!$G$5:$AD$5,G$5)</f>
        <v>92</v>
      </c>
      <c r="H121" s="105">
        <f>SUMIFS(Model!$G81:$AD81,Model!$G$6:$AD$6,H$6,Model!$G$5:$AD$5,H$5)</f>
        <v>92</v>
      </c>
      <c r="I121" s="104">
        <f>SUMIFS(Model!$G81:$AD81,Model!$G$6:$AD$6,I$6,Model!$G$5:$AD$5,I$5)</f>
        <v>90</v>
      </c>
      <c r="J121" s="105">
        <f>SUMIFS(Model!$G81:$AD81,Model!$G$6:$AD$6,J$6,Model!$G$5:$AD$5,J$5)</f>
        <v>91</v>
      </c>
      <c r="K121" s="105">
        <f>SUMIFS(Model!$G81:$AD81,Model!$G$6:$AD$6,K$6,Model!$G$5:$AD$5,K$5)</f>
        <v>92</v>
      </c>
      <c r="L121" s="105">
        <f>SUMIFS(Model!$G81:$AD81,Model!$G$6:$AD$6,L$6,Model!$G$5:$AD$5,L$5)</f>
        <v>92</v>
      </c>
      <c r="M121" s="106"/>
      <c r="N121" s="104">
        <f>SUMIFS($E121:$L121,$E$5:$L$5,N$6)</f>
        <v>366</v>
      </c>
      <c r="O121" s="104">
        <f t="shared" ref="N121:O128" si="35">SUMIFS($E121:$L121,$E$5:$L$5,O$6)</f>
        <v>365</v>
      </c>
      <c r="P121" s="106"/>
    </row>
    <row r="122" spans="1:16" ht="15" customHeight="1" outlineLevel="1">
      <c r="B122" s="46" t="str">
        <f>Model!$B$82</f>
        <v>Partner</v>
      </c>
      <c r="C122" s="137"/>
      <c r="D122" s="137"/>
      <c r="E122" s="108">
        <f>SUMIFS(Model!$G82:$AD82,Model!$G$6:$AD$6,E$6,Model!$G$5:$AD$5,E$5)</f>
        <v>91</v>
      </c>
      <c r="F122" s="109">
        <f>SUMIFS(Model!$G82:$AD82,Model!$G$6:$AD$6,F$6,Model!$G$5:$AD$5,F$5)</f>
        <v>91</v>
      </c>
      <c r="G122" s="109">
        <f>SUMIFS(Model!$G82:$AD82,Model!$G$6:$AD$6,G$6,Model!$G$5:$AD$5,G$5)</f>
        <v>92</v>
      </c>
      <c r="H122" s="109">
        <f>SUMIFS(Model!$G82:$AD82,Model!$G$6:$AD$6,H$6,Model!$G$5:$AD$5,H$5)</f>
        <v>92</v>
      </c>
      <c r="I122" s="108">
        <f>SUMIFS(Model!$G82:$AD82,Model!$G$6:$AD$6,I$6,Model!$G$5:$AD$5,I$5)</f>
        <v>90</v>
      </c>
      <c r="J122" s="109">
        <f>SUMIFS(Model!$G82:$AD82,Model!$G$6:$AD$6,J$6,Model!$G$5:$AD$5,J$5)</f>
        <v>91</v>
      </c>
      <c r="K122" s="109">
        <f>SUMIFS(Model!$G82:$AD82,Model!$G$6:$AD$6,K$6,Model!$G$5:$AD$5,K$5)</f>
        <v>92</v>
      </c>
      <c r="L122" s="109">
        <f>SUMIFS(Model!$G82:$AD82,Model!$G$6:$AD$6,L$6,Model!$G$5:$AD$5,L$5)</f>
        <v>92</v>
      </c>
      <c r="M122" s="106"/>
      <c r="N122" s="108">
        <f t="shared" si="35"/>
        <v>366</v>
      </c>
      <c r="O122" s="108">
        <f t="shared" si="35"/>
        <v>365</v>
      </c>
      <c r="P122" s="106"/>
    </row>
    <row r="123" spans="1:16" ht="15" customHeight="1" outlineLevel="1">
      <c r="B123" s="46" t="str">
        <f>Model!$B$83</f>
        <v>Principal</v>
      </c>
      <c r="C123" s="137"/>
      <c r="D123" s="137"/>
      <c r="E123" s="108">
        <f>SUMIFS(Model!$G83:$AD83,Model!$G$6:$AD$6,E$6,Model!$G$5:$AD$5,E$5)</f>
        <v>91</v>
      </c>
      <c r="F123" s="109">
        <f>SUMIFS(Model!$G83:$AD83,Model!$G$6:$AD$6,F$6,Model!$G$5:$AD$5,F$5)</f>
        <v>91</v>
      </c>
      <c r="G123" s="109">
        <f>SUMIFS(Model!$G83:$AD83,Model!$G$6:$AD$6,G$6,Model!$G$5:$AD$5,G$5)</f>
        <v>92</v>
      </c>
      <c r="H123" s="109">
        <f>SUMIFS(Model!$G83:$AD83,Model!$G$6:$AD$6,H$6,Model!$G$5:$AD$5,H$5)</f>
        <v>92</v>
      </c>
      <c r="I123" s="108">
        <f>SUMIFS(Model!$G83:$AD83,Model!$G$6:$AD$6,I$6,Model!$G$5:$AD$5,I$5)</f>
        <v>90</v>
      </c>
      <c r="J123" s="109">
        <f>SUMIFS(Model!$G83:$AD83,Model!$G$6:$AD$6,J$6,Model!$G$5:$AD$5,J$5)</f>
        <v>91</v>
      </c>
      <c r="K123" s="109">
        <f>SUMIFS(Model!$G83:$AD83,Model!$G$6:$AD$6,K$6,Model!$G$5:$AD$5,K$5)</f>
        <v>92</v>
      </c>
      <c r="L123" s="109">
        <f>SUMIFS(Model!$G83:$AD83,Model!$G$6:$AD$6,L$6,Model!$G$5:$AD$5,L$5)</f>
        <v>92</v>
      </c>
      <c r="M123" s="106"/>
      <c r="N123" s="108">
        <f t="shared" si="35"/>
        <v>366</v>
      </c>
      <c r="O123" s="108">
        <f t="shared" si="35"/>
        <v>365</v>
      </c>
      <c r="P123" s="106"/>
    </row>
    <row r="124" spans="1:16" ht="15" customHeight="1" outlineLevel="1">
      <c r="B124" s="46" t="str">
        <f>Model!$B$84</f>
        <v>Manager</v>
      </c>
      <c r="C124" s="137"/>
      <c r="D124" s="137"/>
      <c r="E124" s="108">
        <f>SUMIFS(Model!$G84:$AD84,Model!$G$6:$AD$6,E$6,Model!$G$5:$AD$5,E$5)</f>
        <v>0</v>
      </c>
      <c r="F124" s="109">
        <f>SUMIFS(Model!$G84:$AD84,Model!$G$6:$AD$6,F$6,Model!$G$5:$AD$5,F$5)</f>
        <v>0</v>
      </c>
      <c r="G124" s="109">
        <f>SUMIFS(Model!$G84:$AD84,Model!$G$6:$AD$6,G$6,Model!$G$5:$AD$5,G$5)</f>
        <v>52</v>
      </c>
      <c r="H124" s="109">
        <f>SUMIFS(Model!$G84:$AD84,Model!$G$6:$AD$6,H$6,Model!$G$5:$AD$5,H$5)</f>
        <v>92</v>
      </c>
      <c r="I124" s="108">
        <f>SUMIFS(Model!$G84:$AD84,Model!$G$6:$AD$6,I$6,Model!$G$5:$AD$5,I$5)</f>
        <v>90</v>
      </c>
      <c r="J124" s="109">
        <f>SUMIFS(Model!$G84:$AD84,Model!$G$6:$AD$6,J$6,Model!$G$5:$AD$5,J$5)</f>
        <v>91</v>
      </c>
      <c r="K124" s="109">
        <f>SUMIFS(Model!$G84:$AD84,Model!$G$6:$AD$6,K$6,Model!$G$5:$AD$5,K$5)</f>
        <v>92</v>
      </c>
      <c r="L124" s="109">
        <f>SUMIFS(Model!$G84:$AD84,Model!$G$6:$AD$6,L$6,Model!$G$5:$AD$5,L$5)</f>
        <v>92</v>
      </c>
      <c r="M124" s="106"/>
      <c r="N124" s="108">
        <f t="shared" si="35"/>
        <v>144</v>
      </c>
      <c r="O124" s="108">
        <f t="shared" si="35"/>
        <v>365</v>
      </c>
      <c r="P124" s="106"/>
    </row>
    <row r="125" spans="1:16" ht="15" customHeight="1" outlineLevel="1">
      <c r="B125" s="46" t="str">
        <f>Model!$B$85</f>
        <v>Sr Associate</v>
      </c>
      <c r="E125" s="108">
        <f>SUMIFS(Model!$G85:$AD85,Model!$G$6:$AD$6,E$6,Model!$G$5:$AD$5,E$5)</f>
        <v>0</v>
      </c>
      <c r="F125" s="109">
        <f>SUMIFS(Model!$G85:$AD85,Model!$G$6:$AD$6,F$6,Model!$G$5:$AD$5,F$5)</f>
        <v>0</v>
      </c>
      <c r="G125" s="109">
        <f>SUMIFS(Model!$G85:$AD85,Model!$G$6:$AD$6,G$6,Model!$G$5:$AD$5,G$5)</f>
        <v>40</v>
      </c>
      <c r="H125" s="109">
        <f>SUMIFS(Model!$G85:$AD85,Model!$G$6:$AD$6,H$6,Model!$G$5:$AD$5,H$5)</f>
        <v>92</v>
      </c>
      <c r="I125" s="108">
        <f>SUMIFS(Model!$G85:$AD85,Model!$G$6:$AD$6,I$6,Model!$G$5:$AD$5,I$5)</f>
        <v>90</v>
      </c>
      <c r="J125" s="109">
        <f>SUMIFS(Model!$G85:$AD85,Model!$G$6:$AD$6,J$6,Model!$G$5:$AD$5,J$5)</f>
        <v>91</v>
      </c>
      <c r="K125" s="109">
        <f>SUMIFS(Model!$G85:$AD85,Model!$G$6:$AD$6,K$6,Model!$G$5:$AD$5,K$5)</f>
        <v>92</v>
      </c>
      <c r="L125" s="109">
        <f>SUMIFS(Model!$G85:$AD85,Model!$G$6:$AD$6,L$6,Model!$G$5:$AD$5,L$5)</f>
        <v>92</v>
      </c>
      <c r="M125" s="106"/>
      <c r="N125" s="108">
        <f t="shared" si="35"/>
        <v>132</v>
      </c>
      <c r="O125" s="108">
        <f t="shared" si="35"/>
        <v>365</v>
      </c>
      <c r="P125" s="106"/>
    </row>
    <row r="126" spans="1:16" ht="15" customHeight="1" outlineLevel="1">
      <c r="B126" s="46" t="str">
        <f>Model!$B$86</f>
        <v>Associate</v>
      </c>
      <c r="C126" s="137"/>
      <c r="D126" s="137"/>
      <c r="E126" s="108">
        <f>SUMIFS(Model!$G86:$AD86,Model!$G$6:$AD$6,E$6,Model!$G$5:$AD$5,E$5)</f>
        <v>91</v>
      </c>
      <c r="F126" s="109">
        <f>SUMIFS(Model!$G86:$AD86,Model!$G$6:$AD$6,F$6,Model!$G$5:$AD$5,F$5)</f>
        <v>91</v>
      </c>
      <c r="G126" s="109">
        <f>SUMIFS(Model!$G86:$AD86,Model!$G$6:$AD$6,G$6,Model!$G$5:$AD$5,G$5)</f>
        <v>92</v>
      </c>
      <c r="H126" s="109">
        <f>SUMIFS(Model!$G86:$AD86,Model!$G$6:$AD$6,H$6,Model!$G$5:$AD$5,H$5)</f>
        <v>92</v>
      </c>
      <c r="I126" s="108">
        <f>SUMIFS(Model!$G86:$AD86,Model!$G$6:$AD$6,I$6,Model!$G$5:$AD$5,I$5)</f>
        <v>90</v>
      </c>
      <c r="J126" s="109">
        <f>SUMIFS(Model!$G86:$AD86,Model!$G$6:$AD$6,J$6,Model!$G$5:$AD$5,J$5)</f>
        <v>91</v>
      </c>
      <c r="K126" s="109">
        <f>SUMIFS(Model!$G86:$AD86,Model!$G$6:$AD$6,K$6,Model!$G$5:$AD$5,K$5)</f>
        <v>92</v>
      </c>
      <c r="L126" s="109">
        <f>SUMIFS(Model!$G86:$AD86,Model!$G$6:$AD$6,L$6,Model!$G$5:$AD$5,L$5)</f>
        <v>92</v>
      </c>
      <c r="M126" s="106"/>
      <c r="N126" s="108">
        <f t="shared" si="35"/>
        <v>366</v>
      </c>
      <c r="O126" s="108">
        <f t="shared" si="35"/>
        <v>365</v>
      </c>
      <c r="P126" s="106"/>
    </row>
    <row r="127" spans="1:16" ht="15" customHeight="1" outlineLevel="1">
      <c r="B127" s="46" t="str">
        <f>Model!$B$87</f>
        <v>Analyst</v>
      </c>
      <c r="C127" s="137"/>
      <c r="D127" s="137"/>
      <c r="E127" s="108">
        <f>SUMIFS(Model!$G87:$AD87,Model!$G$6:$AD$6,E$6,Model!$G$5:$AD$5,E$5)</f>
        <v>91</v>
      </c>
      <c r="F127" s="109">
        <f>SUMIFS(Model!$G87:$AD87,Model!$G$6:$AD$6,F$6,Model!$G$5:$AD$5,F$5)</f>
        <v>91</v>
      </c>
      <c r="G127" s="109">
        <f>SUMIFS(Model!$G87:$AD87,Model!$G$6:$AD$6,G$6,Model!$G$5:$AD$5,G$5)</f>
        <v>92</v>
      </c>
      <c r="H127" s="109">
        <f>SUMIFS(Model!$G87:$AD87,Model!$G$6:$AD$6,H$6,Model!$G$5:$AD$5,H$5)</f>
        <v>92</v>
      </c>
      <c r="I127" s="108">
        <f>SUMIFS(Model!$G87:$AD87,Model!$G$6:$AD$6,I$6,Model!$G$5:$AD$5,I$5)</f>
        <v>90</v>
      </c>
      <c r="J127" s="109">
        <f>SUMIFS(Model!$G87:$AD87,Model!$G$6:$AD$6,J$6,Model!$G$5:$AD$5,J$5)</f>
        <v>91</v>
      </c>
      <c r="K127" s="109">
        <f>SUMIFS(Model!$G87:$AD87,Model!$G$6:$AD$6,K$6,Model!$G$5:$AD$5,K$5)</f>
        <v>92</v>
      </c>
      <c r="L127" s="109">
        <f>SUMIFS(Model!$G87:$AD87,Model!$G$6:$AD$6,L$6,Model!$G$5:$AD$5,L$5)</f>
        <v>92</v>
      </c>
      <c r="M127" s="106"/>
      <c r="N127" s="108">
        <f t="shared" si="35"/>
        <v>366</v>
      </c>
      <c r="O127" s="108">
        <f t="shared" si="35"/>
        <v>365</v>
      </c>
      <c r="P127" s="106"/>
    </row>
    <row r="128" spans="1:16" ht="15" customHeight="1" outlineLevel="1">
      <c r="B128" s="46" t="str">
        <f>Model!$B$88</f>
        <v>Analyst</v>
      </c>
      <c r="C128" s="137"/>
      <c r="D128" s="137"/>
      <c r="E128" s="108">
        <f>SUMIFS(Model!$G88:$AD88,Model!$G$6:$AD$6,E$6,Model!$G$5:$AD$5,E$5)</f>
        <v>0</v>
      </c>
      <c r="F128" s="109">
        <f>SUMIFS(Model!$G88:$AD88,Model!$G$6:$AD$6,F$6,Model!$G$5:$AD$5,F$5)</f>
        <v>0</v>
      </c>
      <c r="G128" s="109">
        <f>SUMIFS(Model!$G88:$AD88,Model!$G$6:$AD$6,G$6,Model!$G$5:$AD$5,G$5)</f>
        <v>30</v>
      </c>
      <c r="H128" s="109">
        <f>SUMIFS(Model!$G88:$AD88,Model!$G$6:$AD$6,H$6,Model!$G$5:$AD$5,H$5)</f>
        <v>92</v>
      </c>
      <c r="I128" s="108">
        <f>SUMIFS(Model!$G88:$AD88,Model!$G$6:$AD$6,I$6,Model!$G$5:$AD$5,I$5)</f>
        <v>90</v>
      </c>
      <c r="J128" s="109">
        <f>SUMIFS(Model!$G88:$AD88,Model!$G$6:$AD$6,J$6,Model!$G$5:$AD$5,J$5)</f>
        <v>91</v>
      </c>
      <c r="K128" s="109">
        <f>SUMIFS(Model!$G88:$AD88,Model!$G$6:$AD$6,K$6,Model!$G$5:$AD$5,K$5)</f>
        <v>92</v>
      </c>
      <c r="L128" s="109">
        <f>SUMIFS(Model!$G88:$AD88,Model!$G$6:$AD$6,L$6,Model!$G$5:$AD$5,L$5)</f>
        <v>92</v>
      </c>
      <c r="M128" s="138"/>
      <c r="N128" s="108">
        <f t="shared" si="35"/>
        <v>122</v>
      </c>
      <c r="O128" s="108">
        <f t="shared" si="35"/>
        <v>365</v>
      </c>
      <c r="P128" s="106"/>
    </row>
    <row r="129" spans="1:16" ht="15" customHeight="1" outlineLevel="1">
      <c r="B129" s="139" t="s">
        <v>55</v>
      </c>
      <c r="E129" s="140">
        <f>SUM(E121:E128)</f>
        <v>455</v>
      </c>
      <c r="F129" s="141">
        <f t="shared" ref="F129:L129" si="36">SUM(F121:F128)</f>
        <v>455</v>
      </c>
      <c r="G129" s="141">
        <f t="shared" si="36"/>
        <v>582</v>
      </c>
      <c r="H129" s="141">
        <f t="shared" si="36"/>
        <v>736</v>
      </c>
      <c r="I129" s="140">
        <f t="shared" si="36"/>
        <v>720</v>
      </c>
      <c r="J129" s="141">
        <f t="shared" si="36"/>
        <v>728</v>
      </c>
      <c r="K129" s="141">
        <f t="shared" si="36"/>
        <v>736</v>
      </c>
      <c r="L129" s="141">
        <f t="shared" si="36"/>
        <v>736</v>
      </c>
      <c r="M129" s="106"/>
      <c r="N129" s="140">
        <f>SUM(N121:N128)</f>
        <v>2228</v>
      </c>
      <c r="O129" s="140">
        <f>SUM(O121:O128)</f>
        <v>2920</v>
      </c>
      <c r="P129" s="106"/>
    </row>
    <row r="130" spans="1:16" ht="15" customHeight="1" outlineLevel="1">
      <c r="B130" s="142"/>
      <c r="C130" s="142"/>
      <c r="D130" s="142"/>
      <c r="E130" s="143"/>
      <c r="F130" s="143"/>
      <c r="G130" s="143"/>
      <c r="H130" s="143"/>
      <c r="I130" s="143"/>
      <c r="J130" s="143"/>
      <c r="K130" s="143"/>
      <c r="L130" s="143"/>
      <c r="M130" s="142"/>
      <c r="N130" s="143"/>
      <c r="O130" s="143"/>
    </row>
    <row r="131" spans="1:16" ht="15" customHeight="1" outlineLevel="1"/>
    <row r="132" spans="1:16" s="85" customFormat="1" ht="15" customHeight="1" outlineLevel="1">
      <c r="A132" s="193"/>
      <c r="B132" s="144"/>
      <c r="C132" s="145"/>
      <c r="D132" s="145"/>
      <c r="E132" s="146"/>
      <c r="F132" s="146"/>
      <c r="G132" s="146"/>
      <c r="H132" s="146"/>
      <c r="I132" s="147"/>
      <c r="J132" s="147"/>
      <c r="K132" s="147"/>
      <c r="L132" s="147"/>
      <c r="M132" s="147"/>
      <c r="N132" s="147"/>
      <c r="O132" s="147"/>
    </row>
    <row r="133" spans="1:16" ht="15" customHeight="1" outlineLevel="1">
      <c r="B133" s="41" t="s">
        <v>166</v>
      </c>
      <c r="E133" s="55">
        <f t="shared" ref="E133:L133" si="37">E$9</f>
        <v>1</v>
      </c>
      <c r="F133" s="55">
        <f t="shared" si="37"/>
        <v>1</v>
      </c>
      <c r="G133" s="55">
        <f t="shared" si="37"/>
        <v>1</v>
      </c>
      <c r="H133" s="55">
        <f t="shared" si="37"/>
        <v>1</v>
      </c>
      <c r="I133" s="55">
        <f t="shared" si="37"/>
        <v>0</v>
      </c>
      <c r="J133" s="55">
        <f t="shared" si="37"/>
        <v>0</v>
      </c>
      <c r="K133" s="55">
        <f t="shared" si="37"/>
        <v>0</v>
      </c>
      <c r="L133" s="55">
        <f t="shared" si="37"/>
        <v>0</v>
      </c>
      <c r="M133" s="102"/>
      <c r="N133" s="55">
        <f>N$9</f>
        <v>1</v>
      </c>
      <c r="O133" s="55">
        <f>O$9</f>
        <v>0</v>
      </c>
    </row>
    <row r="134" spans="1:16" ht="15" customHeight="1" outlineLevel="1">
      <c r="B134" s="139" t="str">
        <f>Model!$B$208</f>
        <v>Strategy Specialist</v>
      </c>
      <c r="C134" s="137"/>
      <c r="D134" s="137"/>
      <c r="E134" s="104">
        <f>SUMIFS(Model!$G208:$AD208,Model!$G$6:$AD$6,E$6,Model!$G$5:$AD$5,E$5)</f>
        <v>21</v>
      </c>
      <c r="F134" s="105">
        <f>SUMIFS(Model!$G208:$AD208,Model!$G$6:$AD$6,F$6,Model!$G$5:$AD$5,F$5)</f>
        <v>23</v>
      </c>
      <c r="G134" s="105">
        <f>SUMIFS(Model!$G208:$AD208,Model!$G$6:$AD$6,G$6,Model!$G$5:$AD$5,G$5)</f>
        <v>22</v>
      </c>
      <c r="H134" s="105">
        <f>SUMIFS(Model!$G208:$AD208,Model!$G$6:$AD$6,H$6,Model!$G$5:$AD$5,H$5)</f>
        <v>21</v>
      </c>
      <c r="I134" s="104">
        <f>SUMIFS(Model!$G208:$AD208,Model!$G$6:$AD$6,I$6,Model!$G$5:$AD$5,I$5)</f>
        <v>20</v>
      </c>
      <c r="J134" s="105">
        <f>SUMIFS(Model!$G208:$AD208,Model!$G$6:$AD$6,J$6,Model!$G$5:$AD$5,J$5)</f>
        <v>22</v>
      </c>
      <c r="K134" s="105">
        <f>SUMIFS(Model!$G208:$AD208,Model!$G$6:$AD$6,K$6,Model!$G$5:$AD$5,K$5)</f>
        <v>21</v>
      </c>
      <c r="L134" s="105">
        <f>SUMIFS(Model!$G208:$AD208,Model!$G$6:$AD$6,L$6,Model!$G$5:$AD$5,L$5)</f>
        <v>20</v>
      </c>
      <c r="M134" s="106"/>
      <c r="N134" s="104">
        <f>SUMIFS($E134:$L134,$E$5:$L$5,N$6)</f>
        <v>87</v>
      </c>
      <c r="O134" s="104">
        <f t="shared" ref="O134:O143" si="38">SUMIFS($E134:$L134,$E$5:$L$5,O$6)</f>
        <v>83</v>
      </c>
      <c r="P134" s="106"/>
    </row>
    <row r="135" spans="1:16" ht="15" customHeight="1" outlineLevel="1">
      <c r="B135" s="139" t="str">
        <f>Model!$B$209</f>
        <v>Strategy Specialist</v>
      </c>
      <c r="C135" s="137"/>
      <c r="D135" s="137"/>
      <c r="E135" s="108">
        <f>SUMIFS(Model!$G209:$AD209,Model!$G$6:$AD$6,E$6,Model!$G$5:$AD$5,E$5)</f>
        <v>0</v>
      </c>
      <c r="F135" s="109">
        <f>SUMIFS(Model!$G209:$AD209,Model!$G$6:$AD$6,F$6,Model!$G$5:$AD$5,F$5)</f>
        <v>0</v>
      </c>
      <c r="G135" s="109">
        <f>SUMIFS(Model!$G209:$AD209,Model!$G$6:$AD$6,G$6,Model!$G$5:$AD$5,G$5)</f>
        <v>0</v>
      </c>
      <c r="H135" s="109">
        <f>SUMIFS(Model!$G209:$AD209,Model!$G$6:$AD$6,H$6,Model!$G$5:$AD$5,H$5)</f>
        <v>0</v>
      </c>
      <c r="I135" s="108">
        <f>SUMIFS(Model!$G209:$AD209,Model!$G$6:$AD$6,I$6,Model!$G$5:$AD$5,I$5)</f>
        <v>20</v>
      </c>
      <c r="J135" s="109">
        <f>SUMIFS(Model!$G209:$AD209,Model!$G$6:$AD$6,J$6,Model!$G$5:$AD$5,J$5)</f>
        <v>22</v>
      </c>
      <c r="K135" s="109">
        <f>SUMIFS(Model!$G209:$AD209,Model!$G$6:$AD$6,K$6,Model!$G$5:$AD$5,K$5)</f>
        <v>21</v>
      </c>
      <c r="L135" s="109">
        <f>SUMIFS(Model!$G209:$AD209,Model!$G$6:$AD$6,L$6,Model!$G$5:$AD$5,L$5)</f>
        <v>20</v>
      </c>
      <c r="M135" s="106"/>
      <c r="N135" s="108">
        <f t="shared" ref="N135:N143" si="39">SUMIFS($E135:$L135,$E$5:$L$5,N$6)</f>
        <v>0</v>
      </c>
      <c r="O135" s="108">
        <f t="shared" si="38"/>
        <v>83</v>
      </c>
      <c r="P135" s="106"/>
    </row>
    <row r="136" spans="1:16" ht="15" customHeight="1" outlineLevel="1">
      <c r="B136" s="139" t="str">
        <f>Model!$B$210</f>
        <v>Marketing Specialist</v>
      </c>
      <c r="C136" s="137"/>
      <c r="D136" s="137"/>
      <c r="E136" s="108">
        <f>SUMIFS(Model!$G210:$AD210,Model!$G$6:$AD$6,E$6,Model!$G$5:$AD$5,E$5)</f>
        <v>21</v>
      </c>
      <c r="F136" s="109">
        <f>SUMIFS(Model!$G210:$AD210,Model!$G$6:$AD$6,F$6,Model!$G$5:$AD$5,F$5)</f>
        <v>23</v>
      </c>
      <c r="G136" s="109">
        <f>SUMIFS(Model!$G210:$AD210,Model!$G$6:$AD$6,G$6,Model!$G$5:$AD$5,G$5)</f>
        <v>22</v>
      </c>
      <c r="H136" s="109">
        <f>SUMIFS(Model!$G210:$AD210,Model!$G$6:$AD$6,H$6,Model!$G$5:$AD$5,H$5)</f>
        <v>21</v>
      </c>
      <c r="I136" s="108">
        <f>SUMIFS(Model!$G210:$AD210,Model!$G$6:$AD$6,I$6,Model!$G$5:$AD$5,I$5)</f>
        <v>20</v>
      </c>
      <c r="J136" s="109">
        <f>SUMIFS(Model!$G210:$AD210,Model!$G$6:$AD$6,J$6,Model!$G$5:$AD$5,J$5)</f>
        <v>22</v>
      </c>
      <c r="K136" s="109">
        <f>SUMIFS(Model!$G210:$AD210,Model!$G$6:$AD$6,K$6,Model!$G$5:$AD$5,K$5)</f>
        <v>21</v>
      </c>
      <c r="L136" s="109">
        <f>SUMIFS(Model!$G210:$AD210,Model!$G$6:$AD$6,L$6,Model!$G$5:$AD$5,L$5)</f>
        <v>20</v>
      </c>
      <c r="M136" s="106"/>
      <c r="N136" s="108">
        <f t="shared" si="39"/>
        <v>87</v>
      </c>
      <c r="O136" s="108">
        <f t="shared" si="38"/>
        <v>83</v>
      </c>
      <c r="P136" s="106"/>
    </row>
    <row r="137" spans="1:16" ht="15" customHeight="1" outlineLevel="1">
      <c r="B137" s="139" t="str">
        <f>Model!$B$211</f>
        <v>Marketing Specialist</v>
      </c>
      <c r="C137" s="137"/>
      <c r="D137" s="137"/>
      <c r="E137" s="108">
        <f>SUMIFS(Model!$G211:$AD211,Model!$G$6:$AD$6,E$6,Model!$G$5:$AD$5,E$5)</f>
        <v>0</v>
      </c>
      <c r="F137" s="109">
        <f>SUMIFS(Model!$G211:$AD211,Model!$G$6:$AD$6,F$6,Model!$G$5:$AD$5,F$5)</f>
        <v>0</v>
      </c>
      <c r="G137" s="109">
        <f>SUMIFS(Model!$G211:$AD211,Model!$G$6:$AD$6,G$6,Model!$G$5:$AD$5,G$5)</f>
        <v>0</v>
      </c>
      <c r="H137" s="109">
        <f>SUMIFS(Model!$G211:$AD211,Model!$G$6:$AD$6,H$6,Model!$G$5:$AD$5,H$5)</f>
        <v>0</v>
      </c>
      <c r="I137" s="108">
        <f>SUMIFS(Model!$G211:$AD211,Model!$G$6:$AD$6,I$6,Model!$G$5:$AD$5,I$5)</f>
        <v>20</v>
      </c>
      <c r="J137" s="109">
        <f>SUMIFS(Model!$G211:$AD211,Model!$G$6:$AD$6,J$6,Model!$G$5:$AD$5,J$5)</f>
        <v>22</v>
      </c>
      <c r="K137" s="109">
        <f>SUMIFS(Model!$G211:$AD211,Model!$G$6:$AD$6,K$6,Model!$G$5:$AD$5,K$5)</f>
        <v>21</v>
      </c>
      <c r="L137" s="109">
        <f>SUMIFS(Model!$G211:$AD211,Model!$G$6:$AD$6,L$6,Model!$G$5:$AD$5,L$5)</f>
        <v>20</v>
      </c>
      <c r="M137" s="106"/>
      <c r="N137" s="108">
        <f t="shared" si="39"/>
        <v>0</v>
      </c>
      <c r="O137" s="108">
        <f t="shared" si="38"/>
        <v>83</v>
      </c>
      <c r="P137" s="106"/>
    </row>
    <row r="138" spans="1:16" ht="15" customHeight="1" outlineLevel="1">
      <c r="B138" s="139" t="str">
        <f>Model!$B$212</f>
        <v>Leadership Specialist</v>
      </c>
      <c r="E138" s="108">
        <f>SUMIFS(Model!$G212:$AD212,Model!$G$6:$AD$6,E$6,Model!$G$5:$AD$5,E$5)</f>
        <v>10</v>
      </c>
      <c r="F138" s="109">
        <f>SUMIFS(Model!$G212:$AD212,Model!$G$6:$AD$6,F$6,Model!$G$5:$AD$5,F$5)</f>
        <v>10</v>
      </c>
      <c r="G138" s="109">
        <f>SUMIFS(Model!$G212:$AD212,Model!$G$6:$AD$6,G$6,Model!$G$5:$AD$5,G$5)</f>
        <v>0</v>
      </c>
      <c r="H138" s="109">
        <f>SUMIFS(Model!$G212:$AD212,Model!$G$6:$AD$6,H$6,Model!$G$5:$AD$5,H$5)</f>
        <v>10</v>
      </c>
      <c r="I138" s="108">
        <f>SUMIFS(Model!$G212:$AD212,Model!$G$6:$AD$6,I$6,Model!$G$5:$AD$5,I$5)</f>
        <v>20</v>
      </c>
      <c r="J138" s="109">
        <f>SUMIFS(Model!$G212:$AD212,Model!$G$6:$AD$6,J$6,Model!$G$5:$AD$5,J$5)</f>
        <v>22</v>
      </c>
      <c r="K138" s="109">
        <f>SUMIFS(Model!$G212:$AD212,Model!$G$6:$AD$6,K$6,Model!$G$5:$AD$5,K$5)</f>
        <v>21</v>
      </c>
      <c r="L138" s="109">
        <f>SUMIFS(Model!$G212:$AD212,Model!$G$6:$AD$6,L$6,Model!$G$5:$AD$5,L$5)</f>
        <v>20</v>
      </c>
      <c r="M138" s="106"/>
      <c r="N138" s="108">
        <f t="shared" si="39"/>
        <v>30</v>
      </c>
      <c r="O138" s="108">
        <f t="shared" si="38"/>
        <v>83</v>
      </c>
      <c r="P138" s="106"/>
    </row>
    <row r="139" spans="1:16" ht="15" customHeight="1" outlineLevel="1">
      <c r="B139" s="139" t="str">
        <f>Model!$B$213</f>
        <v>Leadership Specialist</v>
      </c>
      <c r="C139" s="137"/>
      <c r="D139" s="137"/>
      <c r="E139" s="108">
        <f>SUMIFS(Model!$G213:$AD213,Model!$G$6:$AD$6,E$6,Model!$G$5:$AD$5,E$5)</f>
        <v>0</v>
      </c>
      <c r="F139" s="109">
        <f>SUMIFS(Model!$G213:$AD213,Model!$G$6:$AD$6,F$6,Model!$G$5:$AD$5,F$5)</f>
        <v>0</v>
      </c>
      <c r="G139" s="109">
        <f>SUMIFS(Model!$G213:$AD213,Model!$G$6:$AD$6,G$6,Model!$G$5:$AD$5,G$5)</f>
        <v>0</v>
      </c>
      <c r="H139" s="109">
        <f>SUMIFS(Model!$G213:$AD213,Model!$G$6:$AD$6,H$6,Model!$G$5:$AD$5,H$5)</f>
        <v>0</v>
      </c>
      <c r="I139" s="108">
        <f>SUMIFS(Model!$G213:$AD213,Model!$G$6:$AD$6,I$6,Model!$G$5:$AD$5,I$5)</f>
        <v>20</v>
      </c>
      <c r="J139" s="109">
        <f>SUMIFS(Model!$G213:$AD213,Model!$G$6:$AD$6,J$6,Model!$G$5:$AD$5,J$5)</f>
        <v>22</v>
      </c>
      <c r="K139" s="109">
        <f>SUMIFS(Model!$G213:$AD213,Model!$G$6:$AD$6,K$6,Model!$G$5:$AD$5,K$5)</f>
        <v>21</v>
      </c>
      <c r="L139" s="109">
        <f>SUMIFS(Model!$G213:$AD213,Model!$G$6:$AD$6,L$6,Model!$G$5:$AD$5,L$5)</f>
        <v>20</v>
      </c>
      <c r="M139" s="106"/>
      <c r="N139" s="108">
        <f t="shared" si="39"/>
        <v>0</v>
      </c>
      <c r="O139" s="108">
        <f t="shared" si="38"/>
        <v>83</v>
      </c>
      <c r="P139" s="106"/>
    </row>
    <row r="140" spans="1:16" ht="15" customHeight="1" outlineLevel="1">
      <c r="B140" s="139" t="str">
        <f>Model!$B$214</f>
        <v>Business Analyst</v>
      </c>
      <c r="C140" s="137"/>
      <c r="D140" s="137"/>
      <c r="E140" s="108">
        <f>SUMIFS(Model!$G214:$AD214,Model!$G$6:$AD$6,E$6,Model!$G$5:$AD$5,E$5)</f>
        <v>0</v>
      </c>
      <c r="F140" s="109">
        <f>SUMIFS(Model!$G214:$AD214,Model!$G$6:$AD$6,F$6,Model!$G$5:$AD$5,F$5)</f>
        <v>23</v>
      </c>
      <c r="G140" s="109">
        <f>SUMIFS(Model!$G214:$AD214,Model!$G$6:$AD$6,G$6,Model!$G$5:$AD$5,G$5)</f>
        <v>22</v>
      </c>
      <c r="H140" s="109">
        <f>SUMIFS(Model!$G214:$AD214,Model!$G$6:$AD$6,H$6,Model!$G$5:$AD$5,H$5)</f>
        <v>21</v>
      </c>
      <c r="I140" s="108">
        <f>SUMIFS(Model!$G214:$AD214,Model!$G$6:$AD$6,I$6,Model!$G$5:$AD$5,I$5)</f>
        <v>20</v>
      </c>
      <c r="J140" s="109">
        <f>SUMIFS(Model!$G214:$AD214,Model!$G$6:$AD$6,J$6,Model!$G$5:$AD$5,J$5)</f>
        <v>22</v>
      </c>
      <c r="K140" s="109">
        <f>SUMIFS(Model!$G214:$AD214,Model!$G$6:$AD$6,K$6,Model!$G$5:$AD$5,K$5)</f>
        <v>21</v>
      </c>
      <c r="L140" s="109">
        <f>SUMIFS(Model!$G214:$AD214,Model!$G$6:$AD$6,L$6,Model!$G$5:$AD$5,L$5)</f>
        <v>20</v>
      </c>
      <c r="M140" s="106"/>
      <c r="N140" s="108">
        <f t="shared" si="39"/>
        <v>66</v>
      </c>
      <c r="O140" s="108">
        <f t="shared" si="38"/>
        <v>83</v>
      </c>
      <c r="P140" s="106"/>
    </row>
    <row r="141" spans="1:16" ht="15" customHeight="1" outlineLevel="1">
      <c r="B141" s="139" t="str">
        <f>Model!$B$215</f>
        <v>Business Analyst</v>
      </c>
      <c r="C141" s="137"/>
      <c r="D141" s="137"/>
      <c r="E141" s="108">
        <f>SUMIFS(Model!$G215:$AD215,Model!$G$6:$AD$6,E$6,Model!$G$5:$AD$5,E$5)</f>
        <v>0</v>
      </c>
      <c r="F141" s="109">
        <f>SUMIFS(Model!$G215:$AD215,Model!$G$6:$AD$6,F$6,Model!$G$5:$AD$5,F$5)</f>
        <v>0</v>
      </c>
      <c r="G141" s="109">
        <f>SUMIFS(Model!$G215:$AD215,Model!$G$6:$AD$6,G$6,Model!$G$5:$AD$5,G$5)</f>
        <v>22</v>
      </c>
      <c r="H141" s="109">
        <f>SUMIFS(Model!$G215:$AD215,Model!$G$6:$AD$6,H$6,Model!$G$5:$AD$5,H$5)</f>
        <v>21</v>
      </c>
      <c r="I141" s="108">
        <f>SUMIFS(Model!$G215:$AD215,Model!$G$6:$AD$6,I$6,Model!$G$5:$AD$5,I$5)</f>
        <v>20</v>
      </c>
      <c r="J141" s="109">
        <f>SUMIFS(Model!$G215:$AD215,Model!$G$6:$AD$6,J$6,Model!$G$5:$AD$5,J$5)</f>
        <v>22</v>
      </c>
      <c r="K141" s="109">
        <f>SUMIFS(Model!$G215:$AD215,Model!$G$6:$AD$6,K$6,Model!$G$5:$AD$5,K$5)</f>
        <v>21</v>
      </c>
      <c r="L141" s="109">
        <f>SUMIFS(Model!$G215:$AD215,Model!$G$6:$AD$6,L$6,Model!$G$5:$AD$5,L$5)</f>
        <v>20</v>
      </c>
      <c r="M141" s="106"/>
      <c r="N141" s="108">
        <f t="shared" si="39"/>
        <v>43</v>
      </c>
      <c r="O141" s="108">
        <f t="shared" si="38"/>
        <v>83</v>
      </c>
      <c r="P141" s="106"/>
    </row>
    <row r="142" spans="1:16" ht="15" customHeight="1" outlineLevel="1">
      <c r="B142" s="139" t="str">
        <f>Model!$B$216</f>
        <v>Business Analyst</v>
      </c>
      <c r="C142" s="137"/>
      <c r="D142" s="137"/>
      <c r="E142" s="108">
        <f>SUMIFS(Model!$G216:$AD216,Model!$G$6:$AD$6,E$6,Model!$G$5:$AD$5,E$5)</f>
        <v>0</v>
      </c>
      <c r="F142" s="109">
        <f>SUMIFS(Model!$G216:$AD216,Model!$G$6:$AD$6,F$6,Model!$G$5:$AD$5,F$5)</f>
        <v>0</v>
      </c>
      <c r="G142" s="109">
        <f>SUMIFS(Model!$G216:$AD216,Model!$G$6:$AD$6,G$6,Model!$G$5:$AD$5,G$5)</f>
        <v>0</v>
      </c>
      <c r="H142" s="109">
        <f>SUMIFS(Model!$G216:$AD216,Model!$G$6:$AD$6,H$6,Model!$G$5:$AD$5,H$5)</f>
        <v>21</v>
      </c>
      <c r="I142" s="108">
        <f>SUMIFS(Model!$G216:$AD216,Model!$G$6:$AD$6,I$6,Model!$G$5:$AD$5,I$5)</f>
        <v>20</v>
      </c>
      <c r="J142" s="109">
        <f>SUMIFS(Model!$G216:$AD216,Model!$G$6:$AD$6,J$6,Model!$G$5:$AD$5,J$5)</f>
        <v>22</v>
      </c>
      <c r="K142" s="109">
        <f>SUMIFS(Model!$G216:$AD216,Model!$G$6:$AD$6,K$6,Model!$G$5:$AD$5,K$5)</f>
        <v>21</v>
      </c>
      <c r="L142" s="109">
        <f>SUMIFS(Model!$G216:$AD216,Model!$G$6:$AD$6,L$6,Model!$G$5:$AD$5,L$5)</f>
        <v>20</v>
      </c>
      <c r="M142" s="106"/>
      <c r="N142" s="108">
        <f t="shared" si="39"/>
        <v>21</v>
      </c>
      <c r="O142" s="108">
        <f t="shared" si="38"/>
        <v>83</v>
      </c>
      <c r="P142" s="106"/>
    </row>
    <row r="143" spans="1:16" ht="15" customHeight="1" outlineLevel="1">
      <c r="B143" s="139" t="str">
        <f>Model!$B$217</f>
        <v>Business Analyst</v>
      </c>
      <c r="E143" s="108">
        <f>SUMIFS(Model!$G217:$AD217,Model!$G$6:$AD$6,E$6,Model!$G$5:$AD$5,E$5)</f>
        <v>0</v>
      </c>
      <c r="F143" s="109">
        <f>SUMIFS(Model!$G217:$AD217,Model!$G$6:$AD$6,F$6,Model!$G$5:$AD$5,F$5)</f>
        <v>0</v>
      </c>
      <c r="G143" s="109">
        <f>SUMIFS(Model!$G217:$AD217,Model!$G$6:$AD$6,G$6,Model!$G$5:$AD$5,G$5)</f>
        <v>0</v>
      </c>
      <c r="H143" s="109">
        <f>SUMIFS(Model!$G217:$AD217,Model!$G$6:$AD$6,H$6,Model!$G$5:$AD$5,H$5)</f>
        <v>0</v>
      </c>
      <c r="I143" s="108">
        <f>SUMIFS(Model!$G217:$AD217,Model!$G$6:$AD$6,I$6,Model!$G$5:$AD$5,I$5)</f>
        <v>20</v>
      </c>
      <c r="J143" s="109">
        <f>SUMIFS(Model!$G217:$AD217,Model!$G$6:$AD$6,J$6,Model!$G$5:$AD$5,J$5)</f>
        <v>22</v>
      </c>
      <c r="K143" s="109">
        <f>SUMIFS(Model!$G217:$AD217,Model!$G$6:$AD$6,K$6,Model!$G$5:$AD$5,K$5)</f>
        <v>21</v>
      </c>
      <c r="L143" s="109">
        <f>SUMIFS(Model!$G217:$AD217,Model!$G$6:$AD$6,L$6,Model!$G$5:$AD$5,L$5)</f>
        <v>20</v>
      </c>
      <c r="M143" s="106"/>
      <c r="N143" s="108">
        <f t="shared" si="39"/>
        <v>0</v>
      </c>
      <c r="O143" s="108">
        <f t="shared" si="38"/>
        <v>83</v>
      </c>
      <c r="P143" s="106"/>
    </row>
    <row r="144" spans="1:16" ht="15" customHeight="1" outlineLevel="1">
      <c r="B144" s="139" t="s">
        <v>55</v>
      </c>
      <c r="E144" s="140">
        <f>SUM(E134:E143)</f>
        <v>52</v>
      </c>
      <c r="F144" s="141">
        <f t="shared" ref="F144:L144" si="40">SUM(F134:F143)</f>
        <v>79</v>
      </c>
      <c r="G144" s="141">
        <f t="shared" si="40"/>
        <v>88</v>
      </c>
      <c r="H144" s="141">
        <f t="shared" si="40"/>
        <v>115</v>
      </c>
      <c r="I144" s="140">
        <f t="shared" si="40"/>
        <v>200</v>
      </c>
      <c r="J144" s="141">
        <f t="shared" si="40"/>
        <v>220</v>
      </c>
      <c r="K144" s="141">
        <f t="shared" si="40"/>
        <v>210</v>
      </c>
      <c r="L144" s="141">
        <f t="shared" si="40"/>
        <v>200</v>
      </c>
      <c r="M144" s="106"/>
      <c r="N144" s="140">
        <f>SUM(N134:N143)</f>
        <v>334</v>
      </c>
      <c r="O144" s="140">
        <f>SUM(O134:O143)</f>
        <v>830</v>
      </c>
      <c r="P144" s="106"/>
    </row>
    <row r="145" spans="1:16" s="142" customFormat="1" ht="15" customHeight="1" outlineLevel="1">
      <c r="E145" s="143"/>
      <c r="F145" s="143"/>
      <c r="G145" s="143"/>
      <c r="H145" s="143"/>
      <c r="I145" s="143"/>
      <c r="J145" s="143"/>
      <c r="K145" s="143"/>
      <c r="L145" s="143"/>
      <c r="N145" s="143"/>
      <c r="O145" s="143"/>
    </row>
    <row r="146" spans="1:16" ht="15" customHeight="1" outlineLevel="1"/>
    <row r="147" spans="1:16" ht="15" customHeight="1" outlineLevel="1">
      <c r="G147" s="102"/>
      <c r="H147" s="102"/>
      <c r="I147" s="103"/>
      <c r="J147" s="102"/>
      <c r="K147" s="102"/>
      <c r="L147" s="102"/>
      <c r="P147" s="102"/>
    </row>
    <row r="148" spans="1:16" ht="15" customHeight="1" outlineLevel="1">
      <c r="B148" s="116"/>
      <c r="C148" s="116"/>
      <c r="D148" s="116"/>
      <c r="E148" s="116"/>
      <c r="F148" s="116"/>
      <c r="G148" s="117"/>
      <c r="H148" s="117"/>
      <c r="I148" s="118"/>
      <c r="J148" s="117"/>
      <c r="K148" s="117"/>
      <c r="L148" s="117"/>
      <c r="M148" s="116"/>
      <c r="N148" s="116"/>
      <c r="O148" s="116"/>
      <c r="P148" s="102"/>
    </row>
    <row r="149" spans="1:16" ht="15" customHeight="1">
      <c r="G149" s="102"/>
      <c r="H149" s="102"/>
      <c r="I149" s="103"/>
      <c r="J149" s="102"/>
      <c r="K149" s="102"/>
      <c r="L149" s="102"/>
      <c r="P149" s="102"/>
    </row>
    <row r="150" spans="1:16" ht="15" customHeight="1">
      <c r="A150" s="88" t="s">
        <v>10</v>
      </c>
      <c r="B150" s="24" t="s">
        <v>167</v>
      </c>
      <c r="C150" s="25"/>
      <c r="D150" s="25"/>
      <c r="E150" s="90"/>
      <c r="F150" s="90"/>
      <c r="G150" s="90"/>
      <c r="H150" s="90"/>
      <c r="I150" s="90"/>
      <c r="J150" s="90"/>
      <c r="K150" s="90"/>
      <c r="L150" s="90"/>
      <c r="M150" s="90"/>
      <c r="N150" s="90"/>
      <c r="O150" s="90"/>
    </row>
    <row r="151" spans="1:16" ht="15" customHeight="1" outlineLevel="1">
      <c r="B151" s="28"/>
      <c r="C151" s="29"/>
      <c r="D151" s="29"/>
      <c r="E151" s="92"/>
      <c r="F151" s="92"/>
      <c r="G151" s="92"/>
      <c r="H151" s="92"/>
    </row>
    <row r="152" spans="1:16" ht="15" customHeight="1" outlineLevel="1">
      <c r="B152" s="31" t="s">
        <v>13</v>
      </c>
      <c r="C152" s="93"/>
      <c r="D152" s="93"/>
      <c r="E152" s="52">
        <f t="shared" ref="E152:L152" si="41">E$5</f>
        <v>2024</v>
      </c>
      <c r="F152" s="51">
        <f t="shared" si="41"/>
        <v>2024</v>
      </c>
      <c r="G152" s="51">
        <f t="shared" si="41"/>
        <v>2024</v>
      </c>
      <c r="H152" s="94">
        <f t="shared" si="41"/>
        <v>2024</v>
      </c>
      <c r="I152" s="53">
        <f t="shared" si="41"/>
        <v>2025</v>
      </c>
      <c r="J152" s="51">
        <f t="shared" si="41"/>
        <v>2025</v>
      </c>
      <c r="K152" s="51">
        <f t="shared" si="41"/>
        <v>2025</v>
      </c>
      <c r="L152" s="94">
        <f t="shared" si="41"/>
        <v>2025</v>
      </c>
      <c r="M152" s="40"/>
      <c r="N152" s="121"/>
      <c r="O152" s="136"/>
      <c r="P152" s="95"/>
    </row>
    <row r="153" spans="1:16" ht="15" customHeight="1" outlineLevel="1" thickBot="1">
      <c r="E153" s="96">
        <f t="shared" ref="E153:L153" si="42">E$6</f>
        <v>1</v>
      </c>
      <c r="F153" s="54">
        <f t="shared" si="42"/>
        <v>2</v>
      </c>
      <c r="G153" s="54">
        <f t="shared" si="42"/>
        <v>3</v>
      </c>
      <c r="H153" s="54">
        <f t="shared" si="42"/>
        <v>4</v>
      </c>
      <c r="I153" s="97">
        <f t="shared" si="42"/>
        <v>1</v>
      </c>
      <c r="J153" s="54">
        <f t="shared" si="42"/>
        <v>2</v>
      </c>
      <c r="K153" s="54">
        <f t="shared" si="42"/>
        <v>3</v>
      </c>
      <c r="L153" s="54">
        <f t="shared" si="42"/>
        <v>4</v>
      </c>
      <c r="M153" s="40"/>
      <c r="N153" s="98">
        <f>N$6</f>
        <v>2024</v>
      </c>
      <c r="O153" s="99">
        <f>O$6</f>
        <v>2025</v>
      </c>
      <c r="P153" s="95"/>
    </row>
    <row r="154" spans="1:16" ht="15" customHeight="1" outlineLevel="1">
      <c r="E154" s="100"/>
      <c r="F154" s="100"/>
      <c r="G154" s="100"/>
      <c r="H154" s="100"/>
      <c r="I154" s="100"/>
      <c r="J154" s="100"/>
      <c r="K154" s="100"/>
      <c r="L154" s="100"/>
      <c r="N154" s="100"/>
      <c r="O154" s="100"/>
    </row>
    <row r="155" spans="1:16" ht="15" customHeight="1" outlineLevel="1">
      <c r="G155" s="102"/>
      <c r="H155" s="102"/>
      <c r="I155" s="103"/>
      <c r="J155" s="102"/>
      <c r="K155" s="102"/>
      <c r="L155" s="102"/>
      <c r="P155" s="102"/>
    </row>
    <row r="156" spans="1:16" ht="15" customHeight="1" outlineLevel="1">
      <c r="B156" s="41" t="s">
        <v>168</v>
      </c>
      <c r="E156" s="55">
        <f t="shared" ref="E156:L156" si="43">E$9</f>
        <v>1</v>
      </c>
      <c r="F156" s="55">
        <f t="shared" si="43"/>
        <v>1</v>
      </c>
      <c r="G156" s="55">
        <f t="shared" si="43"/>
        <v>1</v>
      </c>
      <c r="H156" s="55">
        <f t="shared" si="43"/>
        <v>1</v>
      </c>
      <c r="I156" s="55">
        <f t="shared" si="43"/>
        <v>0</v>
      </c>
      <c r="J156" s="55">
        <f t="shared" si="43"/>
        <v>0</v>
      </c>
      <c r="K156" s="55">
        <f t="shared" si="43"/>
        <v>0</v>
      </c>
      <c r="L156" s="55">
        <f t="shared" si="43"/>
        <v>0</v>
      </c>
      <c r="M156" s="102"/>
      <c r="N156" s="55">
        <f>N$9</f>
        <v>1</v>
      </c>
      <c r="O156" s="55">
        <f>O$9</f>
        <v>0</v>
      </c>
    </row>
    <row r="157" spans="1:16" ht="15" customHeight="1" outlineLevel="1">
      <c r="B157" s="46" t="str">
        <f>$B$121</f>
        <v>Director</v>
      </c>
      <c r="C157" s="137"/>
      <c r="D157" s="137"/>
      <c r="E157" s="104">
        <f>SUMIFS(Model!$G153:$AD153,Model!$G$6:$AD$6,E$6,Model!$G$5:$AD$5,E$5)</f>
        <v>358.03278688524586</v>
      </c>
      <c r="F157" s="105">
        <f>SUMIFS(Model!$G153:$AD153,Model!$G$6:$AD$6,F$6,Model!$G$5:$AD$5,F$5)</f>
        <v>358.03278688524591</v>
      </c>
      <c r="G157" s="105">
        <f>SUMIFS(Model!$G153:$AD153,Model!$G$6:$AD$6,G$6,Model!$G$5:$AD$5,G$5)</f>
        <v>361.96721311475409</v>
      </c>
      <c r="H157" s="105">
        <f>SUMIFS(Model!$G153:$AD153,Model!$G$6:$AD$6,H$6,Model!$G$5:$AD$5,H$5)</f>
        <v>361.96721311475409</v>
      </c>
      <c r="I157" s="104">
        <f>SUMIFS(Model!$G153:$AD153,Model!$G$6:$AD$6,I$6,Model!$G$5:$AD$5,I$5)</f>
        <v>359.50684931506851</v>
      </c>
      <c r="J157" s="105">
        <f>SUMIFS(Model!$G153:$AD153,Model!$G$6:$AD$6,J$6,Model!$G$5:$AD$5,J$5)</f>
        <v>373.59863013698629</v>
      </c>
      <c r="K157" s="105">
        <f>SUMIFS(Model!$G153:$AD153,Model!$G$6:$AD$6,K$6,Model!$G$5:$AD$5,K$5)</f>
        <v>377.70410958904108</v>
      </c>
      <c r="L157" s="105">
        <f>SUMIFS(Model!$G153:$AD153,Model!$G$6:$AD$6,L$6,Model!$G$5:$AD$5,L$5)</f>
        <v>377.70410958904108</v>
      </c>
      <c r="M157" s="106"/>
      <c r="N157" s="104">
        <f>SUMIFS($E157:$L157,$E$5:$L$5,N$6)</f>
        <v>1439.9999999999998</v>
      </c>
      <c r="O157" s="104">
        <f t="shared" ref="N157:O164" si="44">SUMIFS($E157:$L157,$E$5:$L$5,O$6)</f>
        <v>1488.513698630137</v>
      </c>
      <c r="P157" s="106"/>
    </row>
    <row r="158" spans="1:16" ht="15" customHeight="1" outlineLevel="1">
      <c r="B158" s="46" t="str">
        <f>$B$122</f>
        <v>Partner</v>
      </c>
      <c r="C158" s="137"/>
      <c r="D158" s="137"/>
      <c r="E158" s="108">
        <f>SUMIFS(Model!$G154:$AD154,Model!$G$6:$AD$6,E$6,Model!$G$5:$AD$5,E$5)</f>
        <v>317.94057377049182</v>
      </c>
      <c r="F158" s="109">
        <f>SUMIFS(Model!$G154:$AD154,Model!$G$6:$AD$6,F$6,Model!$G$5:$AD$5,F$5)</f>
        <v>317.94057377049182</v>
      </c>
      <c r="G158" s="109">
        <f>SUMIFS(Model!$G154:$AD154,Model!$G$6:$AD$6,G$6,Model!$G$5:$AD$5,G$5)</f>
        <v>321.43442622950818</v>
      </c>
      <c r="H158" s="109">
        <f>SUMIFS(Model!$G154:$AD154,Model!$G$6:$AD$6,H$6,Model!$G$5:$AD$5,H$5)</f>
        <v>321.43442622950818</v>
      </c>
      <c r="I158" s="108">
        <f>SUMIFS(Model!$G154:$AD154,Model!$G$6:$AD$6,I$6,Model!$G$5:$AD$5,I$5)</f>
        <v>315.3082191780822</v>
      </c>
      <c r="J158" s="109">
        <f>SUMIFS(Model!$G154:$AD154,Model!$G$6:$AD$6,J$6,Model!$G$5:$AD$5,J$5)</f>
        <v>328.47260273972597</v>
      </c>
      <c r="K158" s="109">
        <f>SUMIFS(Model!$G154:$AD154,Model!$G$6:$AD$6,K$6,Model!$G$5:$AD$5,K$5)</f>
        <v>332.08219178082186</v>
      </c>
      <c r="L158" s="109">
        <f>SUMIFS(Model!$G154:$AD154,Model!$G$6:$AD$6,L$6,Model!$G$5:$AD$5,L$5)</f>
        <v>332.08219178082186</v>
      </c>
      <c r="M158" s="106"/>
      <c r="N158" s="108">
        <f t="shared" si="44"/>
        <v>1278.75</v>
      </c>
      <c r="O158" s="108">
        <f t="shared" si="44"/>
        <v>1307.9452054794519</v>
      </c>
      <c r="P158" s="106"/>
    </row>
    <row r="159" spans="1:16" ht="15" customHeight="1" outlineLevel="1">
      <c r="B159" s="46" t="str">
        <f>$B$123</f>
        <v>Principal</v>
      </c>
      <c r="C159" s="137"/>
      <c r="D159" s="137"/>
      <c r="E159" s="108">
        <f>SUMIFS(Model!$G155:$AD155,Model!$G$6:$AD$6,E$6,Model!$G$5:$AD$5,E$5)</f>
        <v>283.44262295081967</v>
      </c>
      <c r="F159" s="109">
        <f>SUMIFS(Model!$G155:$AD155,Model!$G$6:$AD$6,F$6,Model!$G$5:$AD$5,F$5)</f>
        <v>283.44262295081967</v>
      </c>
      <c r="G159" s="109">
        <f>SUMIFS(Model!$G155:$AD155,Model!$G$6:$AD$6,G$6,Model!$G$5:$AD$5,G$5)</f>
        <v>286.55737704918033</v>
      </c>
      <c r="H159" s="109">
        <f>SUMIFS(Model!$G155:$AD155,Model!$G$6:$AD$6,H$6,Model!$G$5:$AD$5,H$5)</f>
        <v>286.55737704918033</v>
      </c>
      <c r="I159" s="108">
        <f>SUMIFS(Model!$G155:$AD155,Model!$G$6:$AD$6,I$6,Model!$G$5:$AD$5,I$5)</f>
        <v>281.09589041095893</v>
      </c>
      <c r="J159" s="109">
        <f>SUMIFS(Model!$G155:$AD155,Model!$G$6:$AD$6,J$6,Model!$G$5:$AD$5,J$5)</f>
        <v>293.69315068493148</v>
      </c>
      <c r="K159" s="109">
        <f>SUMIFS(Model!$G155:$AD155,Model!$G$6:$AD$6,K$6,Model!$G$5:$AD$5,K$5)</f>
        <v>296.9205479452055</v>
      </c>
      <c r="L159" s="109">
        <f>SUMIFS(Model!$G155:$AD155,Model!$G$6:$AD$6,L$6,Model!$G$5:$AD$5,L$5)</f>
        <v>296.9205479452055</v>
      </c>
      <c r="M159" s="106"/>
      <c r="N159" s="108">
        <f t="shared" si="44"/>
        <v>1140</v>
      </c>
      <c r="O159" s="108">
        <f t="shared" si="44"/>
        <v>1168.6301369863013</v>
      </c>
      <c r="P159" s="106"/>
    </row>
    <row r="160" spans="1:16" ht="15" customHeight="1" outlineLevel="1">
      <c r="B160" s="46" t="str">
        <f>$B$124</f>
        <v>Manager</v>
      </c>
      <c r="C160" s="137"/>
      <c r="D160" s="137"/>
      <c r="E160" s="108">
        <f>SUMIFS(Model!$G156:$AD156,Model!$G$6:$AD$6,E$6,Model!$G$5:$AD$5,E$5)</f>
        <v>0</v>
      </c>
      <c r="F160" s="109">
        <f>SUMIFS(Model!$G156:$AD156,Model!$G$6:$AD$6,F$6,Model!$G$5:$AD$5,F$5)</f>
        <v>0</v>
      </c>
      <c r="G160" s="109">
        <f>SUMIFS(Model!$G156:$AD156,Model!$G$6:$AD$6,G$6,Model!$G$5:$AD$5,G$5)</f>
        <v>79.918032786885234</v>
      </c>
      <c r="H160" s="109">
        <f>SUMIFS(Model!$G156:$AD156,Model!$G$6:$AD$6,H$6,Model!$G$5:$AD$5,H$5)</f>
        <v>141.39344262295083</v>
      </c>
      <c r="I160" s="108">
        <f>SUMIFS(Model!$G156:$AD156,Model!$G$6:$AD$6,I$6,Model!$G$5:$AD$5,I$5)</f>
        <v>138.69863013698631</v>
      </c>
      <c r="J160" s="109">
        <f>SUMIFS(Model!$G156:$AD156,Model!$G$6:$AD$6,J$6,Model!$G$5:$AD$5,J$5)</f>
        <v>149.58904109589039</v>
      </c>
      <c r="K160" s="109">
        <f>SUMIFS(Model!$G156:$AD156,Model!$G$6:$AD$6,K$6,Model!$G$5:$AD$5,K$5)</f>
        <v>151.23287671232876</v>
      </c>
      <c r="L160" s="109">
        <f>SUMIFS(Model!$G156:$AD156,Model!$G$6:$AD$6,L$6,Model!$G$5:$AD$5,L$5)</f>
        <v>151.23287671232876</v>
      </c>
      <c r="M160" s="106"/>
      <c r="N160" s="108">
        <f t="shared" si="44"/>
        <v>221.31147540983608</v>
      </c>
      <c r="O160" s="108">
        <f t="shared" si="44"/>
        <v>590.75342465753431</v>
      </c>
      <c r="P160" s="106"/>
    </row>
    <row r="161" spans="2:16" ht="15" customHeight="1" outlineLevel="1">
      <c r="B161" s="46" t="str">
        <f>$B$125</f>
        <v>Sr Associate</v>
      </c>
      <c r="E161" s="108">
        <f>SUMIFS(Model!$G157:$AD157,Model!$G$6:$AD$6,E$6,Model!$G$5:$AD$5,E$5)</f>
        <v>0</v>
      </c>
      <c r="F161" s="109">
        <f>SUMIFS(Model!$G157:$AD157,Model!$G$6:$AD$6,F$6,Model!$G$5:$AD$5,F$5)</f>
        <v>0</v>
      </c>
      <c r="G161" s="109">
        <f>SUMIFS(Model!$G157:$AD157,Model!$G$6:$AD$6,G$6,Model!$G$5:$AD$5,G$5)</f>
        <v>28.114754098360656</v>
      </c>
      <c r="H161" s="109">
        <f>SUMIFS(Model!$G157:$AD157,Model!$G$6:$AD$6,H$6,Model!$G$5:$AD$5,H$5)</f>
        <v>64.663934426229503</v>
      </c>
      <c r="I161" s="108">
        <f>SUMIFS(Model!$G157:$AD157,Model!$G$6:$AD$6,I$6,Model!$G$5:$AD$5,I$5)</f>
        <v>64.726027397260282</v>
      </c>
      <c r="J161" s="109">
        <f>SUMIFS(Model!$G157:$AD157,Model!$G$6:$AD$6,J$6,Model!$G$5:$AD$5,J$5)</f>
        <v>65.445205479452056</v>
      </c>
      <c r="K161" s="109">
        <f>SUMIFS(Model!$G157:$AD157,Model!$G$6:$AD$6,K$6,Model!$G$5:$AD$5,K$5)</f>
        <v>66.164383561643831</v>
      </c>
      <c r="L161" s="109">
        <f>SUMIFS(Model!$G157:$AD157,Model!$G$6:$AD$6,L$6,Model!$G$5:$AD$5,L$5)</f>
        <v>66.164383561643831</v>
      </c>
      <c r="M161" s="106"/>
      <c r="N161" s="108">
        <f t="shared" si="44"/>
        <v>92.778688524590166</v>
      </c>
      <c r="O161" s="108">
        <f t="shared" si="44"/>
        <v>262.5</v>
      </c>
      <c r="P161" s="106"/>
    </row>
    <row r="162" spans="2:16" ht="15" customHeight="1" outlineLevel="1">
      <c r="B162" s="46" t="str">
        <f>$B$126</f>
        <v>Associate</v>
      </c>
      <c r="C162" s="137"/>
      <c r="D162" s="137"/>
      <c r="E162" s="108">
        <f>SUMIFS(Model!$G158:$AD158,Model!$G$6:$AD$6,E$6,Model!$G$5:$AD$5,E$5)</f>
        <v>54.077868852459019</v>
      </c>
      <c r="F162" s="109">
        <f>SUMIFS(Model!$G158:$AD158,Model!$G$6:$AD$6,F$6,Model!$G$5:$AD$5,F$5)</f>
        <v>54.077868852459019</v>
      </c>
      <c r="G162" s="109">
        <f>SUMIFS(Model!$G158:$AD158,Model!$G$6:$AD$6,G$6,Model!$G$5:$AD$5,G$5)</f>
        <v>54.672131147540981</v>
      </c>
      <c r="H162" s="109">
        <f>SUMIFS(Model!$G158:$AD158,Model!$G$6:$AD$6,H$6,Model!$G$5:$AD$5,H$5)</f>
        <v>54.672131147540981</v>
      </c>
      <c r="I162" s="108">
        <f>SUMIFS(Model!$G158:$AD158,Model!$G$6:$AD$6,I$6,Model!$G$5:$AD$5,I$5)</f>
        <v>59.80684931506849</v>
      </c>
      <c r="J162" s="109">
        <f>SUMIFS(Model!$G158:$AD158,Model!$G$6:$AD$6,J$6,Model!$G$5:$AD$5,J$5)</f>
        <v>60.471369863013692</v>
      </c>
      <c r="K162" s="109">
        <f>SUMIFS(Model!$G158:$AD158,Model!$G$6:$AD$6,K$6,Model!$G$5:$AD$5,K$5)</f>
        <v>61.135890410958901</v>
      </c>
      <c r="L162" s="109">
        <f>SUMIFS(Model!$G158:$AD158,Model!$G$6:$AD$6,L$6,Model!$G$5:$AD$5,L$5)</f>
        <v>61.135890410958893</v>
      </c>
      <c r="M162" s="106"/>
      <c r="N162" s="108">
        <f t="shared" si="44"/>
        <v>217.5</v>
      </c>
      <c r="O162" s="108">
        <f t="shared" si="44"/>
        <v>242.54999999999998</v>
      </c>
      <c r="P162" s="106"/>
    </row>
    <row r="163" spans="2:16" ht="15" customHeight="1" outlineLevel="1">
      <c r="B163" s="46" t="str">
        <f>$B$127</f>
        <v>Analyst</v>
      </c>
      <c r="C163" s="137"/>
      <c r="D163" s="137"/>
      <c r="E163" s="108">
        <f>SUMIFS(Model!$G159:$AD159,Model!$G$6:$AD$6,E$6,Model!$G$5:$AD$5,E$5)</f>
        <v>28.403934426229508</v>
      </c>
      <c r="F163" s="109">
        <f>SUMIFS(Model!$G159:$AD159,Model!$G$6:$AD$6,F$6,Model!$G$5:$AD$5,F$5)</f>
        <v>28.403934426229508</v>
      </c>
      <c r="G163" s="109">
        <f>SUMIFS(Model!$G159:$AD159,Model!$G$6:$AD$6,G$6,Model!$G$5:$AD$5,G$5)</f>
        <v>28.716065573770489</v>
      </c>
      <c r="H163" s="109">
        <f>SUMIFS(Model!$G159:$AD159,Model!$G$6:$AD$6,H$6,Model!$G$5:$AD$5,H$5)</f>
        <v>28.716065573770489</v>
      </c>
      <c r="I163" s="108">
        <f>SUMIFS(Model!$G159:$AD159,Model!$G$6:$AD$6,I$6,Model!$G$5:$AD$5,I$5)</f>
        <v>32.326027397260276</v>
      </c>
      <c r="J163" s="109">
        <f>SUMIFS(Model!$G159:$AD159,Model!$G$6:$AD$6,J$6,Model!$G$5:$AD$5,J$5)</f>
        <v>32.685205479452051</v>
      </c>
      <c r="K163" s="109">
        <f>SUMIFS(Model!$G159:$AD159,Model!$G$6:$AD$6,K$6,Model!$G$5:$AD$5,K$5)</f>
        <v>33.044383561643834</v>
      </c>
      <c r="L163" s="109">
        <f>SUMIFS(Model!$G159:$AD159,Model!$G$6:$AD$6,L$6,Model!$G$5:$AD$5,L$5)</f>
        <v>33.044383561643834</v>
      </c>
      <c r="M163" s="106"/>
      <c r="N163" s="108">
        <f>SUMIFS($E163:$L163,$E$5:$L$5,N$6)</f>
        <v>114.24</v>
      </c>
      <c r="O163" s="108">
        <f t="shared" si="44"/>
        <v>131.1</v>
      </c>
      <c r="P163" s="106"/>
    </row>
    <row r="164" spans="2:16" ht="15" customHeight="1" outlineLevel="1">
      <c r="B164" s="46" t="str">
        <f>$B$128</f>
        <v>Analyst</v>
      </c>
      <c r="C164" s="137"/>
      <c r="D164" s="137"/>
      <c r="E164" s="108">
        <f>SUMIFS(Model!$G160:$AD160,Model!$G$6:$AD$6,E$6,Model!$G$5:$AD$5,E$5)</f>
        <v>0</v>
      </c>
      <c r="F164" s="109">
        <f>SUMIFS(Model!$G160:$AD160,Model!$G$6:$AD$6,F$6,Model!$G$5:$AD$5,F$5)</f>
        <v>0</v>
      </c>
      <c r="G164" s="109">
        <f>SUMIFS(Model!$G160:$AD160,Model!$G$6:$AD$6,G$6,Model!$G$5:$AD$5,G$5)</f>
        <v>9.363934426229509</v>
      </c>
      <c r="H164" s="109">
        <f>SUMIFS(Model!$G160:$AD160,Model!$G$6:$AD$6,H$6,Model!$G$5:$AD$5,H$5)</f>
        <v>28.716065573770489</v>
      </c>
      <c r="I164" s="108">
        <f>SUMIFS(Model!$G160:$AD160,Model!$G$6:$AD$6,I$6,Model!$G$5:$AD$5,I$5)</f>
        <v>30.624657534246573</v>
      </c>
      <c r="J164" s="109">
        <f>SUMIFS(Model!$G160:$AD160,Model!$G$6:$AD$6,J$6,Model!$G$5:$AD$5,J$5)</f>
        <v>30.964931506849311</v>
      </c>
      <c r="K164" s="109">
        <f>SUMIFS(Model!$G160:$AD160,Model!$G$6:$AD$6,K$6,Model!$G$5:$AD$5,K$5)</f>
        <v>31.305205479452049</v>
      </c>
      <c r="L164" s="109">
        <f>SUMIFS(Model!$G160:$AD160,Model!$G$6:$AD$6,L$6,Model!$G$5:$AD$5,L$5)</f>
        <v>31.305205479452052</v>
      </c>
      <c r="M164" s="106"/>
      <c r="N164" s="108">
        <f t="shared" si="44"/>
        <v>38.08</v>
      </c>
      <c r="O164" s="108">
        <f t="shared" si="44"/>
        <v>124.19999999999999</v>
      </c>
      <c r="P164" s="106"/>
    </row>
    <row r="165" spans="2:16" ht="15" customHeight="1" outlineLevel="1">
      <c r="B165" s="139" t="s">
        <v>55</v>
      </c>
      <c r="E165" s="140">
        <f>SUM(E157:E164)</f>
        <v>1041.8977868852458</v>
      </c>
      <c r="F165" s="141">
        <f t="shared" ref="F165:L165" si="45">SUM(F157:F164)</f>
        <v>1041.8977868852458</v>
      </c>
      <c r="G165" s="141">
        <f t="shared" si="45"/>
        <v>1170.7439344262295</v>
      </c>
      <c r="H165" s="141">
        <f t="shared" si="45"/>
        <v>1288.1206557377047</v>
      </c>
      <c r="I165" s="140">
        <f t="shared" si="45"/>
        <v>1282.0931506849317</v>
      </c>
      <c r="J165" s="141">
        <f t="shared" si="45"/>
        <v>1334.920136986301</v>
      </c>
      <c r="K165" s="141">
        <f t="shared" si="45"/>
        <v>1349.5895890410957</v>
      </c>
      <c r="L165" s="141">
        <f t="shared" si="45"/>
        <v>1349.5895890410957</v>
      </c>
      <c r="M165" s="106"/>
      <c r="N165" s="140">
        <f>SUM(N157:N164)</f>
        <v>4542.6601639344262</v>
      </c>
      <c r="O165" s="140">
        <f>SUM(O157:O164)</f>
        <v>5316.1924657534246</v>
      </c>
      <c r="P165" s="106"/>
    </row>
    <row r="166" spans="2:16" ht="15" customHeight="1" outlineLevel="1">
      <c r="B166" s="142"/>
      <c r="C166" s="142"/>
      <c r="D166" s="142"/>
      <c r="E166" s="143"/>
      <c r="F166" s="143"/>
      <c r="G166" s="143"/>
      <c r="H166" s="143"/>
      <c r="I166" s="143"/>
      <c r="J166" s="143"/>
      <c r="K166" s="143"/>
      <c r="L166" s="143"/>
      <c r="M166" s="142"/>
      <c r="N166" s="143"/>
      <c r="O166" s="143"/>
    </row>
    <row r="167" spans="2:16" ht="15" customHeight="1" outlineLevel="1">
      <c r="G167" s="102"/>
      <c r="H167" s="102"/>
      <c r="I167" s="103"/>
      <c r="J167" s="102"/>
      <c r="K167" s="102"/>
      <c r="L167" s="102"/>
      <c r="P167" s="102"/>
    </row>
    <row r="168" spans="2:16" ht="15" customHeight="1" outlineLevel="1">
      <c r="B168" s="41" t="s">
        <v>169</v>
      </c>
      <c r="E168" s="55">
        <f>E$9</f>
        <v>1</v>
      </c>
      <c r="F168" s="55">
        <f t="shared" ref="F168:L168" si="46">F$9</f>
        <v>1</v>
      </c>
      <c r="G168" s="55">
        <f t="shared" si="46"/>
        <v>1</v>
      </c>
      <c r="H168" s="55">
        <f t="shared" si="46"/>
        <v>1</v>
      </c>
      <c r="I168" s="55">
        <f t="shared" si="46"/>
        <v>0</v>
      </c>
      <c r="J168" s="55">
        <f t="shared" si="46"/>
        <v>0</v>
      </c>
      <c r="K168" s="55">
        <f t="shared" si="46"/>
        <v>0</v>
      </c>
      <c r="L168" s="55">
        <f t="shared" si="46"/>
        <v>0</v>
      </c>
      <c r="M168" s="102"/>
      <c r="N168" s="55">
        <f>N$9</f>
        <v>1</v>
      </c>
      <c r="O168" s="55">
        <f>O$9</f>
        <v>0</v>
      </c>
    </row>
    <row r="169" spans="2:16" ht="15" customHeight="1" outlineLevel="1">
      <c r="B169" s="139" t="str">
        <f>Model!$B$208</f>
        <v>Strategy Specialist</v>
      </c>
      <c r="C169" s="137"/>
      <c r="D169" s="137"/>
      <c r="E169" s="104">
        <f>SUMIFS(Model!$G260:$AD260,Model!$G$6:$AD$6,E$6,Model!$G$5:$AD$5,E$5)</f>
        <v>39.9</v>
      </c>
      <c r="F169" s="105">
        <f>SUMIFS(Model!$G260:$AD260,Model!$G$6:$AD$6,F$6,Model!$G$5:$AD$5,F$5)</f>
        <v>20.7</v>
      </c>
      <c r="G169" s="105">
        <f>SUMIFS(Model!$G260:$AD260,Model!$G$6:$AD$6,G$6,Model!$G$5:$AD$5,G$5)</f>
        <v>19.8</v>
      </c>
      <c r="H169" s="105">
        <f>SUMIFS(Model!$G260:$AD260,Model!$G$6:$AD$6,H$6,Model!$G$5:$AD$5,H$5)</f>
        <v>18.899999999999999</v>
      </c>
      <c r="I169" s="104">
        <f>SUMIFS(Model!$G260:$AD260,Model!$G$6:$AD$6,I$6,Model!$G$5:$AD$5,I$5)</f>
        <v>18.5</v>
      </c>
      <c r="J169" s="105">
        <f>SUMIFS(Model!$G260:$AD260,Model!$G$6:$AD$6,J$6,Model!$G$5:$AD$5,J$5)</f>
        <v>20.350000000000001</v>
      </c>
      <c r="K169" s="105">
        <f>SUMIFS(Model!$G260:$AD260,Model!$G$6:$AD$6,K$6,Model!$G$5:$AD$5,K$5)</f>
        <v>19.425000000000001</v>
      </c>
      <c r="L169" s="105">
        <f>SUMIFS(Model!$G260:$AD260,Model!$G$6:$AD$6,L$6,Model!$G$5:$AD$5,L$5)</f>
        <v>18.5</v>
      </c>
      <c r="M169" s="106"/>
      <c r="N169" s="104">
        <f>SUMIFS($E169:$L169,$E$5:$L$5,N$6)</f>
        <v>99.299999999999983</v>
      </c>
      <c r="O169" s="104">
        <f t="shared" ref="O169:O178" si="47">SUMIFS($E169:$L169,$E$5:$L$5,O$6)</f>
        <v>76.775000000000006</v>
      </c>
      <c r="P169" s="106"/>
    </row>
    <row r="170" spans="2:16" ht="15" customHeight="1" outlineLevel="1">
      <c r="B170" s="139" t="str">
        <f>Model!$B$209</f>
        <v>Strategy Specialist</v>
      </c>
      <c r="C170" s="137"/>
      <c r="D170" s="137"/>
      <c r="E170" s="108">
        <f>SUMIFS(Model!$G261:$AD261,Model!$G$6:$AD$6,E$6,Model!$G$5:$AD$5,E$5)</f>
        <v>0</v>
      </c>
      <c r="F170" s="109">
        <f>SUMIFS(Model!$G261:$AD261,Model!$G$6:$AD$6,F$6,Model!$G$5:$AD$5,F$5)</f>
        <v>0</v>
      </c>
      <c r="G170" s="109">
        <f>SUMIFS(Model!$G261:$AD261,Model!$G$6:$AD$6,G$6,Model!$G$5:$AD$5,G$5)</f>
        <v>0</v>
      </c>
      <c r="H170" s="109">
        <f>SUMIFS(Model!$G261:$AD261,Model!$G$6:$AD$6,H$6,Model!$G$5:$AD$5,H$5)</f>
        <v>0</v>
      </c>
      <c r="I170" s="108">
        <f>SUMIFS(Model!$G261:$AD261,Model!$G$6:$AD$6,I$6,Model!$G$5:$AD$5,I$5)</f>
        <v>18.5</v>
      </c>
      <c r="J170" s="109">
        <f>SUMIFS(Model!$G261:$AD261,Model!$G$6:$AD$6,J$6,Model!$G$5:$AD$5,J$5)</f>
        <v>20.350000000000001</v>
      </c>
      <c r="K170" s="109">
        <f>SUMIFS(Model!$G261:$AD261,Model!$G$6:$AD$6,K$6,Model!$G$5:$AD$5,K$5)</f>
        <v>19.425000000000001</v>
      </c>
      <c r="L170" s="109">
        <f>SUMIFS(Model!$G261:$AD261,Model!$G$6:$AD$6,L$6,Model!$G$5:$AD$5,L$5)</f>
        <v>18.5</v>
      </c>
      <c r="M170" s="106"/>
      <c r="N170" s="108">
        <f t="shared" ref="N170:N178" si="48">SUMIFS($E170:$L170,$E$5:$L$5,N$6)</f>
        <v>0</v>
      </c>
      <c r="O170" s="108">
        <f t="shared" si="47"/>
        <v>76.775000000000006</v>
      </c>
      <c r="P170" s="106"/>
    </row>
    <row r="171" spans="2:16" ht="15" customHeight="1" outlineLevel="1">
      <c r="B171" s="139" t="str">
        <f>Model!$B$210</f>
        <v>Marketing Specialist</v>
      </c>
      <c r="C171" s="137"/>
      <c r="D171" s="137"/>
      <c r="E171" s="108">
        <f>SUMIFS(Model!$G262:$AD262,Model!$G$6:$AD$6,E$6,Model!$G$5:$AD$5,E$5)</f>
        <v>34.799999999999997</v>
      </c>
      <c r="F171" s="109">
        <f>SUMIFS(Model!$G262:$AD262,Model!$G$6:$AD$6,F$6,Model!$G$5:$AD$5,F$5)</f>
        <v>18.399999999999999</v>
      </c>
      <c r="G171" s="109">
        <f>SUMIFS(Model!$G262:$AD262,Model!$G$6:$AD$6,G$6,Model!$G$5:$AD$5,G$5)</f>
        <v>17.600000000000001</v>
      </c>
      <c r="H171" s="109">
        <f>SUMIFS(Model!$G262:$AD262,Model!$G$6:$AD$6,H$6,Model!$G$5:$AD$5,H$5)</f>
        <v>16.8</v>
      </c>
      <c r="I171" s="108">
        <f>SUMIFS(Model!$G262:$AD262,Model!$G$6:$AD$6,I$6,Model!$G$5:$AD$5,I$5)</f>
        <v>16.5</v>
      </c>
      <c r="J171" s="109">
        <f>SUMIFS(Model!$G262:$AD262,Model!$G$6:$AD$6,J$6,Model!$G$5:$AD$5,J$5)</f>
        <v>18.149999999999999</v>
      </c>
      <c r="K171" s="109">
        <f>SUMIFS(Model!$G262:$AD262,Model!$G$6:$AD$6,K$6,Model!$G$5:$AD$5,K$5)</f>
        <v>17.324999999999999</v>
      </c>
      <c r="L171" s="109">
        <f>SUMIFS(Model!$G262:$AD262,Model!$G$6:$AD$6,L$6,Model!$G$5:$AD$5,L$5)</f>
        <v>16.5</v>
      </c>
      <c r="M171" s="106"/>
      <c r="N171" s="108">
        <f t="shared" si="48"/>
        <v>87.6</v>
      </c>
      <c r="O171" s="108">
        <f t="shared" si="47"/>
        <v>68.474999999999994</v>
      </c>
      <c r="P171" s="106"/>
    </row>
    <row r="172" spans="2:16" ht="15" customHeight="1" outlineLevel="1">
      <c r="B172" s="139" t="str">
        <f>Model!$B$211</f>
        <v>Marketing Specialist</v>
      </c>
      <c r="C172" s="137"/>
      <c r="D172" s="137"/>
      <c r="E172" s="108">
        <f>SUMIFS(Model!$G263:$AD263,Model!$G$6:$AD$6,E$6,Model!$G$5:$AD$5,E$5)</f>
        <v>0</v>
      </c>
      <c r="F172" s="109">
        <f>SUMIFS(Model!$G263:$AD263,Model!$G$6:$AD$6,F$6,Model!$G$5:$AD$5,F$5)</f>
        <v>0</v>
      </c>
      <c r="G172" s="109">
        <f>SUMIFS(Model!$G263:$AD263,Model!$G$6:$AD$6,G$6,Model!$G$5:$AD$5,G$5)</f>
        <v>0</v>
      </c>
      <c r="H172" s="109">
        <f>SUMIFS(Model!$G263:$AD263,Model!$G$6:$AD$6,H$6,Model!$G$5:$AD$5,H$5)</f>
        <v>0</v>
      </c>
      <c r="I172" s="108">
        <f>SUMIFS(Model!$G263:$AD263,Model!$G$6:$AD$6,I$6,Model!$G$5:$AD$5,I$5)</f>
        <v>16.5</v>
      </c>
      <c r="J172" s="109">
        <f>SUMIFS(Model!$G263:$AD263,Model!$G$6:$AD$6,J$6,Model!$G$5:$AD$5,J$5)</f>
        <v>18.149999999999999</v>
      </c>
      <c r="K172" s="109">
        <f>SUMIFS(Model!$G263:$AD263,Model!$G$6:$AD$6,K$6,Model!$G$5:$AD$5,K$5)</f>
        <v>17.324999999999999</v>
      </c>
      <c r="L172" s="109">
        <f>SUMIFS(Model!$G263:$AD263,Model!$G$6:$AD$6,L$6,Model!$G$5:$AD$5,L$5)</f>
        <v>16.5</v>
      </c>
      <c r="M172" s="106"/>
      <c r="N172" s="108">
        <f t="shared" si="48"/>
        <v>0</v>
      </c>
      <c r="O172" s="108">
        <f t="shared" si="47"/>
        <v>68.474999999999994</v>
      </c>
      <c r="P172" s="106"/>
    </row>
    <row r="173" spans="2:16" ht="15" customHeight="1" outlineLevel="1">
      <c r="B173" s="139" t="str">
        <f>Model!$B$212</f>
        <v>Leadership Specialist</v>
      </c>
      <c r="E173" s="108">
        <f>SUMIFS(Model!$G264:$AD264,Model!$G$6:$AD$6,E$6,Model!$G$5:$AD$5,E$5)</f>
        <v>14</v>
      </c>
      <c r="F173" s="109">
        <f>SUMIFS(Model!$G264:$AD264,Model!$G$6:$AD$6,F$6,Model!$G$5:$AD$5,F$5)</f>
        <v>7</v>
      </c>
      <c r="G173" s="109">
        <f>SUMIFS(Model!$G264:$AD264,Model!$G$6:$AD$6,G$6,Model!$G$5:$AD$5,G$5)</f>
        <v>0</v>
      </c>
      <c r="H173" s="109">
        <f>SUMIFS(Model!$G264:$AD264,Model!$G$6:$AD$6,H$6,Model!$G$5:$AD$5,H$5)</f>
        <v>7</v>
      </c>
      <c r="I173" s="108">
        <f>SUMIFS(Model!$G264:$AD264,Model!$G$6:$AD$6,I$6,Model!$G$5:$AD$5,I$5)</f>
        <v>14.5</v>
      </c>
      <c r="J173" s="109">
        <f>SUMIFS(Model!$G264:$AD264,Model!$G$6:$AD$6,J$6,Model!$G$5:$AD$5,J$5)</f>
        <v>15.95</v>
      </c>
      <c r="K173" s="109">
        <f>SUMIFS(Model!$G264:$AD264,Model!$G$6:$AD$6,K$6,Model!$G$5:$AD$5,K$5)</f>
        <v>15.225</v>
      </c>
      <c r="L173" s="109">
        <f>SUMIFS(Model!$G264:$AD264,Model!$G$6:$AD$6,L$6,Model!$G$5:$AD$5,L$5)</f>
        <v>14.5</v>
      </c>
      <c r="M173" s="106"/>
      <c r="N173" s="108">
        <f t="shared" si="48"/>
        <v>28</v>
      </c>
      <c r="O173" s="108">
        <f t="shared" si="47"/>
        <v>60.174999999999997</v>
      </c>
      <c r="P173" s="106"/>
    </row>
    <row r="174" spans="2:16" ht="15" customHeight="1" outlineLevel="1">
      <c r="B174" s="139" t="str">
        <f>Model!$B$213</f>
        <v>Leadership Specialist</v>
      </c>
      <c r="C174" s="137"/>
      <c r="D174" s="137"/>
      <c r="E174" s="108">
        <f>SUMIFS(Model!$G265:$AD265,Model!$G$6:$AD$6,E$6,Model!$G$5:$AD$5,E$5)</f>
        <v>0</v>
      </c>
      <c r="F174" s="109">
        <f>SUMIFS(Model!$G265:$AD265,Model!$G$6:$AD$6,F$6,Model!$G$5:$AD$5,F$5)</f>
        <v>0</v>
      </c>
      <c r="G174" s="109">
        <f>SUMIFS(Model!$G265:$AD265,Model!$G$6:$AD$6,G$6,Model!$G$5:$AD$5,G$5)</f>
        <v>0</v>
      </c>
      <c r="H174" s="109">
        <f>SUMIFS(Model!$G265:$AD265,Model!$G$6:$AD$6,H$6,Model!$G$5:$AD$5,H$5)</f>
        <v>0</v>
      </c>
      <c r="I174" s="108">
        <f>SUMIFS(Model!$G265:$AD265,Model!$G$6:$AD$6,I$6,Model!$G$5:$AD$5,I$5)</f>
        <v>14.5</v>
      </c>
      <c r="J174" s="109">
        <f>SUMIFS(Model!$G265:$AD265,Model!$G$6:$AD$6,J$6,Model!$G$5:$AD$5,J$5)</f>
        <v>15.95</v>
      </c>
      <c r="K174" s="109">
        <f>SUMIFS(Model!$G265:$AD265,Model!$G$6:$AD$6,K$6,Model!$G$5:$AD$5,K$5)</f>
        <v>15.225</v>
      </c>
      <c r="L174" s="109">
        <f>SUMIFS(Model!$G265:$AD265,Model!$G$6:$AD$6,L$6,Model!$G$5:$AD$5,L$5)</f>
        <v>14.5</v>
      </c>
      <c r="M174" s="106"/>
      <c r="N174" s="108">
        <f t="shared" si="48"/>
        <v>0</v>
      </c>
      <c r="O174" s="108">
        <f t="shared" si="47"/>
        <v>60.174999999999997</v>
      </c>
      <c r="P174" s="106"/>
    </row>
    <row r="175" spans="2:16" ht="15" customHeight="1" outlineLevel="1">
      <c r="B175" s="139" t="str">
        <f>Model!$B$214</f>
        <v>Business Analyst</v>
      </c>
      <c r="C175" s="137"/>
      <c r="D175" s="137"/>
      <c r="E175" s="108">
        <f>SUMIFS(Model!$G266:$AD266,Model!$G$6:$AD$6,E$6,Model!$G$5:$AD$5,E$5)</f>
        <v>0</v>
      </c>
      <c r="F175" s="109">
        <f>SUMIFS(Model!$G266:$AD266,Model!$G$6:$AD$6,F$6,Model!$G$5:$AD$5,F$5)</f>
        <v>9.1999999999999993</v>
      </c>
      <c r="G175" s="109">
        <f>SUMIFS(Model!$G266:$AD266,Model!$G$6:$AD$6,G$6,Model!$G$5:$AD$5,G$5)</f>
        <v>8.8000000000000007</v>
      </c>
      <c r="H175" s="109">
        <f>SUMIFS(Model!$G266:$AD266,Model!$G$6:$AD$6,H$6,Model!$G$5:$AD$5,H$5)</f>
        <v>8.4</v>
      </c>
      <c r="I175" s="108">
        <f>SUMIFS(Model!$G266:$AD266,Model!$G$6:$AD$6,I$6,Model!$G$5:$AD$5,I$5)</f>
        <v>8.5</v>
      </c>
      <c r="J175" s="109">
        <f>SUMIFS(Model!$G266:$AD266,Model!$G$6:$AD$6,J$6,Model!$G$5:$AD$5,J$5)</f>
        <v>9.35</v>
      </c>
      <c r="K175" s="109">
        <f>SUMIFS(Model!$G266:$AD266,Model!$G$6:$AD$6,K$6,Model!$G$5:$AD$5,K$5)</f>
        <v>8.9250000000000007</v>
      </c>
      <c r="L175" s="109">
        <f>SUMIFS(Model!$G266:$AD266,Model!$G$6:$AD$6,L$6,Model!$G$5:$AD$5,L$5)</f>
        <v>8.5</v>
      </c>
      <c r="M175" s="106"/>
      <c r="N175" s="108">
        <f t="shared" si="48"/>
        <v>26.4</v>
      </c>
      <c r="O175" s="108">
        <f t="shared" si="47"/>
        <v>35.275000000000006</v>
      </c>
      <c r="P175" s="106"/>
    </row>
    <row r="176" spans="2:16" ht="15" customHeight="1" outlineLevel="1">
      <c r="B176" s="139" t="str">
        <f>Model!$B$215</f>
        <v>Business Analyst</v>
      </c>
      <c r="C176" s="137"/>
      <c r="D176" s="137"/>
      <c r="E176" s="108">
        <f>SUMIFS(Model!$G267:$AD267,Model!$G$6:$AD$6,E$6,Model!$G$5:$AD$5,E$5)</f>
        <v>0</v>
      </c>
      <c r="F176" s="109">
        <f>SUMIFS(Model!$G267:$AD267,Model!$G$6:$AD$6,F$6,Model!$G$5:$AD$5,F$5)</f>
        <v>0</v>
      </c>
      <c r="G176" s="109">
        <f>SUMIFS(Model!$G267:$AD267,Model!$G$6:$AD$6,G$6,Model!$G$5:$AD$5,G$5)</f>
        <v>8.8000000000000007</v>
      </c>
      <c r="H176" s="109">
        <f>SUMIFS(Model!$G267:$AD267,Model!$G$6:$AD$6,H$6,Model!$G$5:$AD$5,H$5)</f>
        <v>8.4</v>
      </c>
      <c r="I176" s="108">
        <f>SUMIFS(Model!$G267:$AD267,Model!$G$6:$AD$6,I$6,Model!$G$5:$AD$5,I$5)</f>
        <v>8.5</v>
      </c>
      <c r="J176" s="109">
        <f>SUMIFS(Model!$G267:$AD267,Model!$G$6:$AD$6,J$6,Model!$G$5:$AD$5,J$5)</f>
        <v>9.35</v>
      </c>
      <c r="K176" s="109">
        <f>SUMIFS(Model!$G267:$AD267,Model!$G$6:$AD$6,K$6,Model!$G$5:$AD$5,K$5)</f>
        <v>8.9250000000000007</v>
      </c>
      <c r="L176" s="109">
        <f>SUMIFS(Model!$G267:$AD267,Model!$G$6:$AD$6,L$6,Model!$G$5:$AD$5,L$5)</f>
        <v>8.5</v>
      </c>
      <c r="M176" s="106"/>
      <c r="N176" s="108">
        <f t="shared" si="48"/>
        <v>17.200000000000003</v>
      </c>
      <c r="O176" s="108">
        <f t="shared" si="47"/>
        <v>35.275000000000006</v>
      </c>
      <c r="P176" s="106"/>
    </row>
    <row r="177" spans="1:16" ht="15" customHeight="1" outlineLevel="1">
      <c r="B177" s="139" t="str">
        <f>Model!$B$216</f>
        <v>Business Analyst</v>
      </c>
      <c r="C177" s="137"/>
      <c r="D177" s="137"/>
      <c r="E177" s="108">
        <f>SUMIFS(Model!$G268:$AD268,Model!$G$6:$AD$6,E$6,Model!$G$5:$AD$5,E$5)</f>
        <v>0</v>
      </c>
      <c r="F177" s="109">
        <f>SUMIFS(Model!$G268:$AD268,Model!$G$6:$AD$6,F$6,Model!$G$5:$AD$5,F$5)</f>
        <v>0</v>
      </c>
      <c r="G177" s="109">
        <f>SUMIFS(Model!$G268:$AD268,Model!$G$6:$AD$6,G$6,Model!$G$5:$AD$5,G$5)</f>
        <v>0</v>
      </c>
      <c r="H177" s="109">
        <f>SUMIFS(Model!$G268:$AD268,Model!$G$6:$AD$6,H$6,Model!$G$5:$AD$5,H$5)</f>
        <v>8.4</v>
      </c>
      <c r="I177" s="108">
        <f>SUMIFS(Model!$G268:$AD268,Model!$G$6:$AD$6,I$6,Model!$G$5:$AD$5,I$5)</f>
        <v>8.5</v>
      </c>
      <c r="J177" s="109">
        <f>SUMIFS(Model!$G268:$AD268,Model!$G$6:$AD$6,J$6,Model!$G$5:$AD$5,J$5)</f>
        <v>9.35</v>
      </c>
      <c r="K177" s="109">
        <f>SUMIFS(Model!$G268:$AD268,Model!$G$6:$AD$6,K$6,Model!$G$5:$AD$5,K$5)</f>
        <v>8.9250000000000007</v>
      </c>
      <c r="L177" s="109">
        <f>SUMIFS(Model!$G268:$AD268,Model!$G$6:$AD$6,L$6,Model!$G$5:$AD$5,L$5)</f>
        <v>8.5</v>
      </c>
      <c r="M177" s="106"/>
      <c r="N177" s="108">
        <f t="shared" si="48"/>
        <v>8.4</v>
      </c>
      <c r="O177" s="108">
        <f t="shared" si="47"/>
        <v>35.275000000000006</v>
      </c>
      <c r="P177" s="106"/>
    </row>
    <row r="178" spans="1:16" ht="15" customHeight="1" outlineLevel="1">
      <c r="B178" s="139" t="str">
        <f>Model!$B$217</f>
        <v>Business Analyst</v>
      </c>
      <c r="E178" s="108">
        <f>SUMIFS(Model!$G269:$AD269,Model!$G$6:$AD$6,E$6,Model!$G$5:$AD$5,E$5)</f>
        <v>0</v>
      </c>
      <c r="F178" s="109">
        <f>SUMIFS(Model!$G269:$AD269,Model!$G$6:$AD$6,F$6,Model!$G$5:$AD$5,F$5)</f>
        <v>0</v>
      </c>
      <c r="G178" s="109">
        <f>SUMIFS(Model!$G269:$AD269,Model!$G$6:$AD$6,G$6,Model!$G$5:$AD$5,G$5)</f>
        <v>0</v>
      </c>
      <c r="H178" s="109">
        <f>SUMIFS(Model!$G269:$AD269,Model!$G$6:$AD$6,H$6,Model!$G$5:$AD$5,H$5)</f>
        <v>0</v>
      </c>
      <c r="I178" s="108">
        <f>SUMIFS(Model!$G269:$AD269,Model!$G$6:$AD$6,I$6,Model!$G$5:$AD$5,I$5)</f>
        <v>8.5</v>
      </c>
      <c r="J178" s="109">
        <f>SUMIFS(Model!$G269:$AD269,Model!$G$6:$AD$6,J$6,Model!$G$5:$AD$5,J$5)</f>
        <v>9.35</v>
      </c>
      <c r="K178" s="109">
        <f>SUMIFS(Model!$G269:$AD269,Model!$G$6:$AD$6,K$6,Model!$G$5:$AD$5,K$5)</f>
        <v>8.9250000000000007</v>
      </c>
      <c r="L178" s="109">
        <f>SUMIFS(Model!$G269:$AD269,Model!$G$6:$AD$6,L$6,Model!$G$5:$AD$5,L$5)</f>
        <v>8.5</v>
      </c>
      <c r="M178" s="106"/>
      <c r="N178" s="108">
        <f t="shared" si="48"/>
        <v>0</v>
      </c>
      <c r="O178" s="108">
        <f t="shared" si="47"/>
        <v>35.275000000000006</v>
      </c>
      <c r="P178" s="106"/>
    </row>
    <row r="179" spans="1:16" ht="15" customHeight="1" outlineLevel="1">
      <c r="B179" s="139" t="s">
        <v>55</v>
      </c>
      <c r="E179" s="140">
        <f>SUM(E169:E178)</f>
        <v>88.699999999999989</v>
      </c>
      <c r="F179" s="141">
        <f t="shared" ref="F179:L179" si="49">SUM(F169:F178)</f>
        <v>55.3</v>
      </c>
      <c r="G179" s="141">
        <f t="shared" si="49"/>
        <v>55</v>
      </c>
      <c r="H179" s="141">
        <f t="shared" si="49"/>
        <v>67.900000000000006</v>
      </c>
      <c r="I179" s="140">
        <f t="shared" si="49"/>
        <v>133</v>
      </c>
      <c r="J179" s="141">
        <f t="shared" si="49"/>
        <v>146.29999999999998</v>
      </c>
      <c r="K179" s="141">
        <f t="shared" si="49"/>
        <v>139.65</v>
      </c>
      <c r="L179" s="141">
        <f t="shared" si="49"/>
        <v>133</v>
      </c>
      <c r="M179" s="106"/>
      <c r="N179" s="140">
        <f>SUM(N169:N178)</f>
        <v>266.89999999999998</v>
      </c>
      <c r="O179" s="140">
        <f>SUM(O169:O178)</f>
        <v>551.94999999999993</v>
      </c>
      <c r="P179" s="106"/>
    </row>
    <row r="180" spans="1:16" s="142" customFormat="1" ht="15" customHeight="1" outlineLevel="1">
      <c r="E180" s="143"/>
      <c r="F180" s="143"/>
      <c r="G180" s="143"/>
      <c r="H180" s="143"/>
      <c r="I180" s="143"/>
      <c r="J180" s="143"/>
      <c r="K180" s="143"/>
      <c r="L180" s="143"/>
      <c r="N180" s="143"/>
      <c r="O180" s="143"/>
    </row>
    <row r="181" spans="1:16" ht="15" customHeight="1" outlineLevel="1">
      <c r="G181" s="102"/>
      <c r="H181" s="102"/>
      <c r="I181" s="103"/>
      <c r="J181" s="102"/>
      <c r="K181" s="102"/>
      <c r="L181" s="102"/>
      <c r="P181" s="102"/>
    </row>
    <row r="182" spans="1:16" ht="15" customHeight="1" outlineLevel="1">
      <c r="B182" s="41" t="s">
        <v>170</v>
      </c>
      <c r="C182" s="41"/>
      <c r="D182" s="41"/>
      <c r="E182" s="55">
        <f t="shared" ref="E182:L182" si="50">E$9</f>
        <v>1</v>
      </c>
      <c r="F182" s="55">
        <f t="shared" si="50"/>
        <v>1</v>
      </c>
      <c r="G182" s="55">
        <f t="shared" si="50"/>
        <v>1</v>
      </c>
      <c r="H182" s="55">
        <f t="shared" si="50"/>
        <v>1</v>
      </c>
      <c r="I182" s="55">
        <f t="shared" si="50"/>
        <v>0</v>
      </c>
      <c r="J182" s="55">
        <f t="shared" si="50"/>
        <v>0</v>
      </c>
      <c r="K182" s="55">
        <f t="shared" si="50"/>
        <v>0</v>
      </c>
      <c r="L182" s="55">
        <f t="shared" si="50"/>
        <v>0</v>
      </c>
      <c r="M182" s="102"/>
      <c r="N182" s="55">
        <f>N$9</f>
        <v>1</v>
      </c>
      <c r="O182" s="55">
        <f>O$9</f>
        <v>0</v>
      </c>
    </row>
    <row r="183" spans="1:16" ht="15" customHeight="1" outlineLevel="1">
      <c r="B183" s="139" t="s">
        <v>86</v>
      </c>
      <c r="C183" s="41"/>
      <c r="D183" s="41"/>
      <c r="E183" s="104">
        <f>SUMIFS(Model!$G302:$AD302,Model!$G$6:$AD$6,E$6,Model!$G$5:$AD$5,E$5)</f>
        <v>1041.897786885246</v>
      </c>
      <c r="F183" s="105">
        <f>SUMIFS(Model!$G302:$AD302,Model!$G$6:$AD$6,F$6,Model!$G$5:$AD$5,F$5)</f>
        <v>1041.8977868852458</v>
      </c>
      <c r="G183" s="105">
        <f>SUMIFS(Model!$G302:$AD302,Model!$G$6:$AD$6,G$6,Model!$G$5:$AD$5,G$5)</f>
        <v>1170.7439344262295</v>
      </c>
      <c r="H183" s="105">
        <f>SUMIFS(Model!$G302:$AD302,Model!$G$6:$AD$6,H$6,Model!$G$5:$AD$5,H$5)</f>
        <v>1288.120655737705</v>
      </c>
      <c r="I183" s="104">
        <f>SUMIFS(Model!$G302:$AD302,Model!$G$6:$AD$6,I$6,Model!$G$5:$AD$5,I$5)</f>
        <v>1282.0931506849315</v>
      </c>
      <c r="J183" s="105">
        <f>SUMIFS(Model!$G302:$AD302,Model!$G$6:$AD$6,J$6,Model!$G$5:$AD$5,J$5)</f>
        <v>1334.9201369863013</v>
      </c>
      <c r="K183" s="105">
        <f>SUMIFS(Model!$G302:$AD302,Model!$G$6:$AD$6,K$6,Model!$G$5:$AD$5,K$5)</f>
        <v>1349.5895890410957</v>
      </c>
      <c r="L183" s="105">
        <f>SUMIFS(Model!$G302:$AD302,Model!$G$6:$AD$6,L$6,Model!$G$5:$AD$5,L$5)</f>
        <v>1349.5895890410957</v>
      </c>
      <c r="M183" s="106"/>
      <c r="N183" s="104">
        <f>SUMIFS($E183:$L183,$E$5:$L$5,N$6)</f>
        <v>4542.6601639344262</v>
      </c>
      <c r="O183" s="104">
        <f>SUMIFS($E183:$L183,$E$5:$L$5,O$6)</f>
        <v>5316.1924657534237</v>
      </c>
      <c r="P183" s="106"/>
    </row>
    <row r="184" spans="1:16" ht="15" customHeight="1" outlineLevel="1">
      <c r="B184" s="139" t="s">
        <v>88</v>
      </c>
      <c r="C184" s="41"/>
      <c r="D184" s="41"/>
      <c r="E184" s="108">
        <f>SUMIFS(Model!$G303:$AD303,Model!$G$6:$AD$6,E$6,Model!$G$5:$AD$5,E$5)</f>
        <v>42.7</v>
      </c>
      <c r="F184" s="109">
        <f>SUMIFS(Model!$G303:$AD303,Model!$G$6:$AD$6,F$6,Model!$G$5:$AD$5,F$5)</f>
        <v>55.3</v>
      </c>
      <c r="G184" s="109">
        <f>SUMIFS(Model!$G303:$AD303,Model!$G$6:$AD$6,G$6,Model!$G$5:$AD$5,G$5)</f>
        <v>55</v>
      </c>
      <c r="H184" s="109">
        <f>SUMIFS(Model!$G303:$AD303,Model!$G$6:$AD$6,H$6,Model!$G$5:$AD$5,H$5)</f>
        <v>67.900000000000006</v>
      </c>
      <c r="I184" s="108">
        <f>SUMIFS(Model!$G303:$AD303,Model!$G$6:$AD$6,I$6,Model!$G$5:$AD$5,I$5)</f>
        <v>133</v>
      </c>
      <c r="J184" s="109">
        <f>SUMIFS(Model!$G303:$AD303,Model!$G$6:$AD$6,J$6,Model!$G$5:$AD$5,J$5)</f>
        <v>146.29999999999998</v>
      </c>
      <c r="K184" s="109">
        <f>SUMIFS(Model!$G303:$AD303,Model!$G$6:$AD$6,K$6,Model!$G$5:$AD$5,K$5)</f>
        <v>139.65</v>
      </c>
      <c r="L184" s="109">
        <f>SUMIFS(Model!$G303:$AD303,Model!$G$6:$AD$6,L$6,Model!$G$5:$AD$5,L$5)</f>
        <v>133</v>
      </c>
      <c r="M184" s="106"/>
      <c r="N184" s="108">
        <f>SUMIFS($E184:$L184,$E$5:$L$5,N$6)</f>
        <v>220.9</v>
      </c>
      <c r="O184" s="108">
        <f>SUMIFS($E184:$L184,$E$5:$L$5,O$6)</f>
        <v>551.94999999999993</v>
      </c>
      <c r="P184" s="106"/>
    </row>
    <row r="185" spans="1:16" ht="15" customHeight="1" outlineLevel="1">
      <c r="B185" s="139" t="s">
        <v>94</v>
      </c>
      <c r="C185" s="41"/>
      <c r="D185" s="41"/>
      <c r="E185" s="104">
        <f>SUM(E183:E184)</f>
        <v>1084.597786885246</v>
      </c>
      <c r="F185" s="105">
        <f t="shared" ref="F185:L185" si="51">SUM(F183:F184)</f>
        <v>1097.1977868852457</v>
      </c>
      <c r="G185" s="105">
        <f t="shared" si="51"/>
        <v>1225.7439344262295</v>
      </c>
      <c r="H185" s="105">
        <f t="shared" si="51"/>
        <v>1356.0206557377051</v>
      </c>
      <c r="I185" s="104">
        <f t="shared" si="51"/>
        <v>1415.0931506849315</v>
      </c>
      <c r="J185" s="105">
        <f t="shared" si="51"/>
        <v>1481.2201369863012</v>
      </c>
      <c r="K185" s="105">
        <f t="shared" si="51"/>
        <v>1489.2395890410958</v>
      </c>
      <c r="L185" s="105">
        <f t="shared" si="51"/>
        <v>1482.5895890410957</v>
      </c>
      <c r="M185" s="106"/>
      <c r="N185" s="104">
        <f>SUM(N183:N184)</f>
        <v>4763.5601639344259</v>
      </c>
      <c r="O185" s="104">
        <f>SUM(O183:O184)</f>
        <v>5868.1424657534235</v>
      </c>
      <c r="P185" s="106"/>
    </row>
    <row r="186" spans="1:16" ht="15" customHeight="1" outlineLevel="1">
      <c r="B186" s="142"/>
      <c r="C186" s="142"/>
      <c r="D186" s="142"/>
      <c r="E186" s="143"/>
      <c r="F186" s="143"/>
      <c r="G186" s="143"/>
      <c r="H186" s="143"/>
      <c r="I186" s="143"/>
      <c r="J186" s="143"/>
      <c r="K186" s="143"/>
      <c r="L186" s="143"/>
      <c r="M186" s="142"/>
      <c r="N186" s="143"/>
      <c r="O186" s="143"/>
    </row>
    <row r="187" spans="1:16" ht="15" customHeight="1" outlineLevel="1">
      <c r="G187" s="102"/>
      <c r="H187" s="102"/>
      <c r="I187" s="103"/>
      <c r="J187" s="102"/>
      <c r="K187" s="102"/>
      <c r="L187" s="102"/>
      <c r="P187" s="102"/>
    </row>
    <row r="188" spans="1:16" ht="15" customHeight="1" outlineLevel="1">
      <c r="B188" s="116"/>
      <c r="C188" s="116"/>
      <c r="D188" s="116"/>
      <c r="E188" s="116"/>
      <c r="F188" s="116"/>
      <c r="G188" s="117"/>
      <c r="H188" s="117"/>
      <c r="I188" s="118"/>
      <c r="J188" s="117"/>
      <c r="K188" s="117"/>
      <c r="L188" s="117"/>
      <c r="M188" s="116"/>
      <c r="N188" s="116"/>
      <c r="O188" s="116"/>
      <c r="P188" s="102"/>
    </row>
    <row r="189" spans="1:16" ht="15" customHeight="1">
      <c r="G189" s="102"/>
      <c r="H189" s="102"/>
      <c r="I189" s="103"/>
      <c r="J189" s="102"/>
      <c r="K189" s="102"/>
      <c r="L189" s="102"/>
      <c r="P189" s="102"/>
    </row>
    <row r="190" spans="1:16" ht="15" customHeight="1">
      <c r="A190" s="88" t="s">
        <v>10</v>
      </c>
      <c r="B190" s="24" t="s">
        <v>171</v>
      </c>
      <c r="C190" s="119"/>
      <c r="D190" s="119"/>
      <c r="E190" s="120"/>
      <c r="F190" s="120"/>
      <c r="G190" s="120"/>
      <c r="H190" s="91"/>
      <c r="I190" s="120"/>
      <c r="J190" s="120"/>
      <c r="K190" s="120"/>
      <c r="L190" s="91"/>
      <c r="M190" s="120"/>
      <c r="N190" s="91"/>
      <c r="O190" s="91"/>
      <c r="P190" s="102"/>
    </row>
    <row r="191" spans="1:16" ht="15" customHeight="1" outlineLevel="1">
      <c r="B191" s="28"/>
      <c r="C191" s="29"/>
      <c r="D191" s="29"/>
      <c r="E191" s="92"/>
      <c r="F191" s="92"/>
      <c r="G191" s="92"/>
      <c r="H191" s="92"/>
      <c r="P191" s="102"/>
    </row>
    <row r="192" spans="1:16" ht="15" customHeight="1" outlineLevel="1">
      <c r="B192" s="31" t="s">
        <v>13</v>
      </c>
      <c r="C192" s="93"/>
      <c r="D192" s="93"/>
      <c r="E192" s="52">
        <f t="shared" ref="E192:L192" si="52">E$5</f>
        <v>2024</v>
      </c>
      <c r="F192" s="51">
        <f t="shared" si="52"/>
        <v>2024</v>
      </c>
      <c r="G192" s="51">
        <f t="shared" si="52"/>
        <v>2024</v>
      </c>
      <c r="H192" s="94">
        <f t="shared" si="52"/>
        <v>2024</v>
      </c>
      <c r="I192" s="53">
        <f t="shared" si="52"/>
        <v>2025</v>
      </c>
      <c r="J192" s="51">
        <f t="shared" si="52"/>
        <v>2025</v>
      </c>
      <c r="K192" s="51">
        <f t="shared" si="52"/>
        <v>2025</v>
      </c>
      <c r="L192" s="94">
        <f t="shared" si="52"/>
        <v>2025</v>
      </c>
      <c r="M192" s="40"/>
      <c r="N192" s="121"/>
      <c r="O192" s="136"/>
      <c r="P192" s="95"/>
    </row>
    <row r="193" spans="2:16" ht="15" customHeight="1" outlineLevel="1" thickBot="1">
      <c r="E193" s="96">
        <f t="shared" ref="E193:L193" si="53">E$6</f>
        <v>1</v>
      </c>
      <c r="F193" s="54">
        <f t="shared" si="53"/>
        <v>2</v>
      </c>
      <c r="G193" s="54">
        <f t="shared" si="53"/>
        <v>3</v>
      </c>
      <c r="H193" s="54">
        <f t="shared" si="53"/>
        <v>4</v>
      </c>
      <c r="I193" s="97">
        <f t="shared" si="53"/>
        <v>1</v>
      </c>
      <c r="J193" s="54">
        <f t="shared" si="53"/>
        <v>2</v>
      </c>
      <c r="K193" s="54">
        <f t="shared" si="53"/>
        <v>3</v>
      </c>
      <c r="L193" s="54">
        <f t="shared" si="53"/>
        <v>4</v>
      </c>
      <c r="M193" s="40"/>
      <c r="N193" s="98">
        <f>N$6</f>
        <v>2024</v>
      </c>
      <c r="O193" s="99">
        <f>O$6</f>
        <v>2025</v>
      </c>
      <c r="P193" s="95"/>
    </row>
    <row r="194" spans="2:16" ht="15" customHeight="1" outlineLevel="1">
      <c r="E194" s="100"/>
      <c r="F194" s="100"/>
      <c r="G194" s="100"/>
      <c r="H194" s="100"/>
      <c r="I194" s="100"/>
      <c r="J194" s="100"/>
      <c r="K194" s="100"/>
      <c r="L194" s="100"/>
      <c r="N194" s="100"/>
      <c r="O194" s="100"/>
    </row>
    <row r="195" spans="2:16" ht="15" customHeight="1" outlineLevel="1"/>
    <row r="196" spans="2:16" ht="15" customHeight="1" outlineLevel="1">
      <c r="B196" s="271" t="s">
        <v>172</v>
      </c>
      <c r="E196" s="55">
        <f t="shared" ref="E196:L196" si="54">E$9</f>
        <v>1</v>
      </c>
      <c r="F196" s="55">
        <f t="shared" si="54"/>
        <v>1</v>
      </c>
      <c r="G196" s="55">
        <f t="shared" si="54"/>
        <v>1</v>
      </c>
      <c r="H196" s="55">
        <f t="shared" si="54"/>
        <v>1</v>
      </c>
      <c r="I196" s="55">
        <f t="shared" si="54"/>
        <v>0</v>
      </c>
      <c r="J196" s="55">
        <f t="shared" si="54"/>
        <v>0</v>
      </c>
      <c r="K196" s="55">
        <f t="shared" si="54"/>
        <v>0</v>
      </c>
      <c r="L196" s="55">
        <f t="shared" si="54"/>
        <v>0</v>
      </c>
      <c r="M196" s="102"/>
      <c r="N196" s="55">
        <f>N$9</f>
        <v>1</v>
      </c>
      <c r="O196" s="55">
        <f>O$9</f>
        <v>0</v>
      </c>
    </row>
    <row r="197" spans="2:16" ht="15" customHeight="1" outlineLevel="1">
      <c r="B197" s="224" t="s">
        <v>37</v>
      </c>
      <c r="E197" s="104">
        <f>Model!G61</f>
        <v>4560</v>
      </c>
      <c r="F197" s="105">
        <f>E200</f>
        <v>6760</v>
      </c>
      <c r="G197" s="105">
        <f t="shared" ref="G197:L197" si="55">F200</f>
        <v>8499.3939393939399</v>
      </c>
      <c r="H197" s="105">
        <f t="shared" si="55"/>
        <v>12575.151515151516</v>
      </c>
      <c r="I197" s="104">
        <f t="shared" si="55"/>
        <v>8500.9090909090919</v>
      </c>
      <c r="J197" s="105">
        <f t="shared" si="55"/>
        <v>7347.5000000000018</v>
      </c>
      <c r="K197" s="105">
        <f t="shared" si="55"/>
        <v>6180.8333333333348</v>
      </c>
      <c r="L197" s="105">
        <f t="shared" si="55"/>
        <v>6180.8333333333358</v>
      </c>
      <c r="M197" s="106"/>
      <c r="N197" s="104">
        <f>E197</f>
        <v>4560</v>
      </c>
      <c r="O197" s="104">
        <f>N200</f>
        <v>8500.9090909090919</v>
      </c>
      <c r="P197" s="106"/>
    </row>
    <row r="198" spans="2:16" ht="15" customHeight="1" outlineLevel="1">
      <c r="B198" s="224" t="s">
        <v>38</v>
      </c>
      <c r="E198" s="108">
        <f>SUMIFS(Model!$G62:$AD62,Model!$G$6:$AD$6,E$6,Model!$G$5:$AD$5,E$5)</f>
        <v>2200</v>
      </c>
      <c r="F198" s="109">
        <f>SUMIFS(Model!$G62:$AD62,Model!$G$6:$AD$6,F$6,Model!$G$5:$AD$5,F$5)</f>
        <v>3939.3939393939395</v>
      </c>
      <c r="G198" s="109">
        <f>SUMIFS(Model!$G62:$AD62,Model!$G$6:$AD$6,G$6,Model!$G$5:$AD$5,G$5)</f>
        <v>4075.757575757576</v>
      </c>
      <c r="H198" s="109">
        <f>SUMIFS(Model!$G62:$AD62,Model!$G$6:$AD$6,H$6,Model!$G$5:$AD$5,H$5)</f>
        <v>3625.757575757576</v>
      </c>
      <c r="I198" s="108">
        <f>SUMIFS(Model!$G62:$AD62,Model!$G$6:$AD$6,I$6,Model!$G$5:$AD$5,I$5)</f>
        <v>3834.0909090909095</v>
      </c>
      <c r="J198" s="109">
        <f>SUMIFS(Model!$G62:$AD62,Model!$G$6:$AD$6,J$6,Model!$G$5:$AD$5,J$5)</f>
        <v>4862.5</v>
      </c>
      <c r="K198" s="109">
        <f>SUMIFS(Model!$G62:$AD62,Model!$G$6:$AD$6,K$6,Model!$G$5:$AD$5,K$5)</f>
        <v>4862.5</v>
      </c>
      <c r="L198" s="109">
        <f>SUMIFS(Model!$G62:$AD62,Model!$G$6:$AD$6,L$6,Model!$G$5:$AD$5,L$5)</f>
        <v>5999.9999999999991</v>
      </c>
      <c r="M198" s="106"/>
      <c r="N198" s="108">
        <f>SUMIFS($E198:$L198,$E$5:$L$5,N$6)</f>
        <v>13840.909090909092</v>
      </c>
      <c r="O198" s="108">
        <f t="shared" ref="O198:O199" si="56">SUMIFS($E198:$L198,$E$5:$L$5,O$6)</f>
        <v>19559.090909090908</v>
      </c>
      <c r="P198" s="106"/>
    </row>
    <row r="199" spans="2:16" ht="15" customHeight="1" outlineLevel="1">
      <c r="B199" s="224" t="s">
        <v>39</v>
      </c>
      <c r="E199" s="108">
        <f>SUMIFS(Model!$G63:$AD63,Model!$G$6:$AD$6,E$6,Model!$G$5:$AD$5,E$5)</f>
        <v>0</v>
      </c>
      <c r="F199" s="109">
        <f>SUMIFS(Model!$G63:$AD63,Model!$G$6:$AD$6,F$6,Model!$G$5:$AD$5,F$5)</f>
        <v>-2200</v>
      </c>
      <c r="G199" s="109">
        <f>SUMIFS(Model!$G63:$AD63,Model!$G$6:$AD$6,G$6,Model!$G$5:$AD$5,G$5)</f>
        <v>0</v>
      </c>
      <c r="H199" s="109">
        <f>SUMIFS(Model!$G63:$AD63,Model!$G$6:$AD$6,H$6,Model!$G$5:$AD$5,H$5)</f>
        <v>-7700</v>
      </c>
      <c r="I199" s="108">
        <f>SUMIFS(Model!$G63:$AD63,Model!$G$6:$AD$6,I$6,Model!$G$5:$AD$5,I$5)</f>
        <v>-4987.5</v>
      </c>
      <c r="J199" s="109">
        <f>SUMIFS(Model!$G63:$AD63,Model!$G$6:$AD$6,J$6,Model!$G$5:$AD$5,J$5)</f>
        <v>-6029.166666666667</v>
      </c>
      <c r="K199" s="109">
        <f>SUMIFS(Model!$G63:$AD63,Model!$G$6:$AD$6,K$6,Model!$G$5:$AD$5,K$5)</f>
        <v>-4862.5</v>
      </c>
      <c r="L199" s="109">
        <f>SUMIFS(Model!$G63:$AD63,Model!$G$6:$AD$6,L$6,Model!$G$5:$AD$5,L$5)</f>
        <v>-5620.833333333333</v>
      </c>
      <c r="M199" s="106"/>
      <c r="N199" s="108">
        <f>SUMIFS($E199:$L199,$E$5:$L$5,N$6)</f>
        <v>-9900</v>
      </c>
      <c r="O199" s="108">
        <f t="shared" si="56"/>
        <v>-21500</v>
      </c>
      <c r="P199" s="106"/>
    </row>
    <row r="200" spans="2:16" ht="15" customHeight="1" outlineLevel="1">
      <c r="B200" s="224" t="s">
        <v>40</v>
      </c>
      <c r="E200" s="104">
        <f>SUM(E197:E199)</f>
        <v>6760</v>
      </c>
      <c r="F200" s="105">
        <f t="shared" ref="F200:L200" si="57">SUM(F197:F199)</f>
        <v>8499.3939393939399</v>
      </c>
      <c r="G200" s="105">
        <f t="shared" si="57"/>
        <v>12575.151515151516</v>
      </c>
      <c r="H200" s="105">
        <f t="shared" si="57"/>
        <v>8500.9090909090919</v>
      </c>
      <c r="I200" s="104">
        <f t="shared" si="57"/>
        <v>7347.5000000000018</v>
      </c>
      <c r="J200" s="105">
        <f t="shared" si="57"/>
        <v>6180.8333333333348</v>
      </c>
      <c r="K200" s="105">
        <f t="shared" si="57"/>
        <v>6180.8333333333358</v>
      </c>
      <c r="L200" s="105">
        <f t="shared" si="57"/>
        <v>6560.0000000000027</v>
      </c>
      <c r="M200" s="106"/>
      <c r="N200" s="104">
        <f>SUM(N197:N199)</f>
        <v>8500.9090909090919</v>
      </c>
      <c r="O200" s="105">
        <f>SUM(O197:O199)</f>
        <v>6560</v>
      </c>
      <c r="P200" s="106"/>
    </row>
    <row r="201" spans="2:16" ht="15" customHeight="1" outlineLevel="1">
      <c r="B201" s="224"/>
      <c r="E201" s="110"/>
      <c r="F201" s="110"/>
      <c r="G201" s="111"/>
      <c r="H201" s="111"/>
      <c r="I201" s="112"/>
      <c r="J201" s="111"/>
      <c r="K201" s="111"/>
      <c r="L201" s="111"/>
      <c r="N201" s="110"/>
      <c r="O201" s="110"/>
    </row>
    <row r="202" spans="2:16" ht="15" customHeight="1" outlineLevel="1" thickBot="1">
      <c r="B202" s="59" t="s">
        <v>41</v>
      </c>
      <c r="E202" s="419">
        <f>E197-E200</f>
        <v>-2200</v>
      </c>
      <c r="F202" s="420">
        <f t="shared" ref="F202:L202" si="58">F197-F200</f>
        <v>-1739.3939393939399</v>
      </c>
      <c r="G202" s="420">
        <f t="shared" si="58"/>
        <v>-4075.757575757576</v>
      </c>
      <c r="H202" s="420">
        <f t="shared" si="58"/>
        <v>4074.242424242424</v>
      </c>
      <c r="I202" s="421">
        <f t="shared" si="58"/>
        <v>1153.4090909090901</v>
      </c>
      <c r="J202" s="420">
        <f t="shared" si="58"/>
        <v>1166.666666666667</v>
      </c>
      <c r="K202" s="420">
        <f t="shared" si="58"/>
        <v>0</v>
      </c>
      <c r="L202" s="420">
        <f t="shared" si="58"/>
        <v>-379.16666666666697</v>
      </c>
      <c r="M202" s="417"/>
      <c r="N202" s="419">
        <f>N197-N200</f>
        <v>-3940.9090909090919</v>
      </c>
      <c r="O202" s="421">
        <f>O197-O200</f>
        <v>1940.9090909090919</v>
      </c>
      <c r="P202" s="417"/>
    </row>
    <row r="203" spans="2:16" ht="15" customHeight="1" outlineLevel="1">
      <c r="E203" s="113"/>
      <c r="F203" s="113"/>
      <c r="G203" s="114"/>
      <c r="H203" s="114"/>
      <c r="I203" s="115"/>
      <c r="J203" s="114"/>
      <c r="K203" s="114"/>
      <c r="L203" s="114"/>
      <c r="N203" s="113"/>
      <c r="O203" s="113"/>
      <c r="P203" s="102"/>
    </row>
    <row r="204" spans="2:16" ht="15" customHeight="1" outlineLevel="1">
      <c r="G204" s="102"/>
      <c r="H204" s="102"/>
      <c r="I204" s="103"/>
      <c r="J204" s="102"/>
      <c r="K204" s="102"/>
      <c r="L204" s="102"/>
      <c r="P204" s="102"/>
    </row>
    <row r="205" spans="2:16" ht="15" customHeight="1" outlineLevel="1">
      <c r="G205" s="102"/>
      <c r="H205" s="102"/>
      <c r="I205" s="103"/>
      <c r="J205" s="102"/>
      <c r="K205" s="102"/>
      <c r="L205" s="102"/>
      <c r="P205" s="102"/>
    </row>
    <row r="206" spans="2:16" ht="15" customHeight="1" outlineLevel="1">
      <c r="B206" s="271" t="s">
        <v>65</v>
      </c>
      <c r="E206" s="55">
        <f t="shared" ref="E206:L206" si="59">E$9</f>
        <v>1</v>
      </c>
      <c r="F206" s="55">
        <f t="shared" si="59"/>
        <v>1</v>
      </c>
      <c r="G206" s="55">
        <f t="shared" si="59"/>
        <v>1</v>
      </c>
      <c r="H206" s="55">
        <f t="shared" si="59"/>
        <v>1</v>
      </c>
      <c r="I206" s="55">
        <f t="shared" si="59"/>
        <v>0</v>
      </c>
      <c r="J206" s="55">
        <f t="shared" si="59"/>
        <v>0</v>
      </c>
      <c r="K206" s="55">
        <f t="shared" si="59"/>
        <v>0</v>
      </c>
      <c r="L206" s="55">
        <f t="shared" si="59"/>
        <v>0</v>
      </c>
      <c r="M206" s="102"/>
      <c r="N206" s="55">
        <f>N$9</f>
        <v>1</v>
      </c>
      <c r="O206" s="55">
        <f>O$9</f>
        <v>0</v>
      </c>
    </row>
    <row r="207" spans="2:16" ht="15" customHeight="1" outlineLevel="1">
      <c r="B207" s="224" t="s">
        <v>37</v>
      </c>
      <c r="E207" s="104">
        <f>Model!G188</f>
        <v>0</v>
      </c>
      <c r="F207" s="105">
        <f>E210</f>
        <v>170.23713114754099</v>
      </c>
      <c r="G207" s="105">
        <f t="shared" ref="G207:L207" si="60">F210</f>
        <v>340.47426229508199</v>
      </c>
      <c r="H207" s="105">
        <f t="shared" si="60"/>
        <v>528.54715846994532</v>
      </c>
      <c r="I207" s="104">
        <f t="shared" si="60"/>
        <v>0</v>
      </c>
      <c r="J207" s="105">
        <f t="shared" si="60"/>
        <v>208.99726027397261</v>
      </c>
      <c r="K207" s="105">
        <f t="shared" si="60"/>
        <v>426.48726027397259</v>
      </c>
      <c r="L207" s="105">
        <f t="shared" si="60"/>
        <v>646.36726027397253</v>
      </c>
      <c r="M207" s="106"/>
      <c r="N207" s="104">
        <f>E207</f>
        <v>0</v>
      </c>
      <c r="O207" s="104">
        <f>N210</f>
        <v>0</v>
      </c>
      <c r="P207" s="106"/>
    </row>
    <row r="208" spans="2:16" ht="15" customHeight="1" outlineLevel="1">
      <c r="B208" s="224" t="s">
        <v>38</v>
      </c>
      <c r="E208" s="108">
        <f>SUMIFS(Model!$G189:$AD189,Model!$G$6:$AD$6,E$6,Model!$G$5:$AD$5,E$5)</f>
        <v>170.23713114754099</v>
      </c>
      <c r="F208" s="109">
        <f>SUMIFS(Model!$G189:$AD189,Model!$G$6:$AD$6,F$6,Model!$G$5:$AD$5,F$5)</f>
        <v>170.23713114754099</v>
      </c>
      <c r="G208" s="109">
        <f>SUMIFS(Model!$G189:$AD189,Model!$G$6:$AD$6,G$6,Model!$G$5:$AD$5,G$5)</f>
        <v>188.07289617486339</v>
      </c>
      <c r="H208" s="109">
        <f>SUMIFS(Model!$G189:$AD189,Model!$G$6:$AD$6,H$6,Model!$G$5:$AD$5,H$5)</f>
        <v>204.01628415300542</v>
      </c>
      <c r="I208" s="108">
        <f>SUMIFS(Model!$G189:$AD189,Model!$G$6:$AD$6,I$6,Model!$G$5:$AD$5,I$5)</f>
        <v>208.99726027397261</v>
      </c>
      <c r="J208" s="109">
        <f>SUMIFS(Model!$G189:$AD189,Model!$G$6:$AD$6,J$6,Model!$G$5:$AD$5,J$5)</f>
        <v>217.48999999999998</v>
      </c>
      <c r="K208" s="109">
        <f>SUMIFS(Model!$G189:$AD189,Model!$G$6:$AD$6,K$6,Model!$G$5:$AD$5,K$5)</f>
        <v>219.88</v>
      </c>
      <c r="L208" s="109">
        <f>SUMIFS(Model!$G189:$AD189,Model!$G$6:$AD$6,L$6,Model!$G$5:$AD$5,L$5)</f>
        <v>219.88</v>
      </c>
      <c r="M208" s="106"/>
      <c r="N208" s="108">
        <f>SUMIFS($E208:$L208,$E$5:$L$5,N$6)</f>
        <v>732.56344262295079</v>
      </c>
      <c r="O208" s="108">
        <f t="shared" ref="O208:O209" si="61">SUMIFS($E208:$L208,$E$5:$L$5,O$6)</f>
        <v>866.24726027397253</v>
      </c>
      <c r="P208" s="106"/>
    </row>
    <row r="209" spans="1:33" ht="15" customHeight="1" outlineLevel="1">
      <c r="B209" s="224" t="s">
        <v>39</v>
      </c>
      <c r="E209" s="108">
        <f>SUMIFS(Model!$G190:$AD190,Model!$G$6:$AD$6,E$6,Model!$G$5:$AD$5,E$5)</f>
        <v>0</v>
      </c>
      <c r="F209" s="109">
        <f>SUMIFS(Model!$G190:$AD190,Model!$G$6:$AD$6,F$6,Model!$G$5:$AD$5,F$5)</f>
        <v>0</v>
      </c>
      <c r="G209" s="109">
        <f>SUMIFS(Model!$G190:$AD190,Model!$G$6:$AD$6,G$6,Model!$G$5:$AD$5,G$5)</f>
        <v>0</v>
      </c>
      <c r="H209" s="109">
        <f>SUMIFS(Model!$G190:$AD190,Model!$G$6:$AD$6,H$6,Model!$G$5:$AD$5,H$5)</f>
        <v>-732.5634426229509</v>
      </c>
      <c r="I209" s="108">
        <f>SUMIFS(Model!$G190:$AD190,Model!$G$6:$AD$6,I$6,Model!$G$5:$AD$5,I$5)</f>
        <v>0</v>
      </c>
      <c r="J209" s="109">
        <f>SUMIFS(Model!$G190:$AD190,Model!$G$6:$AD$6,J$6,Model!$G$5:$AD$5,J$5)</f>
        <v>0</v>
      </c>
      <c r="K209" s="109">
        <f>SUMIFS(Model!$G190:$AD190,Model!$G$6:$AD$6,K$6,Model!$G$5:$AD$5,K$5)</f>
        <v>0</v>
      </c>
      <c r="L209" s="109">
        <f>SUMIFS(Model!$G190:$AD190,Model!$G$6:$AD$6,L$6,Model!$G$5:$AD$5,L$5)</f>
        <v>-866.24726027397253</v>
      </c>
      <c r="M209" s="106"/>
      <c r="N209" s="108">
        <f>SUMIFS($E209:$L209,$E$5:$L$5,N$6)</f>
        <v>-732.5634426229509</v>
      </c>
      <c r="O209" s="108">
        <f t="shared" si="61"/>
        <v>-866.24726027397253</v>
      </c>
      <c r="P209" s="106"/>
    </row>
    <row r="210" spans="1:33" ht="15" customHeight="1" outlineLevel="1">
      <c r="B210" s="224" t="s">
        <v>40</v>
      </c>
      <c r="E210" s="104">
        <f>SUM(E207:E209)</f>
        <v>170.23713114754099</v>
      </c>
      <c r="F210" s="105">
        <f t="shared" ref="F210:L210" si="62">SUM(F207:F209)</f>
        <v>340.47426229508199</v>
      </c>
      <c r="G210" s="105">
        <f t="shared" si="62"/>
        <v>528.54715846994532</v>
      </c>
      <c r="H210" s="105">
        <f t="shared" si="62"/>
        <v>0</v>
      </c>
      <c r="I210" s="104">
        <f t="shared" si="62"/>
        <v>208.99726027397261</v>
      </c>
      <c r="J210" s="105">
        <f t="shared" si="62"/>
        <v>426.48726027397259</v>
      </c>
      <c r="K210" s="105">
        <f t="shared" si="62"/>
        <v>646.36726027397253</v>
      </c>
      <c r="L210" s="105">
        <f t="shared" si="62"/>
        <v>0</v>
      </c>
      <c r="M210" s="106"/>
      <c r="N210" s="104">
        <f>SUM(N207:N209)</f>
        <v>0</v>
      </c>
      <c r="O210" s="105">
        <f>SUM(O207:O209)</f>
        <v>0</v>
      </c>
      <c r="P210" s="106"/>
    </row>
    <row r="211" spans="1:33" ht="15" customHeight="1" outlineLevel="1">
      <c r="B211" s="224"/>
      <c r="E211" s="110"/>
      <c r="F211" s="110"/>
      <c r="G211" s="111"/>
      <c r="H211" s="111"/>
      <c r="I211" s="112"/>
      <c r="J211" s="111"/>
      <c r="K211" s="111"/>
      <c r="L211" s="111"/>
      <c r="N211" s="110"/>
      <c r="O211" s="110"/>
    </row>
    <row r="212" spans="1:33" ht="15" customHeight="1" outlineLevel="1" thickBot="1">
      <c r="B212" s="224" t="s">
        <v>68</v>
      </c>
      <c r="E212" s="419">
        <f>E210-E207</f>
        <v>170.23713114754099</v>
      </c>
      <c r="F212" s="420">
        <f t="shared" ref="F212:L212" si="63">F210-F207</f>
        <v>170.23713114754099</v>
      </c>
      <c r="G212" s="420">
        <f t="shared" si="63"/>
        <v>188.07289617486333</v>
      </c>
      <c r="H212" s="420">
        <f t="shared" si="63"/>
        <v>-528.54715846994532</v>
      </c>
      <c r="I212" s="421">
        <f t="shared" si="63"/>
        <v>208.99726027397261</v>
      </c>
      <c r="J212" s="420">
        <f t="shared" si="63"/>
        <v>217.48999999999998</v>
      </c>
      <c r="K212" s="420">
        <f t="shared" si="63"/>
        <v>219.87999999999994</v>
      </c>
      <c r="L212" s="420">
        <f t="shared" si="63"/>
        <v>-646.36726027397253</v>
      </c>
      <c r="M212" s="417"/>
      <c r="N212" s="419">
        <f>N210-N207</f>
        <v>0</v>
      </c>
      <c r="O212" s="421">
        <f>O210-O207</f>
        <v>0</v>
      </c>
      <c r="P212" s="417"/>
    </row>
    <row r="213" spans="1:33" s="142" customFormat="1" ht="15" customHeight="1" outlineLevel="1">
      <c r="A213" s="88"/>
      <c r="B213" s="88"/>
      <c r="C213" s="88"/>
      <c r="D213" s="88"/>
      <c r="E213" s="113"/>
      <c r="F213" s="113"/>
      <c r="G213" s="114"/>
      <c r="H213" s="114"/>
      <c r="I213" s="115"/>
      <c r="J213" s="114"/>
      <c r="K213" s="114"/>
      <c r="L213" s="114"/>
      <c r="M213" s="88"/>
      <c r="N213" s="113"/>
      <c r="O213" s="113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88"/>
      <c r="AG213" s="88"/>
    </row>
    <row r="214" spans="1:33" s="142" customFormat="1" ht="15" customHeight="1" outlineLevel="1"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88"/>
      <c r="AG214" s="88"/>
    </row>
    <row r="215" spans="1:33" s="142" customFormat="1" ht="15" customHeight="1" outlineLevel="1"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88"/>
      <c r="AG215" s="88"/>
    </row>
    <row r="216" spans="1:33" ht="15" customHeight="1" outlineLevel="1">
      <c r="A216" s="142"/>
      <c r="B216" s="271" t="s">
        <v>79</v>
      </c>
      <c r="E216" s="55">
        <f t="shared" ref="E216:L216" si="64">E$9</f>
        <v>1</v>
      </c>
      <c r="F216" s="55">
        <f t="shared" si="64"/>
        <v>1</v>
      </c>
      <c r="G216" s="55">
        <f t="shared" si="64"/>
        <v>1</v>
      </c>
      <c r="H216" s="55">
        <f t="shared" si="64"/>
        <v>1</v>
      </c>
      <c r="I216" s="55">
        <f t="shared" si="64"/>
        <v>0</v>
      </c>
      <c r="J216" s="55">
        <f t="shared" si="64"/>
        <v>0</v>
      </c>
      <c r="K216" s="55">
        <f t="shared" si="64"/>
        <v>0</v>
      </c>
      <c r="L216" s="55">
        <f t="shared" si="64"/>
        <v>0</v>
      </c>
      <c r="M216" s="102"/>
      <c r="N216" s="55">
        <f>N$9</f>
        <v>1</v>
      </c>
      <c r="O216" s="55">
        <f>O$9</f>
        <v>0</v>
      </c>
    </row>
    <row r="217" spans="1:33" ht="15" customHeight="1" outlineLevel="1">
      <c r="A217" s="142"/>
      <c r="B217" s="224" t="s">
        <v>37</v>
      </c>
      <c r="E217" s="104">
        <f>Model!G275</f>
        <v>82</v>
      </c>
      <c r="F217" s="105">
        <f>E220</f>
        <v>36</v>
      </c>
      <c r="G217" s="105">
        <f t="shared" ref="G217:L217" si="65">F220</f>
        <v>36</v>
      </c>
      <c r="H217" s="105">
        <f t="shared" si="65"/>
        <v>36</v>
      </c>
      <c r="I217" s="104">
        <f t="shared" si="65"/>
        <v>36</v>
      </c>
      <c r="J217" s="105">
        <f t="shared" si="65"/>
        <v>36</v>
      </c>
      <c r="K217" s="105">
        <f t="shared" si="65"/>
        <v>36</v>
      </c>
      <c r="L217" s="105">
        <f t="shared" si="65"/>
        <v>36</v>
      </c>
      <c r="M217" s="106"/>
      <c r="N217" s="104">
        <f>E217</f>
        <v>82</v>
      </c>
      <c r="O217" s="104">
        <f>N220</f>
        <v>36</v>
      </c>
      <c r="P217" s="106"/>
    </row>
    <row r="218" spans="1:33" ht="15" customHeight="1" outlineLevel="1">
      <c r="A218" s="142"/>
      <c r="B218" s="224" t="s">
        <v>38</v>
      </c>
      <c r="E218" s="108">
        <f>SUMIFS(Model!$G276:$AD276,Model!$G$6:$AD$6,E$6,Model!$G$5:$AD$5,E$5)</f>
        <v>42.7</v>
      </c>
      <c r="F218" s="109">
        <f>SUMIFS(Model!$G276:$AD276,Model!$G$6:$AD$6,F$6,Model!$G$5:$AD$5,F$5)</f>
        <v>55.3</v>
      </c>
      <c r="G218" s="109">
        <f>SUMIFS(Model!$G276:$AD276,Model!$G$6:$AD$6,G$6,Model!$G$5:$AD$5,G$5)</f>
        <v>55</v>
      </c>
      <c r="H218" s="109">
        <f>SUMIFS(Model!$G276:$AD276,Model!$G$6:$AD$6,H$6,Model!$G$5:$AD$5,H$5)</f>
        <v>67.900000000000006</v>
      </c>
      <c r="I218" s="108">
        <f>SUMIFS(Model!$G276:$AD276,Model!$G$6:$AD$6,I$6,Model!$G$5:$AD$5,I$5)</f>
        <v>133</v>
      </c>
      <c r="J218" s="109">
        <f>SUMIFS(Model!$G276:$AD276,Model!$G$6:$AD$6,J$6,Model!$G$5:$AD$5,J$5)</f>
        <v>146.29999999999998</v>
      </c>
      <c r="K218" s="109">
        <f>SUMIFS(Model!$G276:$AD276,Model!$G$6:$AD$6,K$6,Model!$G$5:$AD$5,K$5)</f>
        <v>139.65</v>
      </c>
      <c r="L218" s="109">
        <f>SUMIFS(Model!$G276:$AD276,Model!$G$6:$AD$6,L$6,Model!$G$5:$AD$5,L$5)</f>
        <v>133</v>
      </c>
      <c r="M218" s="106"/>
      <c r="N218" s="108">
        <f>SUMIFS($E218:$L218,$E$5:$L$5,N$6)</f>
        <v>220.9</v>
      </c>
      <c r="O218" s="108">
        <f t="shared" ref="O218:O219" si="66">SUMIFS($E218:$L218,$E$5:$L$5,O$6)</f>
        <v>551.94999999999993</v>
      </c>
      <c r="P218" s="106"/>
    </row>
    <row r="219" spans="1:33" ht="15" customHeight="1" outlineLevel="1">
      <c r="A219" s="142"/>
      <c r="B219" s="224" t="s">
        <v>39</v>
      </c>
      <c r="E219" s="108">
        <f>SUMIFS(Model!$G277:$AD277,Model!$G$6:$AD$6,E$6,Model!$G$5:$AD$5,E$5)</f>
        <v>-88.7</v>
      </c>
      <c r="F219" s="109">
        <f>SUMIFS(Model!$G277:$AD277,Model!$G$6:$AD$6,F$6,Model!$G$5:$AD$5,F$5)</f>
        <v>-55.3</v>
      </c>
      <c r="G219" s="109">
        <f>SUMIFS(Model!$G277:$AD277,Model!$G$6:$AD$6,G$6,Model!$G$5:$AD$5,G$5)</f>
        <v>-55</v>
      </c>
      <c r="H219" s="109">
        <f>SUMIFS(Model!$G277:$AD277,Model!$G$6:$AD$6,H$6,Model!$G$5:$AD$5,H$5)</f>
        <v>-67.900000000000006</v>
      </c>
      <c r="I219" s="108">
        <f>SUMIFS(Model!$G277:$AD277,Model!$G$6:$AD$6,I$6,Model!$G$5:$AD$5,I$5)</f>
        <v>-133</v>
      </c>
      <c r="J219" s="109">
        <f>SUMIFS(Model!$G277:$AD277,Model!$G$6:$AD$6,J$6,Model!$G$5:$AD$5,J$5)</f>
        <v>-146.29999999999998</v>
      </c>
      <c r="K219" s="109">
        <f>SUMIFS(Model!$G277:$AD277,Model!$G$6:$AD$6,K$6,Model!$G$5:$AD$5,K$5)</f>
        <v>-139.65</v>
      </c>
      <c r="L219" s="109">
        <f>SUMIFS(Model!$G277:$AD277,Model!$G$6:$AD$6,L$6,Model!$G$5:$AD$5,L$5)</f>
        <v>-133</v>
      </c>
      <c r="M219" s="106"/>
      <c r="N219" s="108">
        <f>SUMIFS($E219:$L219,$E$5:$L$5,N$6)</f>
        <v>-266.89999999999998</v>
      </c>
      <c r="O219" s="108">
        <f t="shared" si="66"/>
        <v>-551.94999999999993</v>
      </c>
      <c r="P219" s="106"/>
    </row>
    <row r="220" spans="1:33" ht="15" customHeight="1" outlineLevel="1">
      <c r="A220" s="142"/>
      <c r="B220" s="224" t="s">
        <v>40</v>
      </c>
      <c r="E220" s="104">
        <f>SUM(E217:E219)</f>
        <v>36</v>
      </c>
      <c r="F220" s="105">
        <f t="shared" ref="F220:L220" si="67">SUM(F217:F219)</f>
        <v>36</v>
      </c>
      <c r="G220" s="105">
        <f t="shared" si="67"/>
        <v>36</v>
      </c>
      <c r="H220" s="105">
        <f t="shared" si="67"/>
        <v>36</v>
      </c>
      <c r="I220" s="104">
        <f t="shared" si="67"/>
        <v>36</v>
      </c>
      <c r="J220" s="105">
        <f t="shared" si="67"/>
        <v>36</v>
      </c>
      <c r="K220" s="105">
        <f t="shared" si="67"/>
        <v>36</v>
      </c>
      <c r="L220" s="105">
        <f t="shared" si="67"/>
        <v>36</v>
      </c>
      <c r="M220" s="106"/>
      <c r="N220" s="104">
        <f>SUM(N217:N219)</f>
        <v>36</v>
      </c>
      <c r="O220" s="105">
        <f>SUM(O217:O219)</f>
        <v>36</v>
      </c>
      <c r="P220" s="106"/>
    </row>
    <row r="221" spans="1:33" ht="15" customHeight="1" outlineLevel="1">
      <c r="A221" s="142"/>
      <c r="B221" s="224"/>
      <c r="E221" s="110"/>
      <c r="F221" s="110"/>
      <c r="G221" s="111"/>
      <c r="H221" s="111"/>
      <c r="I221" s="112"/>
      <c r="J221" s="111"/>
      <c r="K221" s="111"/>
      <c r="L221" s="111"/>
      <c r="N221" s="110"/>
      <c r="O221" s="110"/>
    </row>
    <row r="222" spans="1:33" ht="15" customHeight="1" outlineLevel="1" thickBot="1">
      <c r="A222" s="142"/>
      <c r="B222" s="59" t="s">
        <v>80</v>
      </c>
      <c r="E222" s="419">
        <f>E220-E217</f>
        <v>-46</v>
      </c>
      <c r="F222" s="420">
        <f t="shared" ref="F222:L222" si="68">F220-F217</f>
        <v>0</v>
      </c>
      <c r="G222" s="420">
        <f t="shared" si="68"/>
        <v>0</v>
      </c>
      <c r="H222" s="420">
        <f t="shared" si="68"/>
        <v>0</v>
      </c>
      <c r="I222" s="421">
        <f t="shared" si="68"/>
        <v>0</v>
      </c>
      <c r="J222" s="420">
        <f t="shared" si="68"/>
        <v>0</v>
      </c>
      <c r="K222" s="420">
        <f t="shared" si="68"/>
        <v>0</v>
      </c>
      <c r="L222" s="420">
        <f t="shared" si="68"/>
        <v>0</v>
      </c>
      <c r="M222" s="417"/>
      <c r="N222" s="419">
        <f>N220-N217</f>
        <v>-46</v>
      </c>
      <c r="O222" s="421">
        <f>O220-O217</f>
        <v>0</v>
      </c>
      <c r="P222" s="417"/>
    </row>
    <row r="223" spans="1:33" s="142" customFormat="1" ht="15" customHeight="1" outlineLevel="1">
      <c r="B223" s="88"/>
      <c r="C223" s="88"/>
      <c r="D223" s="88"/>
      <c r="E223" s="113"/>
      <c r="F223" s="113"/>
      <c r="G223" s="114"/>
      <c r="H223" s="114"/>
      <c r="I223" s="115"/>
      <c r="J223" s="114"/>
      <c r="K223" s="114"/>
      <c r="L223" s="114"/>
      <c r="M223" s="88"/>
      <c r="N223" s="113"/>
      <c r="O223" s="113"/>
      <c r="R223" s="88"/>
      <c r="S223" s="88"/>
      <c r="T223" s="88"/>
      <c r="U223" s="88"/>
      <c r="V223" s="88"/>
      <c r="W223" s="88"/>
      <c r="X223" s="88"/>
      <c r="Y223" s="88"/>
      <c r="Z223" s="88"/>
      <c r="AA223" s="88"/>
      <c r="AB223" s="88"/>
      <c r="AC223" s="88"/>
      <c r="AD223" s="88"/>
      <c r="AE223" s="88"/>
      <c r="AF223" s="88"/>
      <c r="AG223" s="88"/>
    </row>
    <row r="224" spans="1:33" s="142" customFormat="1" ht="15" customHeight="1" outlineLevel="1">
      <c r="R224" s="88"/>
      <c r="S224" s="88"/>
      <c r="T224" s="88"/>
      <c r="U224" s="88"/>
      <c r="V224" s="88"/>
      <c r="W224" s="88"/>
      <c r="X224" s="88"/>
      <c r="Y224" s="88"/>
      <c r="Z224" s="88"/>
      <c r="AA224" s="88"/>
      <c r="AB224" s="88"/>
      <c r="AC224" s="88"/>
      <c r="AD224" s="88"/>
      <c r="AE224" s="88"/>
      <c r="AF224" s="88"/>
      <c r="AG224" s="88"/>
    </row>
    <row r="225" spans="1:33" s="142" customFormat="1" ht="15" customHeight="1" outlineLevel="1"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R225" s="88"/>
      <c r="S225" s="88"/>
      <c r="T225" s="88"/>
      <c r="U225" s="88"/>
      <c r="V225" s="88"/>
      <c r="W225" s="88"/>
      <c r="X225" s="88"/>
      <c r="Y225" s="88"/>
      <c r="Z225" s="88"/>
      <c r="AA225" s="88"/>
      <c r="AB225" s="88"/>
      <c r="AC225" s="88"/>
      <c r="AD225" s="88"/>
      <c r="AE225" s="88"/>
      <c r="AF225" s="88"/>
      <c r="AG225" s="88"/>
    </row>
    <row r="226" spans="1:33" s="142" customFormat="1" ht="15" customHeight="1">
      <c r="R226" s="88"/>
      <c r="S226" s="88"/>
      <c r="T226" s="88"/>
      <c r="U226" s="88"/>
      <c r="V226" s="88"/>
      <c r="W226" s="88"/>
      <c r="X226" s="88"/>
      <c r="Y226" s="88"/>
      <c r="Z226" s="88"/>
      <c r="AA226" s="88"/>
      <c r="AB226" s="88"/>
      <c r="AC226" s="88"/>
      <c r="AD226" s="88"/>
      <c r="AE226" s="88"/>
      <c r="AF226" s="88"/>
      <c r="AG226" s="88"/>
    </row>
    <row r="227" spans="1:33" ht="15" customHeight="1">
      <c r="A227" s="88" t="s">
        <v>10</v>
      </c>
      <c r="B227" s="24" t="s">
        <v>173</v>
      </c>
      <c r="C227" s="119"/>
      <c r="D227" s="119"/>
      <c r="E227" s="120"/>
      <c r="F227" s="120"/>
      <c r="G227" s="120"/>
      <c r="H227" s="91"/>
      <c r="I227" s="120"/>
      <c r="J227" s="120"/>
      <c r="K227" s="120"/>
      <c r="L227" s="91"/>
      <c r="M227" s="120"/>
      <c r="N227" s="91"/>
      <c r="O227" s="91"/>
      <c r="P227" s="102"/>
    </row>
    <row r="228" spans="1:33" ht="15" customHeight="1" outlineLevel="1">
      <c r="B228" s="28"/>
      <c r="C228" s="29"/>
      <c r="D228" s="29"/>
      <c r="E228" s="92"/>
      <c r="F228" s="92"/>
      <c r="G228" s="92"/>
      <c r="H228" s="92"/>
      <c r="P228" s="102"/>
    </row>
    <row r="229" spans="1:33" ht="15" customHeight="1" outlineLevel="1">
      <c r="B229" s="31" t="s">
        <v>13</v>
      </c>
      <c r="C229" s="93"/>
      <c r="D229" s="93"/>
      <c r="E229" s="52">
        <f t="shared" ref="E229:L229" si="69">E$5</f>
        <v>2024</v>
      </c>
      <c r="F229" s="51">
        <f t="shared" si="69"/>
        <v>2024</v>
      </c>
      <c r="G229" s="51">
        <f t="shared" si="69"/>
        <v>2024</v>
      </c>
      <c r="H229" s="94">
        <f t="shared" si="69"/>
        <v>2024</v>
      </c>
      <c r="I229" s="53">
        <f t="shared" si="69"/>
        <v>2025</v>
      </c>
      <c r="J229" s="51">
        <f t="shared" si="69"/>
        <v>2025</v>
      </c>
      <c r="K229" s="51">
        <f t="shared" si="69"/>
        <v>2025</v>
      </c>
      <c r="L229" s="94">
        <f t="shared" si="69"/>
        <v>2025</v>
      </c>
      <c r="M229" s="40"/>
      <c r="N229" s="121"/>
      <c r="O229" s="136"/>
      <c r="P229" s="95"/>
    </row>
    <row r="230" spans="1:33" ht="15" customHeight="1" outlineLevel="1" thickBot="1">
      <c r="E230" s="96">
        <f t="shared" ref="E230:L230" si="70">E$6</f>
        <v>1</v>
      </c>
      <c r="F230" s="54">
        <f t="shared" si="70"/>
        <v>2</v>
      </c>
      <c r="G230" s="54">
        <f t="shared" si="70"/>
        <v>3</v>
      </c>
      <c r="H230" s="54">
        <f t="shared" si="70"/>
        <v>4</v>
      </c>
      <c r="I230" s="97">
        <f t="shared" si="70"/>
        <v>1</v>
      </c>
      <c r="J230" s="54">
        <f t="shared" si="70"/>
        <v>2</v>
      </c>
      <c r="K230" s="54">
        <f t="shared" si="70"/>
        <v>3</v>
      </c>
      <c r="L230" s="54">
        <f t="shared" si="70"/>
        <v>4</v>
      </c>
      <c r="M230" s="40"/>
      <c r="N230" s="98">
        <f>N$6</f>
        <v>2024</v>
      </c>
      <c r="O230" s="99">
        <f>O$6</f>
        <v>2025</v>
      </c>
      <c r="P230" s="95"/>
    </row>
    <row r="231" spans="1:33" ht="15" customHeight="1" outlineLevel="1">
      <c r="E231" s="100"/>
      <c r="F231" s="100"/>
      <c r="G231" s="100"/>
      <c r="H231" s="100"/>
      <c r="I231" s="100"/>
      <c r="J231" s="100"/>
      <c r="K231" s="100"/>
      <c r="L231" s="100"/>
      <c r="N231" s="100"/>
      <c r="O231" s="100"/>
    </row>
    <row r="232" spans="1:33" ht="15" customHeight="1" outlineLevel="1">
      <c r="P232" s="102"/>
    </row>
    <row r="233" spans="1:33" ht="15" customHeight="1" outlineLevel="1">
      <c r="B233" s="73" t="s">
        <v>133</v>
      </c>
      <c r="E233" s="55">
        <f t="shared" ref="E233:L233" si="71">E$9</f>
        <v>1</v>
      </c>
      <c r="F233" s="55">
        <f t="shared" si="71"/>
        <v>1</v>
      </c>
      <c r="G233" s="55">
        <f t="shared" si="71"/>
        <v>1</v>
      </c>
      <c r="H233" s="55">
        <f t="shared" si="71"/>
        <v>1</v>
      </c>
      <c r="I233" s="55">
        <f t="shared" si="71"/>
        <v>0</v>
      </c>
      <c r="J233" s="55">
        <f t="shared" si="71"/>
        <v>0</v>
      </c>
      <c r="K233" s="55">
        <f t="shared" si="71"/>
        <v>0</v>
      </c>
      <c r="L233" s="55">
        <f t="shared" si="71"/>
        <v>0</v>
      </c>
      <c r="M233" s="102"/>
      <c r="N233" s="55">
        <f>N$9</f>
        <v>1</v>
      </c>
      <c r="O233" s="55">
        <f>O$9</f>
        <v>0</v>
      </c>
      <c r="P233" s="102"/>
    </row>
    <row r="234" spans="1:33" ht="15" customHeight="1" outlineLevel="1">
      <c r="B234" s="76" t="s">
        <v>134</v>
      </c>
      <c r="E234" s="68">
        <f>Model!G332</f>
        <v>50</v>
      </c>
      <c r="F234" s="69">
        <f>E237</f>
        <v>47</v>
      </c>
      <c r="G234" s="69">
        <f t="shared" ref="G234:L234" si="72">F237</f>
        <v>44</v>
      </c>
      <c r="H234" s="69">
        <f t="shared" si="72"/>
        <v>71</v>
      </c>
      <c r="I234" s="68">
        <f t="shared" si="72"/>
        <v>68</v>
      </c>
      <c r="J234" s="69">
        <f t="shared" si="72"/>
        <v>65</v>
      </c>
      <c r="K234" s="69">
        <f t="shared" si="72"/>
        <v>62</v>
      </c>
      <c r="L234" s="69">
        <f t="shared" si="72"/>
        <v>59</v>
      </c>
      <c r="M234" s="106"/>
      <c r="N234" s="68">
        <f>E234</f>
        <v>50</v>
      </c>
      <c r="O234" s="68">
        <f>N237</f>
        <v>68</v>
      </c>
      <c r="P234" s="107"/>
    </row>
    <row r="235" spans="1:33" ht="15" customHeight="1" outlineLevel="1">
      <c r="B235" s="76" t="s">
        <v>132</v>
      </c>
      <c r="E235" s="70">
        <f>SUMIFS(Model!$G333:$AD333,Model!$G$6:$AD$6,E$6,Model!$G$5:$AD$5,E$5)</f>
        <v>0</v>
      </c>
      <c r="F235" s="71">
        <f>SUMIFS(Model!$G333:$AD333,Model!$G$6:$AD$6,F$6,Model!$G$5:$AD$5,F$5)</f>
        <v>0</v>
      </c>
      <c r="G235" s="71">
        <f>SUMIFS(Model!$G333:$AD333,Model!$G$6:$AD$6,G$6,Model!$G$5:$AD$5,G$5)</f>
        <v>30</v>
      </c>
      <c r="H235" s="71">
        <f>SUMIFS(Model!$G333:$AD333,Model!$G$6:$AD$6,H$6,Model!$G$5:$AD$5,H$5)</f>
        <v>0</v>
      </c>
      <c r="I235" s="70">
        <f>SUMIFS(Model!$G333:$AD333,Model!$G$6:$AD$6,I$6,Model!$G$5:$AD$5,I$5)</f>
        <v>0</v>
      </c>
      <c r="J235" s="71">
        <f>SUMIFS(Model!$G333:$AD333,Model!$G$6:$AD$6,J$6,Model!$G$5:$AD$5,J$5)</f>
        <v>0</v>
      </c>
      <c r="K235" s="71">
        <f>SUMIFS(Model!$G333:$AD333,Model!$G$6:$AD$6,K$6,Model!$G$5:$AD$5,K$5)</f>
        <v>0</v>
      </c>
      <c r="L235" s="71">
        <f>SUMIFS(Model!$G333:$AD333,Model!$G$6:$AD$6,L$6,Model!$G$5:$AD$5,L$5)</f>
        <v>0</v>
      </c>
      <c r="M235" s="106"/>
      <c r="N235" s="70">
        <f>SUMIFS($E235:$L235,$E$5:$L$5,N$6)</f>
        <v>30</v>
      </c>
      <c r="O235" s="70">
        <f t="shared" ref="O235:O236" si="73">SUMIFS($E235:$L235,$E$5:$L$5,O$6)</f>
        <v>0</v>
      </c>
      <c r="P235" s="107"/>
    </row>
    <row r="236" spans="1:33" ht="15" customHeight="1" outlineLevel="1">
      <c r="B236" s="76" t="s">
        <v>141</v>
      </c>
      <c r="E236" s="70">
        <f>SUMIFS(Model!$G334:$AD334,Model!$G$6:$AD$6,E$6,Model!$G$5:$AD$5,E$5)</f>
        <v>-3</v>
      </c>
      <c r="F236" s="71">
        <f>SUMIFS(Model!$G334:$AD334,Model!$G$6:$AD$6,F$6,Model!$G$5:$AD$5,F$5)</f>
        <v>-3</v>
      </c>
      <c r="G236" s="71">
        <f>SUMIFS(Model!$G334:$AD334,Model!$G$6:$AD$6,G$6,Model!$G$5:$AD$5,G$5)</f>
        <v>-3</v>
      </c>
      <c r="H236" s="71">
        <f>SUMIFS(Model!$G334:$AD334,Model!$G$6:$AD$6,H$6,Model!$G$5:$AD$5,H$5)</f>
        <v>-3</v>
      </c>
      <c r="I236" s="70">
        <f>SUMIFS(Model!$G334:$AD334,Model!$G$6:$AD$6,I$6,Model!$G$5:$AD$5,I$5)</f>
        <v>-3</v>
      </c>
      <c r="J236" s="71">
        <f>SUMIFS(Model!$G334:$AD334,Model!$G$6:$AD$6,J$6,Model!$G$5:$AD$5,J$5)</f>
        <v>-3</v>
      </c>
      <c r="K236" s="71">
        <f>SUMIFS(Model!$G334:$AD334,Model!$G$6:$AD$6,K$6,Model!$G$5:$AD$5,K$5)</f>
        <v>-3</v>
      </c>
      <c r="L236" s="71">
        <f>SUMIFS(Model!$G334:$AD334,Model!$G$6:$AD$6,L$6,Model!$G$5:$AD$5,L$5)</f>
        <v>-3</v>
      </c>
      <c r="M236" s="106"/>
      <c r="N236" s="70">
        <f>SUMIFS($E236:$L236,$E$5:$L$5,N$6)</f>
        <v>-12</v>
      </c>
      <c r="O236" s="70">
        <f t="shared" si="73"/>
        <v>-12</v>
      </c>
      <c r="P236" s="107"/>
    </row>
    <row r="237" spans="1:33" ht="15" customHeight="1" outlineLevel="1">
      <c r="B237" s="76" t="s">
        <v>136</v>
      </c>
      <c r="E237" s="68">
        <f>SUM(E234:E236)</f>
        <v>47</v>
      </c>
      <c r="F237" s="69">
        <f t="shared" ref="F237:L237" si="74">SUM(F234:F236)</f>
        <v>44</v>
      </c>
      <c r="G237" s="69">
        <f t="shared" si="74"/>
        <v>71</v>
      </c>
      <c r="H237" s="69">
        <f t="shared" si="74"/>
        <v>68</v>
      </c>
      <c r="I237" s="68">
        <f t="shared" si="74"/>
        <v>65</v>
      </c>
      <c r="J237" s="69">
        <f t="shared" si="74"/>
        <v>62</v>
      </c>
      <c r="K237" s="69">
        <f t="shared" si="74"/>
        <v>59</v>
      </c>
      <c r="L237" s="69">
        <f t="shared" si="74"/>
        <v>56</v>
      </c>
      <c r="M237" s="106"/>
      <c r="N237" s="68">
        <f>SUM(N234:N236)</f>
        <v>68</v>
      </c>
      <c r="O237" s="68">
        <f>SUM(O234:O236)</f>
        <v>56</v>
      </c>
      <c r="P237" s="107"/>
    </row>
    <row r="238" spans="1:33" ht="15" customHeight="1" outlineLevel="1">
      <c r="E238" s="110"/>
      <c r="F238" s="110"/>
      <c r="G238" s="111"/>
      <c r="H238" s="111"/>
      <c r="I238" s="112"/>
      <c r="J238" s="111"/>
      <c r="K238" s="111"/>
      <c r="L238" s="111"/>
      <c r="N238" s="110"/>
      <c r="O238" s="110"/>
      <c r="P238" s="102"/>
    </row>
    <row r="239" spans="1:33" ht="15" customHeight="1" outlineLevel="1">
      <c r="G239" s="102"/>
      <c r="H239" s="102"/>
      <c r="I239" s="103"/>
      <c r="J239" s="102"/>
      <c r="K239" s="102"/>
      <c r="L239" s="102"/>
      <c r="P239" s="102"/>
    </row>
    <row r="240" spans="1:33" ht="15" customHeight="1" outlineLevel="1">
      <c r="B240" s="73" t="s">
        <v>139</v>
      </c>
      <c r="E240" s="55">
        <f t="shared" ref="E240:L240" si="75">E$9</f>
        <v>1</v>
      </c>
      <c r="F240" s="55">
        <f t="shared" si="75"/>
        <v>1</v>
      </c>
      <c r="G240" s="55">
        <f t="shared" si="75"/>
        <v>1</v>
      </c>
      <c r="H240" s="55">
        <f t="shared" si="75"/>
        <v>1</v>
      </c>
      <c r="I240" s="55">
        <f t="shared" si="75"/>
        <v>0</v>
      </c>
      <c r="J240" s="55">
        <f t="shared" si="75"/>
        <v>0</v>
      </c>
      <c r="K240" s="55">
        <f t="shared" si="75"/>
        <v>0</v>
      </c>
      <c r="L240" s="55">
        <f t="shared" si="75"/>
        <v>0</v>
      </c>
      <c r="M240" s="102"/>
      <c r="N240" s="55">
        <f>N$9</f>
        <v>1</v>
      </c>
      <c r="O240" s="55">
        <f>O$9</f>
        <v>0</v>
      </c>
      <c r="P240" s="102"/>
    </row>
    <row r="241" spans="2:16" ht="15" customHeight="1" outlineLevel="1">
      <c r="B241" s="76" t="s">
        <v>134</v>
      </c>
      <c r="E241" s="68">
        <f>Model!G343</f>
        <v>0</v>
      </c>
      <c r="F241" s="69">
        <f>E244</f>
        <v>0</v>
      </c>
      <c r="G241" s="69">
        <f t="shared" ref="G241:L241" si="76">F244</f>
        <v>0</v>
      </c>
      <c r="H241" s="69">
        <f t="shared" si="76"/>
        <v>0</v>
      </c>
      <c r="I241" s="68">
        <f t="shared" si="76"/>
        <v>7500</v>
      </c>
      <c r="J241" s="69">
        <f t="shared" si="76"/>
        <v>8500</v>
      </c>
      <c r="K241" s="69">
        <f t="shared" si="76"/>
        <v>8500</v>
      </c>
      <c r="L241" s="69">
        <f t="shared" si="76"/>
        <v>8500</v>
      </c>
      <c r="M241" s="106"/>
      <c r="N241" s="68">
        <f>E241</f>
        <v>0</v>
      </c>
      <c r="O241" s="68">
        <f>N244</f>
        <v>7500</v>
      </c>
      <c r="P241" s="107"/>
    </row>
    <row r="242" spans="2:16" ht="15" customHeight="1" outlineLevel="1">
      <c r="B242" s="76" t="s">
        <v>140</v>
      </c>
      <c r="E242" s="70">
        <f>SUMIFS(Model!$G344:$AD344,Model!$G$6:$AD$6,E$6,Model!$G$5:$AD$5,E$5)</f>
        <v>0</v>
      </c>
      <c r="F242" s="71">
        <f>SUMIFS(Model!$G344:$AD344,Model!$G$6:$AD$6,F$6,Model!$G$5:$AD$5,F$5)</f>
        <v>0</v>
      </c>
      <c r="G242" s="71">
        <f>SUMIFS(Model!$G344:$AD344,Model!$G$6:$AD$6,G$6,Model!$G$5:$AD$5,G$5)</f>
        <v>0</v>
      </c>
      <c r="H242" s="71">
        <f>SUMIFS(Model!$G344:$AD344,Model!$G$6:$AD$6,H$6,Model!$G$5:$AD$5,H$5)</f>
        <v>7500</v>
      </c>
      <c r="I242" s="70">
        <f>SUMIFS(Model!$G344:$AD344,Model!$G$6:$AD$6,I$6,Model!$G$5:$AD$5,I$5)</f>
        <v>1000</v>
      </c>
      <c r="J242" s="71">
        <f>SUMIFS(Model!$G344:$AD344,Model!$G$6:$AD$6,J$6,Model!$G$5:$AD$5,J$5)</f>
        <v>0</v>
      </c>
      <c r="K242" s="71">
        <f>SUMIFS(Model!$G344:$AD344,Model!$G$6:$AD$6,K$6,Model!$G$5:$AD$5,K$5)</f>
        <v>0</v>
      </c>
      <c r="L242" s="71">
        <f>SUMIFS(Model!$G344:$AD344,Model!$G$6:$AD$6,L$6,Model!$G$5:$AD$5,L$5)</f>
        <v>0</v>
      </c>
      <c r="M242" s="106"/>
      <c r="N242" s="70">
        <f>SUMIFS($E242:$L242,$E$5:$L$5,N$6)</f>
        <v>7500</v>
      </c>
      <c r="O242" s="70">
        <f t="shared" ref="O242:O243" si="77">SUMIFS($E242:$L242,$E$5:$L$5,O$6)</f>
        <v>1000</v>
      </c>
      <c r="P242" s="107"/>
    </row>
    <row r="243" spans="2:16" ht="15" customHeight="1" outlineLevel="1">
      <c r="B243" s="76" t="s">
        <v>141</v>
      </c>
      <c r="E243" s="70">
        <f>SUMIFS(Model!$G345:$AD345,Model!$G$6:$AD$6,E$6,Model!$G$5:$AD$5,E$5)</f>
        <v>0</v>
      </c>
      <c r="F243" s="71">
        <f>SUMIFS(Model!$G345:$AD345,Model!$G$6:$AD$6,F$6,Model!$G$5:$AD$5,F$5)</f>
        <v>0</v>
      </c>
      <c r="G243" s="71">
        <f>SUMIFS(Model!$G345:$AD345,Model!$G$6:$AD$6,G$6,Model!$G$5:$AD$5,G$5)</f>
        <v>0</v>
      </c>
      <c r="H243" s="71">
        <f>SUMIFS(Model!$G345:$AD345,Model!$G$6:$AD$6,H$6,Model!$G$5:$AD$5,H$5)</f>
        <v>0</v>
      </c>
      <c r="I243" s="70">
        <f>SUMIFS(Model!$G345:$AD345,Model!$G$6:$AD$6,I$6,Model!$G$5:$AD$5,I$5)</f>
        <v>0</v>
      </c>
      <c r="J243" s="71">
        <f>SUMIFS(Model!$G345:$AD345,Model!$G$6:$AD$6,J$6,Model!$G$5:$AD$5,J$5)</f>
        <v>0</v>
      </c>
      <c r="K243" s="71">
        <f>SUMIFS(Model!$G345:$AD345,Model!$G$6:$AD$6,K$6,Model!$G$5:$AD$5,K$5)</f>
        <v>0</v>
      </c>
      <c r="L243" s="71">
        <f>SUMIFS(Model!$G345:$AD345,Model!$G$6:$AD$6,L$6,Model!$G$5:$AD$5,L$5)</f>
        <v>0</v>
      </c>
      <c r="M243" s="106"/>
      <c r="N243" s="70">
        <f>SUMIFS($E243:$L243,$E$5:$L$5,N$6)</f>
        <v>0</v>
      </c>
      <c r="O243" s="70">
        <f t="shared" si="77"/>
        <v>0</v>
      </c>
      <c r="P243" s="107"/>
    </row>
    <row r="244" spans="2:16" ht="15" customHeight="1" outlineLevel="1">
      <c r="B244" s="76" t="s">
        <v>136</v>
      </c>
      <c r="E244" s="68">
        <f>SUM(E241:E243)</f>
        <v>0</v>
      </c>
      <c r="F244" s="69">
        <f t="shared" ref="F244:L244" si="78">SUM(F241:F243)</f>
        <v>0</v>
      </c>
      <c r="G244" s="69">
        <f t="shared" si="78"/>
        <v>0</v>
      </c>
      <c r="H244" s="69">
        <f t="shared" si="78"/>
        <v>7500</v>
      </c>
      <c r="I244" s="68">
        <f t="shared" si="78"/>
        <v>8500</v>
      </c>
      <c r="J244" s="69">
        <f t="shared" si="78"/>
        <v>8500</v>
      </c>
      <c r="K244" s="69">
        <f t="shared" si="78"/>
        <v>8500</v>
      </c>
      <c r="L244" s="69">
        <f t="shared" si="78"/>
        <v>8500</v>
      </c>
      <c r="M244" s="106"/>
      <c r="N244" s="68">
        <f>SUM(N241:N243)</f>
        <v>7500</v>
      </c>
      <c r="O244" s="68">
        <f>SUM(O241:O243)</f>
        <v>8500</v>
      </c>
      <c r="P244" s="107"/>
    </row>
    <row r="245" spans="2:16" ht="15" customHeight="1" outlineLevel="1">
      <c r="E245" s="110"/>
      <c r="F245" s="110"/>
      <c r="G245" s="111"/>
      <c r="H245" s="111"/>
      <c r="I245" s="112"/>
      <c r="J245" s="111"/>
      <c r="K245" s="111"/>
      <c r="L245" s="111"/>
      <c r="N245" s="110"/>
      <c r="O245" s="110"/>
      <c r="P245" s="102"/>
    </row>
    <row r="246" spans="2:16" ht="15" customHeight="1" outlineLevel="1">
      <c r="G246" s="102"/>
      <c r="H246" s="102"/>
      <c r="I246" s="103"/>
      <c r="J246" s="102"/>
      <c r="K246" s="102"/>
      <c r="L246" s="102"/>
      <c r="P246" s="102"/>
    </row>
    <row r="247" spans="2:16" ht="15" customHeight="1" outlineLevel="1">
      <c r="B247" s="73" t="s">
        <v>142</v>
      </c>
      <c r="E247" s="55">
        <f t="shared" ref="E247:L247" si="79">E$9</f>
        <v>1</v>
      </c>
      <c r="F247" s="55">
        <f t="shared" si="79"/>
        <v>1</v>
      </c>
      <c r="G247" s="55">
        <f t="shared" si="79"/>
        <v>1</v>
      </c>
      <c r="H247" s="55">
        <f t="shared" si="79"/>
        <v>1</v>
      </c>
      <c r="I247" s="55">
        <f t="shared" si="79"/>
        <v>0</v>
      </c>
      <c r="J247" s="55">
        <f t="shared" si="79"/>
        <v>0</v>
      </c>
      <c r="K247" s="55">
        <f t="shared" si="79"/>
        <v>0</v>
      </c>
      <c r="L247" s="55">
        <f t="shared" si="79"/>
        <v>0</v>
      </c>
      <c r="M247" s="102"/>
      <c r="N247" s="55">
        <f>N$9</f>
        <v>1</v>
      </c>
      <c r="O247" s="55">
        <f>O$9</f>
        <v>0</v>
      </c>
      <c r="P247" s="102"/>
    </row>
    <row r="248" spans="2:16" ht="15" customHeight="1" outlineLevel="1">
      <c r="B248" s="76" t="s">
        <v>143</v>
      </c>
      <c r="E248" s="68">
        <f>SUMIFS(Model!$G351:$AD351,Model!$G$6:$AD$6,E$6,Model!$G$5:$AD$5,E$5)</f>
        <v>3</v>
      </c>
      <c r="F248" s="69">
        <f>SUMIFS(Model!$G351:$AD351,Model!$G$6:$AD$6,F$6,Model!$G$5:$AD$5,F$5)</f>
        <v>3</v>
      </c>
      <c r="G248" s="69">
        <f>SUMIFS(Model!$G351:$AD351,Model!$G$6:$AD$6,G$6,Model!$G$5:$AD$5,G$5)</f>
        <v>3</v>
      </c>
      <c r="H248" s="69">
        <f>SUMIFS(Model!$G351:$AD351,Model!$G$6:$AD$6,H$6,Model!$G$5:$AD$5,H$5)</f>
        <v>3</v>
      </c>
      <c r="I248" s="68">
        <f>SUMIFS(Model!$G351:$AD351,Model!$G$6:$AD$6,I$6,Model!$G$5:$AD$5,I$5)</f>
        <v>3</v>
      </c>
      <c r="J248" s="69">
        <f>SUMIFS(Model!$G351:$AD351,Model!$G$6:$AD$6,J$6,Model!$G$5:$AD$5,J$5)</f>
        <v>3</v>
      </c>
      <c r="K248" s="69">
        <f>SUMIFS(Model!$G351:$AD351,Model!$G$6:$AD$6,K$6,Model!$G$5:$AD$5,K$5)</f>
        <v>3</v>
      </c>
      <c r="L248" s="69">
        <f>SUMIFS(Model!$G351:$AD351,Model!$G$6:$AD$6,L$6,Model!$G$5:$AD$5,L$5)</f>
        <v>3</v>
      </c>
      <c r="M248" s="106"/>
      <c r="N248" s="68">
        <f>SUMIFS($E248:$L248,$E$5:$L$5,N$6)</f>
        <v>12</v>
      </c>
      <c r="O248" s="68">
        <f t="shared" ref="O248:O249" si="80">SUMIFS($E248:$L248,$E$5:$L$5,O$6)</f>
        <v>12</v>
      </c>
      <c r="P248" s="107"/>
    </row>
    <row r="249" spans="2:16" ht="15" customHeight="1" outlineLevel="1">
      <c r="B249" s="76" t="s">
        <v>144</v>
      </c>
      <c r="E249" s="70">
        <f>SUMIFS(Model!$G352:$AD352,Model!$G$6:$AD$6,E$6,Model!$G$5:$AD$5,E$5)</f>
        <v>0</v>
      </c>
      <c r="F249" s="71">
        <f>SUMIFS(Model!$G352:$AD352,Model!$G$6:$AD$6,F$6,Model!$G$5:$AD$5,F$5)</f>
        <v>0</v>
      </c>
      <c r="G249" s="71">
        <f>SUMIFS(Model!$G352:$AD352,Model!$G$6:$AD$6,G$6,Model!$G$5:$AD$5,G$5)</f>
        <v>0</v>
      </c>
      <c r="H249" s="71">
        <f>SUMIFS(Model!$G352:$AD352,Model!$G$6:$AD$6,H$6,Model!$G$5:$AD$5,H$5)</f>
        <v>0</v>
      </c>
      <c r="I249" s="70">
        <f>SUMIFS(Model!$G352:$AD352,Model!$G$6:$AD$6,I$6,Model!$G$5:$AD$5,I$5)</f>
        <v>0</v>
      </c>
      <c r="J249" s="71">
        <f>SUMIFS(Model!$G352:$AD352,Model!$G$6:$AD$6,J$6,Model!$G$5:$AD$5,J$5)</f>
        <v>0</v>
      </c>
      <c r="K249" s="71">
        <f>SUMIFS(Model!$G352:$AD352,Model!$G$6:$AD$6,K$6,Model!$G$5:$AD$5,K$5)</f>
        <v>0</v>
      </c>
      <c r="L249" s="71">
        <f>SUMIFS(Model!$G352:$AD352,Model!$G$6:$AD$6,L$6,Model!$G$5:$AD$5,L$5)</f>
        <v>0</v>
      </c>
      <c r="M249" s="106"/>
      <c r="N249" s="70">
        <f>SUMIFS($E249:$L249,$E$5:$L$5,N$6)</f>
        <v>0</v>
      </c>
      <c r="O249" s="70">
        <f t="shared" si="80"/>
        <v>0</v>
      </c>
      <c r="P249" s="107"/>
    </row>
    <row r="250" spans="2:16" ht="15" customHeight="1" outlineLevel="1">
      <c r="B250" s="76" t="s">
        <v>145</v>
      </c>
      <c r="E250" s="68">
        <f>SUM(E248:E249)</f>
        <v>3</v>
      </c>
      <c r="F250" s="69">
        <f t="shared" ref="F250:L250" si="81">SUM(F248:F249)</f>
        <v>3</v>
      </c>
      <c r="G250" s="69">
        <f t="shared" si="81"/>
        <v>3</v>
      </c>
      <c r="H250" s="69">
        <f t="shared" si="81"/>
        <v>3</v>
      </c>
      <c r="I250" s="68">
        <f t="shared" si="81"/>
        <v>3</v>
      </c>
      <c r="J250" s="69">
        <f t="shared" si="81"/>
        <v>3</v>
      </c>
      <c r="K250" s="69">
        <f t="shared" si="81"/>
        <v>3</v>
      </c>
      <c r="L250" s="69">
        <f t="shared" si="81"/>
        <v>3</v>
      </c>
      <c r="M250" s="106"/>
      <c r="N250" s="68">
        <f>SUM(N248:N249)</f>
        <v>12</v>
      </c>
      <c r="O250" s="68">
        <f>SUM(O248:O249)</f>
        <v>12</v>
      </c>
      <c r="P250" s="107"/>
    </row>
    <row r="251" spans="2:16" ht="15" customHeight="1" outlineLevel="1">
      <c r="B251" s="76"/>
      <c r="E251" s="110"/>
      <c r="F251" s="110"/>
      <c r="G251" s="111"/>
      <c r="H251" s="111"/>
      <c r="I251" s="112"/>
      <c r="J251" s="111"/>
      <c r="K251" s="111"/>
      <c r="L251" s="111"/>
      <c r="N251" s="110"/>
      <c r="O251" s="110"/>
      <c r="P251" s="102"/>
    </row>
    <row r="252" spans="2:16" ht="15" customHeight="1" outlineLevel="1">
      <c r="B252" s="59"/>
      <c r="G252" s="102"/>
      <c r="H252" s="102"/>
      <c r="I252" s="103"/>
      <c r="J252" s="102"/>
      <c r="K252" s="102"/>
      <c r="L252" s="102"/>
      <c r="P252" s="102"/>
    </row>
    <row r="253" spans="2:16" ht="15" customHeight="1" outlineLevel="1">
      <c r="B253" s="73" t="s">
        <v>146</v>
      </c>
      <c r="E253" s="55">
        <f t="shared" ref="E253:L253" si="82">E$9</f>
        <v>1</v>
      </c>
      <c r="F253" s="55">
        <f t="shared" si="82"/>
        <v>1</v>
      </c>
      <c r="G253" s="55">
        <f t="shared" si="82"/>
        <v>1</v>
      </c>
      <c r="H253" s="55">
        <f t="shared" si="82"/>
        <v>1</v>
      </c>
      <c r="I253" s="55">
        <f t="shared" si="82"/>
        <v>0</v>
      </c>
      <c r="J253" s="55">
        <f t="shared" si="82"/>
        <v>0</v>
      </c>
      <c r="K253" s="55">
        <f t="shared" si="82"/>
        <v>0</v>
      </c>
      <c r="L253" s="55">
        <f t="shared" si="82"/>
        <v>0</v>
      </c>
      <c r="M253" s="102"/>
      <c r="N253" s="55">
        <f>N$9</f>
        <v>1</v>
      </c>
      <c r="O253" s="55">
        <f>O$9</f>
        <v>0</v>
      </c>
      <c r="P253" s="102"/>
    </row>
    <row r="254" spans="2:16" ht="15" customHeight="1" outlineLevel="1">
      <c r="B254" s="76" t="s">
        <v>132</v>
      </c>
      <c r="E254" s="68">
        <f>SUMIFS(Model!$G357:$AD357,Model!$G$6:$AD$6,E$6,Model!$G$5:$AD$5,E$5)</f>
        <v>0</v>
      </c>
      <c r="F254" s="69">
        <f>SUMIFS(Model!$G357:$AD357,Model!$G$6:$AD$6,F$6,Model!$G$5:$AD$5,F$5)</f>
        <v>0</v>
      </c>
      <c r="G254" s="69">
        <f>SUMIFS(Model!$G357:$AD357,Model!$G$6:$AD$6,G$6,Model!$G$5:$AD$5,G$5)</f>
        <v>30</v>
      </c>
      <c r="H254" s="69">
        <f>SUMIFS(Model!$G357:$AD357,Model!$G$6:$AD$6,H$6,Model!$G$5:$AD$5,H$5)</f>
        <v>0</v>
      </c>
      <c r="I254" s="68">
        <f>SUMIFS(Model!$G357:$AD357,Model!$G$6:$AD$6,I$6,Model!$G$5:$AD$5,I$5)</f>
        <v>0</v>
      </c>
      <c r="J254" s="69">
        <f>SUMIFS(Model!$G357:$AD357,Model!$G$6:$AD$6,J$6,Model!$G$5:$AD$5,J$5)</f>
        <v>0</v>
      </c>
      <c r="K254" s="69">
        <f>SUMIFS(Model!$G357:$AD357,Model!$G$6:$AD$6,K$6,Model!$G$5:$AD$5,K$5)</f>
        <v>0</v>
      </c>
      <c r="L254" s="69">
        <f>SUMIFS(Model!$G357:$AD357,Model!$G$6:$AD$6,L$6,Model!$G$5:$AD$5,L$5)</f>
        <v>0</v>
      </c>
      <c r="M254" s="106"/>
      <c r="N254" s="68">
        <f>SUMIFS($E254:$L254,$E$5:$L$5,N$6)</f>
        <v>30</v>
      </c>
      <c r="O254" s="68">
        <f t="shared" ref="O254:O255" si="83">SUMIFS($E254:$L254,$E$5:$L$5,O$6)</f>
        <v>0</v>
      </c>
      <c r="P254" s="107"/>
    </row>
    <row r="255" spans="2:16" ht="15" customHeight="1" outlineLevel="1">
      <c r="B255" s="76" t="s">
        <v>140</v>
      </c>
      <c r="E255" s="70">
        <f>SUMIFS(Model!$G358:$AD358,Model!$G$6:$AD$6,E$6,Model!$G$5:$AD$5,E$5)</f>
        <v>0</v>
      </c>
      <c r="F255" s="71">
        <f>SUMIFS(Model!$G358:$AD358,Model!$G$6:$AD$6,F$6,Model!$G$5:$AD$5,F$5)</f>
        <v>0</v>
      </c>
      <c r="G255" s="71">
        <f>SUMIFS(Model!$G358:$AD358,Model!$G$6:$AD$6,G$6,Model!$G$5:$AD$5,G$5)</f>
        <v>0</v>
      </c>
      <c r="H255" s="71">
        <f>SUMIFS(Model!$G358:$AD358,Model!$G$6:$AD$6,H$6,Model!$G$5:$AD$5,H$5)</f>
        <v>7500</v>
      </c>
      <c r="I255" s="70">
        <f>SUMIFS(Model!$G358:$AD358,Model!$G$6:$AD$6,I$6,Model!$G$5:$AD$5,I$5)</f>
        <v>1000</v>
      </c>
      <c r="J255" s="71">
        <f>SUMIFS(Model!$G358:$AD358,Model!$G$6:$AD$6,J$6,Model!$G$5:$AD$5,J$5)</f>
        <v>0</v>
      </c>
      <c r="K255" s="71">
        <f>SUMIFS(Model!$G358:$AD358,Model!$G$6:$AD$6,K$6,Model!$G$5:$AD$5,K$5)</f>
        <v>0</v>
      </c>
      <c r="L255" s="71">
        <f>SUMIFS(Model!$G358:$AD358,Model!$G$6:$AD$6,L$6,Model!$G$5:$AD$5,L$5)</f>
        <v>0</v>
      </c>
      <c r="M255" s="106"/>
      <c r="N255" s="70">
        <f>SUMIFS($E255:$L255,$E$5:$L$5,N$6)</f>
        <v>7500</v>
      </c>
      <c r="O255" s="70">
        <f t="shared" si="83"/>
        <v>1000</v>
      </c>
      <c r="P255" s="107"/>
    </row>
    <row r="256" spans="2:16" ht="15" customHeight="1" outlineLevel="1">
      <c r="B256" s="76" t="s">
        <v>147</v>
      </c>
      <c r="E256" s="68">
        <f>SUM(E254:E255)</f>
        <v>0</v>
      </c>
      <c r="F256" s="69">
        <f t="shared" ref="F256:L256" si="84">SUM(F254:F255)</f>
        <v>0</v>
      </c>
      <c r="G256" s="69">
        <f t="shared" si="84"/>
        <v>30</v>
      </c>
      <c r="H256" s="69">
        <f t="shared" si="84"/>
        <v>7500</v>
      </c>
      <c r="I256" s="68">
        <f t="shared" si="84"/>
        <v>1000</v>
      </c>
      <c r="J256" s="69">
        <f t="shared" si="84"/>
        <v>0</v>
      </c>
      <c r="K256" s="69">
        <f t="shared" si="84"/>
        <v>0</v>
      </c>
      <c r="L256" s="69">
        <f t="shared" si="84"/>
        <v>0</v>
      </c>
      <c r="M256" s="106"/>
      <c r="N256" s="68">
        <f>SUM(N254:N255)</f>
        <v>7530</v>
      </c>
      <c r="O256" s="68">
        <f>SUM(O254:O255)</f>
        <v>1000</v>
      </c>
      <c r="P256" s="107"/>
    </row>
    <row r="257" spans="1:16" ht="15" customHeight="1" outlineLevel="1">
      <c r="E257" s="110"/>
      <c r="F257" s="110"/>
      <c r="G257" s="111"/>
      <c r="H257" s="111"/>
      <c r="I257" s="112"/>
      <c r="J257" s="111"/>
      <c r="K257" s="111"/>
      <c r="L257" s="111"/>
      <c r="N257" s="110"/>
      <c r="O257" s="110"/>
      <c r="P257" s="102"/>
    </row>
    <row r="258" spans="1:16" ht="15" customHeight="1" outlineLevel="1">
      <c r="G258" s="102"/>
      <c r="H258" s="102"/>
      <c r="I258" s="103"/>
      <c r="J258" s="102"/>
      <c r="K258" s="102"/>
      <c r="L258" s="102"/>
      <c r="P258" s="102"/>
    </row>
    <row r="259" spans="1:16" ht="15" customHeight="1" outlineLevel="1">
      <c r="G259" s="102"/>
      <c r="H259" s="102"/>
      <c r="I259" s="103"/>
      <c r="J259" s="102"/>
      <c r="K259" s="102"/>
      <c r="L259" s="102"/>
      <c r="P259" s="102"/>
    </row>
    <row r="260" spans="1:16" ht="15" customHeight="1" outlineLevel="1">
      <c r="B260" s="116"/>
      <c r="C260" s="116"/>
      <c r="D260" s="116"/>
      <c r="E260" s="116"/>
      <c r="F260" s="116"/>
      <c r="G260" s="117"/>
      <c r="H260" s="117"/>
      <c r="I260" s="118"/>
      <c r="J260" s="117"/>
      <c r="K260" s="117"/>
      <c r="L260" s="117"/>
      <c r="M260" s="116"/>
      <c r="N260" s="116"/>
      <c r="O260" s="116"/>
      <c r="P260" s="102"/>
    </row>
    <row r="261" spans="1:16" ht="15" customHeight="1">
      <c r="G261" s="102"/>
      <c r="H261" s="102"/>
      <c r="I261" s="103"/>
      <c r="J261" s="102"/>
      <c r="K261" s="102"/>
      <c r="L261" s="102"/>
      <c r="P261" s="102"/>
    </row>
    <row r="262" spans="1:16" ht="15" customHeight="1">
      <c r="A262" s="88" t="s">
        <v>10</v>
      </c>
      <c r="B262" s="24" t="s">
        <v>148</v>
      </c>
      <c r="C262" s="119"/>
      <c r="D262" s="119"/>
      <c r="E262" s="120"/>
      <c r="F262" s="120"/>
      <c r="G262" s="120"/>
      <c r="H262" s="91"/>
      <c r="I262" s="120"/>
      <c r="J262" s="120"/>
      <c r="K262" s="120"/>
      <c r="L262" s="91"/>
      <c r="M262" s="120"/>
      <c r="N262" s="91"/>
      <c r="O262" s="91"/>
      <c r="P262" s="102"/>
    </row>
    <row r="263" spans="1:16" ht="15" customHeight="1" outlineLevel="1">
      <c r="B263" s="28"/>
      <c r="C263" s="29"/>
      <c r="D263" s="29"/>
      <c r="E263" s="92"/>
      <c r="F263" s="92"/>
      <c r="G263" s="92"/>
      <c r="H263" s="92"/>
      <c r="P263" s="102"/>
    </row>
    <row r="264" spans="1:16" ht="15" customHeight="1" outlineLevel="1">
      <c r="B264" s="31" t="s">
        <v>13</v>
      </c>
      <c r="C264" s="93"/>
      <c r="D264" s="93"/>
      <c r="E264" s="52">
        <f t="shared" ref="E264:L264" si="85">E$5</f>
        <v>2024</v>
      </c>
      <c r="F264" s="51">
        <f t="shared" si="85"/>
        <v>2024</v>
      </c>
      <c r="G264" s="51">
        <f t="shared" si="85"/>
        <v>2024</v>
      </c>
      <c r="H264" s="94">
        <f t="shared" si="85"/>
        <v>2024</v>
      </c>
      <c r="I264" s="53">
        <f t="shared" si="85"/>
        <v>2025</v>
      </c>
      <c r="J264" s="51">
        <f t="shared" si="85"/>
        <v>2025</v>
      </c>
      <c r="K264" s="51">
        <f t="shared" si="85"/>
        <v>2025</v>
      </c>
      <c r="L264" s="94">
        <f t="shared" si="85"/>
        <v>2025</v>
      </c>
      <c r="M264" s="40"/>
      <c r="N264" s="121"/>
      <c r="O264" s="136"/>
      <c r="P264" s="95"/>
    </row>
    <row r="265" spans="1:16" ht="15" customHeight="1" outlineLevel="1" thickBot="1">
      <c r="E265" s="96">
        <f t="shared" ref="E265:L265" si="86">E$6</f>
        <v>1</v>
      </c>
      <c r="F265" s="54">
        <f t="shared" si="86"/>
        <v>2</v>
      </c>
      <c r="G265" s="54">
        <f t="shared" si="86"/>
        <v>3</v>
      </c>
      <c r="H265" s="54">
        <f t="shared" si="86"/>
        <v>4</v>
      </c>
      <c r="I265" s="97">
        <f t="shared" si="86"/>
        <v>1</v>
      </c>
      <c r="J265" s="54">
        <f t="shared" si="86"/>
        <v>2</v>
      </c>
      <c r="K265" s="54">
        <f t="shared" si="86"/>
        <v>3</v>
      </c>
      <c r="L265" s="54">
        <f t="shared" si="86"/>
        <v>4</v>
      </c>
      <c r="M265" s="40"/>
      <c r="N265" s="98">
        <f>N$6</f>
        <v>2024</v>
      </c>
      <c r="O265" s="99">
        <f>O$6</f>
        <v>2025</v>
      </c>
      <c r="P265" s="95"/>
    </row>
    <row r="266" spans="1:16" ht="15" customHeight="1" outlineLevel="1">
      <c r="E266" s="100"/>
      <c r="F266" s="100"/>
      <c r="G266" s="100"/>
      <c r="H266" s="100"/>
      <c r="I266" s="100"/>
      <c r="J266" s="100"/>
      <c r="K266" s="100"/>
      <c r="L266" s="100"/>
      <c r="N266" s="100"/>
      <c r="O266" s="100"/>
    </row>
    <row r="267" spans="1:16" ht="15" customHeight="1" outlineLevel="1">
      <c r="P267" s="102"/>
    </row>
    <row r="268" spans="1:16" ht="15" customHeight="1" outlineLevel="1">
      <c r="B268" s="73" t="s">
        <v>158</v>
      </c>
      <c r="E268" s="55">
        <f t="shared" ref="E268:L268" si="87">E$9</f>
        <v>1</v>
      </c>
      <c r="F268" s="55">
        <f t="shared" si="87"/>
        <v>1</v>
      </c>
      <c r="G268" s="55">
        <f t="shared" si="87"/>
        <v>1</v>
      </c>
      <c r="H268" s="55">
        <f t="shared" si="87"/>
        <v>1</v>
      </c>
      <c r="I268" s="55">
        <f t="shared" si="87"/>
        <v>0</v>
      </c>
      <c r="J268" s="55">
        <f t="shared" si="87"/>
        <v>0</v>
      </c>
      <c r="K268" s="55">
        <f t="shared" si="87"/>
        <v>0</v>
      </c>
      <c r="L268" s="55">
        <f t="shared" si="87"/>
        <v>0</v>
      </c>
      <c r="M268" s="102"/>
      <c r="N268" s="55">
        <f>N$9</f>
        <v>1</v>
      </c>
      <c r="O268" s="55">
        <f>O$9</f>
        <v>0</v>
      </c>
      <c r="P268" s="102"/>
    </row>
    <row r="269" spans="1:16" ht="15" customHeight="1" outlineLevel="1">
      <c r="B269" s="76" t="s">
        <v>134</v>
      </c>
      <c r="E269" s="68">
        <f>Model!G392</f>
        <v>0</v>
      </c>
      <c r="F269" s="69">
        <f>E271</f>
        <v>0</v>
      </c>
      <c r="G269" s="69">
        <f t="shared" ref="G269:L269" si="88">F271</f>
        <v>0</v>
      </c>
      <c r="H269" s="69">
        <f t="shared" si="88"/>
        <v>0</v>
      </c>
      <c r="I269" s="68">
        <f t="shared" si="88"/>
        <v>2047.3481678791281</v>
      </c>
      <c r="J269" s="69">
        <f t="shared" si="88"/>
        <v>31.489440693138704</v>
      </c>
      <c r="K269" s="69">
        <f t="shared" si="88"/>
        <v>-1.1368683772161603E-13</v>
      </c>
      <c r="L269" s="69">
        <f t="shared" si="88"/>
        <v>-1.1368683772161603E-13</v>
      </c>
      <c r="M269" s="106"/>
      <c r="N269" s="68">
        <f>E269</f>
        <v>0</v>
      </c>
      <c r="O269" s="68">
        <f>N271</f>
        <v>2047.3481678791281</v>
      </c>
      <c r="P269" s="107"/>
    </row>
    <row r="270" spans="1:16" ht="15" customHeight="1" outlineLevel="1">
      <c r="B270" s="76" t="s">
        <v>149</v>
      </c>
      <c r="E270" s="70">
        <f>SUMIFS(Model!$G393:$AD393,Model!$G$6:$AD$6,E$6,Model!$G$5:$AD$5,E$5)</f>
        <v>0</v>
      </c>
      <c r="F270" s="71">
        <f>SUMIFS(Model!$G393:$AD393,Model!$G$6:$AD$6,F$6,Model!$G$5:$AD$5,F$5)</f>
        <v>0</v>
      </c>
      <c r="G270" s="71">
        <f>SUMIFS(Model!$G393:$AD393,Model!$G$6:$AD$6,G$6,Model!$G$5:$AD$5,G$5)</f>
        <v>0</v>
      </c>
      <c r="H270" s="71">
        <f>SUMIFS(Model!$G393:$AD393,Model!$G$6:$AD$6,H$6,Model!$G$5:$AD$5,H$5)</f>
        <v>2047.3481678791281</v>
      </c>
      <c r="I270" s="70">
        <f>SUMIFS(Model!$G393:$AD393,Model!$G$6:$AD$6,I$6,Model!$G$5:$AD$5,I$5)</f>
        <v>-2015.8587271859894</v>
      </c>
      <c r="J270" s="71">
        <f>SUMIFS(Model!$G393:$AD393,Model!$G$6:$AD$6,J$6,Model!$G$5:$AD$5,J$5)</f>
        <v>-31.489440693138818</v>
      </c>
      <c r="K270" s="71">
        <f>SUMIFS(Model!$G393:$AD393,Model!$G$6:$AD$6,K$6,Model!$G$5:$AD$5,K$5)</f>
        <v>0</v>
      </c>
      <c r="L270" s="71">
        <f>SUMIFS(Model!$G393:$AD393,Model!$G$6:$AD$6,L$6,Model!$G$5:$AD$5,L$5)</f>
        <v>0</v>
      </c>
      <c r="M270" s="106"/>
      <c r="N270" s="70">
        <f>SUMIFS($E270:$L270,$E$5:$L$5,N$6)</f>
        <v>2047.3481678791281</v>
      </c>
      <c r="O270" s="70">
        <f t="shared" ref="O270" si="89">SUMIFS($E270:$L270,$E$5:$L$5,O$6)</f>
        <v>-2047.3481678791281</v>
      </c>
      <c r="P270" s="107"/>
    </row>
    <row r="271" spans="1:16" ht="15" customHeight="1" outlineLevel="1">
      <c r="B271" s="76" t="s">
        <v>136</v>
      </c>
      <c r="E271" s="68">
        <f>SUM(E269:E270)</f>
        <v>0</v>
      </c>
      <c r="F271" s="69">
        <f t="shared" ref="F271:L271" si="90">SUM(F269:F270)</f>
        <v>0</v>
      </c>
      <c r="G271" s="69">
        <f t="shared" si="90"/>
        <v>0</v>
      </c>
      <c r="H271" s="69">
        <f t="shared" si="90"/>
        <v>2047.3481678791281</v>
      </c>
      <c r="I271" s="68">
        <f t="shared" si="90"/>
        <v>31.489440693138704</v>
      </c>
      <c r="J271" s="69">
        <f t="shared" si="90"/>
        <v>-1.1368683772161603E-13</v>
      </c>
      <c r="K271" s="69">
        <f t="shared" si="90"/>
        <v>-1.1368683772161603E-13</v>
      </c>
      <c r="L271" s="69">
        <f t="shared" si="90"/>
        <v>-1.1368683772161603E-13</v>
      </c>
      <c r="M271" s="106"/>
      <c r="N271" s="68">
        <f>SUM(N269:N270)</f>
        <v>2047.3481678791281</v>
      </c>
      <c r="O271" s="68">
        <f>SUM(O269:O270)</f>
        <v>0</v>
      </c>
      <c r="P271" s="107"/>
    </row>
    <row r="272" spans="1:16" ht="15" customHeight="1" outlineLevel="1">
      <c r="B272" s="76"/>
      <c r="E272" s="69"/>
      <c r="F272" s="69"/>
      <c r="G272" s="69"/>
      <c r="H272" s="69"/>
      <c r="I272" s="69"/>
      <c r="J272" s="69"/>
      <c r="K272" s="69"/>
      <c r="L272" s="69"/>
      <c r="N272" s="69"/>
      <c r="O272" s="69"/>
      <c r="P272" s="102"/>
    </row>
    <row r="273" spans="1:16" ht="15" customHeight="1" outlineLevel="1">
      <c r="C273" s="362" t="s">
        <v>159</v>
      </c>
      <c r="D273" s="362"/>
      <c r="P273" s="102"/>
    </row>
    <row r="274" spans="1:16" ht="15" customHeight="1" outlineLevel="1">
      <c r="A274" s="194"/>
      <c r="B274" s="76" t="s">
        <v>174</v>
      </c>
      <c r="C274" s="422">
        <f>Model!E394</f>
        <v>1000</v>
      </c>
      <c r="D274" s="149"/>
      <c r="E274" s="68">
        <f>_xlfn.MAXIFS(Model!$G394:$AD394,Model!$G$6:$AD$6,Totals!E$6,Model!$G$5:$AD$5,Totals!E$5)</f>
        <v>0</v>
      </c>
      <c r="F274" s="69">
        <f>_xlfn.MAXIFS(Model!$G394:$AD394,Model!$G$6:$AD$6,Totals!F$6,Model!$G$5:$AD$5,Totals!F$5)</f>
        <v>0</v>
      </c>
      <c r="G274" s="69">
        <f>_xlfn.MAXIFS(Model!$G394:$AD394,Model!$G$6:$AD$6,Totals!G$6,Model!$G$5:$AD$5,Totals!G$5)</f>
        <v>0</v>
      </c>
      <c r="H274" s="69">
        <f>_xlfn.MAXIFS(Model!$G394:$AD394,Model!$G$6:$AD$6,Totals!H$6,Model!$G$5:$AD$5,Totals!H$5)</f>
        <v>2047.3481678791281</v>
      </c>
      <c r="I274" s="68">
        <f>_xlfn.MAXIFS(Model!$G394:$AD394,Model!$G$6:$AD$6,Totals!I$6,Model!$G$5:$AD$5,Totals!I$5)</f>
        <v>828.15516167724036</v>
      </c>
      <c r="J274" s="69">
        <f>_xlfn.MAXIFS(Model!$G394:$AD394,Model!$G$6:$AD$6,Totals!J$6,Model!$G$5:$AD$5,Totals!J$5)</f>
        <v>0</v>
      </c>
      <c r="K274" s="69">
        <f>_xlfn.MAXIFS(Model!$G394:$AD394,Model!$G$6:$AD$6,Totals!K$6,Model!$G$5:$AD$5,Totals!K$5)</f>
        <v>0</v>
      </c>
      <c r="L274" s="69">
        <f>_xlfn.MAXIFS(Model!$G394:$AD394,Model!$G$6:$AD$6,Totals!L$6,Model!$G$5:$AD$5,Totals!L$5)</f>
        <v>0</v>
      </c>
      <c r="M274" s="106"/>
      <c r="N274" s="68">
        <f>_xlfn.MAXIFS($E274:$L274,$E$5:$L$5,N$6)</f>
        <v>2047.3481678791281</v>
      </c>
      <c r="O274" s="68">
        <f t="shared" ref="O274" si="91">_xlfn.MAXIFS($E274:$L274,$E$5:$L$5,O$6)</f>
        <v>828.15516167724036</v>
      </c>
      <c r="P274" s="107"/>
    </row>
    <row r="275" spans="1:16" ht="15" customHeight="1" outlineLevel="1">
      <c r="C275" s="110"/>
      <c r="E275" s="110"/>
      <c r="F275" s="110"/>
      <c r="G275" s="110"/>
      <c r="H275" s="110"/>
      <c r="I275" s="110"/>
      <c r="J275" s="110"/>
      <c r="K275" s="110"/>
      <c r="L275" s="110"/>
      <c r="N275" s="110"/>
      <c r="O275" s="110"/>
      <c r="P275" s="102"/>
    </row>
    <row r="276" spans="1:16" ht="15" customHeight="1" outlineLevel="1">
      <c r="P276" s="102"/>
    </row>
    <row r="277" spans="1:16" ht="15" customHeight="1" outlineLevel="1">
      <c r="B277" s="406"/>
      <c r="C277" s="406"/>
      <c r="D277" s="406"/>
      <c r="E277" s="406"/>
      <c r="F277" s="406"/>
      <c r="G277" s="406"/>
      <c r="H277" s="406"/>
      <c r="I277" s="406"/>
      <c r="J277" s="406"/>
      <c r="K277" s="406"/>
      <c r="L277" s="406"/>
      <c r="M277" s="406"/>
      <c r="N277" s="406"/>
      <c r="O277" s="406"/>
      <c r="P277" s="102"/>
    </row>
    <row r="278" spans="1:16" ht="15" customHeight="1" outlineLevel="1">
      <c r="P278" s="102"/>
    </row>
    <row r="279" spans="1:16" ht="15" customHeight="1" outlineLevel="1">
      <c r="B279" s="73" t="s">
        <v>175</v>
      </c>
      <c r="E279" s="55">
        <f t="shared" ref="E279:L279" si="92">E$9</f>
        <v>1</v>
      </c>
      <c r="F279" s="55">
        <f t="shared" si="92"/>
        <v>1</v>
      </c>
      <c r="G279" s="55">
        <f t="shared" si="92"/>
        <v>1</v>
      </c>
      <c r="H279" s="55">
        <f t="shared" si="92"/>
        <v>1</v>
      </c>
      <c r="I279" s="55">
        <f t="shared" si="92"/>
        <v>0</v>
      </c>
      <c r="J279" s="55">
        <f t="shared" si="92"/>
        <v>0</v>
      </c>
      <c r="K279" s="55">
        <f t="shared" si="92"/>
        <v>0</v>
      </c>
      <c r="L279" s="55">
        <f t="shared" si="92"/>
        <v>0</v>
      </c>
      <c r="M279" s="102"/>
      <c r="N279" s="55">
        <f>N$9</f>
        <v>1</v>
      </c>
      <c r="O279" s="55">
        <f>O$9</f>
        <v>0</v>
      </c>
      <c r="P279" s="102"/>
    </row>
    <row r="280" spans="1:16" ht="15" customHeight="1" outlineLevel="1">
      <c r="B280" s="76" t="s">
        <v>176</v>
      </c>
      <c r="E280" s="83">
        <f>SUMIFS(Model!$G378:$AD378,Model!$G$6:$AD$6,E$6,Model!$G$5:$AD$5,E$5)</f>
        <v>7.4999999999999997E-3</v>
      </c>
      <c r="F280" s="84">
        <f>SUMIFS(Model!$G378:$AD378,Model!$G$6:$AD$6,F$6,Model!$G$5:$AD$5,F$5)</f>
        <v>7.4999999999999997E-3</v>
      </c>
      <c r="G280" s="84">
        <f>SUMIFS(Model!$G378:$AD378,Model!$G$6:$AD$6,G$6,Model!$G$5:$AD$5,G$5)</f>
        <v>7.4999999999999997E-3</v>
      </c>
      <c r="H280" s="84">
        <f>SUMIFS(Model!$G378:$AD378,Model!$G$6:$AD$6,H$6,Model!$G$5:$AD$5,H$5)</f>
        <v>7.4999999999999997E-3</v>
      </c>
      <c r="I280" s="83">
        <f>SUMIFS(Model!$G378:$AD378,Model!$G$6:$AD$6,I$6,Model!$G$5:$AD$5,I$5)</f>
        <v>7.4999999999999997E-3</v>
      </c>
      <c r="J280" s="84">
        <f>SUMIFS(Model!$G378:$AD378,Model!$G$6:$AD$6,J$6,Model!$G$5:$AD$5,J$5)</f>
        <v>7.4999999999999997E-3</v>
      </c>
      <c r="K280" s="84">
        <f>SUMIFS(Model!$G378:$AD378,Model!$G$6:$AD$6,K$6,Model!$G$5:$AD$5,K$5)</f>
        <v>7.4999999999999997E-3</v>
      </c>
      <c r="L280" s="84">
        <f>SUMIFS(Model!$G378:$AD378,Model!$G$6:$AD$6,L$6,Model!$G$5:$AD$5,L$5)</f>
        <v>7.4999999999999997E-3</v>
      </c>
      <c r="M280" s="106"/>
      <c r="N280" s="83">
        <f>SUMIFS($E280:$L280,$E$5:$L$5,N$6)</f>
        <v>0.03</v>
      </c>
      <c r="O280" s="83">
        <f t="shared" ref="O280:O281" si="93">SUMIFS($E280:$L280,$E$5:$L$5,O$6)</f>
        <v>0.03</v>
      </c>
      <c r="P280" s="107"/>
    </row>
    <row r="281" spans="1:16" ht="15" customHeight="1" outlineLevel="1">
      <c r="B281" s="76" t="s">
        <v>177</v>
      </c>
      <c r="E281" s="150">
        <f>SUMIFS(Model!$G397:$AD397,Model!$G$6:$AD$6,E$6,Model!$G$5:$AD$5,E$5)</f>
        <v>0.02</v>
      </c>
      <c r="F281" s="151">
        <f>SUMIFS(Model!$G397:$AD397,Model!$G$6:$AD$6,F$6,Model!$G$5:$AD$5,F$5)</f>
        <v>0.02</v>
      </c>
      <c r="G281" s="151">
        <f>SUMIFS(Model!$G397:$AD397,Model!$G$6:$AD$6,G$6,Model!$G$5:$AD$5,G$5)</f>
        <v>0.02</v>
      </c>
      <c r="H281" s="151">
        <f>SUMIFS(Model!$G397:$AD397,Model!$G$6:$AD$6,H$6,Model!$G$5:$AD$5,H$5)</f>
        <v>0.02</v>
      </c>
      <c r="I281" s="150">
        <f>SUMIFS(Model!$G397:$AD397,Model!$G$6:$AD$6,I$6,Model!$G$5:$AD$5,I$5)</f>
        <v>0.02</v>
      </c>
      <c r="J281" s="151">
        <f>SUMIFS(Model!$G397:$AD397,Model!$G$6:$AD$6,J$6,Model!$G$5:$AD$5,J$5)</f>
        <v>0.02</v>
      </c>
      <c r="K281" s="151">
        <f>SUMIFS(Model!$G397:$AD397,Model!$G$6:$AD$6,K$6,Model!$G$5:$AD$5,K$5)</f>
        <v>0.02</v>
      </c>
      <c r="L281" s="151">
        <f>SUMIFS(Model!$G397:$AD397,Model!$G$6:$AD$6,L$6,Model!$G$5:$AD$5,L$5)</f>
        <v>0.02</v>
      </c>
      <c r="M281" s="106"/>
      <c r="N281" s="150">
        <f t="shared" ref="N281" si="94">SUMIFS($E281:$L281,$E$5:$L$5,N$6)</f>
        <v>0.08</v>
      </c>
      <c r="O281" s="150">
        <f t="shared" si="93"/>
        <v>0.08</v>
      </c>
      <c r="P281" s="107"/>
    </row>
    <row r="282" spans="1:16" ht="15" customHeight="1" outlineLevel="1">
      <c r="E282" s="110"/>
      <c r="F282" s="110"/>
      <c r="G282" s="110"/>
      <c r="H282" s="110"/>
      <c r="I282" s="110"/>
      <c r="J282" s="110"/>
      <c r="K282" s="110"/>
      <c r="L282" s="110"/>
      <c r="N282" s="110"/>
      <c r="O282" s="110"/>
      <c r="P282" s="102"/>
    </row>
    <row r="283" spans="1:16" ht="15" customHeight="1" outlineLevel="1">
      <c r="P283" s="102"/>
    </row>
    <row r="284" spans="1:16" ht="15" customHeight="1" outlineLevel="1">
      <c r="B284" s="73" t="s">
        <v>113</v>
      </c>
      <c r="E284" s="55">
        <f t="shared" ref="E284:L284" si="95">E$9</f>
        <v>1</v>
      </c>
      <c r="F284" s="55">
        <f t="shared" si="95"/>
        <v>1</v>
      </c>
      <c r="G284" s="55">
        <f t="shared" si="95"/>
        <v>1</v>
      </c>
      <c r="H284" s="55">
        <f t="shared" si="95"/>
        <v>1</v>
      </c>
      <c r="I284" s="55">
        <f t="shared" si="95"/>
        <v>0</v>
      </c>
      <c r="J284" s="55">
        <f t="shared" si="95"/>
        <v>0</v>
      </c>
      <c r="K284" s="55">
        <f t="shared" si="95"/>
        <v>0</v>
      </c>
      <c r="L284" s="55">
        <f t="shared" si="95"/>
        <v>0</v>
      </c>
      <c r="M284" s="102"/>
      <c r="N284" s="55">
        <f>N$9</f>
        <v>1</v>
      </c>
      <c r="O284" s="55">
        <f>O$9</f>
        <v>0</v>
      </c>
      <c r="P284" s="102"/>
    </row>
    <row r="285" spans="1:16" ht="15" customHeight="1" outlineLevel="1">
      <c r="B285" s="76" t="s">
        <v>113</v>
      </c>
      <c r="E285" s="68">
        <f>SUMIFS(Model!$G406:$AD406,Model!$G$6:$AD$6,E$6,Model!$G$5:$AD$5,E$5)</f>
        <v>0</v>
      </c>
      <c r="F285" s="69">
        <f>SUMIFS(Model!$G406:$AD406,Model!$G$6:$AD$6,F$6,Model!$G$5:$AD$5,F$5)</f>
        <v>0</v>
      </c>
      <c r="G285" s="69">
        <f>SUMIFS(Model!$G406:$AD406,Model!$G$6:$AD$6,G$6,Model!$G$5:$AD$5,G$5)</f>
        <v>0</v>
      </c>
      <c r="H285" s="69">
        <f>SUMIFS(Model!$G406:$AD406,Model!$G$6:$AD$6,H$6,Model!$G$5:$AD$5,H$5)</f>
        <v>0</v>
      </c>
      <c r="I285" s="68">
        <f>SUMIFS(Model!$G406:$AD406,Model!$G$6:$AD$6,I$6,Model!$G$5:$AD$5,I$5)</f>
        <v>22.937117790955622</v>
      </c>
      <c r="J285" s="69">
        <f>SUMIFS(Model!$G406:$AD406,Model!$G$6:$AD$6,J$6,Model!$G$5:$AD$5,J$5)</f>
        <v>0.20992960462092547</v>
      </c>
      <c r="K285" s="69">
        <f>SUMIFS(Model!$G406:$AD406,Model!$G$6:$AD$6,K$6,Model!$G$5:$AD$5,K$5)</f>
        <v>0</v>
      </c>
      <c r="L285" s="69">
        <f>SUMIFS(Model!$G406:$AD406,Model!$G$6:$AD$6,L$6,Model!$G$5:$AD$5,L$5)</f>
        <v>0</v>
      </c>
      <c r="M285" s="106"/>
      <c r="N285" s="68">
        <f t="shared" ref="N285:O286" si="96">SUMIFS($E285:$L285,$E$5:$L$5,N$6)</f>
        <v>0</v>
      </c>
      <c r="O285" s="68">
        <f t="shared" si="96"/>
        <v>23.147047395576546</v>
      </c>
      <c r="P285" s="107"/>
    </row>
    <row r="286" spans="1:16" ht="15" customHeight="1" outlineLevel="1">
      <c r="B286" s="76" t="s">
        <v>161</v>
      </c>
      <c r="E286" s="70">
        <f>SUMIFS(Model!$G407:$AD407,Model!$G$6:$AD$6,E$6,Model!$G$5:$AD$5,E$5)</f>
        <v>-15.724006187670765</v>
      </c>
      <c r="F286" s="71">
        <f>SUMIFS(Model!$G407:$AD407,Model!$G$6:$AD$6,F$6,Model!$G$5:$AD$5,F$5)</f>
        <v>-15.618063315018958</v>
      </c>
      <c r="G286" s="71">
        <f>SUMIFS(Model!$G407:$AD407,Model!$G$6:$AD$6,G$6,Model!$G$5:$AD$5,G$5)</f>
        <v>-9.8597342167715052</v>
      </c>
      <c r="H286" s="71">
        <f>SUMIFS(Model!$G407:$AD407,Model!$G$6:$AD$6,H$6,Model!$G$5:$AD$5,H$5)</f>
        <v>-10.710192335836696</v>
      </c>
      <c r="I286" s="70">
        <f>SUMIFS(Model!$G407:$AD407,Model!$G$6:$AD$6,I$6,Model!$G$5:$AD$5,I$5)</f>
        <v>0</v>
      </c>
      <c r="J286" s="71">
        <f>SUMIFS(Model!$G407:$AD407,Model!$G$6:$AD$6,J$6,Model!$G$5:$AD$5,J$5)</f>
        <v>-13.194364733972623</v>
      </c>
      <c r="K286" s="71">
        <f>SUMIFS(Model!$G407:$AD407,Model!$G$6:$AD$6,K$6,Model!$G$5:$AD$5,K$5)</f>
        <v>-37.558528774626708</v>
      </c>
      <c r="L286" s="71">
        <f>SUMIFS(Model!$G407:$AD407,Model!$G$6:$AD$6,L$6,Model!$G$5:$AD$5,L$5)</f>
        <v>-60.252020961416434</v>
      </c>
      <c r="M286" s="106"/>
      <c r="N286" s="70">
        <f t="shared" si="96"/>
        <v>-51.911996055297926</v>
      </c>
      <c r="O286" s="70">
        <f t="shared" si="96"/>
        <v>-111.00491447001576</v>
      </c>
      <c r="P286" s="107"/>
    </row>
    <row r="287" spans="1:16" ht="15" customHeight="1" outlineLevel="1">
      <c r="B287" s="76" t="s">
        <v>162</v>
      </c>
      <c r="E287" s="68">
        <f>SUM(E285:E286)</f>
        <v>-15.724006187670765</v>
      </c>
      <c r="F287" s="69">
        <f t="shared" ref="F287:L287" si="97">SUM(F285:F286)</f>
        <v>-15.618063315018958</v>
      </c>
      <c r="G287" s="69">
        <f t="shared" si="97"/>
        <v>-9.8597342167715052</v>
      </c>
      <c r="H287" s="69">
        <f t="shared" si="97"/>
        <v>-10.710192335836696</v>
      </c>
      <c r="I287" s="68">
        <f t="shared" si="97"/>
        <v>22.937117790955622</v>
      </c>
      <c r="J287" s="69">
        <f t="shared" si="97"/>
        <v>-12.984435129351699</v>
      </c>
      <c r="K287" s="69">
        <f t="shared" si="97"/>
        <v>-37.558528774626708</v>
      </c>
      <c r="L287" s="69">
        <f t="shared" si="97"/>
        <v>-60.252020961416434</v>
      </c>
      <c r="M287" s="106"/>
      <c r="N287" s="68">
        <f>SUM(N285:N286)</f>
        <v>-51.911996055297926</v>
      </c>
      <c r="O287" s="68">
        <f>SUM(O285:O286)</f>
        <v>-87.857867074439213</v>
      </c>
      <c r="P287" s="107"/>
    </row>
    <row r="288" spans="1:16" ht="15" customHeight="1" outlineLevel="1">
      <c r="E288" s="110"/>
      <c r="F288" s="110"/>
      <c r="G288" s="111"/>
      <c r="H288" s="111"/>
      <c r="I288" s="112"/>
      <c r="J288" s="111"/>
      <c r="K288" s="111"/>
      <c r="L288" s="111"/>
      <c r="N288" s="110"/>
      <c r="O288" s="110"/>
      <c r="P288" s="102"/>
    </row>
    <row r="289" spans="2:16" ht="15" customHeight="1" outlineLevel="1">
      <c r="G289" s="102"/>
      <c r="H289" s="102"/>
      <c r="I289" s="103"/>
      <c r="J289" s="102"/>
      <c r="K289" s="102"/>
      <c r="L289" s="102"/>
      <c r="P289" s="102"/>
    </row>
    <row r="290" spans="2:16" ht="15" customHeight="1" outlineLevel="1">
      <c r="G290" s="102"/>
      <c r="H290" s="102"/>
      <c r="I290" s="103"/>
      <c r="J290" s="102"/>
      <c r="K290" s="102"/>
      <c r="L290" s="102"/>
      <c r="P290" s="102"/>
    </row>
    <row r="291" spans="2:16" ht="15" customHeight="1" outlineLevel="1">
      <c r="B291" s="116"/>
      <c r="C291" s="116"/>
      <c r="D291" s="116"/>
      <c r="E291" s="116"/>
      <c r="F291" s="116"/>
      <c r="G291" s="117"/>
      <c r="H291" s="117"/>
      <c r="I291" s="118"/>
      <c r="J291" s="117"/>
      <c r="K291" s="117"/>
      <c r="L291" s="117"/>
      <c r="M291" s="116"/>
      <c r="N291" s="116"/>
      <c r="O291" s="116"/>
      <c r="P291" s="102"/>
    </row>
    <row r="292" spans="2:16" ht="15" customHeight="1">
      <c r="G292" s="102"/>
      <c r="H292" s="102"/>
      <c r="I292" s="103"/>
      <c r="J292" s="102"/>
      <c r="K292" s="102"/>
      <c r="L292" s="102"/>
      <c r="P292" s="102"/>
    </row>
    <row r="293" spans="2:16" ht="15" customHeight="1">
      <c r="B293" s="142"/>
      <c r="C293" s="142"/>
      <c r="D293" s="142"/>
      <c r="E293" s="142"/>
      <c r="F293" s="142"/>
      <c r="G293" s="142"/>
      <c r="H293" s="142"/>
      <c r="I293" s="142"/>
      <c r="J293" s="142"/>
      <c r="K293" s="142"/>
      <c r="L293" s="142"/>
      <c r="M293" s="142"/>
      <c r="N293" s="142"/>
      <c r="O293" s="142"/>
    </row>
    <row r="294" spans="2:16" ht="15" customHeight="1">
      <c r="G294" s="102"/>
      <c r="H294" s="102"/>
      <c r="I294" s="103"/>
      <c r="J294" s="102"/>
      <c r="K294" s="102"/>
      <c r="L294" s="102"/>
    </row>
    <row r="296" spans="2:16" ht="15" customHeight="1">
      <c r="B296" s="142"/>
      <c r="C296" s="142"/>
      <c r="D296" s="142"/>
      <c r="E296" s="142"/>
      <c r="F296" s="142"/>
      <c r="G296" s="142"/>
      <c r="H296" s="142"/>
      <c r="I296" s="142"/>
      <c r="J296" s="142"/>
      <c r="K296" s="142"/>
      <c r="L296" s="142"/>
      <c r="M296" s="142"/>
      <c r="N296" s="142"/>
      <c r="O296" s="142"/>
    </row>
    <row r="297" spans="2:16" ht="15" customHeight="1">
      <c r="P297" s="142"/>
    </row>
  </sheetData>
  <conditionalFormatting sqref="E274:O274">
    <cfRule type="expression" dxfId="0" priority="1">
      <formula>E274&gt;$C$274</formula>
    </cfRule>
  </conditionalFormatting>
  <printOptions horizontalCentered="1"/>
  <pageMargins left="0" right="0" top="0" bottom="0" header="0" footer="0"/>
  <pageSetup scale="95" fitToHeight="0" orientation="landscape" r:id="rId1"/>
  <headerFooter>
    <oddFooter>&amp;L&amp;"Open Sans,Bold"&amp;K002060FP&amp;&amp;A Budgeting and Forecasting Model&amp;C&amp;"Open Sans,Bold"&amp;K002060Page &amp;P of 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155B5-0151-48BB-9AE1-85112AE3DA23}">
  <sheetPr>
    <pageSetUpPr autoPageBreaks="0"/>
  </sheetPr>
  <dimension ref="A1:AW237"/>
  <sheetViews>
    <sheetView showGridLines="0" zoomScaleNormal="100" workbookViewId="0">
      <pane ySplit="1" topLeftCell="A2" activePane="bottomLeft" state="frozen"/>
      <selection activeCell="A2" sqref="A2"/>
      <selection pane="bottomLeft" activeCell="AH24" sqref="AH24"/>
    </sheetView>
  </sheetViews>
  <sheetFormatPr baseColWidth="10" defaultColWidth="9.28515625" defaultRowHeight="15" customHeight="1" outlineLevelRow="1"/>
  <cols>
    <col min="1" max="1" width="9.28515625" style="88"/>
    <col min="2" max="2" width="0.85546875" style="88" customWidth="1"/>
    <col min="3" max="39" width="10" style="88" customWidth="1"/>
    <col min="40" max="16384" width="9.28515625" style="88"/>
  </cols>
  <sheetData>
    <row r="1" spans="1:31" ht="50.1" customHeight="1">
      <c r="A1" s="451"/>
      <c r="B1" s="451"/>
      <c r="C1" s="452"/>
      <c r="D1" s="452"/>
      <c r="E1" s="452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  <c r="AA1" s="452"/>
      <c r="AB1" s="23"/>
      <c r="AC1" s="23"/>
      <c r="AD1" s="23"/>
      <c r="AE1" s="23"/>
    </row>
    <row r="3" spans="1:31" s="27" customFormat="1" ht="15" customHeight="1">
      <c r="A3" s="152" t="s">
        <v>11</v>
      </c>
      <c r="B3" s="152"/>
      <c r="C3" s="24" t="s">
        <v>178</v>
      </c>
      <c r="D3" s="24"/>
      <c r="E3" s="24"/>
      <c r="F3" s="25"/>
      <c r="G3" s="25"/>
      <c r="H3" s="25"/>
      <c r="I3" s="25"/>
      <c r="J3" s="25"/>
      <c r="K3" s="25"/>
      <c r="L3" s="25"/>
      <c r="M3" s="152"/>
      <c r="P3" s="24" t="s">
        <v>179</v>
      </c>
      <c r="Q3" s="24"/>
      <c r="R3" s="24"/>
      <c r="S3" s="25"/>
      <c r="T3" s="25"/>
      <c r="U3" s="25"/>
      <c r="V3" s="25"/>
      <c r="W3" s="25"/>
      <c r="X3" s="25"/>
      <c r="Y3" s="25"/>
      <c r="AA3" s="88"/>
      <c r="AB3" s="88"/>
      <c r="AC3" s="88"/>
      <c r="AD3" s="85"/>
    </row>
    <row r="4" spans="1:31" s="27" customFormat="1" ht="15" customHeight="1" outlineLevel="1">
      <c r="A4" s="152"/>
      <c r="B4" s="152"/>
      <c r="C4" s="153"/>
      <c r="D4" s="28"/>
      <c r="E4" s="28"/>
      <c r="F4" s="29"/>
      <c r="G4" s="29"/>
      <c r="H4" s="30"/>
      <c r="I4" s="30"/>
      <c r="J4" s="30"/>
      <c r="K4" s="30"/>
      <c r="L4" s="30"/>
      <c r="M4" s="152"/>
      <c r="P4" s="153"/>
      <c r="Q4" s="28"/>
      <c r="R4" s="28"/>
      <c r="S4" s="29"/>
      <c r="T4" s="29"/>
      <c r="U4" s="30"/>
      <c r="V4" s="30"/>
      <c r="W4" s="30"/>
      <c r="X4" s="30"/>
      <c r="Y4" s="30"/>
      <c r="AA4" s="88"/>
      <c r="AB4" s="88"/>
      <c r="AC4" s="88"/>
      <c r="AD4" s="85"/>
    </row>
    <row r="5" spans="1:31" s="93" customFormat="1" ht="15" customHeight="1" outlineLevel="1">
      <c r="C5" s="73" t="s">
        <v>180</v>
      </c>
      <c r="L5" s="154" t="s">
        <v>13</v>
      </c>
      <c r="P5" s="73" t="s">
        <v>181</v>
      </c>
      <c r="Y5" s="154" t="s">
        <v>13</v>
      </c>
      <c r="AD5" s="85"/>
    </row>
    <row r="6" spans="1:31" s="93" customFormat="1" ht="15" customHeight="1" outlineLevel="1">
      <c r="AD6" s="85"/>
    </row>
    <row r="7" spans="1:31" s="93" customFormat="1" ht="15" customHeight="1" outlineLevel="1"/>
    <row r="8" spans="1:31" s="93" customFormat="1" ht="15" customHeight="1" outlineLevel="1"/>
    <row r="9" spans="1:31" s="93" customFormat="1" ht="15" customHeight="1" outlineLevel="1"/>
    <row r="10" spans="1:31" s="93" customFormat="1" ht="15" customHeight="1" outlineLevel="1"/>
    <row r="11" spans="1:31" s="93" customFormat="1" ht="15" customHeight="1" outlineLevel="1"/>
    <row r="12" spans="1:31" s="93" customFormat="1" ht="15" customHeight="1" outlineLevel="1"/>
    <row r="13" spans="1:31" s="93" customFormat="1" ht="15" customHeight="1" outlineLevel="1"/>
    <row r="14" spans="1:31" s="93" customFormat="1" ht="15" customHeight="1" outlineLevel="1"/>
    <row r="15" spans="1:31" s="93" customFormat="1" ht="15" customHeight="1" outlineLevel="1"/>
    <row r="16" spans="1:31" s="93" customFormat="1" ht="15" customHeight="1" outlineLevel="1"/>
    <row r="17" spans="3:22" s="93" customFormat="1" ht="15" customHeight="1" outlineLevel="1"/>
    <row r="18" spans="3:22" s="93" customFormat="1" ht="15" customHeight="1" outlineLevel="1"/>
    <row r="19" spans="3:22" s="93" customFormat="1" ht="15" customHeight="1" outlineLevel="1"/>
    <row r="20" spans="3:22" s="93" customFormat="1" ht="15" customHeight="1" outlineLevel="1"/>
    <row r="21" spans="3:22" s="93" customFormat="1" ht="15" customHeight="1" outlineLevel="1"/>
    <row r="22" spans="3:22" s="93" customFormat="1" ht="15" customHeight="1" outlineLevel="1"/>
    <row r="23" spans="3:22" s="93" customFormat="1" ht="15" customHeight="1" outlineLevel="1"/>
    <row r="24" spans="3:22" s="93" customFormat="1" ht="15" customHeight="1" outlineLevel="1"/>
    <row r="25" spans="3:22" s="93" customFormat="1" ht="15" customHeight="1" outlineLevel="1"/>
    <row r="26" spans="3:22" s="93" customFormat="1" ht="15" customHeight="1" outlineLevel="1"/>
    <row r="27" spans="3:22" s="93" customFormat="1" ht="15" customHeight="1" outlineLevel="1"/>
    <row r="28" spans="3:22" s="93" customFormat="1" ht="15" customHeight="1" outlineLevel="1"/>
    <row r="29" spans="3:22" s="93" customFormat="1" ht="15" customHeight="1" outlineLevel="1"/>
    <row r="30" spans="3:22" s="93" customFormat="1" ht="15" customHeight="1" outlineLevel="1">
      <c r="C30" s="73" t="s">
        <v>182</v>
      </c>
      <c r="I30" s="73" t="s">
        <v>183</v>
      </c>
      <c r="P30" s="73" t="s">
        <v>184</v>
      </c>
      <c r="V30" s="156" t="s">
        <v>185</v>
      </c>
    </row>
    <row r="31" spans="3:22" s="93" customFormat="1" ht="15" customHeight="1" outlineLevel="1"/>
    <row r="32" spans="3:22" s="93" customFormat="1" ht="15" customHeight="1" outlineLevel="1"/>
    <row r="33" s="93" customFormat="1" ht="15" customHeight="1" outlineLevel="1"/>
    <row r="34" s="93" customFormat="1" ht="15" customHeight="1" outlineLevel="1"/>
    <row r="35" s="93" customFormat="1" ht="15" customHeight="1" outlineLevel="1"/>
    <row r="36" s="93" customFormat="1" ht="15" customHeight="1" outlineLevel="1"/>
    <row r="37" s="93" customFormat="1" ht="15" customHeight="1" outlineLevel="1"/>
    <row r="38" s="93" customFormat="1" ht="15" customHeight="1" outlineLevel="1"/>
    <row r="39" s="93" customFormat="1" ht="15" customHeight="1" outlineLevel="1"/>
    <row r="40" s="93" customFormat="1" ht="15" customHeight="1" outlineLevel="1"/>
    <row r="41" s="93" customFormat="1" ht="15" customHeight="1" outlineLevel="1"/>
    <row r="42" s="93" customFormat="1" ht="15" customHeight="1" outlineLevel="1"/>
    <row r="43" s="93" customFormat="1" ht="15" customHeight="1" outlineLevel="1"/>
    <row r="44" s="93" customFormat="1" ht="15" customHeight="1" outlineLevel="1"/>
    <row r="45" s="93" customFormat="1" ht="15" customHeight="1" outlineLevel="1"/>
    <row r="46" s="93" customFormat="1" ht="15" customHeight="1" outlineLevel="1"/>
    <row r="47" s="93" customFormat="1" ht="15" customHeight="1" outlineLevel="1"/>
    <row r="48" s="93" customFormat="1" ht="15" customHeight="1" outlineLevel="1"/>
    <row r="49" spans="1:26" s="93" customFormat="1" ht="15" customHeight="1" outlineLevel="1"/>
    <row r="50" spans="1:26" s="93" customFormat="1" ht="15" customHeight="1" outlineLevel="1"/>
    <row r="51" spans="1:26" s="93" customFormat="1" ht="15" customHeight="1" outlineLevel="1"/>
    <row r="52" spans="1:26" s="93" customFormat="1" ht="15" customHeight="1" outlineLevel="1"/>
    <row r="53" spans="1:26" s="93" customFormat="1" ht="15" customHeight="1" outlineLevel="1">
      <c r="A53" s="155"/>
    </row>
    <row r="54" spans="1:26" s="93" customFormat="1" ht="15" customHeight="1" outlineLevel="1">
      <c r="C54" s="73" t="s">
        <v>186</v>
      </c>
      <c r="P54" s="73" t="s">
        <v>186</v>
      </c>
    </row>
    <row r="55" spans="1:26" s="93" customFormat="1" ht="15" customHeight="1" outlineLevel="1"/>
    <row r="56" spans="1:26" s="93" customFormat="1" ht="15" customHeight="1" outlineLevel="1"/>
    <row r="57" spans="1:26" s="93" customFormat="1" ht="15" customHeight="1" outlineLevel="1">
      <c r="Y57" s="45" t="s">
        <v>187</v>
      </c>
    </row>
    <row r="58" spans="1:26" s="93" customFormat="1" ht="15" customHeight="1" outlineLevel="1"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</row>
    <row r="59" spans="1:26" s="93" customFormat="1" ht="15" customHeight="1"/>
    <row r="60" spans="1:26" s="93" customFormat="1" ht="15" customHeight="1">
      <c r="A60" s="93" t="s">
        <v>10</v>
      </c>
      <c r="B60" s="88"/>
      <c r="C60" s="24" t="s">
        <v>188</v>
      </c>
      <c r="D60" s="24"/>
      <c r="E60" s="24"/>
      <c r="F60" s="25"/>
      <c r="G60" s="25"/>
      <c r="H60" s="25"/>
      <c r="I60" s="25"/>
      <c r="J60" s="25"/>
      <c r="K60" s="25"/>
      <c r="L60" s="25"/>
      <c r="M60" s="88"/>
      <c r="P60" s="24" t="s">
        <v>189</v>
      </c>
      <c r="Q60" s="24"/>
      <c r="R60" s="24"/>
      <c r="S60" s="25"/>
      <c r="T60" s="25"/>
      <c r="U60" s="25"/>
      <c r="V60" s="25"/>
      <c r="W60" s="25"/>
      <c r="X60" s="25"/>
      <c r="Y60" s="25"/>
      <c r="Z60" s="88"/>
    </row>
    <row r="61" spans="1:26" s="93" customFormat="1" ht="15" customHeight="1" outlineLevel="1">
      <c r="B61" s="30"/>
      <c r="C61" s="30"/>
      <c r="D61" s="30"/>
      <c r="E61" s="30"/>
      <c r="F61" s="32"/>
      <c r="G61" s="158"/>
      <c r="H61" s="158"/>
      <c r="I61" s="158"/>
      <c r="J61" s="158"/>
      <c r="K61" s="158"/>
      <c r="L61" s="158"/>
      <c r="M61" s="158"/>
      <c r="P61" s="158"/>
      <c r="Q61" s="23"/>
      <c r="R61" s="27"/>
      <c r="S61" s="27"/>
      <c r="T61" s="27"/>
      <c r="U61" s="27"/>
      <c r="V61" s="27"/>
      <c r="W61" s="27"/>
      <c r="X61" s="27"/>
      <c r="Y61" s="27"/>
      <c r="Z61" s="27"/>
    </row>
    <row r="62" spans="1:26" s="93" customFormat="1" ht="15" customHeight="1" outlineLevel="1">
      <c r="C62" s="73" t="s">
        <v>180</v>
      </c>
      <c r="L62" s="154" t="s">
        <v>13</v>
      </c>
      <c r="P62" s="73" t="s">
        <v>180</v>
      </c>
      <c r="Y62" s="154" t="s">
        <v>13</v>
      </c>
    </row>
    <row r="63" spans="1:26" s="93" customFormat="1" ht="15" customHeight="1" outlineLevel="1"/>
    <row r="64" spans="1:26" s="93" customFormat="1" ht="15" customHeight="1" outlineLevel="1"/>
    <row r="65" spans="13:13" s="93" customFormat="1" ht="15" customHeight="1" outlineLevel="1"/>
    <row r="66" spans="13:13" s="93" customFormat="1" ht="15" customHeight="1" outlineLevel="1"/>
    <row r="67" spans="13:13" s="93" customFormat="1" ht="15" customHeight="1" outlineLevel="1"/>
    <row r="68" spans="13:13" s="93" customFormat="1" ht="15" customHeight="1" outlineLevel="1"/>
    <row r="69" spans="13:13" s="93" customFormat="1" ht="15" customHeight="1" outlineLevel="1"/>
    <row r="70" spans="13:13" s="93" customFormat="1" ht="15" customHeight="1" outlineLevel="1"/>
    <row r="71" spans="13:13" s="93" customFormat="1" ht="15" customHeight="1" outlineLevel="1"/>
    <row r="72" spans="13:13" s="93" customFormat="1" ht="15" customHeight="1" outlineLevel="1"/>
    <row r="73" spans="13:13" s="93" customFormat="1" ht="15" customHeight="1" outlineLevel="1"/>
    <row r="74" spans="13:13" s="93" customFormat="1" ht="15" customHeight="1" outlineLevel="1"/>
    <row r="75" spans="13:13" s="93" customFormat="1" ht="15" customHeight="1" outlineLevel="1"/>
    <row r="76" spans="13:13" s="93" customFormat="1" ht="15" customHeight="1" outlineLevel="1"/>
    <row r="77" spans="13:13" s="93" customFormat="1" ht="15" customHeight="1" outlineLevel="1"/>
    <row r="78" spans="13:13" s="93" customFormat="1" ht="15" customHeight="1" outlineLevel="1"/>
    <row r="79" spans="13:13" s="93" customFormat="1" ht="15" customHeight="1" outlineLevel="1">
      <c r="M79" s="155"/>
    </row>
    <row r="80" spans="13:13" s="93" customFormat="1" ht="15" customHeight="1" outlineLevel="1"/>
    <row r="81" spans="3:22" s="93" customFormat="1" ht="15" customHeight="1" outlineLevel="1"/>
    <row r="82" spans="3:22" s="93" customFormat="1" ht="15" customHeight="1" outlineLevel="1"/>
    <row r="83" spans="3:22" s="93" customFormat="1" ht="15" customHeight="1" outlineLevel="1"/>
    <row r="84" spans="3:22" s="93" customFormat="1" ht="15" customHeight="1" outlineLevel="1"/>
    <row r="85" spans="3:22" s="93" customFormat="1" ht="15" customHeight="1" outlineLevel="1"/>
    <row r="86" spans="3:22" s="93" customFormat="1" ht="15" customHeight="1" outlineLevel="1"/>
    <row r="87" spans="3:22" s="93" customFormat="1" ht="15" customHeight="1" outlineLevel="1">
      <c r="C87" s="73" t="s">
        <v>182</v>
      </c>
      <c r="I87" s="73" t="s">
        <v>183</v>
      </c>
      <c r="P87" s="73" t="s">
        <v>182</v>
      </c>
      <c r="V87" s="73" t="s">
        <v>183</v>
      </c>
    </row>
    <row r="88" spans="3:22" s="93" customFormat="1" ht="15" customHeight="1" outlineLevel="1"/>
    <row r="89" spans="3:22" s="93" customFormat="1" ht="15" customHeight="1" outlineLevel="1"/>
    <row r="90" spans="3:22" s="93" customFormat="1" ht="15" customHeight="1" outlineLevel="1"/>
    <row r="91" spans="3:22" s="93" customFormat="1" ht="15" customHeight="1" outlineLevel="1"/>
    <row r="92" spans="3:22" s="93" customFormat="1" ht="15" customHeight="1" outlineLevel="1"/>
    <row r="93" spans="3:22" s="93" customFormat="1" ht="15" customHeight="1" outlineLevel="1"/>
    <row r="94" spans="3:22" s="93" customFormat="1" ht="15" customHeight="1" outlineLevel="1"/>
    <row r="95" spans="3:22" s="93" customFormat="1" ht="15" customHeight="1" outlineLevel="1"/>
    <row r="96" spans="3:22" s="93" customFormat="1" ht="15" customHeight="1" outlineLevel="1"/>
    <row r="97" spans="3:16" s="93" customFormat="1" ht="15" customHeight="1" outlineLevel="1"/>
    <row r="98" spans="3:16" s="93" customFormat="1" ht="15" customHeight="1" outlineLevel="1"/>
    <row r="99" spans="3:16" s="93" customFormat="1" ht="15" customHeight="1" outlineLevel="1"/>
    <row r="100" spans="3:16" s="93" customFormat="1" ht="15" customHeight="1" outlineLevel="1">
      <c r="C100" s="159"/>
      <c r="P100" s="159"/>
    </row>
    <row r="101" spans="3:16" s="93" customFormat="1" ht="15" customHeight="1" outlineLevel="1">
      <c r="C101" s="159"/>
      <c r="P101" s="159"/>
    </row>
    <row r="102" spans="3:16" s="93" customFormat="1" ht="15" customHeight="1" outlineLevel="1">
      <c r="C102" s="159"/>
      <c r="P102" s="159"/>
    </row>
    <row r="103" spans="3:16" s="93" customFormat="1" ht="15" customHeight="1" outlineLevel="1"/>
    <row r="104" spans="3:16" s="93" customFormat="1" ht="15" customHeight="1" outlineLevel="1"/>
    <row r="105" spans="3:16" s="93" customFormat="1" ht="15" customHeight="1" outlineLevel="1"/>
    <row r="106" spans="3:16" s="93" customFormat="1" ht="15" customHeight="1" outlineLevel="1"/>
    <row r="107" spans="3:16" s="93" customFormat="1" ht="15" customHeight="1" outlineLevel="1"/>
    <row r="108" spans="3:16" s="93" customFormat="1" ht="15" customHeight="1" outlineLevel="1"/>
    <row r="109" spans="3:16" s="93" customFormat="1" ht="15" customHeight="1" outlineLevel="1"/>
    <row r="110" spans="3:16" s="93" customFormat="1" ht="15" customHeight="1" outlineLevel="1"/>
    <row r="111" spans="3:16" s="93" customFormat="1" ht="15" customHeight="1" outlineLevel="1">
      <c r="C111" s="73" t="s">
        <v>186</v>
      </c>
      <c r="P111" s="73" t="s">
        <v>186</v>
      </c>
    </row>
    <row r="112" spans="3:16" s="93" customFormat="1" ht="15" customHeight="1" outlineLevel="1"/>
    <row r="113" spans="1:45" s="93" customFormat="1" ht="15" customHeight="1" outlineLevel="1"/>
    <row r="114" spans="1:45" s="93" customFormat="1" ht="15" customHeight="1" outlineLevel="1">
      <c r="Y114" s="45"/>
    </row>
    <row r="115" spans="1:45" s="93" customFormat="1" ht="15" customHeight="1" outlineLevel="1">
      <c r="C115" s="157"/>
      <c r="D115" s="157"/>
      <c r="E115" s="157"/>
      <c r="F115" s="157"/>
      <c r="G115" s="157"/>
      <c r="H115" s="157"/>
      <c r="I115" s="157"/>
      <c r="J115" s="157"/>
      <c r="K115" s="157"/>
      <c r="L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</row>
    <row r="116" spans="1:45" s="93" customFormat="1" ht="15" customHeight="1"/>
    <row r="117" spans="1:45" s="27" customFormat="1" ht="15" customHeight="1">
      <c r="A117" s="195" t="s">
        <v>11</v>
      </c>
      <c r="B117" s="152"/>
      <c r="C117" s="24" t="s">
        <v>190</v>
      </c>
      <c r="D117" s="24"/>
      <c r="E117" s="24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93"/>
      <c r="AL117" s="93"/>
      <c r="AM117" s="93"/>
      <c r="AN117" s="93"/>
      <c r="AO117" s="93"/>
      <c r="AP117" s="93"/>
      <c r="AQ117" s="93"/>
      <c r="AR117" s="93"/>
      <c r="AS117" s="93"/>
    </row>
    <row r="118" spans="1:45" s="27" customFormat="1" ht="15" customHeight="1" outlineLevel="1">
      <c r="A118" s="195"/>
      <c r="B118" s="152"/>
      <c r="C118" s="28"/>
      <c r="D118" s="29"/>
      <c r="E118" s="29"/>
      <c r="F118" s="29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2"/>
      <c r="R118" s="158"/>
      <c r="T118" s="158"/>
      <c r="U118" s="158"/>
      <c r="V118" s="158"/>
      <c r="W118" s="158"/>
      <c r="X118" s="158"/>
      <c r="Y118" s="158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93"/>
      <c r="AO118" s="93"/>
      <c r="AP118" s="93"/>
      <c r="AQ118" s="93"/>
      <c r="AR118" s="93"/>
      <c r="AS118" s="93"/>
    </row>
    <row r="119" spans="1:45" s="27" customFormat="1" ht="15" customHeight="1" outlineLevel="1">
      <c r="A119" s="195"/>
      <c r="B119" s="152"/>
      <c r="C119" s="28"/>
      <c r="F119" s="48">
        <f>Model!G6</f>
        <v>1</v>
      </c>
      <c r="G119" s="49">
        <f>Model!H6</f>
        <v>1</v>
      </c>
      <c r="H119" s="160">
        <f>Model!I6</f>
        <v>1</v>
      </c>
      <c r="I119" s="50">
        <f>Model!J6</f>
        <v>2</v>
      </c>
      <c r="J119" s="49">
        <f>Model!K6</f>
        <v>2</v>
      </c>
      <c r="K119" s="161">
        <f>Model!L6</f>
        <v>2</v>
      </c>
      <c r="L119" s="50">
        <f>Model!M6</f>
        <v>3</v>
      </c>
      <c r="M119" s="49">
        <f>Model!N6</f>
        <v>3</v>
      </c>
      <c r="N119" s="161">
        <f>Model!O6</f>
        <v>3</v>
      </c>
      <c r="O119" s="53">
        <f>Model!P6</f>
        <v>4</v>
      </c>
      <c r="P119" s="51">
        <f>Model!Q6</f>
        <v>4</v>
      </c>
      <c r="Q119" s="161">
        <f>Model!R6</f>
        <v>4</v>
      </c>
      <c r="R119" s="423"/>
      <c r="S119" s="158"/>
      <c r="T119" s="158"/>
      <c r="U119" s="158"/>
      <c r="V119" s="158"/>
      <c r="W119" s="158"/>
      <c r="X119" s="158"/>
      <c r="Y119" s="158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93"/>
      <c r="AN119" s="93"/>
      <c r="AO119" s="93"/>
      <c r="AP119" s="93"/>
      <c r="AQ119" s="93"/>
      <c r="AR119" s="93"/>
      <c r="AS119" s="93"/>
    </row>
    <row r="120" spans="1:45" s="32" customFormat="1" ht="15" customHeight="1" outlineLevel="1" thickBot="1">
      <c r="A120" s="196"/>
      <c r="C120" s="153"/>
      <c r="F120" s="162">
        <f>Model!G7</f>
        <v>45322</v>
      </c>
      <c r="G120" s="163">
        <f>Model!H7</f>
        <v>45351</v>
      </c>
      <c r="H120" s="163">
        <f>Model!I7</f>
        <v>45382</v>
      </c>
      <c r="I120" s="164">
        <f>Model!J7</f>
        <v>45412</v>
      </c>
      <c r="J120" s="163">
        <f>Model!K7</f>
        <v>45443</v>
      </c>
      <c r="K120" s="163">
        <f>Model!L7</f>
        <v>45473</v>
      </c>
      <c r="L120" s="164">
        <f>Model!M7</f>
        <v>45504</v>
      </c>
      <c r="M120" s="163">
        <f>Model!N7</f>
        <v>45535</v>
      </c>
      <c r="N120" s="163">
        <f>Model!O7</f>
        <v>45565</v>
      </c>
      <c r="O120" s="164">
        <f>Model!P7</f>
        <v>45596</v>
      </c>
      <c r="P120" s="163">
        <f>Model!Q7</f>
        <v>45626</v>
      </c>
      <c r="Q120" s="163">
        <f>Model!R7</f>
        <v>45657</v>
      </c>
      <c r="R120" s="165"/>
      <c r="S120" s="166">
        <v>1</v>
      </c>
      <c r="T120" s="160">
        <f>S120+1</f>
        <v>2</v>
      </c>
      <c r="U120" s="160">
        <f>T120+1</f>
        <v>3</v>
      </c>
      <c r="V120" s="160">
        <f>U120+1</f>
        <v>4</v>
      </c>
      <c r="W120" s="95"/>
      <c r="X120" s="424" t="s">
        <v>191</v>
      </c>
      <c r="Y120" s="95"/>
      <c r="Z120" s="93"/>
      <c r="AA120" s="93"/>
      <c r="AB120" s="93"/>
      <c r="AC120" s="93"/>
      <c r="AD120" s="93"/>
      <c r="AE120" s="93"/>
      <c r="AF120" s="93"/>
      <c r="AG120" s="93"/>
      <c r="AH120" s="93"/>
      <c r="AI120" s="93"/>
      <c r="AJ120" s="93"/>
      <c r="AK120" s="93"/>
      <c r="AL120" s="93"/>
      <c r="AM120" s="93"/>
      <c r="AN120" s="93"/>
      <c r="AO120" s="93"/>
      <c r="AP120" s="93"/>
      <c r="AQ120" s="93"/>
      <c r="AR120" s="93"/>
      <c r="AS120" s="93"/>
    </row>
    <row r="121" spans="1:45" s="93" customFormat="1" ht="15" customHeight="1" outlineLevel="1">
      <c r="A121" s="19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S121" s="100"/>
      <c r="T121" s="100"/>
      <c r="U121" s="101"/>
      <c r="V121" s="101"/>
      <c r="W121" s="88"/>
      <c r="X121" s="100"/>
      <c r="Y121" s="88"/>
    </row>
    <row r="122" spans="1:45" s="93" customFormat="1" ht="15" customHeight="1" outlineLevel="1">
      <c r="A122" s="197"/>
      <c r="C122" s="168" t="s">
        <v>192</v>
      </c>
    </row>
    <row r="123" spans="1:45" s="93" customFormat="1" ht="15" customHeight="1" outlineLevel="1">
      <c r="A123" s="197"/>
      <c r="C123" s="169">
        <f>Totals!N6</f>
        <v>2024</v>
      </c>
      <c r="F123" s="425">
        <f>Model!G8</f>
        <v>1</v>
      </c>
      <c r="G123" s="395">
        <f>Model!H8</f>
        <v>1</v>
      </c>
      <c r="H123" s="395">
        <f>Model!I8</f>
        <v>1</v>
      </c>
      <c r="I123" s="425">
        <f>Model!J8</f>
        <v>1</v>
      </c>
      <c r="J123" s="395">
        <f>Model!K8</f>
        <v>1</v>
      </c>
      <c r="K123" s="395">
        <f>Model!L8</f>
        <v>1</v>
      </c>
      <c r="L123" s="425">
        <f>Model!M8</f>
        <v>1</v>
      </c>
      <c r="M123" s="395">
        <f>Model!N8</f>
        <v>1</v>
      </c>
      <c r="N123" s="395">
        <f>Model!O8</f>
        <v>1</v>
      </c>
      <c r="O123" s="425">
        <f>Model!P8</f>
        <v>1</v>
      </c>
      <c r="P123" s="395">
        <f>Model!Q8</f>
        <v>1</v>
      </c>
      <c r="Q123" s="395">
        <f>Model!R8</f>
        <v>1</v>
      </c>
      <c r="R123" s="170"/>
      <c r="S123" s="425">
        <f>Totals!E9</f>
        <v>1</v>
      </c>
      <c r="T123" s="395">
        <f>Totals!F9</f>
        <v>1</v>
      </c>
      <c r="U123" s="395">
        <f>Totals!G9</f>
        <v>1</v>
      </c>
      <c r="V123" s="395">
        <f>Totals!H9</f>
        <v>1</v>
      </c>
      <c r="W123" s="170"/>
      <c r="X123" s="425">
        <f>Totals!N9</f>
        <v>1</v>
      </c>
      <c r="Y123" s="170"/>
    </row>
    <row r="124" spans="1:45" s="93" customFormat="1" ht="15" customHeight="1" outlineLevel="1">
      <c r="A124" s="197"/>
      <c r="C124" s="169">
        <f>Totals!O6</f>
        <v>2025</v>
      </c>
      <c r="F124" s="426">
        <f>Model!S8</f>
        <v>0</v>
      </c>
      <c r="G124" s="55">
        <f>Model!T8</f>
        <v>0</v>
      </c>
      <c r="H124" s="55">
        <f>Model!U8</f>
        <v>0</v>
      </c>
      <c r="I124" s="426">
        <f>Model!V8</f>
        <v>0</v>
      </c>
      <c r="J124" s="55">
        <f>Model!W8</f>
        <v>0</v>
      </c>
      <c r="K124" s="55">
        <f>Model!X8</f>
        <v>0</v>
      </c>
      <c r="L124" s="426">
        <f>Model!Y8</f>
        <v>0</v>
      </c>
      <c r="M124" s="55">
        <f>Model!Z8</f>
        <v>0</v>
      </c>
      <c r="N124" s="55">
        <f>Model!AA8</f>
        <v>0</v>
      </c>
      <c r="O124" s="426">
        <f>Model!AB8</f>
        <v>0</v>
      </c>
      <c r="P124" s="55">
        <f>Model!AC8</f>
        <v>0</v>
      </c>
      <c r="Q124" s="55">
        <f>Model!AD8</f>
        <v>0</v>
      </c>
      <c r="R124" s="170"/>
      <c r="S124" s="426">
        <f>Totals!I9</f>
        <v>0</v>
      </c>
      <c r="T124" s="55">
        <f>Totals!J9</f>
        <v>0</v>
      </c>
      <c r="U124" s="55">
        <f>Totals!K9</f>
        <v>0</v>
      </c>
      <c r="V124" s="55">
        <f>Totals!L9</f>
        <v>0</v>
      </c>
      <c r="W124" s="170"/>
      <c r="X124" s="426">
        <f>Totals!O9</f>
        <v>0</v>
      </c>
      <c r="Y124" s="170"/>
    </row>
    <row r="125" spans="1:45" s="93" customFormat="1" ht="15" customHeight="1" outlineLevel="1">
      <c r="A125" s="197"/>
      <c r="F125" s="171"/>
      <c r="G125" s="171"/>
      <c r="H125" s="171"/>
      <c r="I125" s="171"/>
      <c r="J125" s="171"/>
      <c r="K125" s="171"/>
      <c r="L125" s="171"/>
      <c r="M125" s="171"/>
      <c r="N125" s="171"/>
      <c r="O125" s="171"/>
      <c r="P125" s="171"/>
      <c r="Q125" s="171"/>
      <c r="S125" s="171"/>
      <c r="T125" s="171"/>
      <c r="U125" s="171"/>
      <c r="V125" s="171"/>
      <c r="X125" s="171"/>
    </row>
    <row r="126" spans="1:45" s="93" customFormat="1" ht="15" customHeight="1" outlineLevel="1">
      <c r="A126" s="197"/>
      <c r="C126" s="157"/>
      <c r="D126" s="157"/>
      <c r="E126" s="157"/>
      <c r="F126" s="157"/>
      <c r="G126" s="157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</row>
    <row r="127" spans="1:45" s="93" customFormat="1" ht="15" customHeight="1">
      <c r="A127" s="197"/>
    </row>
    <row r="128" spans="1:45" s="27" customFormat="1" ht="15" customHeight="1">
      <c r="A128" s="195" t="s">
        <v>11</v>
      </c>
      <c r="B128" s="152"/>
      <c r="C128" s="89" t="s">
        <v>193</v>
      </c>
      <c r="D128" s="24"/>
      <c r="E128" s="24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93"/>
      <c r="AA128" s="93"/>
      <c r="AB128" s="93"/>
      <c r="AC128" s="93"/>
      <c r="AD128" s="93"/>
      <c r="AE128" s="93"/>
      <c r="AF128" s="93"/>
      <c r="AG128" s="93"/>
      <c r="AH128" s="93"/>
      <c r="AI128" s="93"/>
      <c r="AJ128" s="93"/>
      <c r="AK128" s="93"/>
      <c r="AL128" s="93"/>
      <c r="AM128" s="93"/>
      <c r="AN128" s="93"/>
      <c r="AO128" s="93"/>
      <c r="AP128" s="93"/>
      <c r="AQ128" s="93"/>
      <c r="AR128" s="93"/>
      <c r="AS128" s="93"/>
    </row>
    <row r="129" spans="1:45" s="27" customFormat="1" ht="15" customHeight="1" outlineLevel="1">
      <c r="A129" s="195"/>
      <c r="B129" s="152"/>
      <c r="C129" s="28"/>
      <c r="D129" s="28"/>
      <c r="E129" s="28"/>
      <c r="G129" s="29"/>
      <c r="H129" s="29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2"/>
      <c r="T129" s="158"/>
      <c r="U129" s="158"/>
      <c r="V129" s="158"/>
      <c r="W129" s="158"/>
      <c r="X129" s="158"/>
      <c r="Y129" s="158"/>
      <c r="Z129" s="93"/>
      <c r="AA129" s="93"/>
      <c r="AB129" s="93"/>
      <c r="AC129" s="93"/>
      <c r="AD129" s="93"/>
      <c r="AE129" s="93"/>
      <c r="AF129" s="93"/>
      <c r="AG129" s="93"/>
      <c r="AH129" s="93"/>
      <c r="AI129" s="93"/>
      <c r="AJ129" s="93"/>
      <c r="AK129" s="93"/>
      <c r="AL129" s="93"/>
      <c r="AM129" s="93"/>
      <c r="AN129" s="93"/>
      <c r="AO129" s="93"/>
      <c r="AP129" s="93"/>
      <c r="AQ129" s="93"/>
      <c r="AR129" s="93"/>
      <c r="AS129" s="93"/>
    </row>
    <row r="130" spans="1:45" s="27" customFormat="1" ht="15" customHeight="1" outlineLevel="1">
      <c r="A130" s="195"/>
      <c r="B130" s="152"/>
      <c r="C130" s="28"/>
      <c r="F130" s="48">
        <f>F$119</f>
        <v>1</v>
      </c>
      <c r="G130" s="49">
        <f t="shared" ref="G130:Q130" si="0">G$119</f>
        <v>1</v>
      </c>
      <c r="H130" s="160">
        <f t="shared" si="0"/>
        <v>1</v>
      </c>
      <c r="I130" s="50">
        <f t="shared" si="0"/>
        <v>2</v>
      </c>
      <c r="J130" s="49">
        <f t="shared" si="0"/>
        <v>2</v>
      </c>
      <c r="K130" s="161">
        <f t="shared" si="0"/>
        <v>2</v>
      </c>
      <c r="L130" s="50">
        <f t="shared" si="0"/>
        <v>3</v>
      </c>
      <c r="M130" s="49">
        <f t="shared" si="0"/>
        <v>3</v>
      </c>
      <c r="N130" s="161">
        <f t="shared" si="0"/>
        <v>3</v>
      </c>
      <c r="O130" s="53">
        <f t="shared" si="0"/>
        <v>4</v>
      </c>
      <c r="P130" s="51">
        <f t="shared" si="0"/>
        <v>4</v>
      </c>
      <c r="Q130" s="161">
        <f t="shared" si="0"/>
        <v>4</v>
      </c>
      <c r="R130" s="165"/>
      <c r="S130" s="158"/>
      <c r="T130" s="158"/>
      <c r="U130" s="158"/>
      <c r="V130" s="158"/>
      <c r="W130" s="158"/>
      <c r="X130" s="158"/>
      <c r="Y130" s="158"/>
      <c r="AA130" s="93"/>
      <c r="AB130" s="93"/>
      <c r="AC130" s="93"/>
      <c r="AD130" s="93"/>
      <c r="AE130" s="93"/>
      <c r="AF130" s="93"/>
      <c r="AG130" s="93"/>
      <c r="AH130" s="93"/>
      <c r="AI130" s="93"/>
      <c r="AJ130" s="93"/>
      <c r="AK130" s="93"/>
      <c r="AL130" s="93"/>
      <c r="AM130" s="93"/>
      <c r="AN130" s="93"/>
      <c r="AO130" s="93"/>
      <c r="AP130" s="93"/>
      <c r="AQ130" s="93"/>
      <c r="AR130" s="93"/>
      <c r="AS130" s="93"/>
    </row>
    <row r="131" spans="1:45" s="32" customFormat="1" ht="15" customHeight="1" outlineLevel="1" thickBot="1">
      <c r="A131" s="196"/>
      <c r="C131" s="153" t="s">
        <v>13</v>
      </c>
      <c r="F131" s="162">
        <f>F$120</f>
        <v>45322</v>
      </c>
      <c r="G131" s="163">
        <f t="shared" ref="G131:Q131" si="1">G$120</f>
        <v>45351</v>
      </c>
      <c r="H131" s="163">
        <f t="shared" si="1"/>
        <v>45382</v>
      </c>
      <c r="I131" s="164">
        <f t="shared" si="1"/>
        <v>45412</v>
      </c>
      <c r="J131" s="163">
        <f t="shared" si="1"/>
        <v>45443</v>
      </c>
      <c r="K131" s="163">
        <f t="shared" si="1"/>
        <v>45473</v>
      </c>
      <c r="L131" s="164">
        <f t="shared" si="1"/>
        <v>45504</v>
      </c>
      <c r="M131" s="163">
        <f t="shared" si="1"/>
        <v>45535</v>
      </c>
      <c r="N131" s="163">
        <f t="shared" si="1"/>
        <v>45565</v>
      </c>
      <c r="O131" s="164">
        <f t="shared" si="1"/>
        <v>45596</v>
      </c>
      <c r="P131" s="163">
        <f t="shared" si="1"/>
        <v>45626</v>
      </c>
      <c r="Q131" s="163">
        <f t="shared" si="1"/>
        <v>45657</v>
      </c>
      <c r="R131" s="165"/>
      <c r="S131" s="166">
        <f>S$120</f>
        <v>1</v>
      </c>
      <c r="T131" s="160">
        <f>T$120</f>
        <v>2</v>
      </c>
      <c r="U131" s="160">
        <f>U$120</f>
        <v>3</v>
      </c>
      <c r="V131" s="160">
        <f>V$120</f>
        <v>4</v>
      </c>
      <c r="W131" s="95"/>
      <c r="X131" s="172" t="s">
        <v>191</v>
      </c>
      <c r="Y131" s="173"/>
      <c r="Z131" s="174"/>
      <c r="AA131" s="93"/>
      <c r="AB131" s="93"/>
      <c r="AC131" s="93"/>
      <c r="AD131" s="93"/>
      <c r="AE131" s="93"/>
      <c r="AF131" s="93"/>
      <c r="AG131" s="93"/>
      <c r="AH131" s="93"/>
      <c r="AI131" s="93"/>
      <c r="AJ131" s="93"/>
      <c r="AK131" s="93"/>
      <c r="AL131" s="93"/>
      <c r="AM131" s="93"/>
      <c r="AN131" s="93"/>
      <c r="AO131" s="93"/>
      <c r="AP131" s="93"/>
      <c r="AQ131" s="93"/>
      <c r="AR131" s="93"/>
      <c r="AS131" s="93"/>
    </row>
    <row r="132" spans="1:45" s="93" customFormat="1" ht="15" customHeight="1" outlineLevel="1">
      <c r="A132" s="19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S132" s="100"/>
      <c r="T132" s="100"/>
      <c r="U132" s="101"/>
      <c r="V132" s="101"/>
      <c r="W132" s="88"/>
      <c r="X132" s="100"/>
      <c r="Y132" s="100"/>
    </row>
    <row r="133" spans="1:45" s="93" customFormat="1" ht="15" customHeight="1" outlineLevel="1">
      <c r="A133" s="197"/>
      <c r="C133" s="168" t="s">
        <v>28</v>
      </c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</row>
    <row r="134" spans="1:45" s="93" customFormat="1" ht="15" customHeight="1" outlineLevel="1">
      <c r="A134" s="197"/>
      <c r="C134" s="169">
        <f>$C$123</f>
        <v>2024</v>
      </c>
      <c r="F134" s="140">
        <f>Model!G$446</f>
        <v>733.33333333333326</v>
      </c>
      <c r="G134" s="141">
        <f>Model!H$446</f>
        <v>733.33333333333326</v>
      </c>
      <c r="H134" s="141">
        <f>Model!I$446</f>
        <v>733.33333333333326</v>
      </c>
      <c r="I134" s="140">
        <f>Model!J$446</f>
        <v>1222.2222222222222</v>
      </c>
      <c r="J134" s="141">
        <f>Model!K$446</f>
        <v>1358.5858585858587</v>
      </c>
      <c r="K134" s="141">
        <f>Model!L$446</f>
        <v>1358.5858585858587</v>
      </c>
      <c r="L134" s="140">
        <f>Model!M$446</f>
        <v>1358.5858585858587</v>
      </c>
      <c r="M134" s="141">
        <f>Model!N$446</f>
        <v>1358.5858585858587</v>
      </c>
      <c r="N134" s="141">
        <f>Model!O$446</f>
        <v>1358.5858585858587</v>
      </c>
      <c r="O134" s="140">
        <f>Model!P$446</f>
        <v>1208.5858585858587</v>
      </c>
      <c r="P134" s="141">
        <f>Model!Q$446</f>
        <v>1208.5858585858587</v>
      </c>
      <c r="Q134" s="141">
        <f>Model!R$446</f>
        <v>1208.5858585858587</v>
      </c>
      <c r="R134" s="170"/>
      <c r="S134" s="104">
        <f>SUMIFS($F134:$Q134,$F$119:$Q$119,S$120)</f>
        <v>2200</v>
      </c>
      <c r="T134" s="105">
        <f t="shared" ref="T134:V136" si="2">SUMIFS($F134:$Q134,$F$119:$Q$119,T$120)</f>
        <v>3939.3939393939395</v>
      </c>
      <c r="U134" s="105">
        <f t="shared" si="2"/>
        <v>4075.757575757576</v>
      </c>
      <c r="V134" s="105">
        <f t="shared" si="2"/>
        <v>3625.757575757576</v>
      </c>
      <c r="W134" s="170"/>
      <c r="X134" s="104">
        <f>SUM(S134:V134)</f>
        <v>13840.909090909092</v>
      </c>
      <c r="Y134" s="170"/>
    </row>
    <row r="135" spans="1:45" s="93" customFormat="1" ht="15" customHeight="1" outlineLevel="1">
      <c r="A135" s="197"/>
      <c r="C135" s="169">
        <f>$C$124</f>
        <v>2025</v>
      </c>
      <c r="F135" s="427">
        <f>Model!S$446</f>
        <v>986.36363636363637</v>
      </c>
      <c r="G135" s="428">
        <f>Model!T$446</f>
        <v>1423.8636363636365</v>
      </c>
      <c r="H135" s="428">
        <f>Model!U$446</f>
        <v>1423.8636363636365</v>
      </c>
      <c r="I135" s="427">
        <f>Model!V$446</f>
        <v>1620.8333333333333</v>
      </c>
      <c r="J135" s="428">
        <f>Model!W$446</f>
        <v>1620.8333333333333</v>
      </c>
      <c r="K135" s="428">
        <f>Model!X$446</f>
        <v>1620.8333333333333</v>
      </c>
      <c r="L135" s="427">
        <f>Model!Y$446</f>
        <v>1620.8333333333333</v>
      </c>
      <c r="M135" s="428">
        <f>Model!Z$446</f>
        <v>1620.8333333333333</v>
      </c>
      <c r="N135" s="428">
        <f>Model!AA$446</f>
        <v>1620.8333333333333</v>
      </c>
      <c r="O135" s="427">
        <f>Model!AB$446</f>
        <v>1999.9999999999998</v>
      </c>
      <c r="P135" s="428">
        <f>Model!AC$446</f>
        <v>1999.9999999999998</v>
      </c>
      <c r="Q135" s="428">
        <f>Model!AD$446</f>
        <v>1999.9999999999998</v>
      </c>
      <c r="R135" s="170"/>
      <c r="S135" s="108">
        <f>SUMIFS($F135:$Q135,$F$119:$Q$119,S$120)</f>
        <v>3834.0909090909095</v>
      </c>
      <c r="T135" s="109">
        <f t="shared" si="2"/>
        <v>4862.5</v>
      </c>
      <c r="U135" s="109">
        <f t="shared" si="2"/>
        <v>4862.5</v>
      </c>
      <c r="V135" s="109">
        <f t="shared" si="2"/>
        <v>5999.9999999999991</v>
      </c>
      <c r="W135" s="170"/>
      <c r="X135" s="108">
        <f>SUM(S135:V135)</f>
        <v>19559.090909090908</v>
      </c>
      <c r="Y135" s="170"/>
    </row>
    <row r="136" spans="1:45" s="93" customFormat="1" ht="15" customHeight="1" outlineLevel="1">
      <c r="A136" s="197"/>
      <c r="C136" s="169" t="s">
        <v>194</v>
      </c>
      <c r="E136" s="42" t="s">
        <v>34</v>
      </c>
      <c r="F136" s="429">
        <v>1400</v>
      </c>
      <c r="G136" s="430">
        <v>1600</v>
      </c>
      <c r="H136" s="430">
        <v>1600</v>
      </c>
      <c r="I136" s="429">
        <v>1500</v>
      </c>
      <c r="J136" s="430">
        <v>1500</v>
      </c>
      <c r="K136" s="430">
        <v>1500</v>
      </c>
      <c r="L136" s="429">
        <v>1500</v>
      </c>
      <c r="M136" s="430">
        <v>1500</v>
      </c>
      <c r="N136" s="430">
        <v>1500</v>
      </c>
      <c r="O136" s="429">
        <v>1600</v>
      </c>
      <c r="P136" s="430">
        <v>1600</v>
      </c>
      <c r="Q136" s="430">
        <v>1600</v>
      </c>
      <c r="R136" s="170"/>
      <c r="S136" s="140">
        <f>SUMIFS($F136:$Q136,$F$119:$Q$119,S$120)</f>
        <v>4600</v>
      </c>
      <c r="T136" s="141">
        <f t="shared" si="2"/>
        <v>4500</v>
      </c>
      <c r="U136" s="141">
        <f t="shared" si="2"/>
        <v>4500</v>
      </c>
      <c r="V136" s="141">
        <f t="shared" si="2"/>
        <v>4800</v>
      </c>
      <c r="W136" s="170"/>
      <c r="X136" s="140">
        <f>SUM(S136:V136)</f>
        <v>18400</v>
      </c>
      <c r="Y136" s="170"/>
    </row>
    <row r="137" spans="1:45" s="93" customFormat="1" ht="15" customHeight="1" outlineLevel="1">
      <c r="A137" s="197"/>
      <c r="F137" s="171"/>
      <c r="G137" s="171"/>
      <c r="H137" s="171"/>
      <c r="I137" s="171"/>
      <c r="J137" s="171"/>
      <c r="K137" s="171"/>
      <c r="L137" s="171"/>
      <c r="M137" s="171"/>
      <c r="N137" s="171"/>
      <c r="O137" s="171"/>
      <c r="P137" s="171"/>
      <c r="Q137" s="171"/>
      <c r="S137" s="171"/>
      <c r="T137" s="171"/>
      <c r="U137" s="171"/>
      <c r="V137" s="171"/>
      <c r="X137" s="171"/>
    </row>
    <row r="138" spans="1:45" s="93" customFormat="1" ht="15" customHeight="1" outlineLevel="1">
      <c r="A138" s="197"/>
      <c r="C138" s="168" t="s">
        <v>195</v>
      </c>
      <c r="D138" s="168" t="s">
        <v>196</v>
      </c>
      <c r="E138" s="168"/>
    </row>
    <row r="139" spans="1:45" s="93" customFormat="1" ht="15" customHeight="1" outlineLevel="1">
      <c r="A139" s="197"/>
      <c r="C139" s="169" t="s">
        <v>197</v>
      </c>
      <c r="D139" s="169">
        <f>$C$123</f>
        <v>2024</v>
      </c>
      <c r="E139" s="169"/>
      <c r="F139" s="140">
        <f>IFERROR(F134/F$123,NA())</f>
        <v>733.33333333333326</v>
      </c>
      <c r="G139" s="141">
        <f t="shared" ref="G139:U139" si="3">IFERROR(G134/G$123,NA())</f>
        <v>733.33333333333326</v>
      </c>
      <c r="H139" s="141">
        <f t="shared" si="3"/>
        <v>733.33333333333326</v>
      </c>
      <c r="I139" s="140">
        <f t="shared" si="3"/>
        <v>1222.2222222222222</v>
      </c>
      <c r="J139" s="141">
        <f t="shared" si="3"/>
        <v>1358.5858585858587</v>
      </c>
      <c r="K139" s="141">
        <f t="shared" si="3"/>
        <v>1358.5858585858587</v>
      </c>
      <c r="L139" s="140">
        <f t="shared" si="3"/>
        <v>1358.5858585858587</v>
      </c>
      <c r="M139" s="141">
        <f t="shared" si="3"/>
        <v>1358.5858585858587</v>
      </c>
      <c r="N139" s="141">
        <f t="shared" si="3"/>
        <v>1358.5858585858587</v>
      </c>
      <c r="O139" s="140">
        <f t="shared" si="3"/>
        <v>1208.5858585858587</v>
      </c>
      <c r="P139" s="141">
        <f t="shared" si="3"/>
        <v>1208.5858585858587</v>
      </c>
      <c r="Q139" s="141">
        <f t="shared" si="3"/>
        <v>1208.5858585858587</v>
      </c>
      <c r="R139" s="170"/>
      <c r="S139" s="140">
        <f>IFERROR(S134/S$123,NA())</f>
        <v>2200</v>
      </c>
      <c r="T139" s="141">
        <f t="shared" si="3"/>
        <v>3939.3939393939395</v>
      </c>
      <c r="U139" s="141">
        <f t="shared" si="3"/>
        <v>4075.757575757576</v>
      </c>
      <c r="V139" s="141">
        <f>IFERROR(V134/V$123,NA())</f>
        <v>3625.757575757576</v>
      </c>
      <c r="W139" s="170"/>
      <c r="X139" s="140">
        <f>X134</f>
        <v>13840.909090909092</v>
      </c>
      <c r="Y139" s="431">
        <f>IF($X$123=1,X139,NA())</f>
        <v>13840.909090909092</v>
      </c>
    </row>
    <row r="140" spans="1:45" s="93" customFormat="1" ht="15" customHeight="1" outlineLevel="1">
      <c r="A140" s="197"/>
      <c r="C140" s="169" t="s">
        <v>197</v>
      </c>
      <c r="D140" s="169">
        <f>$C$124</f>
        <v>2025</v>
      </c>
      <c r="E140" s="169"/>
      <c r="F140" s="427" t="e">
        <f>IFERROR(F135/F$124,NA())</f>
        <v>#N/A</v>
      </c>
      <c r="G140" s="428" t="e">
        <f t="shared" ref="G140:V140" si="4">IFERROR(G135/G$124,NA())</f>
        <v>#N/A</v>
      </c>
      <c r="H140" s="428" t="e">
        <f t="shared" si="4"/>
        <v>#N/A</v>
      </c>
      <c r="I140" s="427" t="e">
        <f t="shared" si="4"/>
        <v>#N/A</v>
      </c>
      <c r="J140" s="428" t="e">
        <f t="shared" si="4"/>
        <v>#N/A</v>
      </c>
      <c r="K140" s="428" t="e">
        <f t="shared" si="4"/>
        <v>#N/A</v>
      </c>
      <c r="L140" s="427" t="e">
        <f t="shared" si="4"/>
        <v>#N/A</v>
      </c>
      <c r="M140" s="428" t="e">
        <f t="shared" si="4"/>
        <v>#N/A</v>
      </c>
      <c r="N140" s="428" t="e">
        <f t="shared" si="4"/>
        <v>#N/A</v>
      </c>
      <c r="O140" s="427" t="e">
        <f t="shared" si="4"/>
        <v>#N/A</v>
      </c>
      <c r="P140" s="428" t="e">
        <f t="shared" si="4"/>
        <v>#N/A</v>
      </c>
      <c r="Q140" s="428" t="e">
        <f t="shared" si="4"/>
        <v>#N/A</v>
      </c>
      <c r="R140" s="170"/>
      <c r="S140" s="427" t="e">
        <f t="shared" si="4"/>
        <v>#N/A</v>
      </c>
      <c r="T140" s="428" t="e">
        <f t="shared" si="4"/>
        <v>#N/A</v>
      </c>
      <c r="U140" s="428" t="e">
        <f t="shared" si="4"/>
        <v>#N/A</v>
      </c>
      <c r="V140" s="428" t="e">
        <f t="shared" si="4"/>
        <v>#N/A</v>
      </c>
      <c r="W140" s="170"/>
      <c r="X140" s="427">
        <f>X135</f>
        <v>19559.090909090908</v>
      </c>
      <c r="Y140" s="432" t="e">
        <f>IF($X$124=1,X140,NA())</f>
        <v>#N/A</v>
      </c>
    </row>
    <row r="141" spans="1:45" s="93" customFormat="1" ht="15" customHeight="1" outlineLevel="1">
      <c r="A141" s="197"/>
      <c r="C141" s="169" t="s">
        <v>197</v>
      </c>
      <c r="D141" s="76" t="s">
        <v>194</v>
      </c>
      <c r="E141" s="76"/>
      <c r="F141" s="427">
        <f>F136</f>
        <v>1400</v>
      </c>
      <c r="G141" s="428">
        <f t="shared" ref="G141:Q141" si="5">G136</f>
        <v>1600</v>
      </c>
      <c r="H141" s="428">
        <f t="shared" si="5"/>
        <v>1600</v>
      </c>
      <c r="I141" s="427">
        <f t="shared" si="5"/>
        <v>1500</v>
      </c>
      <c r="J141" s="428">
        <f t="shared" si="5"/>
        <v>1500</v>
      </c>
      <c r="K141" s="428">
        <f t="shared" si="5"/>
        <v>1500</v>
      </c>
      <c r="L141" s="427">
        <f t="shared" si="5"/>
        <v>1500</v>
      </c>
      <c r="M141" s="428">
        <f t="shared" si="5"/>
        <v>1500</v>
      </c>
      <c r="N141" s="428">
        <f t="shared" si="5"/>
        <v>1500</v>
      </c>
      <c r="O141" s="427">
        <f t="shared" si="5"/>
        <v>1600</v>
      </c>
      <c r="P141" s="428">
        <f t="shared" si="5"/>
        <v>1600</v>
      </c>
      <c r="Q141" s="428">
        <f t="shared" si="5"/>
        <v>1600</v>
      </c>
      <c r="R141" s="170"/>
      <c r="S141" s="427">
        <f>S136</f>
        <v>4600</v>
      </c>
      <c r="T141" s="428">
        <f>T136</f>
        <v>4500</v>
      </c>
      <c r="U141" s="428">
        <f>U136</f>
        <v>4500</v>
      </c>
      <c r="V141" s="428">
        <f>V136</f>
        <v>4800</v>
      </c>
      <c r="W141" s="170"/>
      <c r="X141" s="427">
        <f>X136</f>
        <v>18400</v>
      </c>
      <c r="Y141" s="432" t="e">
        <f>NA()</f>
        <v>#N/A</v>
      </c>
    </row>
    <row r="142" spans="1:45" s="93" customFormat="1" ht="15" customHeight="1" outlineLevel="1">
      <c r="A142" s="197"/>
      <c r="C142" s="169" t="s">
        <v>198</v>
      </c>
      <c r="D142" s="169">
        <f>$C$123</f>
        <v>2024</v>
      </c>
      <c r="E142" s="169"/>
      <c r="F142" s="427">
        <f>F134</f>
        <v>733.33333333333326</v>
      </c>
      <c r="G142" s="428">
        <f t="shared" ref="G142:Q142" si="6">G134</f>
        <v>733.33333333333326</v>
      </c>
      <c r="H142" s="428">
        <f t="shared" si="6"/>
        <v>733.33333333333326</v>
      </c>
      <c r="I142" s="427">
        <f t="shared" si="6"/>
        <v>1222.2222222222222</v>
      </c>
      <c r="J142" s="428">
        <f t="shared" si="6"/>
        <v>1358.5858585858587</v>
      </c>
      <c r="K142" s="428">
        <f t="shared" si="6"/>
        <v>1358.5858585858587</v>
      </c>
      <c r="L142" s="427">
        <f t="shared" si="6"/>
        <v>1358.5858585858587</v>
      </c>
      <c r="M142" s="428">
        <f t="shared" si="6"/>
        <v>1358.5858585858587</v>
      </c>
      <c r="N142" s="428">
        <f t="shared" si="6"/>
        <v>1358.5858585858587</v>
      </c>
      <c r="O142" s="427">
        <f t="shared" si="6"/>
        <v>1208.5858585858587</v>
      </c>
      <c r="P142" s="428">
        <f t="shared" si="6"/>
        <v>1208.5858585858587</v>
      </c>
      <c r="Q142" s="432">
        <f t="shared" si="6"/>
        <v>1208.5858585858587</v>
      </c>
      <c r="S142" s="427">
        <f t="shared" ref="S142:V142" si="7">S134</f>
        <v>2200</v>
      </c>
      <c r="T142" s="428">
        <f t="shared" si="7"/>
        <v>3939.3939393939395</v>
      </c>
      <c r="U142" s="428">
        <f t="shared" si="7"/>
        <v>4075.757575757576</v>
      </c>
      <c r="V142" s="428">
        <f t="shared" si="7"/>
        <v>3625.757575757576</v>
      </c>
      <c r="W142" s="170"/>
      <c r="X142" s="427">
        <f>IF(SUM($X$123:$X$124)&gt;1,NA(),Y142)</f>
        <v>13840.909090909092</v>
      </c>
      <c r="Y142" s="432">
        <f>X139</f>
        <v>13840.909090909092</v>
      </c>
    </row>
    <row r="143" spans="1:45" s="93" customFormat="1" ht="15" customHeight="1" outlineLevel="1">
      <c r="A143" s="197"/>
      <c r="C143" s="169" t="s">
        <v>198</v>
      </c>
      <c r="D143" s="169">
        <f>$C$124</f>
        <v>2025</v>
      </c>
      <c r="E143" s="169"/>
      <c r="F143" s="427">
        <f t="shared" ref="F143:Q143" si="8">F135</f>
        <v>986.36363636363637</v>
      </c>
      <c r="G143" s="428">
        <f t="shared" si="8"/>
        <v>1423.8636363636365</v>
      </c>
      <c r="H143" s="428">
        <f t="shared" si="8"/>
        <v>1423.8636363636365</v>
      </c>
      <c r="I143" s="427">
        <f t="shared" si="8"/>
        <v>1620.8333333333333</v>
      </c>
      <c r="J143" s="428">
        <f t="shared" si="8"/>
        <v>1620.8333333333333</v>
      </c>
      <c r="K143" s="428">
        <f t="shared" si="8"/>
        <v>1620.8333333333333</v>
      </c>
      <c r="L143" s="427">
        <f t="shared" si="8"/>
        <v>1620.8333333333333</v>
      </c>
      <c r="M143" s="428">
        <f t="shared" si="8"/>
        <v>1620.8333333333333</v>
      </c>
      <c r="N143" s="428">
        <f t="shared" si="8"/>
        <v>1620.8333333333333</v>
      </c>
      <c r="O143" s="427">
        <f t="shared" si="8"/>
        <v>1999.9999999999998</v>
      </c>
      <c r="P143" s="428">
        <f t="shared" si="8"/>
        <v>1999.9999999999998</v>
      </c>
      <c r="Q143" s="432">
        <f t="shared" si="8"/>
        <v>1999.9999999999998</v>
      </c>
      <c r="S143" s="427">
        <f t="shared" ref="S143:V143" si="9">S135</f>
        <v>3834.0909090909095</v>
      </c>
      <c r="T143" s="428">
        <f t="shared" si="9"/>
        <v>4862.5</v>
      </c>
      <c r="U143" s="428">
        <f t="shared" si="9"/>
        <v>4862.5</v>
      </c>
      <c r="V143" s="428">
        <f t="shared" si="9"/>
        <v>5999.9999999999991</v>
      </c>
      <c r="W143" s="170"/>
      <c r="X143" s="427">
        <f>IF(SUM($X$123:$X$124)&gt;1,NA(),Y143)</f>
        <v>19559.090909090908</v>
      </c>
      <c r="Y143" s="432">
        <f>X140</f>
        <v>19559.090909090908</v>
      </c>
    </row>
    <row r="144" spans="1:45" s="93" customFormat="1" ht="15" customHeight="1" outlineLevel="1">
      <c r="A144" s="197"/>
      <c r="C144" s="169" t="s">
        <v>198</v>
      </c>
      <c r="D144" s="76" t="s">
        <v>194</v>
      </c>
      <c r="E144" s="76"/>
      <c r="F144" s="427"/>
      <c r="G144" s="428"/>
      <c r="H144" s="428"/>
      <c r="I144" s="427"/>
      <c r="J144" s="428"/>
      <c r="K144" s="428"/>
      <c r="L144" s="427"/>
      <c r="M144" s="428"/>
      <c r="N144" s="428"/>
      <c r="O144" s="427"/>
      <c r="P144" s="428"/>
      <c r="Q144" s="428"/>
      <c r="R144" s="170"/>
      <c r="S144" s="170"/>
      <c r="W144" s="170"/>
      <c r="X144" s="427">
        <f>Y144</f>
        <v>18400</v>
      </c>
      <c r="Y144" s="433">
        <f>X141</f>
        <v>18400</v>
      </c>
    </row>
    <row r="145" spans="1:49" s="93" customFormat="1" ht="15" customHeight="1" outlineLevel="1">
      <c r="A145" s="197"/>
      <c r="F145" s="171"/>
      <c r="G145" s="171"/>
      <c r="H145" s="171"/>
      <c r="I145" s="171"/>
      <c r="J145" s="171"/>
      <c r="K145" s="171"/>
      <c r="L145" s="171"/>
      <c r="M145" s="171"/>
      <c r="N145" s="171"/>
      <c r="O145" s="171"/>
      <c r="P145" s="171"/>
      <c r="Q145" s="171"/>
      <c r="S145" s="171"/>
      <c r="T145" s="171"/>
      <c r="U145" s="171"/>
      <c r="V145" s="171"/>
      <c r="X145" s="171"/>
    </row>
    <row r="146" spans="1:49" s="93" customFormat="1" ht="15" customHeight="1" outlineLevel="1">
      <c r="A146" s="197"/>
      <c r="C146" s="157"/>
      <c r="D146" s="157"/>
      <c r="E146" s="157"/>
      <c r="F146" s="157"/>
      <c r="G146" s="157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</row>
    <row r="147" spans="1:49" s="93" customFormat="1" ht="15" customHeight="1">
      <c r="A147" s="197"/>
    </row>
    <row r="148" spans="1:49" s="27" customFormat="1" ht="15" customHeight="1">
      <c r="A148" s="195" t="s">
        <v>11</v>
      </c>
      <c r="B148" s="152"/>
      <c r="C148" s="89" t="s">
        <v>199</v>
      </c>
      <c r="D148" s="24"/>
      <c r="E148" s="24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93"/>
      <c r="AM148" s="93"/>
      <c r="AN148" s="93"/>
      <c r="AO148" s="93"/>
      <c r="AP148" s="93"/>
      <c r="AQ148" s="93"/>
      <c r="AR148" s="93"/>
      <c r="AS148" s="93"/>
      <c r="AT148" s="93"/>
      <c r="AU148" s="93"/>
      <c r="AV148" s="93"/>
      <c r="AW148" s="93"/>
    </row>
    <row r="149" spans="1:49" s="27" customFormat="1" ht="15" customHeight="1" outlineLevel="1">
      <c r="A149" s="152"/>
      <c r="B149" s="152"/>
      <c r="C149" s="28"/>
      <c r="D149" s="28"/>
      <c r="E149" s="28"/>
      <c r="G149" s="29"/>
      <c r="H149" s="29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2"/>
      <c r="T149" s="158"/>
      <c r="U149" s="158"/>
      <c r="V149" s="158"/>
      <c r="W149" s="158"/>
      <c r="X149" s="158"/>
      <c r="Y149" s="158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93"/>
      <c r="AM149" s="93"/>
      <c r="AN149" s="93"/>
      <c r="AO149" s="93"/>
      <c r="AP149" s="93"/>
      <c r="AQ149" s="93"/>
      <c r="AR149" s="93"/>
      <c r="AS149" s="93"/>
      <c r="AT149" s="93"/>
      <c r="AU149" s="93"/>
      <c r="AV149" s="93"/>
      <c r="AW149" s="93"/>
    </row>
    <row r="150" spans="1:49" s="27" customFormat="1" ht="15" customHeight="1" outlineLevel="1">
      <c r="A150" s="152"/>
      <c r="B150" s="152"/>
      <c r="C150" s="28"/>
      <c r="F150" s="48">
        <f t="shared" ref="F150:Q150" si="10">F$119</f>
        <v>1</v>
      </c>
      <c r="G150" s="49">
        <f t="shared" si="10"/>
        <v>1</v>
      </c>
      <c r="H150" s="160">
        <f t="shared" si="10"/>
        <v>1</v>
      </c>
      <c r="I150" s="50">
        <f t="shared" si="10"/>
        <v>2</v>
      </c>
      <c r="J150" s="49">
        <f t="shared" si="10"/>
        <v>2</v>
      </c>
      <c r="K150" s="161">
        <f t="shared" si="10"/>
        <v>2</v>
      </c>
      <c r="L150" s="50">
        <f t="shared" si="10"/>
        <v>3</v>
      </c>
      <c r="M150" s="49">
        <f t="shared" si="10"/>
        <v>3</v>
      </c>
      <c r="N150" s="161">
        <f t="shared" si="10"/>
        <v>3</v>
      </c>
      <c r="O150" s="53">
        <f t="shared" si="10"/>
        <v>4</v>
      </c>
      <c r="P150" s="51">
        <f t="shared" si="10"/>
        <v>4</v>
      </c>
      <c r="Q150" s="161">
        <f t="shared" si="10"/>
        <v>4</v>
      </c>
      <c r="R150" s="165"/>
      <c r="S150" s="158"/>
      <c r="T150" s="158"/>
      <c r="U150" s="158"/>
      <c r="V150" s="158"/>
      <c r="W150" s="158"/>
      <c r="X150" s="158"/>
      <c r="Y150" s="158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93"/>
      <c r="AM150" s="93"/>
      <c r="AN150" s="93"/>
      <c r="AO150" s="93"/>
      <c r="AP150" s="93"/>
      <c r="AQ150" s="93"/>
      <c r="AR150" s="93"/>
      <c r="AS150" s="93"/>
      <c r="AT150" s="93"/>
      <c r="AU150" s="93"/>
      <c r="AV150" s="93"/>
      <c r="AW150" s="93"/>
    </row>
    <row r="151" spans="1:49" s="32" customFormat="1" ht="15" customHeight="1" outlineLevel="1" thickBot="1">
      <c r="C151" s="153" t="s">
        <v>13</v>
      </c>
      <c r="F151" s="162">
        <f t="shared" ref="F151:Q151" si="11">F$120</f>
        <v>45322</v>
      </c>
      <c r="G151" s="163">
        <f t="shared" si="11"/>
        <v>45351</v>
      </c>
      <c r="H151" s="163">
        <f t="shared" si="11"/>
        <v>45382</v>
      </c>
      <c r="I151" s="164">
        <f t="shared" si="11"/>
        <v>45412</v>
      </c>
      <c r="J151" s="163">
        <f t="shared" si="11"/>
        <v>45443</v>
      </c>
      <c r="K151" s="163">
        <f t="shared" si="11"/>
        <v>45473</v>
      </c>
      <c r="L151" s="164">
        <f t="shared" si="11"/>
        <v>45504</v>
      </c>
      <c r="M151" s="163">
        <f t="shared" si="11"/>
        <v>45535</v>
      </c>
      <c r="N151" s="163">
        <f t="shared" si="11"/>
        <v>45565</v>
      </c>
      <c r="O151" s="164">
        <f t="shared" si="11"/>
        <v>45596</v>
      </c>
      <c r="P151" s="163">
        <f t="shared" si="11"/>
        <v>45626</v>
      </c>
      <c r="Q151" s="163">
        <f t="shared" si="11"/>
        <v>45657</v>
      </c>
      <c r="R151" s="165"/>
      <c r="S151" s="166">
        <f>S$120</f>
        <v>1</v>
      </c>
      <c r="T151" s="160">
        <f>T$120</f>
        <v>2</v>
      </c>
      <c r="U151" s="160">
        <f>U$120</f>
        <v>3</v>
      </c>
      <c r="V151" s="160">
        <f>V$120</f>
        <v>4</v>
      </c>
      <c r="W151" s="95"/>
      <c r="X151" s="172" t="s">
        <v>191</v>
      </c>
      <c r="Y151" s="173"/>
      <c r="Z151" s="174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93"/>
      <c r="AM151" s="93"/>
      <c r="AN151" s="93"/>
      <c r="AO151" s="93"/>
      <c r="AP151" s="93"/>
      <c r="AQ151" s="93"/>
      <c r="AR151" s="93"/>
      <c r="AS151" s="93"/>
      <c r="AT151" s="93"/>
      <c r="AU151" s="93"/>
      <c r="AV151" s="93"/>
      <c r="AW151" s="93"/>
    </row>
    <row r="152" spans="1:49" s="93" customFormat="1" ht="15" customHeight="1" outlineLevel="1"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S152" s="100"/>
      <c r="T152" s="100"/>
      <c r="U152" s="101"/>
      <c r="V152" s="101"/>
      <c r="W152" s="88"/>
      <c r="X152" s="100"/>
      <c r="Y152" s="100"/>
    </row>
    <row r="153" spans="1:49" s="93" customFormat="1" ht="15" customHeight="1" outlineLevel="1">
      <c r="C153" s="168" t="s">
        <v>200</v>
      </c>
      <c r="S153" s="88"/>
      <c r="T153" s="88"/>
      <c r="U153" s="102"/>
      <c r="V153" s="102"/>
      <c r="W153" s="88"/>
      <c r="X153" s="88"/>
      <c r="Y153" s="88"/>
    </row>
    <row r="154" spans="1:49" s="93" customFormat="1" ht="15" customHeight="1" outlineLevel="1">
      <c r="C154" s="169">
        <f>$C$123</f>
        <v>2024</v>
      </c>
      <c r="F154" s="140">
        <f>Model!G376</f>
        <v>2075.2523224043716</v>
      </c>
      <c r="G154" s="141">
        <f>Model!H376</f>
        <v>1614.3501526639348</v>
      </c>
      <c r="H154" s="141">
        <f>Model!I376</f>
        <v>1090.4383504499665</v>
      </c>
      <c r="I154" s="140">
        <f>Model!J376</f>
        <v>2817.4954572550537</v>
      </c>
      <c r="J154" s="141">
        <f>Model!K376</f>
        <v>2339.291518302563</v>
      </c>
      <c r="K154" s="141">
        <f>Model!L376</f>
        <v>1814.170758027281</v>
      </c>
      <c r="L154" s="140">
        <f>Model!M376</f>
        <v>1333.4585073267206</v>
      </c>
      <c r="M154" s="141">
        <f>Model!N376</f>
        <v>796.26442135460024</v>
      </c>
      <c r="N154" s="141">
        <f>Model!O376</f>
        <v>191.43445399268603</v>
      </c>
      <c r="O154" s="140">
        <f>Model!P376</f>
        <v>3138.308668542968</v>
      </c>
      <c r="P154" s="141">
        <f>Model!Q376</f>
        <v>954.33381179902472</v>
      </c>
      <c r="Q154" s="141">
        <f>Model!R376</f>
        <v>0</v>
      </c>
      <c r="R154" s="170"/>
      <c r="S154" s="88"/>
      <c r="T154" s="88"/>
      <c r="U154" s="102"/>
      <c r="V154" s="102"/>
      <c r="W154" s="88"/>
      <c r="X154" s="88"/>
      <c r="Y154" s="88"/>
    </row>
    <row r="155" spans="1:49" s="93" customFormat="1" ht="15" customHeight="1" outlineLevel="1">
      <c r="C155" s="169">
        <f>$C$124</f>
        <v>2025</v>
      </c>
      <c r="F155" s="427">
        <f>Model!S376</f>
        <v>0</v>
      </c>
      <c r="G155" s="428">
        <f>Model!T376</f>
        <v>0</v>
      </c>
      <c r="H155" s="428">
        <f>Model!U376</f>
        <v>0</v>
      </c>
      <c r="I155" s="427">
        <f>Model!V376</f>
        <v>2139.8809798543712</v>
      </c>
      <c r="J155" s="428">
        <f>Model!W376</f>
        <v>3137.8649137346779</v>
      </c>
      <c r="K155" s="428">
        <f>Model!X376</f>
        <v>4004.3232595044801</v>
      </c>
      <c r="L155" s="427">
        <f>Model!Y376</f>
        <v>5006.9682990839119</v>
      </c>
      <c r="M155" s="428">
        <f>Model!Z376</f>
        <v>6012.1199512622925</v>
      </c>
      <c r="N155" s="428">
        <f>Model!AA376</f>
        <v>6892.4139346259135</v>
      </c>
      <c r="O155" s="427">
        <f>Model!AB376</f>
        <v>7902.2792008931483</v>
      </c>
      <c r="P155" s="428">
        <f>Model!AC376</f>
        <v>9306.1152490475124</v>
      </c>
      <c r="Q155" s="428">
        <f>Model!AD376</f>
        <v>9701.9341749934956</v>
      </c>
      <c r="R155" s="170"/>
      <c r="S155" s="88"/>
      <c r="T155" s="88"/>
      <c r="U155" s="102"/>
      <c r="V155" s="102"/>
      <c r="W155" s="88"/>
      <c r="X155" s="88"/>
      <c r="Y155" s="88"/>
    </row>
    <row r="156" spans="1:49" s="93" customFormat="1" ht="15" customHeight="1" outlineLevel="1">
      <c r="F156" s="171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S156" s="88"/>
      <c r="T156" s="88"/>
      <c r="U156" s="102"/>
      <c r="V156" s="102"/>
      <c r="W156" s="88"/>
      <c r="X156" s="88"/>
      <c r="Y156" s="88"/>
    </row>
    <row r="157" spans="1:49" s="93" customFormat="1" ht="15" customHeight="1" outlineLevel="1">
      <c r="C157" s="168" t="s">
        <v>201</v>
      </c>
      <c r="S157" s="88"/>
      <c r="T157" s="88"/>
      <c r="U157" s="102"/>
      <c r="V157" s="102"/>
      <c r="W157" s="88"/>
      <c r="X157" s="88"/>
      <c r="Y157" s="88"/>
    </row>
    <row r="158" spans="1:49" s="93" customFormat="1" ht="15" customHeight="1" outlineLevel="1">
      <c r="C158" s="169">
        <f>$C$123</f>
        <v>2024</v>
      </c>
      <c r="F158" s="140">
        <f>Model!G394</f>
        <v>0</v>
      </c>
      <c r="G158" s="141">
        <f>Model!H394</f>
        <v>0</v>
      </c>
      <c r="H158" s="141">
        <f>Model!I394</f>
        <v>0</v>
      </c>
      <c r="I158" s="140">
        <f>Model!J394</f>
        <v>0</v>
      </c>
      <c r="J158" s="141">
        <f>Model!K394</f>
        <v>0</v>
      </c>
      <c r="K158" s="141">
        <f>Model!L394</f>
        <v>0</v>
      </c>
      <c r="L158" s="140">
        <f>Model!M394</f>
        <v>0</v>
      </c>
      <c r="M158" s="141">
        <f>Model!N394</f>
        <v>0</v>
      </c>
      <c r="N158" s="141">
        <f>Model!O394</f>
        <v>0</v>
      </c>
      <c r="O158" s="140">
        <f>Model!P394</f>
        <v>0</v>
      </c>
      <c r="P158" s="141">
        <f>Model!Q394</f>
        <v>0</v>
      </c>
      <c r="Q158" s="141">
        <f>Model!R394</f>
        <v>2047.3481678791281</v>
      </c>
      <c r="R158" s="170"/>
      <c r="S158" s="88"/>
      <c r="T158" s="88"/>
      <c r="U158" s="102"/>
      <c r="V158" s="102"/>
      <c r="W158" s="88"/>
      <c r="X158" s="88"/>
      <c r="Y158" s="88"/>
    </row>
    <row r="159" spans="1:49" s="93" customFormat="1" ht="15" customHeight="1" outlineLevel="1">
      <c r="C159" s="169">
        <f>$C$124</f>
        <v>2025</v>
      </c>
      <c r="F159" s="427">
        <f>Model!S394</f>
        <v>828.15516167724036</v>
      </c>
      <c r="G159" s="428">
        <f>Model!T394</f>
        <v>565.06433908697466</v>
      </c>
      <c r="H159" s="428">
        <f>Model!U394</f>
        <v>31.489440693138818</v>
      </c>
      <c r="I159" s="427">
        <f>Model!V394</f>
        <v>0</v>
      </c>
      <c r="J159" s="428">
        <f>Model!W394</f>
        <v>0</v>
      </c>
      <c r="K159" s="428">
        <f>Model!X394</f>
        <v>0</v>
      </c>
      <c r="L159" s="427">
        <f>Model!Y394</f>
        <v>0</v>
      </c>
      <c r="M159" s="428">
        <f>Model!Z394</f>
        <v>0</v>
      </c>
      <c r="N159" s="428">
        <f>Model!AA394</f>
        <v>0</v>
      </c>
      <c r="O159" s="427">
        <f>Model!AB394</f>
        <v>0</v>
      </c>
      <c r="P159" s="428">
        <f>Model!AC394</f>
        <v>0</v>
      </c>
      <c r="Q159" s="428">
        <f>Model!AD394</f>
        <v>0</v>
      </c>
      <c r="R159" s="170"/>
      <c r="S159" s="88"/>
      <c r="T159" s="88"/>
      <c r="U159" s="102"/>
      <c r="V159" s="102"/>
      <c r="W159" s="88"/>
      <c r="X159" s="88"/>
      <c r="Y159" s="88"/>
    </row>
    <row r="160" spans="1:49" s="93" customFormat="1" ht="15" customHeight="1" outlineLevel="1"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S160" s="88"/>
      <c r="T160" s="88"/>
      <c r="U160" s="102"/>
      <c r="V160" s="102"/>
      <c r="W160" s="88"/>
      <c r="X160" s="88"/>
      <c r="Y160" s="88"/>
    </row>
    <row r="161" spans="1:49" s="93" customFormat="1" ht="15" customHeight="1" outlineLevel="1">
      <c r="C161" s="168" t="s">
        <v>202</v>
      </c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X161" s="434"/>
    </row>
    <row r="162" spans="1:49" s="93" customFormat="1" ht="15" customHeight="1" outlineLevel="1">
      <c r="C162" s="169">
        <f>$C$123</f>
        <v>2024</v>
      </c>
      <c r="F162" s="140">
        <f>F154-F158</f>
        <v>2075.2523224043716</v>
      </c>
      <c r="G162" s="141">
        <f t="shared" ref="F162:Q163" si="12">G154-G158</f>
        <v>1614.3501526639348</v>
      </c>
      <c r="H162" s="141">
        <f t="shared" si="12"/>
        <v>1090.4383504499665</v>
      </c>
      <c r="I162" s="140">
        <f t="shared" si="12"/>
        <v>2817.4954572550537</v>
      </c>
      <c r="J162" s="141">
        <f t="shared" si="12"/>
        <v>2339.291518302563</v>
      </c>
      <c r="K162" s="141">
        <f t="shared" si="12"/>
        <v>1814.170758027281</v>
      </c>
      <c r="L162" s="140">
        <f t="shared" si="12"/>
        <v>1333.4585073267206</v>
      </c>
      <c r="M162" s="141">
        <f t="shared" si="12"/>
        <v>796.26442135460024</v>
      </c>
      <c r="N162" s="141">
        <f t="shared" si="12"/>
        <v>191.43445399268603</v>
      </c>
      <c r="O162" s="140">
        <f t="shared" si="12"/>
        <v>3138.308668542968</v>
      </c>
      <c r="P162" s="141">
        <f t="shared" si="12"/>
        <v>954.33381179902472</v>
      </c>
      <c r="Q162" s="141">
        <f t="shared" si="12"/>
        <v>-2047.3481678791281</v>
      </c>
      <c r="R162" s="170"/>
      <c r="S162" s="104">
        <f>H162</f>
        <v>1090.4383504499665</v>
      </c>
      <c r="T162" s="105">
        <f>K162</f>
        <v>1814.170758027281</v>
      </c>
      <c r="U162" s="105">
        <f>N162</f>
        <v>191.43445399268603</v>
      </c>
      <c r="V162" s="105">
        <f>Q162</f>
        <v>-2047.3481678791281</v>
      </c>
      <c r="W162" s="170"/>
      <c r="X162" s="104">
        <f>V162</f>
        <v>-2047.3481678791281</v>
      </c>
      <c r="Y162" s="170"/>
    </row>
    <row r="163" spans="1:49" s="93" customFormat="1" ht="15" customHeight="1" outlineLevel="1">
      <c r="C163" s="169">
        <f>$C$124</f>
        <v>2025</v>
      </c>
      <c r="F163" s="427">
        <f t="shared" si="12"/>
        <v>-828.15516167724036</v>
      </c>
      <c r="G163" s="428">
        <f t="shared" si="12"/>
        <v>-565.06433908697466</v>
      </c>
      <c r="H163" s="428">
        <f t="shared" si="12"/>
        <v>-31.489440693138818</v>
      </c>
      <c r="I163" s="427">
        <f t="shared" si="12"/>
        <v>2139.8809798543712</v>
      </c>
      <c r="J163" s="428">
        <f t="shared" si="12"/>
        <v>3137.8649137346779</v>
      </c>
      <c r="K163" s="428">
        <f t="shared" si="12"/>
        <v>4004.3232595044801</v>
      </c>
      <c r="L163" s="427">
        <f t="shared" si="12"/>
        <v>5006.9682990839119</v>
      </c>
      <c r="M163" s="428">
        <f t="shared" si="12"/>
        <v>6012.1199512622925</v>
      </c>
      <c r="N163" s="428">
        <f t="shared" si="12"/>
        <v>6892.4139346259135</v>
      </c>
      <c r="O163" s="427">
        <f t="shared" si="12"/>
        <v>7902.2792008931483</v>
      </c>
      <c r="P163" s="428">
        <f t="shared" si="12"/>
        <v>9306.1152490475124</v>
      </c>
      <c r="Q163" s="428">
        <f t="shared" si="12"/>
        <v>9701.9341749934956</v>
      </c>
      <c r="R163" s="170"/>
      <c r="S163" s="108">
        <f>H163</f>
        <v>-31.489440693138818</v>
      </c>
      <c r="T163" s="109">
        <f t="shared" ref="T163:T164" si="13">K163</f>
        <v>4004.3232595044801</v>
      </c>
      <c r="U163" s="109">
        <f t="shared" ref="U163:U164" si="14">N163</f>
        <v>6892.4139346259135</v>
      </c>
      <c r="V163" s="109">
        <f t="shared" ref="V163:V164" si="15">Q163</f>
        <v>9701.9341749934956</v>
      </c>
      <c r="W163" s="170"/>
      <c r="X163" s="108">
        <f t="shared" ref="X163:X164" si="16">V163</f>
        <v>9701.9341749934956</v>
      </c>
      <c r="Y163" s="170"/>
    </row>
    <row r="164" spans="1:49" s="93" customFormat="1" ht="15" customHeight="1" outlineLevel="1">
      <c r="C164" s="169" t="s">
        <v>203</v>
      </c>
      <c r="F164" s="140">
        <f>-Model!$E$394</f>
        <v>-1000</v>
      </c>
      <c r="G164" s="141">
        <f>-Model!$E$394</f>
        <v>-1000</v>
      </c>
      <c r="H164" s="141">
        <f>-Model!$E$394</f>
        <v>-1000</v>
      </c>
      <c r="I164" s="140">
        <f>-Model!$E$394</f>
        <v>-1000</v>
      </c>
      <c r="J164" s="141">
        <f>-Model!$E$394</f>
        <v>-1000</v>
      </c>
      <c r="K164" s="141">
        <f>-Model!$E$394</f>
        <v>-1000</v>
      </c>
      <c r="L164" s="140">
        <f>-Model!$E$394</f>
        <v>-1000</v>
      </c>
      <c r="M164" s="141">
        <f>-Model!$E$394</f>
        <v>-1000</v>
      </c>
      <c r="N164" s="141">
        <f>-Model!$E$394</f>
        <v>-1000</v>
      </c>
      <c r="O164" s="140">
        <f>-Model!$E$394</f>
        <v>-1000</v>
      </c>
      <c r="P164" s="141">
        <f>-Model!$E$394</f>
        <v>-1000</v>
      </c>
      <c r="Q164" s="141">
        <f>-Model!$E$394</f>
        <v>-1000</v>
      </c>
      <c r="R164" s="170"/>
      <c r="S164" s="435">
        <f t="shared" ref="S164" si="17">H164</f>
        <v>-1000</v>
      </c>
      <c r="T164" s="141">
        <f t="shared" si="13"/>
        <v>-1000</v>
      </c>
      <c r="U164" s="141">
        <f t="shared" si="14"/>
        <v>-1000</v>
      </c>
      <c r="V164" s="141">
        <f t="shared" si="15"/>
        <v>-1000</v>
      </c>
      <c r="W164" s="170"/>
      <c r="X164" s="140">
        <f t="shared" si="16"/>
        <v>-1000</v>
      </c>
      <c r="Y164" s="170"/>
    </row>
    <row r="165" spans="1:49" s="93" customFormat="1" ht="15" customHeight="1" outlineLevel="1"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T165" s="171"/>
      <c r="U165" s="171"/>
      <c r="V165" s="171"/>
      <c r="X165" s="171"/>
    </row>
    <row r="166" spans="1:49" s="93" customFormat="1" ht="15" customHeight="1" outlineLevel="1">
      <c r="C166" s="168" t="s">
        <v>195</v>
      </c>
      <c r="D166" s="168" t="s">
        <v>196</v>
      </c>
      <c r="E166" s="168"/>
      <c r="X166" s="42" t="s">
        <v>34</v>
      </c>
    </row>
    <row r="167" spans="1:49" s="93" customFormat="1" ht="15" customHeight="1" outlineLevel="1">
      <c r="C167" s="169" t="s">
        <v>197</v>
      </c>
      <c r="D167" s="169">
        <f>$C$123</f>
        <v>2024</v>
      </c>
      <c r="E167" s="169"/>
      <c r="F167" s="140">
        <f>IFERROR(F162/F$123,NA())</f>
        <v>2075.2523224043716</v>
      </c>
      <c r="G167" s="141">
        <f t="shared" ref="G167:Q167" si="18">IFERROR(G162/G$123,NA())</f>
        <v>1614.3501526639348</v>
      </c>
      <c r="H167" s="141">
        <f t="shared" si="18"/>
        <v>1090.4383504499665</v>
      </c>
      <c r="I167" s="140">
        <f t="shared" si="18"/>
        <v>2817.4954572550537</v>
      </c>
      <c r="J167" s="141">
        <f t="shared" si="18"/>
        <v>2339.291518302563</v>
      </c>
      <c r="K167" s="141">
        <f t="shared" si="18"/>
        <v>1814.170758027281</v>
      </c>
      <c r="L167" s="140">
        <f t="shared" si="18"/>
        <v>1333.4585073267206</v>
      </c>
      <c r="M167" s="141">
        <f t="shared" si="18"/>
        <v>796.26442135460024</v>
      </c>
      <c r="N167" s="141">
        <f t="shared" si="18"/>
        <v>191.43445399268603</v>
      </c>
      <c r="O167" s="140">
        <f t="shared" si="18"/>
        <v>3138.308668542968</v>
      </c>
      <c r="P167" s="141">
        <f t="shared" si="18"/>
        <v>954.33381179902472</v>
      </c>
      <c r="Q167" s="141">
        <f t="shared" si="18"/>
        <v>-2047.3481678791281</v>
      </c>
      <c r="R167" s="170"/>
      <c r="S167" s="140">
        <f>IFERROR(S162/S$123,NA())</f>
        <v>1090.4383504499665</v>
      </c>
      <c r="T167" s="141">
        <f>IFERROR(T162/T$123,NA())</f>
        <v>1814.170758027281</v>
      </c>
      <c r="U167" s="141">
        <f>IFERROR(U162/U$123,NA())</f>
        <v>191.43445399268603</v>
      </c>
      <c r="V167" s="141">
        <f>IFERROR(V162/V$123,NA())</f>
        <v>-2047.3481678791281</v>
      </c>
      <c r="W167" s="170"/>
      <c r="X167" s="140">
        <f>X162</f>
        <v>-2047.3481678791281</v>
      </c>
      <c r="Y167" s="431">
        <f>IF($X$123=1,X167,NA())</f>
        <v>-2047.3481678791281</v>
      </c>
    </row>
    <row r="168" spans="1:49" s="93" customFormat="1" ht="15" customHeight="1" outlineLevel="1">
      <c r="C168" s="169" t="s">
        <v>197</v>
      </c>
      <c r="D168" s="169">
        <f>$C$124</f>
        <v>2025</v>
      </c>
      <c r="E168" s="169"/>
      <c r="F168" s="427" t="e">
        <f>IFERROR(F163/F$124,NA())</f>
        <v>#N/A</v>
      </c>
      <c r="G168" s="428" t="e">
        <f t="shared" ref="G168:Q168" si="19">IFERROR(G163/G$124,NA())</f>
        <v>#N/A</v>
      </c>
      <c r="H168" s="428" t="e">
        <f t="shared" si="19"/>
        <v>#N/A</v>
      </c>
      <c r="I168" s="427" t="e">
        <f t="shared" si="19"/>
        <v>#N/A</v>
      </c>
      <c r="J168" s="428" t="e">
        <f t="shared" si="19"/>
        <v>#N/A</v>
      </c>
      <c r="K168" s="428" t="e">
        <f t="shared" si="19"/>
        <v>#N/A</v>
      </c>
      <c r="L168" s="427" t="e">
        <f t="shared" si="19"/>
        <v>#N/A</v>
      </c>
      <c r="M168" s="428" t="e">
        <f t="shared" si="19"/>
        <v>#N/A</v>
      </c>
      <c r="N168" s="428" t="e">
        <f t="shared" si="19"/>
        <v>#N/A</v>
      </c>
      <c r="O168" s="427" t="e">
        <f t="shared" si="19"/>
        <v>#N/A</v>
      </c>
      <c r="P168" s="428" t="e">
        <f t="shared" si="19"/>
        <v>#N/A</v>
      </c>
      <c r="Q168" s="428" t="e">
        <f t="shared" si="19"/>
        <v>#N/A</v>
      </c>
      <c r="R168" s="170"/>
      <c r="S168" s="427" t="e">
        <f>IFERROR(S163/S$124,NA())</f>
        <v>#N/A</v>
      </c>
      <c r="T168" s="428" t="e">
        <f>IFERROR(T163/T$124,NA())</f>
        <v>#N/A</v>
      </c>
      <c r="U168" s="428" t="e">
        <f>IFERROR(U163/U$124,NA())</f>
        <v>#N/A</v>
      </c>
      <c r="V168" s="428" t="e">
        <f>IFERROR(V163/V$124,NA())</f>
        <v>#N/A</v>
      </c>
      <c r="W168" s="170"/>
      <c r="X168" s="427">
        <f>X163</f>
        <v>9701.9341749934956</v>
      </c>
      <c r="Y168" s="428" t="e">
        <f>IF($X$124=1,X168,NA())</f>
        <v>#N/A</v>
      </c>
      <c r="Z168" s="170"/>
    </row>
    <row r="169" spans="1:49" s="93" customFormat="1" ht="15" customHeight="1" outlineLevel="1">
      <c r="C169" s="169" t="s">
        <v>197</v>
      </c>
      <c r="D169" s="76" t="s">
        <v>203</v>
      </c>
      <c r="E169" s="76"/>
      <c r="F169" s="427">
        <f>F164</f>
        <v>-1000</v>
      </c>
      <c r="G169" s="428">
        <f t="shared" ref="G169:Q169" si="20">G164</f>
        <v>-1000</v>
      </c>
      <c r="H169" s="428">
        <f t="shared" si="20"/>
        <v>-1000</v>
      </c>
      <c r="I169" s="427">
        <f t="shared" si="20"/>
        <v>-1000</v>
      </c>
      <c r="J169" s="428">
        <f t="shared" si="20"/>
        <v>-1000</v>
      </c>
      <c r="K169" s="428">
        <f t="shared" si="20"/>
        <v>-1000</v>
      </c>
      <c r="L169" s="427">
        <f t="shared" si="20"/>
        <v>-1000</v>
      </c>
      <c r="M169" s="428">
        <f t="shared" si="20"/>
        <v>-1000</v>
      </c>
      <c r="N169" s="428">
        <f t="shared" si="20"/>
        <v>-1000</v>
      </c>
      <c r="O169" s="427">
        <f t="shared" si="20"/>
        <v>-1000</v>
      </c>
      <c r="P169" s="428">
        <f t="shared" si="20"/>
        <v>-1000</v>
      </c>
      <c r="Q169" s="428">
        <f t="shared" si="20"/>
        <v>-1000</v>
      </c>
      <c r="R169" s="170"/>
      <c r="S169" s="427">
        <f>S164</f>
        <v>-1000</v>
      </c>
      <c r="T169" s="428">
        <f>T164</f>
        <v>-1000</v>
      </c>
      <c r="U169" s="428">
        <f>U164</f>
        <v>-1000</v>
      </c>
      <c r="V169" s="428">
        <f>V164</f>
        <v>-1000</v>
      </c>
      <c r="W169" s="170"/>
      <c r="X169" s="436">
        <v>7000</v>
      </c>
      <c r="Y169" s="428" t="e">
        <f>NA()</f>
        <v>#N/A</v>
      </c>
      <c r="Z169" s="170"/>
    </row>
    <row r="170" spans="1:49" s="93" customFormat="1" ht="15" customHeight="1" outlineLevel="1">
      <c r="C170" s="169" t="s">
        <v>198</v>
      </c>
      <c r="D170" s="169">
        <f>$C$123</f>
        <v>2024</v>
      </c>
      <c r="E170" s="169"/>
      <c r="F170" s="427">
        <f>F162</f>
        <v>2075.2523224043716</v>
      </c>
      <c r="G170" s="428">
        <f t="shared" ref="G170:Q170" si="21">G162</f>
        <v>1614.3501526639348</v>
      </c>
      <c r="H170" s="428">
        <f t="shared" si="21"/>
        <v>1090.4383504499665</v>
      </c>
      <c r="I170" s="427">
        <f t="shared" si="21"/>
        <v>2817.4954572550537</v>
      </c>
      <c r="J170" s="428">
        <f t="shared" si="21"/>
        <v>2339.291518302563</v>
      </c>
      <c r="K170" s="428">
        <f t="shared" si="21"/>
        <v>1814.170758027281</v>
      </c>
      <c r="L170" s="427">
        <f t="shared" si="21"/>
        <v>1333.4585073267206</v>
      </c>
      <c r="M170" s="428">
        <f t="shared" si="21"/>
        <v>796.26442135460024</v>
      </c>
      <c r="N170" s="428">
        <f t="shared" si="21"/>
        <v>191.43445399268603</v>
      </c>
      <c r="O170" s="427">
        <f t="shared" si="21"/>
        <v>3138.308668542968</v>
      </c>
      <c r="P170" s="428">
        <f t="shared" si="21"/>
        <v>954.33381179902472</v>
      </c>
      <c r="Q170" s="428">
        <f t="shared" si="21"/>
        <v>-2047.3481678791281</v>
      </c>
      <c r="R170" s="170"/>
      <c r="S170" s="427">
        <f t="shared" ref="S170:V170" si="22">S162</f>
        <v>1090.4383504499665</v>
      </c>
      <c r="T170" s="428">
        <f t="shared" si="22"/>
        <v>1814.170758027281</v>
      </c>
      <c r="U170" s="428">
        <f t="shared" si="22"/>
        <v>191.43445399268603</v>
      </c>
      <c r="V170" s="428">
        <f t="shared" si="22"/>
        <v>-2047.3481678791281</v>
      </c>
      <c r="W170" s="170"/>
      <c r="X170" s="427">
        <f>IF(SUM($X$123:$X$124)&gt;1,NA(),Y170)</f>
        <v>-2047.3481678791281</v>
      </c>
      <c r="Y170" s="428">
        <f>X167</f>
        <v>-2047.3481678791281</v>
      </c>
      <c r="Z170" s="170"/>
    </row>
    <row r="171" spans="1:49" s="93" customFormat="1" ht="15" customHeight="1" outlineLevel="1">
      <c r="C171" s="169" t="s">
        <v>198</v>
      </c>
      <c r="D171" s="169">
        <f>$C$124</f>
        <v>2025</v>
      </c>
      <c r="E171" s="169"/>
      <c r="F171" s="427">
        <f t="shared" ref="F171:Q171" si="23">F163</f>
        <v>-828.15516167724036</v>
      </c>
      <c r="G171" s="428">
        <f t="shared" si="23"/>
        <v>-565.06433908697466</v>
      </c>
      <c r="H171" s="428">
        <f t="shared" si="23"/>
        <v>-31.489440693138818</v>
      </c>
      <c r="I171" s="427">
        <f t="shared" si="23"/>
        <v>2139.8809798543712</v>
      </c>
      <c r="J171" s="428">
        <f t="shared" si="23"/>
        <v>3137.8649137346779</v>
      </c>
      <c r="K171" s="428">
        <f t="shared" si="23"/>
        <v>4004.3232595044801</v>
      </c>
      <c r="L171" s="427">
        <f t="shared" si="23"/>
        <v>5006.9682990839119</v>
      </c>
      <c r="M171" s="428">
        <f t="shared" si="23"/>
        <v>6012.1199512622925</v>
      </c>
      <c r="N171" s="428">
        <f t="shared" si="23"/>
        <v>6892.4139346259135</v>
      </c>
      <c r="O171" s="427">
        <f t="shared" si="23"/>
        <v>7902.2792008931483</v>
      </c>
      <c r="P171" s="428">
        <f t="shared" si="23"/>
        <v>9306.1152490475124</v>
      </c>
      <c r="Q171" s="428">
        <f t="shared" si="23"/>
        <v>9701.9341749934956</v>
      </c>
      <c r="R171" s="170"/>
      <c r="S171" s="427">
        <f t="shared" ref="S171:V171" si="24">S163</f>
        <v>-31.489440693138818</v>
      </c>
      <c r="T171" s="428">
        <f t="shared" si="24"/>
        <v>4004.3232595044801</v>
      </c>
      <c r="U171" s="428">
        <f t="shared" si="24"/>
        <v>6892.4139346259135</v>
      </c>
      <c r="V171" s="428">
        <f t="shared" si="24"/>
        <v>9701.9341749934956</v>
      </c>
      <c r="W171" s="170"/>
      <c r="X171" s="427">
        <f>IF(SUM($X$123:$X$124)&gt;1,NA(),Y171)</f>
        <v>9701.9341749934956</v>
      </c>
      <c r="Y171" s="428">
        <f t="shared" ref="Y171:Y172" si="25">X168</f>
        <v>9701.9341749934956</v>
      </c>
      <c r="Z171" s="170"/>
    </row>
    <row r="172" spans="1:49" s="93" customFormat="1" ht="15" customHeight="1" outlineLevel="1">
      <c r="C172" s="169" t="s">
        <v>198</v>
      </c>
      <c r="D172" s="76" t="s">
        <v>194</v>
      </c>
      <c r="E172" s="76"/>
      <c r="F172" s="427"/>
      <c r="G172" s="428"/>
      <c r="H172" s="428"/>
      <c r="I172" s="427"/>
      <c r="J172" s="428"/>
      <c r="K172" s="428"/>
      <c r="L172" s="427"/>
      <c r="M172" s="428"/>
      <c r="N172" s="428"/>
      <c r="O172" s="427"/>
      <c r="P172" s="428"/>
      <c r="Q172" s="428"/>
      <c r="R172" s="170"/>
      <c r="S172" s="170"/>
      <c r="W172" s="170"/>
      <c r="X172" s="427">
        <f>$X$169</f>
        <v>7000</v>
      </c>
      <c r="Y172" s="428">
        <f t="shared" si="25"/>
        <v>7000</v>
      </c>
      <c r="Z172" s="170"/>
    </row>
    <row r="173" spans="1:49" s="93" customFormat="1" ht="15" customHeight="1" outlineLevel="1">
      <c r="C173" s="169"/>
      <c r="D173" s="76"/>
      <c r="E173" s="76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  <c r="S173" s="171"/>
      <c r="T173" s="171"/>
      <c r="U173" s="171"/>
      <c r="V173" s="171"/>
      <c r="X173" s="141"/>
      <c r="Y173" s="141"/>
    </row>
    <row r="174" spans="1:49" s="93" customFormat="1" ht="15" customHeight="1" outlineLevel="1"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</row>
    <row r="175" spans="1:49" s="93" customFormat="1" ht="15" customHeight="1"/>
    <row r="176" spans="1:49" s="27" customFormat="1" ht="15" customHeight="1">
      <c r="A176" s="152" t="s">
        <v>11</v>
      </c>
      <c r="B176" s="152"/>
      <c r="C176" s="89" t="s">
        <v>204</v>
      </c>
      <c r="D176" s="24"/>
      <c r="E176" s="24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93"/>
      <c r="AA176" s="93"/>
      <c r="AB176" s="93"/>
      <c r="AC176" s="93"/>
      <c r="AD176" s="93"/>
      <c r="AE176" s="93"/>
      <c r="AF176" s="93"/>
      <c r="AG176" s="93"/>
      <c r="AH176" s="93"/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</row>
    <row r="177" spans="1:49" s="27" customFormat="1" ht="15" customHeight="1" outlineLevel="1">
      <c r="A177" s="152"/>
      <c r="B177" s="152"/>
      <c r="C177" s="28"/>
      <c r="D177" s="28"/>
      <c r="E177" s="28"/>
      <c r="G177" s="29"/>
      <c r="H177" s="29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2"/>
      <c r="T177" s="158"/>
      <c r="U177" s="158"/>
      <c r="V177" s="158"/>
      <c r="W177" s="158"/>
      <c r="X177" s="158"/>
      <c r="Y177" s="158"/>
      <c r="Z177" s="93"/>
      <c r="AA177" s="93"/>
      <c r="AB177" s="93"/>
      <c r="AC177" s="93"/>
      <c r="AD177" s="93"/>
      <c r="AE177" s="93"/>
      <c r="AF177" s="93"/>
      <c r="AG177" s="93"/>
      <c r="AH177" s="93"/>
      <c r="AI177" s="93"/>
      <c r="AJ177" s="93"/>
      <c r="AK177" s="93"/>
      <c r="AL177" s="93"/>
      <c r="AM177" s="93"/>
      <c r="AN177" s="93"/>
      <c r="AO177" s="93"/>
      <c r="AP177" s="93"/>
      <c r="AQ177" s="93"/>
      <c r="AR177" s="93"/>
      <c r="AS177" s="93"/>
      <c r="AT177" s="93"/>
      <c r="AU177" s="93"/>
      <c r="AV177" s="93"/>
      <c r="AW177" s="93"/>
    </row>
    <row r="178" spans="1:49" s="27" customFormat="1" ht="15" customHeight="1" outlineLevel="1">
      <c r="A178" s="152"/>
      <c r="B178" s="152"/>
      <c r="C178" s="28"/>
      <c r="F178" s="48">
        <f t="shared" ref="F178:Q178" si="26">F$119</f>
        <v>1</v>
      </c>
      <c r="G178" s="49">
        <f t="shared" si="26"/>
        <v>1</v>
      </c>
      <c r="H178" s="160">
        <f t="shared" si="26"/>
        <v>1</v>
      </c>
      <c r="I178" s="50">
        <f t="shared" si="26"/>
        <v>2</v>
      </c>
      <c r="J178" s="49">
        <f t="shared" si="26"/>
        <v>2</v>
      </c>
      <c r="K178" s="161">
        <f t="shared" si="26"/>
        <v>2</v>
      </c>
      <c r="L178" s="50">
        <f t="shared" si="26"/>
        <v>3</v>
      </c>
      <c r="M178" s="49">
        <f t="shared" si="26"/>
        <v>3</v>
      </c>
      <c r="N178" s="161">
        <f t="shared" si="26"/>
        <v>3</v>
      </c>
      <c r="O178" s="53">
        <f t="shared" si="26"/>
        <v>4</v>
      </c>
      <c r="P178" s="51">
        <f t="shared" si="26"/>
        <v>4</v>
      </c>
      <c r="Q178" s="161">
        <f t="shared" si="26"/>
        <v>4</v>
      </c>
      <c r="R178" s="165"/>
      <c r="S178" s="158"/>
      <c r="T178" s="158"/>
      <c r="U178" s="158"/>
      <c r="V178" s="158"/>
      <c r="W178" s="158"/>
      <c r="X178" s="158"/>
      <c r="Y178" s="158"/>
      <c r="AA178" s="93"/>
      <c r="AB178" s="93"/>
      <c r="AC178" s="93"/>
      <c r="AD178" s="93"/>
      <c r="AE178" s="93"/>
      <c r="AF178" s="93"/>
      <c r="AG178" s="93"/>
      <c r="AH178" s="93"/>
      <c r="AI178" s="93"/>
      <c r="AJ178" s="93"/>
      <c r="AK178" s="93"/>
      <c r="AL178" s="93"/>
      <c r="AM178" s="93"/>
      <c r="AN178" s="93"/>
      <c r="AO178" s="93"/>
      <c r="AP178" s="93"/>
      <c r="AQ178" s="93"/>
      <c r="AR178" s="93"/>
      <c r="AS178" s="93"/>
      <c r="AT178" s="93"/>
      <c r="AU178" s="93"/>
      <c r="AV178" s="93"/>
      <c r="AW178" s="93"/>
    </row>
    <row r="179" spans="1:49" s="32" customFormat="1" ht="15" customHeight="1" outlineLevel="1" thickBot="1">
      <c r="C179" s="153" t="s">
        <v>13</v>
      </c>
      <c r="F179" s="162">
        <f t="shared" ref="F179:Q179" si="27">F$120</f>
        <v>45322</v>
      </c>
      <c r="G179" s="163">
        <f t="shared" si="27"/>
        <v>45351</v>
      </c>
      <c r="H179" s="163">
        <f t="shared" si="27"/>
        <v>45382</v>
      </c>
      <c r="I179" s="164">
        <f t="shared" si="27"/>
        <v>45412</v>
      </c>
      <c r="J179" s="163">
        <f t="shared" si="27"/>
        <v>45443</v>
      </c>
      <c r="K179" s="163">
        <f t="shared" si="27"/>
        <v>45473</v>
      </c>
      <c r="L179" s="164">
        <f t="shared" si="27"/>
        <v>45504</v>
      </c>
      <c r="M179" s="163">
        <f t="shared" si="27"/>
        <v>45535</v>
      </c>
      <c r="N179" s="163">
        <f t="shared" si="27"/>
        <v>45565</v>
      </c>
      <c r="O179" s="164">
        <f t="shared" si="27"/>
        <v>45596</v>
      </c>
      <c r="P179" s="163">
        <f t="shared" si="27"/>
        <v>45626</v>
      </c>
      <c r="Q179" s="163">
        <f t="shared" si="27"/>
        <v>45657</v>
      </c>
      <c r="R179" s="165"/>
      <c r="S179" s="166">
        <f>S$120</f>
        <v>1</v>
      </c>
      <c r="T179" s="160">
        <f>T$120</f>
        <v>2</v>
      </c>
      <c r="U179" s="160">
        <f>U$120</f>
        <v>3</v>
      </c>
      <c r="V179" s="160">
        <f>V$120</f>
        <v>4</v>
      </c>
      <c r="W179" s="95"/>
      <c r="X179" s="172" t="s">
        <v>191</v>
      </c>
      <c r="Y179" s="173"/>
      <c r="Z179" s="174"/>
      <c r="AA179" s="93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</row>
    <row r="180" spans="1:49" s="93" customFormat="1" ht="15" customHeight="1" outlineLevel="1"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S180" s="100"/>
      <c r="T180" s="100"/>
      <c r="U180" s="101"/>
      <c r="V180" s="101"/>
      <c r="W180" s="88"/>
      <c r="X180" s="100"/>
      <c r="Y180" s="100"/>
    </row>
    <row r="181" spans="1:49" s="93" customFormat="1" ht="15" customHeight="1" outlineLevel="1">
      <c r="C181" s="168" t="s">
        <v>110</v>
      </c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</row>
    <row r="182" spans="1:49" s="93" customFormat="1" ht="15" customHeight="1" outlineLevel="1">
      <c r="C182" s="169">
        <f>$C$123</f>
        <v>2024</v>
      </c>
      <c r="F182" s="176">
        <f>Model!G474</f>
        <v>0.46145607302533526</v>
      </c>
      <c r="G182" s="177">
        <f>Model!H474</f>
        <v>0.43445450819672132</v>
      </c>
      <c r="H182" s="177">
        <f>Model!I474</f>
        <v>0.46145607302533526</v>
      </c>
      <c r="I182" s="176">
        <f>Model!J474</f>
        <v>0.68624135618479876</v>
      </c>
      <c r="J182" s="177">
        <f>Model!K474</f>
        <v>0.66860231153635197</v>
      </c>
      <c r="K182" s="177">
        <f>Model!L474</f>
        <v>0.71773385946736545</v>
      </c>
      <c r="L182" s="176">
        <f>Model!M474</f>
        <v>0.70930640075568285</v>
      </c>
      <c r="M182" s="177">
        <f>Model!N474</f>
        <v>0.63876233956974837</v>
      </c>
      <c r="N182" s="177">
        <f>Model!O474</f>
        <v>0.66138367968797607</v>
      </c>
      <c r="O182" s="176">
        <f>Model!P474</f>
        <v>0.60777246203064939</v>
      </c>
      <c r="P182" s="177">
        <f>Model!Q474</f>
        <v>0.56317597089872784</v>
      </c>
      <c r="Q182" s="177">
        <f>Model!R474</f>
        <v>0.60777246203064939</v>
      </c>
      <c r="R182" s="170"/>
      <c r="S182" s="178">
        <f>Totals!E38</f>
        <v>0.45245555141579724</v>
      </c>
      <c r="T182" s="179">
        <f>Totals!F38</f>
        <v>0.6910190233291299</v>
      </c>
      <c r="U182" s="179">
        <f>Totals!G38</f>
        <v>0.6698174733378025</v>
      </c>
      <c r="V182" s="179">
        <f>Totals!H38</f>
        <v>0.59290696498667561</v>
      </c>
      <c r="W182" s="170"/>
      <c r="X182" s="178">
        <f>Totals!N38</f>
        <v>0.62115493068454053</v>
      </c>
      <c r="Y182" s="170"/>
    </row>
    <row r="183" spans="1:49" s="93" customFormat="1" ht="15" customHeight="1" outlineLevel="1">
      <c r="C183" s="169">
        <f>$C$124</f>
        <v>2025</v>
      </c>
      <c r="F183" s="180">
        <f>Model!S474</f>
        <v>0.50564898680638848</v>
      </c>
      <c r="G183" s="181">
        <f>Model!T474</f>
        <v>0.59415114628999988</v>
      </c>
      <c r="H183" s="181">
        <f>Model!U474</f>
        <v>0.65754454951950936</v>
      </c>
      <c r="I183" s="180">
        <f>Model!V474</f>
        <v>0.70010268690354616</v>
      </c>
      <c r="J183" s="181">
        <f>Model!W474</f>
        <v>0.60078991442758045</v>
      </c>
      <c r="K183" s="181">
        <f>Model!X474</f>
        <v>0.70010268690354616</v>
      </c>
      <c r="L183" s="180">
        <f>Model!Y474</f>
        <v>0.69105212522449566</v>
      </c>
      <c r="M183" s="181">
        <f>Model!Z474</f>
        <v>0.60489274219107658</v>
      </c>
      <c r="N183" s="181">
        <f>Model!AA474</f>
        <v>0.70010268690354616</v>
      </c>
      <c r="O183" s="180">
        <f>Model!AB474</f>
        <v>0.74962349315068499</v>
      </c>
      <c r="P183" s="181">
        <f>Model!AC474</f>
        <v>0.69045821917808214</v>
      </c>
      <c r="Q183" s="181">
        <f>Model!AD474</f>
        <v>0.74962349315068499</v>
      </c>
      <c r="R183" s="170"/>
      <c r="S183" s="182">
        <f>Totals!I38</f>
        <v>0.59492531932343229</v>
      </c>
      <c r="T183" s="183">
        <f>Totals!J38</f>
        <v>0.66699842941155751</v>
      </c>
      <c r="U183" s="183">
        <f>Totals!K38</f>
        <v>0.66534918477303939</v>
      </c>
      <c r="V183" s="183">
        <f>Totals!L38</f>
        <v>0.72990173515981738</v>
      </c>
      <c r="W183" s="170"/>
      <c r="X183" s="182">
        <f>Totals!O38</f>
        <v>0.67175660179740804</v>
      </c>
      <c r="Y183" s="170"/>
    </row>
    <row r="184" spans="1:49" s="93" customFormat="1" ht="15" customHeight="1" outlineLevel="1">
      <c r="C184" s="169" t="s">
        <v>194</v>
      </c>
      <c r="E184" s="42" t="s">
        <v>34</v>
      </c>
      <c r="F184" s="184">
        <v>0.65</v>
      </c>
      <c r="G184" s="185">
        <v>0.65</v>
      </c>
      <c r="H184" s="185">
        <v>0.65</v>
      </c>
      <c r="I184" s="184">
        <v>0.65</v>
      </c>
      <c r="J184" s="185">
        <v>0.65</v>
      </c>
      <c r="K184" s="185">
        <v>0.65</v>
      </c>
      <c r="L184" s="184">
        <v>0.65</v>
      </c>
      <c r="M184" s="185">
        <v>0.65</v>
      </c>
      <c r="N184" s="185">
        <v>0.65</v>
      </c>
      <c r="O184" s="184">
        <v>0.65</v>
      </c>
      <c r="P184" s="185">
        <v>0.65</v>
      </c>
      <c r="Q184" s="185">
        <v>0.65</v>
      </c>
      <c r="R184" s="170"/>
      <c r="S184" s="176">
        <f>S195</f>
        <v>0.65</v>
      </c>
      <c r="T184" s="177">
        <f>T195</f>
        <v>0.65</v>
      </c>
      <c r="U184" s="177">
        <f>U195</f>
        <v>0.65</v>
      </c>
      <c r="V184" s="177">
        <f>V195</f>
        <v>0.65</v>
      </c>
      <c r="W184" s="170"/>
      <c r="X184" s="176">
        <f>X195</f>
        <v>0.65</v>
      </c>
      <c r="Y184" s="170"/>
    </row>
    <row r="185" spans="1:49" s="93" customFormat="1" ht="15" customHeight="1" outlineLevel="1"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S185" s="171"/>
      <c r="T185" s="171"/>
      <c r="U185" s="171"/>
      <c r="V185" s="171"/>
      <c r="X185" s="171"/>
    </row>
    <row r="186" spans="1:49" s="93" customFormat="1" ht="15" customHeight="1" outlineLevel="1">
      <c r="C186" s="168" t="s">
        <v>205</v>
      </c>
      <c r="D186" s="168" t="s">
        <v>196</v>
      </c>
      <c r="E186" s="168"/>
    </row>
    <row r="187" spans="1:49" s="93" customFormat="1" ht="15" customHeight="1" outlineLevel="1">
      <c r="C187" s="169" t="s">
        <v>197</v>
      </c>
      <c r="D187" s="169">
        <f>$C$123</f>
        <v>2024</v>
      </c>
      <c r="E187" s="169"/>
      <c r="F187" s="176">
        <f>IFERROR(F182/F$123,NA())</f>
        <v>0.46145607302533526</v>
      </c>
      <c r="G187" s="177">
        <f t="shared" ref="G187:Q187" si="28">IFERROR(G182/G$123,NA())</f>
        <v>0.43445450819672132</v>
      </c>
      <c r="H187" s="177">
        <f t="shared" si="28"/>
        <v>0.46145607302533526</v>
      </c>
      <c r="I187" s="176">
        <f t="shared" si="28"/>
        <v>0.68624135618479876</v>
      </c>
      <c r="J187" s="177">
        <f t="shared" si="28"/>
        <v>0.66860231153635197</v>
      </c>
      <c r="K187" s="177">
        <f t="shared" si="28"/>
        <v>0.71773385946736545</v>
      </c>
      <c r="L187" s="176">
        <f t="shared" si="28"/>
        <v>0.70930640075568285</v>
      </c>
      <c r="M187" s="177">
        <f t="shared" si="28"/>
        <v>0.63876233956974837</v>
      </c>
      <c r="N187" s="177">
        <f t="shared" si="28"/>
        <v>0.66138367968797607</v>
      </c>
      <c r="O187" s="176">
        <f t="shared" si="28"/>
        <v>0.60777246203064939</v>
      </c>
      <c r="P187" s="177">
        <f t="shared" si="28"/>
        <v>0.56317597089872784</v>
      </c>
      <c r="Q187" s="177">
        <f t="shared" si="28"/>
        <v>0.60777246203064939</v>
      </c>
      <c r="R187" s="170"/>
      <c r="S187" s="176">
        <f>IFERROR(S182/S$123,NA())</f>
        <v>0.45245555141579724</v>
      </c>
      <c r="T187" s="177">
        <f>IFERROR(T182/T$123,NA())</f>
        <v>0.6910190233291299</v>
      </c>
      <c r="U187" s="177">
        <f>IFERROR(U182/U$123,NA())</f>
        <v>0.6698174733378025</v>
      </c>
      <c r="V187" s="177">
        <f>IFERROR(V182/V$123,NA())</f>
        <v>0.59290696498667561</v>
      </c>
      <c r="W187" s="170"/>
      <c r="X187" s="176">
        <f>X182</f>
        <v>0.62115493068454053</v>
      </c>
      <c r="Y187" s="177">
        <f>IF($X$123=1,X187,NA())</f>
        <v>0.62115493068454053</v>
      </c>
      <c r="Z187" s="170"/>
    </row>
    <row r="188" spans="1:49" s="93" customFormat="1" ht="15" customHeight="1" outlineLevel="1">
      <c r="C188" s="169" t="s">
        <v>197</v>
      </c>
      <c r="D188" s="169">
        <f>$C$124</f>
        <v>2025</v>
      </c>
      <c r="E188" s="169"/>
      <c r="F188" s="180" t="e">
        <f>IFERROR(F183/F$124,NA())</f>
        <v>#N/A</v>
      </c>
      <c r="G188" s="181" t="e">
        <f t="shared" ref="G188:Q188" si="29">IFERROR(G183/G$124,NA())</f>
        <v>#N/A</v>
      </c>
      <c r="H188" s="181" t="e">
        <f t="shared" si="29"/>
        <v>#N/A</v>
      </c>
      <c r="I188" s="180" t="e">
        <f t="shared" si="29"/>
        <v>#N/A</v>
      </c>
      <c r="J188" s="181" t="e">
        <f t="shared" si="29"/>
        <v>#N/A</v>
      </c>
      <c r="K188" s="181" t="e">
        <f t="shared" si="29"/>
        <v>#N/A</v>
      </c>
      <c r="L188" s="180" t="e">
        <f t="shared" si="29"/>
        <v>#N/A</v>
      </c>
      <c r="M188" s="181" t="e">
        <f t="shared" si="29"/>
        <v>#N/A</v>
      </c>
      <c r="N188" s="181" t="e">
        <f t="shared" si="29"/>
        <v>#N/A</v>
      </c>
      <c r="O188" s="180" t="e">
        <f t="shared" si="29"/>
        <v>#N/A</v>
      </c>
      <c r="P188" s="181" t="e">
        <f t="shared" si="29"/>
        <v>#N/A</v>
      </c>
      <c r="Q188" s="181" t="e">
        <f t="shared" si="29"/>
        <v>#N/A</v>
      </c>
      <c r="R188" s="170"/>
      <c r="S188" s="180" t="e">
        <f>IFERROR(S183/S$124,NA())</f>
        <v>#N/A</v>
      </c>
      <c r="T188" s="181" t="e">
        <f>IFERROR(T183/T$124,NA())</f>
        <v>#N/A</v>
      </c>
      <c r="U188" s="181" t="e">
        <f>IFERROR(U183/U$124,NA())</f>
        <v>#N/A</v>
      </c>
      <c r="V188" s="181" t="e">
        <f>IFERROR(V183/V$124,NA())</f>
        <v>#N/A</v>
      </c>
      <c r="W188" s="170"/>
      <c r="X188" s="180">
        <f>X183</f>
        <v>0.67175660179740804</v>
      </c>
      <c r="Y188" s="181" t="e">
        <f>IF($X$124=1,X188,NA())</f>
        <v>#N/A</v>
      </c>
      <c r="Z188" s="170"/>
    </row>
    <row r="189" spans="1:49" s="93" customFormat="1" ht="15" customHeight="1" outlineLevel="1">
      <c r="C189" s="169" t="s">
        <v>197</v>
      </c>
      <c r="D189" s="76" t="s">
        <v>194</v>
      </c>
      <c r="E189" s="76"/>
      <c r="F189" s="180">
        <f>F184</f>
        <v>0.65</v>
      </c>
      <c r="G189" s="181">
        <f t="shared" ref="G189:Q189" si="30">G184</f>
        <v>0.65</v>
      </c>
      <c r="H189" s="181">
        <f t="shared" si="30"/>
        <v>0.65</v>
      </c>
      <c r="I189" s="180">
        <f t="shared" si="30"/>
        <v>0.65</v>
      </c>
      <c r="J189" s="181">
        <f t="shared" si="30"/>
        <v>0.65</v>
      </c>
      <c r="K189" s="181">
        <f t="shared" si="30"/>
        <v>0.65</v>
      </c>
      <c r="L189" s="180">
        <f t="shared" si="30"/>
        <v>0.65</v>
      </c>
      <c r="M189" s="181">
        <f t="shared" si="30"/>
        <v>0.65</v>
      </c>
      <c r="N189" s="181">
        <f t="shared" si="30"/>
        <v>0.65</v>
      </c>
      <c r="O189" s="180">
        <f t="shared" si="30"/>
        <v>0.65</v>
      </c>
      <c r="P189" s="181">
        <f t="shared" si="30"/>
        <v>0.65</v>
      </c>
      <c r="Q189" s="181">
        <f t="shared" si="30"/>
        <v>0.65</v>
      </c>
      <c r="R189" s="170"/>
      <c r="S189" s="180">
        <f>S184</f>
        <v>0.65</v>
      </c>
      <c r="T189" s="181">
        <f>T184</f>
        <v>0.65</v>
      </c>
      <c r="U189" s="181">
        <f>U184</f>
        <v>0.65</v>
      </c>
      <c r="V189" s="181">
        <f>V184</f>
        <v>0.65</v>
      </c>
      <c r="W189" s="170"/>
      <c r="X189" s="180">
        <f>X184</f>
        <v>0.65</v>
      </c>
      <c r="Y189" s="181" t="e">
        <f>NA()</f>
        <v>#N/A</v>
      </c>
      <c r="Z189" s="170"/>
    </row>
    <row r="190" spans="1:49" s="93" customFormat="1" ht="15" customHeight="1" outlineLevel="1">
      <c r="C190" s="169" t="s">
        <v>198</v>
      </c>
      <c r="D190" s="169">
        <f>$C$123</f>
        <v>2024</v>
      </c>
      <c r="E190" s="169"/>
      <c r="F190" s="180">
        <f>F182</f>
        <v>0.46145607302533526</v>
      </c>
      <c r="G190" s="181">
        <f t="shared" ref="G190:Q190" si="31">G182</f>
        <v>0.43445450819672132</v>
      </c>
      <c r="H190" s="181">
        <f t="shared" si="31"/>
        <v>0.46145607302533526</v>
      </c>
      <c r="I190" s="180">
        <f t="shared" si="31"/>
        <v>0.68624135618479876</v>
      </c>
      <c r="J190" s="181">
        <f t="shared" si="31"/>
        <v>0.66860231153635197</v>
      </c>
      <c r="K190" s="181">
        <f t="shared" si="31"/>
        <v>0.71773385946736545</v>
      </c>
      <c r="L190" s="180">
        <f t="shared" si="31"/>
        <v>0.70930640075568285</v>
      </c>
      <c r="M190" s="181">
        <f t="shared" si="31"/>
        <v>0.63876233956974837</v>
      </c>
      <c r="N190" s="181">
        <f t="shared" si="31"/>
        <v>0.66138367968797607</v>
      </c>
      <c r="O190" s="180">
        <f t="shared" si="31"/>
        <v>0.60777246203064939</v>
      </c>
      <c r="P190" s="181">
        <f t="shared" si="31"/>
        <v>0.56317597089872784</v>
      </c>
      <c r="Q190" s="181">
        <f t="shared" si="31"/>
        <v>0.60777246203064939</v>
      </c>
      <c r="R190" s="170"/>
      <c r="S190" s="180">
        <f t="shared" ref="S190:V190" si="32">S182</f>
        <v>0.45245555141579724</v>
      </c>
      <c r="T190" s="181">
        <f t="shared" si="32"/>
        <v>0.6910190233291299</v>
      </c>
      <c r="U190" s="181">
        <f t="shared" si="32"/>
        <v>0.6698174733378025</v>
      </c>
      <c r="V190" s="181">
        <f t="shared" si="32"/>
        <v>0.59290696498667561</v>
      </c>
      <c r="W190" s="170"/>
      <c r="X190" s="180">
        <f>IF(SUM($X$123:$X$124)&gt;1,NA(),Y190)</f>
        <v>0.62115493068454053</v>
      </c>
      <c r="Y190" s="181">
        <f>X187</f>
        <v>0.62115493068454053</v>
      </c>
      <c r="Z190" s="170"/>
    </row>
    <row r="191" spans="1:49" s="93" customFormat="1" ht="15" customHeight="1" outlineLevel="1">
      <c r="C191" s="169" t="s">
        <v>198</v>
      </c>
      <c r="D191" s="169">
        <f>$C$124</f>
        <v>2025</v>
      </c>
      <c r="E191" s="169"/>
      <c r="F191" s="180">
        <f t="shared" ref="F191:Q191" si="33">F183</f>
        <v>0.50564898680638848</v>
      </c>
      <c r="G191" s="181">
        <f t="shared" si="33"/>
        <v>0.59415114628999988</v>
      </c>
      <c r="H191" s="181">
        <f t="shared" si="33"/>
        <v>0.65754454951950936</v>
      </c>
      <c r="I191" s="180">
        <f t="shared" si="33"/>
        <v>0.70010268690354616</v>
      </c>
      <c r="J191" s="181">
        <f t="shared" si="33"/>
        <v>0.60078991442758045</v>
      </c>
      <c r="K191" s="181">
        <f t="shared" si="33"/>
        <v>0.70010268690354616</v>
      </c>
      <c r="L191" s="180">
        <f t="shared" si="33"/>
        <v>0.69105212522449566</v>
      </c>
      <c r="M191" s="181">
        <f t="shared" si="33"/>
        <v>0.60489274219107658</v>
      </c>
      <c r="N191" s="181">
        <f t="shared" si="33"/>
        <v>0.70010268690354616</v>
      </c>
      <c r="O191" s="180">
        <f t="shared" si="33"/>
        <v>0.74962349315068499</v>
      </c>
      <c r="P191" s="181">
        <f t="shared" si="33"/>
        <v>0.69045821917808214</v>
      </c>
      <c r="Q191" s="181">
        <f t="shared" si="33"/>
        <v>0.74962349315068499</v>
      </c>
      <c r="R191" s="170"/>
      <c r="S191" s="180">
        <f t="shared" ref="S191:V191" si="34">S183</f>
        <v>0.59492531932343229</v>
      </c>
      <c r="T191" s="181">
        <f t="shared" si="34"/>
        <v>0.66699842941155751</v>
      </c>
      <c r="U191" s="181">
        <f t="shared" si="34"/>
        <v>0.66534918477303939</v>
      </c>
      <c r="V191" s="181">
        <f t="shared" si="34"/>
        <v>0.72990173515981738</v>
      </c>
      <c r="W191" s="170"/>
      <c r="X191" s="180">
        <f>IF(SUM($X$123:$X$124)&gt;1,NA(),Y191)</f>
        <v>0.67175660179740804</v>
      </c>
      <c r="Y191" s="181">
        <f t="shared" ref="Y191:Y192" si="35">X188</f>
        <v>0.67175660179740804</v>
      </c>
      <c r="Z191" s="170"/>
    </row>
    <row r="192" spans="1:49" s="93" customFormat="1" ht="15" customHeight="1" outlineLevel="1">
      <c r="C192" s="169" t="s">
        <v>198</v>
      </c>
      <c r="D192" s="76" t="s">
        <v>194</v>
      </c>
      <c r="E192" s="76"/>
      <c r="F192" s="180"/>
      <c r="G192" s="181"/>
      <c r="H192" s="181"/>
      <c r="I192" s="180"/>
      <c r="J192" s="181"/>
      <c r="K192" s="181"/>
      <c r="L192" s="180"/>
      <c r="M192" s="181"/>
      <c r="N192" s="181"/>
      <c r="O192" s="180"/>
      <c r="P192" s="181"/>
      <c r="Q192" s="181"/>
      <c r="R192" s="170"/>
      <c r="S192" s="170"/>
      <c r="W192" s="170"/>
      <c r="X192" s="180">
        <f>Y192</f>
        <v>0.65</v>
      </c>
      <c r="Y192" s="181">
        <f t="shared" si="35"/>
        <v>0.65</v>
      </c>
      <c r="Z192" s="170"/>
    </row>
    <row r="193" spans="1:49" s="93" customFormat="1" ht="15" customHeight="1" outlineLevel="1"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S193" s="171"/>
      <c r="T193" s="171"/>
      <c r="U193" s="171"/>
      <c r="V193" s="171"/>
      <c r="X193" s="171"/>
      <c r="Y193" s="171"/>
    </row>
    <row r="194" spans="1:49" s="93" customFormat="1" ht="15" customHeight="1" outlineLevel="1">
      <c r="C194" s="437" t="s">
        <v>194</v>
      </c>
      <c r="D194" s="438"/>
      <c r="E194" s="438"/>
      <c r="F194" s="439"/>
      <c r="G194" s="439"/>
      <c r="H194" s="439"/>
      <c r="I194" s="439"/>
      <c r="J194" s="439"/>
      <c r="K194" s="439"/>
      <c r="L194" s="439"/>
      <c r="M194" s="439"/>
      <c r="N194" s="439"/>
      <c r="O194" s="439"/>
      <c r="P194" s="439"/>
      <c r="Q194" s="439"/>
      <c r="R194" s="440"/>
      <c r="S194" s="439"/>
      <c r="T194" s="439"/>
      <c r="U194" s="439"/>
      <c r="V194" s="439"/>
      <c r="W194" s="440"/>
      <c r="X194" s="439"/>
    </row>
    <row r="195" spans="1:49" s="93" customFormat="1" ht="15" customHeight="1" outlineLevel="1">
      <c r="C195" s="441" t="s">
        <v>206</v>
      </c>
      <c r="D195" s="438"/>
      <c r="E195" s="438"/>
      <c r="F195" s="442">
        <f>F184</f>
        <v>0.65</v>
      </c>
      <c r="G195" s="443">
        <f t="shared" ref="G195:Q195" si="36">G184</f>
        <v>0.65</v>
      </c>
      <c r="H195" s="443">
        <f t="shared" si="36"/>
        <v>0.65</v>
      </c>
      <c r="I195" s="442">
        <f t="shared" si="36"/>
        <v>0.65</v>
      </c>
      <c r="J195" s="443">
        <f t="shared" si="36"/>
        <v>0.65</v>
      </c>
      <c r="K195" s="443">
        <f t="shared" si="36"/>
        <v>0.65</v>
      </c>
      <c r="L195" s="442">
        <f t="shared" si="36"/>
        <v>0.65</v>
      </c>
      <c r="M195" s="443">
        <f t="shared" si="36"/>
        <v>0.65</v>
      </c>
      <c r="N195" s="443">
        <f t="shared" si="36"/>
        <v>0.65</v>
      </c>
      <c r="O195" s="442">
        <f t="shared" si="36"/>
        <v>0.65</v>
      </c>
      <c r="P195" s="443">
        <f t="shared" si="36"/>
        <v>0.65</v>
      </c>
      <c r="Q195" s="443">
        <f t="shared" si="36"/>
        <v>0.65</v>
      </c>
      <c r="R195" s="444"/>
      <c r="S195" s="442">
        <f>S197/S196</f>
        <v>0.65</v>
      </c>
      <c r="T195" s="443">
        <f>T197/T196</f>
        <v>0.65</v>
      </c>
      <c r="U195" s="443">
        <f>U197/U196</f>
        <v>0.65</v>
      </c>
      <c r="V195" s="443">
        <f>V197/V196</f>
        <v>0.65</v>
      </c>
      <c r="W195" s="444"/>
      <c r="X195" s="442">
        <f>X197/X196</f>
        <v>0.65</v>
      </c>
      <c r="Y195" s="170"/>
    </row>
    <row r="196" spans="1:49" s="93" customFormat="1" ht="15" customHeight="1" outlineLevel="1">
      <c r="C196" s="441" t="s">
        <v>207</v>
      </c>
      <c r="D196" s="438"/>
      <c r="E196" s="438"/>
      <c r="F196" s="445">
        <f>F136</f>
        <v>1400</v>
      </c>
      <c r="G196" s="446">
        <f t="shared" ref="G196:Q196" si="37">G136</f>
        <v>1600</v>
      </c>
      <c r="H196" s="446">
        <f t="shared" si="37"/>
        <v>1600</v>
      </c>
      <c r="I196" s="445">
        <f t="shared" si="37"/>
        <v>1500</v>
      </c>
      <c r="J196" s="446">
        <f t="shared" si="37"/>
        <v>1500</v>
      </c>
      <c r="K196" s="446">
        <f t="shared" si="37"/>
        <v>1500</v>
      </c>
      <c r="L196" s="445">
        <f t="shared" si="37"/>
        <v>1500</v>
      </c>
      <c r="M196" s="446">
        <f t="shared" si="37"/>
        <v>1500</v>
      </c>
      <c r="N196" s="446">
        <f t="shared" si="37"/>
        <v>1500</v>
      </c>
      <c r="O196" s="445">
        <f t="shared" si="37"/>
        <v>1600</v>
      </c>
      <c r="P196" s="446">
        <f t="shared" si="37"/>
        <v>1600</v>
      </c>
      <c r="Q196" s="446">
        <f t="shared" si="37"/>
        <v>1600</v>
      </c>
      <c r="R196" s="445"/>
      <c r="S196" s="445">
        <f>SUMIFS($F196:$Q196,$F$119:$Q$119,S$120)</f>
        <v>4600</v>
      </c>
      <c r="T196" s="446">
        <f t="shared" ref="S196:V197" si="38">SUMIFS($F196:$Q196,$F$119:$Q$119,T$120)</f>
        <v>4500</v>
      </c>
      <c r="U196" s="446">
        <f t="shared" si="38"/>
        <v>4500</v>
      </c>
      <c r="V196" s="446">
        <f t="shared" si="38"/>
        <v>4800</v>
      </c>
      <c r="W196" s="445"/>
      <c r="X196" s="445">
        <f>SUM(S196:V196)</f>
        <v>18400</v>
      </c>
      <c r="Y196" s="170"/>
    </row>
    <row r="197" spans="1:49" s="93" customFormat="1" ht="15" customHeight="1" outlineLevel="1">
      <c r="C197" s="441" t="s">
        <v>110</v>
      </c>
      <c r="D197" s="438"/>
      <c r="E197" s="438"/>
      <c r="F197" s="445">
        <f>F196*F195</f>
        <v>910</v>
      </c>
      <c r="G197" s="446">
        <f t="shared" ref="G197:Q197" si="39">G196*G195</f>
        <v>1040</v>
      </c>
      <c r="H197" s="446">
        <f t="shared" si="39"/>
        <v>1040</v>
      </c>
      <c r="I197" s="445">
        <f t="shared" si="39"/>
        <v>975</v>
      </c>
      <c r="J197" s="446">
        <f t="shared" si="39"/>
        <v>975</v>
      </c>
      <c r="K197" s="446">
        <f t="shared" si="39"/>
        <v>975</v>
      </c>
      <c r="L197" s="445">
        <f t="shared" si="39"/>
        <v>975</v>
      </c>
      <c r="M197" s="446">
        <f t="shared" si="39"/>
        <v>975</v>
      </c>
      <c r="N197" s="446">
        <f t="shared" si="39"/>
        <v>975</v>
      </c>
      <c r="O197" s="445">
        <f t="shared" si="39"/>
        <v>1040</v>
      </c>
      <c r="P197" s="446">
        <f t="shared" si="39"/>
        <v>1040</v>
      </c>
      <c r="Q197" s="446">
        <f t="shared" si="39"/>
        <v>1040</v>
      </c>
      <c r="R197" s="445"/>
      <c r="S197" s="445">
        <f t="shared" si="38"/>
        <v>2990</v>
      </c>
      <c r="T197" s="446">
        <f t="shared" si="38"/>
        <v>2925</v>
      </c>
      <c r="U197" s="446">
        <f t="shared" si="38"/>
        <v>2925</v>
      </c>
      <c r="V197" s="446">
        <f t="shared" si="38"/>
        <v>3120</v>
      </c>
      <c r="W197" s="445"/>
      <c r="X197" s="445">
        <f>SUM(S197:V197)</f>
        <v>11960</v>
      </c>
      <c r="Y197" s="170"/>
    </row>
    <row r="198" spans="1:49" s="93" customFormat="1" ht="15" customHeight="1" outlineLevel="1"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S198" s="171"/>
      <c r="T198" s="171"/>
      <c r="U198" s="171"/>
      <c r="V198" s="171"/>
      <c r="X198" s="171"/>
    </row>
    <row r="199" spans="1:49" s="93" customFormat="1" ht="15" customHeight="1" outlineLevel="1"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</row>
    <row r="200" spans="1:49" s="93" customFormat="1" ht="15" customHeight="1"/>
    <row r="201" spans="1:49" s="27" customFormat="1" ht="15" customHeight="1">
      <c r="A201" s="152" t="s">
        <v>11</v>
      </c>
      <c r="B201" s="152"/>
      <c r="C201" s="89" t="s">
        <v>208</v>
      </c>
      <c r="D201" s="24"/>
      <c r="E201" s="24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93"/>
      <c r="AA201" s="93"/>
      <c r="AB201" s="93"/>
      <c r="AC201" s="93"/>
      <c r="AD201" s="93"/>
      <c r="AE201" s="93"/>
      <c r="AF201" s="93"/>
      <c r="AG201" s="93"/>
      <c r="AH201" s="93"/>
      <c r="AI201" s="93"/>
      <c r="AJ201" s="93"/>
      <c r="AK201" s="93"/>
      <c r="AL201" s="93"/>
      <c r="AM201" s="93"/>
      <c r="AN201" s="93"/>
      <c r="AO201" s="93"/>
      <c r="AP201" s="93"/>
      <c r="AQ201" s="93"/>
      <c r="AR201" s="93"/>
      <c r="AS201" s="93"/>
      <c r="AT201" s="93"/>
      <c r="AU201" s="93"/>
      <c r="AV201" s="93"/>
      <c r="AW201" s="93"/>
    </row>
    <row r="202" spans="1:49" s="27" customFormat="1" ht="15" customHeight="1" outlineLevel="1">
      <c r="A202" s="152"/>
      <c r="B202" s="152"/>
      <c r="C202" s="28"/>
      <c r="D202" s="28"/>
      <c r="E202" s="28"/>
      <c r="G202" s="29"/>
      <c r="H202" s="29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2"/>
      <c r="T202" s="158"/>
      <c r="U202" s="158"/>
      <c r="V202" s="158"/>
      <c r="W202" s="158"/>
      <c r="X202" s="158"/>
      <c r="Y202" s="158"/>
      <c r="Z202" s="93"/>
      <c r="AA202" s="93"/>
      <c r="AB202" s="93"/>
      <c r="AC202" s="93"/>
      <c r="AD202" s="93"/>
      <c r="AE202" s="93"/>
      <c r="AF202" s="93"/>
      <c r="AG202" s="93"/>
      <c r="AH202" s="93"/>
      <c r="AI202" s="93"/>
      <c r="AJ202" s="93"/>
      <c r="AK202" s="93"/>
      <c r="AL202" s="93"/>
      <c r="AM202" s="93"/>
      <c r="AN202" s="93"/>
      <c r="AO202" s="93"/>
      <c r="AP202" s="93"/>
      <c r="AQ202" s="93"/>
      <c r="AR202" s="93"/>
      <c r="AS202" s="93"/>
      <c r="AT202" s="93"/>
      <c r="AU202" s="93"/>
      <c r="AV202" s="93"/>
      <c r="AW202" s="93"/>
    </row>
    <row r="203" spans="1:49" s="27" customFormat="1" ht="15" customHeight="1" outlineLevel="1">
      <c r="A203" s="152"/>
      <c r="B203" s="152"/>
      <c r="C203" s="28"/>
      <c r="F203" s="48">
        <f t="shared" ref="F203:Q203" si="40">F$119</f>
        <v>1</v>
      </c>
      <c r="G203" s="49">
        <f t="shared" si="40"/>
        <v>1</v>
      </c>
      <c r="H203" s="160">
        <f t="shared" si="40"/>
        <v>1</v>
      </c>
      <c r="I203" s="50">
        <f t="shared" si="40"/>
        <v>2</v>
      </c>
      <c r="J203" s="49">
        <f t="shared" si="40"/>
        <v>2</v>
      </c>
      <c r="K203" s="161">
        <f t="shared" si="40"/>
        <v>2</v>
      </c>
      <c r="L203" s="50">
        <f t="shared" si="40"/>
        <v>3</v>
      </c>
      <c r="M203" s="49">
        <f t="shared" si="40"/>
        <v>3</v>
      </c>
      <c r="N203" s="161">
        <f t="shared" si="40"/>
        <v>3</v>
      </c>
      <c r="O203" s="53">
        <f t="shared" si="40"/>
        <v>4</v>
      </c>
      <c r="P203" s="51">
        <f t="shared" si="40"/>
        <v>4</v>
      </c>
      <c r="Q203" s="161">
        <f t="shared" si="40"/>
        <v>4</v>
      </c>
      <c r="R203" s="165"/>
      <c r="S203" s="158"/>
      <c r="T203" s="158"/>
      <c r="U203" s="158"/>
      <c r="V203" s="158"/>
      <c r="W203" s="158"/>
      <c r="X203" s="158"/>
      <c r="Y203" s="158"/>
      <c r="AA203" s="93"/>
      <c r="AB203" s="93"/>
      <c r="AC203" s="93"/>
      <c r="AD203" s="93"/>
      <c r="AE203" s="93"/>
      <c r="AF203" s="93"/>
      <c r="AG203" s="93"/>
      <c r="AH203" s="93"/>
      <c r="AI203" s="93"/>
      <c r="AJ203" s="93"/>
      <c r="AK203" s="93"/>
      <c r="AL203" s="93"/>
      <c r="AM203" s="93"/>
      <c r="AN203" s="93"/>
      <c r="AO203" s="93"/>
      <c r="AP203" s="93"/>
      <c r="AQ203" s="93"/>
      <c r="AR203" s="93"/>
      <c r="AS203" s="93"/>
      <c r="AT203" s="93"/>
      <c r="AU203" s="93"/>
      <c r="AV203" s="93"/>
      <c r="AW203" s="93"/>
    </row>
    <row r="204" spans="1:49" s="32" customFormat="1" ht="15" customHeight="1" outlineLevel="1" thickBot="1">
      <c r="C204" s="153" t="s">
        <v>13</v>
      </c>
      <c r="F204" s="162">
        <f t="shared" ref="F204:Q204" si="41">F$120</f>
        <v>45322</v>
      </c>
      <c r="G204" s="163">
        <f t="shared" si="41"/>
        <v>45351</v>
      </c>
      <c r="H204" s="163">
        <f t="shared" si="41"/>
        <v>45382</v>
      </c>
      <c r="I204" s="164">
        <f t="shared" si="41"/>
        <v>45412</v>
      </c>
      <c r="J204" s="163">
        <f t="shared" si="41"/>
        <v>45443</v>
      </c>
      <c r="K204" s="163">
        <f t="shared" si="41"/>
        <v>45473</v>
      </c>
      <c r="L204" s="164">
        <f t="shared" si="41"/>
        <v>45504</v>
      </c>
      <c r="M204" s="163">
        <f t="shared" si="41"/>
        <v>45535</v>
      </c>
      <c r="N204" s="163">
        <f t="shared" si="41"/>
        <v>45565</v>
      </c>
      <c r="O204" s="164">
        <f t="shared" si="41"/>
        <v>45596</v>
      </c>
      <c r="P204" s="163">
        <f t="shared" si="41"/>
        <v>45626</v>
      </c>
      <c r="Q204" s="163">
        <f t="shared" si="41"/>
        <v>45657</v>
      </c>
      <c r="R204" s="165"/>
      <c r="S204" s="166">
        <f>S$120</f>
        <v>1</v>
      </c>
      <c r="T204" s="160">
        <f>T$120</f>
        <v>2</v>
      </c>
      <c r="U204" s="160">
        <f>U$120</f>
        <v>3</v>
      </c>
      <c r="V204" s="160">
        <f>V$120</f>
        <v>4</v>
      </c>
      <c r="W204" s="95"/>
      <c r="X204" s="172" t="s">
        <v>191</v>
      </c>
      <c r="Y204" s="173"/>
      <c r="Z204" s="174"/>
      <c r="AA204" s="93"/>
      <c r="AB204" s="93"/>
      <c r="AC204" s="93"/>
      <c r="AD204" s="93"/>
      <c r="AE204" s="93"/>
      <c r="AF204" s="93"/>
      <c r="AG204" s="93"/>
      <c r="AH204" s="93"/>
      <c r="AI204" s="93"/>
      <c r="AJ204" s="93"/>
      <c r="AK204" s="93"/>
      <c r="AL204" s="93"/>
      <c r="AM204" s="93"/>
      <c r="AN204" s="93"/>
      <c r="AO204" s="93"/>
      <c r="AP204" s="93"/>
      <c r="AQ204" s="93"/>
      <c r="AR204" s="93"/>
      <c r="AS204" s="93"/>
      <c r="AT204" s="93"/>
      <c r="AU204" s="93"/>
      <c r="AV204" s="93"/>
      <c r="AW204" s="93"/>
    </row>
    <row r="205" spans="1:49" s="93" customFormat="1" ht="15" customHeight="1" outlineLevel="1">
      <c r="F205" s="167"/>
      <c r="G205" s="167"/>
      <c r="H205" s="167"/>
      <c r="I205" s="167"/>
      <c r="J205" s="167"/>
      <c r="K205" s="167"/>
      <c r="L205" s="167"/>
      <c r="M205" s="167"/>
      <c r="N205" s="167"/>
      <c r="O205" s="167"/>
      <c r="P205" s="167"/>
      <c r="Q205" s="167"/>
      <c r="S205" s="100"/>
      <c r="T205" s="100"/>
      <c r="U205" s="101"/>
      <c r="V205" s="101"/>
      <c r="W205" s="88"/>
      <c r="X205" s="100"/>
      <c r="Y205" s="100"/>
    </row>
    <row r="206" spans="1:49" s="93" customFormat="1" ht="15" customHeight="1" outlineLevel="1">
      <c r="C206" s="168" t="s">
        <v>28</v>
      </c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</row>
    <row r="207" spans="1:49" s="93" customFormat="1" ht="15" customHeight="1" outlineLevel="1">
      <c r="C207" s="169">
        <f>$C$123</f>
        <v>2024</v>
      </c>
      <c r="F207" s="176">
        <f>Model!G475</f>
        <v>0.33764837257824137</v>
      </c>
      <c r="G207" s="177">
        <f>Model!H475</f>
        <v>0.31691922887481366</v>
      </c>
      <c r="H207" s="177">
        <f>Model!I475</f>
        <v>0.33522905022568916</v>
      </c>
      <c r="I207" s="176">
        <f>Model!J475</f>
        <v>0.49511060384189959</v>
      </c>
      <c r="J207" s="177">
        <f>Model!K475</f>
        <v>0.48459662111273738</v>
      </c>
      <c r="K207" s="177">
        <f>Model!L475</f>
        <v>0.51933775984670028</v>
      </c>
      <c r="L207" s="176">
        <f>Model!M475</f>
        <v>0.51257425336996865</v>
      </c>
      <c r="M207" s="177">
        <f>Model!N475</f>
        <v>0.46114563025977728</v>
      </c>
      <c r="N207" s="177">
        <f>Model!O475</f>
        <v>0.47672126290608913</v>
      </c>
      <c r="O207" s="176">
        <f>Model!P475</f>
        <v>0.43728554683424886</v>
      </c>
      <c r="P207" s="177">
        <f>Model!Q475</f>
        <v>0.40956498241302097</v>
      </c>
      <c r="Q207" s="177">
        <f>Model!R475</f>
        <v>0.43842176635419111</v>
      </c>
      <c r="R207" s="170"/>
      <c r="S207" s="178">
        <f>Totals!E39</f>
        <v>0.3299322172262481</v>
      </c>
      <c r="T207" s="179">
        <f>Totals!F39</f>
        <v>0.49983989052285699</v>
      </c>
      <c r="U207" s="179">
        <f>Totals!G39</f>
        <v>0.48348038217861172</v>
      </c>
      <c r="V207" s="179">
        <f>Totals!H39</f>
        <v>0.42842409853382041</v>
      </c>
      <c r="W207" s="170"/>
      <c r="X207" s="178">
        <f>Totals!N39</f>
        <v>0.44930776033101671</v>
      </c>
      <c r="Y207" s="170"/>
    </row>
    <row r="208" spans="1:49" s="93" customFormat="1" ht="15" customHeight="1" outlineLevel="1">
      <c r="C208" s="169">
        <f>$C$124</f>
        <v>2025</v>
      </c>
      <c r="F208" s="180">
        <f>Model!S475</f>
        <v>0.34846620970096231</v>
      </c>
      <c r="G208" s="181">
        <f>Model!T475</f>
        <v>0.41859564403341287</v>
      </c>
      <c r="H208" s="181">
        <f>Model!U475</f>
        <v>0.46447955008935693</v>
      </c>
      <c r="I208" s="180">
        <f>Model!V475</f>
        <v>0.49654290254823391</v>
      </c>
      <c r="J208" s="181">
        <f>Model!W475</f>
        <v>0.42846621018810138</v>
      </c>
      <c r="K208" s="181">
        <f>Model!X475</f>
        <v>0.50007118650164883</v>
      </c>
      <c r="L208" s="180">
        <f>Model!Y475</f>
        <v>0.49459415983111149</v>
      </c>
      <c r="M208" s="181">
        <f>Model!Z475</f>
        <v>0.43451901018293876</v>
      </c>
      <c r="N208" s="181">
        <f>Model!AA475</f>
        <v>0.503218828265111</v>
      </c>
      <c r="O208" s="180">
        <f>Model!AB475</f>
        <v>0.53799469750396689</v>
      </c>
      <c r="P208" s="181">
        <f>Model!AC475</f>
        <v>0.49688360840723106</v>
      </c>
      <c r="Q208" s="181">
        <f>Model!AD475</f>
        <v>0.54013685742051609</v>
      </c>
      <c r="R208" s="170"/>
      <c r="S208" s="182">
        <f>Totals!I39</f>
        <v>0.41759392064501066</v>
      </c>
      <c r="T208" s="183">
        <f>Totals!J39</f>
        <v>0.47502676641266128</v>
      </c>
      <c r="U208" s="183">
        <f>Totals!K39</f>
        <v>0.47744399942638704</v>
      </c>
      <c r="V208" s="183">
        <f>Totals!L39</f>
        <v>0.52500505444390466</v>
      </c>
      <c r="W208" s="170"/>
      <c r="X208" s="182">
        <f>Totals!O39</f>
        <v>0.47970084724293338</v>
      </c>
      <c r="Y208" s="170"/>
    </row>
    <row r="209" spans="3:26" s="93" customFormat="1" ht="15" customHeight="1" outlineLevel="1">
      <c r="C209" s="169" t="s">
        <v>194</v>
      </c>
      <c r="E209" s="42" t="s">
        <v>34</v>
      </c>
      <c r="F209" s="184">
        <v>0.46</v>
      </c>
      <c r="G209" s="185">
        <v>0.46</v>
      </c>
      <c r="H209" s="185">
        <v>0.46</v>
      </c>
      <c r="I209" s="184">
        <v>0.46</v>
      </c>
      <c r="J209" s="185">
        <v>0.46</v>
      </c>
      <c r="K209" s="185">
        <v>0.46</v>
      </c>
      <c r="L209" s="184">
        <v>0.46</v>
      </c>
      <c r="M209" s="185">
        <v>0.46</v>
      </c>
      <c r="N209" s="185">
        <v>0.46</v>
      </c>
      <c r="O209" s="184">
        <v>0.46</v>
      </c>
      <c r="P209" s="185">
        <v>0.46</v>
      </c>
      <c r="Q209" s="185">
        <v>0.46</v>
      </c>
      <c r="R209" s="170"/>
      <c r="S209" s="176">
        <f>S220</f>
        <v>0.46</v>
      </c>
      <c r="T209" s="177">
        <f>T220</f>
        <v>0.46</v>
      </c>
      <c r="U209" s="177">
        <f>U220</f>
        <v>0.46</v>
      </c>
      <c r="V209" s="177">
        <f>V220</f>
        <v>0.46</v>
      </c>
      <c r="W209" s="186"/>
      <c r="X209" s="176">
        <f>X220</f>
        <v>0.46</v>
      </c>
      <c r="Y209" s="170"/>
    </row>
    <row r="210" spans="3:26" s="93" customFormat="1" ht="15" customHeight="1" outlineLevel="1"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S210" s="171"/>
      <c r="T210" s="171"/>
      <c r="U210" s="171"/>
      <c r="V210" s="171"/>
      <c r="X210" s="171"/>
    </row>
    <row r="211" spans="3:26" s="93" customFormat="1" ht="15" customHeight="1" outlineLevel="1">
      <c r="C211" s="168" t="s">
        <v>205</v>
      </c>
      <c r="D211" s="168" t="s">
        <v>196</v>
      </c>
      <c r="E211" s="168"/>
    </row>
    <row r="212" spans="3:26" s="93" customFormat="1" ht="15" customHeight="1" outlineLevel="1">
      <c r="C212" s="169" t="s">
        <v>197</v>
      </c>
      <c r="D212" s="169">
        <f>$C$123</f>
        <v>2024</v>
      </c>
      <c r="E212" s="169"/>
      <c r="F212" s="176">
        <f>IFERROR(F207/F$123,NA())</f>
        <v>0.33764837257824137</v>
      </c>
      <c r="G212" s="177">
        <f t="shared" ref="G212:Q212" si="42">IFERROR(G207/G$123,NA())</f>
        <v>0.31691922887481366</v>
      </c>
      <c r="H212" s="177">
        <f t="shared" si="42"/>
        <v>0.33522905022568916</v>
      </c>
      <c r="I212" s="176">
        <f t="shared" si="42"/>
        <v>0.49511060384189959</v>
      </c>
      <c r="J212" s="177">
        <f t="shared" si="42"/>
        <v>0.48459662111273738</v>
      </c>
      <c r="K212" s="177">
        <f t="shared" si="42"/>
        <v>0.51933775984670028</v>
      </c>
      <c r="L212" s="176">
        <f t="shared" si="42"/>
        <v>0.51257425336996865</v>
      </c>
      <c r="M212" s="177">
        <f t="shared" si="42"/>
        <v>0.46114563025977728</v>
      </c>
      <c r="N212" s="177">
        <f t="shared" si="42"/>
        <v>0.47672126290608913</v>
      </c>
      <c r="O212" s="176">
        <f t="shared" si="42"/>
        <v>0.43728554683424886</v>
      </c>
      <c r="P212" s="177">
        <f t="shared" si="42"/>
        <v>0.40956498241302097</v>
      </c>
      <c r="Q212" s="177">
        <f t="shared" si="42"/>
        <v>0.43842176635419111</v>
      </c>
      <c r="R212" s="170"/>
      <c r="S212" s="176">
        <f>IFERROR(S207/S$123,NA())</f>
        <v>0.3299322172262481</v>
      </c>
      <c r="T212" s="177">
        <f>IFERROR(T207/T$123,NA())</f>
        <v>0.49983989052285699</v>
      </c>
      <c r="U212" s="177">
        <f>IFERROR(U207/U$123,NA())</f>
        <v>0.48348038217861172</v>
      </c>
      <c r="V212" s="177">
        <f>IFERROR(V207/V$123,NA())</f>
        <v>0.42842409853382041</v>
      </c>
      <c r="W212" s="170"/>
      <c r="X212" s="176">
        <f>X207</f>
        <v>0.44930776033101671</v>
      </c>
      <c r="Y212" s="177">
        <f>IF($X$123=1,X212,NA())</f>
        <v>0.44930776033101671</v>
      </c>
      <c r="Z212" s="170"/>
    </row>
    <row r="213" spans="3:26" s="93" customFormat="1" ht="15" customHeight="1" outlineLevel="1">
      <c r="C213" s="169" t="s">
        <v>197</v>
      </c>
      <c r="D213" s="169">
        <f>$C$124</f>
        <v>2025</v>
      </c>
      <c r="E213" s="169"/>
      <c r="F213" s="180" t="e">
        <f>IFERROR(F208/F$124,NA())</f>
        <v>#N/A</v>
      </c>
      <c r="G213" s="181" t="e">
        <f t="shared" ref="G213:Q213" si="43">IFERROR(G208/G$124,NA())</f>
        <v>#N/A</v>
      </c>
      <c r="H213" s="181" t="e">
        <f t="shared" si="43"/>
        <v>#N/A</v>
      </c>
      <c r="I213" s="180" t="e">
        <f t="shared" si="43"/>
        <v>#N/A</v>
      </c>
      <c r="J213" s="181" t="e">
        <f t="shared" si="43"/>
        <v>#N/A</v>
      </c>
      <c r="K213" s="181" t="e">
        <f t="shared" si="43"/>
        <v>#N/A</v>
      </c>
      <c r="L213" s="180" t="e">
        <f t="shared" si="43"/>
        <v>#N/A</v>
      </c>
      <c r="M213" s="181" t="e">
        <f t="shared" si="43"/>
        <v>#N/A</v>
      </c>
      <c r="N213" s="181" t="e">
        <f t="shared" si="43"/>
        <v>#N/A</v>
      </c>
      <c r="O213" s="180" t="e">
        <f t="shared" si="43"/>
        <v>#N/A</v>
      </c>
      <c r="P213" s="181" t="e">
        <f t="shared" si="43"/>
        <v>#N/A</v>
      </c>
      <c r="Q213" s="181" t="e">
        <f t="shared" si="43"/>
        <v>#N/A</v>
      </c>
      <c r="R213" s="170"/>
      <c r="S213" s="180" t="e">
        <f>IFERROR(S208/S$124,NA())</f>
        <v>#N/A</v>
      </c>
      <c r="T213" s="181" t="e">
        <f>IFERROR(T208/T$124,NA())</f>
        <v>#N/A</v>
      </c>
      <c r="U213" s="181" t="e">
        <f>IFERROR(U208/U$124,NA())</f>
        <v>#N/A</v>
      </c>
      <c r="V213" s="181" t="e">
        <f>IFERROR(V208/V$124,NA())</f>
        <v>#N/A</v>
      </c>
      <c r="W213" s="170"/>
      <c r="X213" s="180">
        <f>X208</f>
        <v>0.47970084724293338</v>
      </c>
      <c r="Y213" s="181" t="e">
        <f>IF($X$124=1,X213,NA())</f>
        <v>#N/A</v>
      </c>
      <c r="Z213" s="170"/>
    </row>
    <row r="214" spans="3:26" s="93" customFormat="1" ht="15" customHeight="1" outlineLevel="1">
      <c r="C214" s="169" t="s">
        <v>197</v>
      </c>
      <c r="D214" s="76" t="s">
        <v>194</v>
      </c>
      <c r="E214" s="76"/>
      <c r="F214" s="180">
        <f>F209</f>
        <v>0.46</v>
      </c>
      <c r="G214" s="181">
        <f t="shared" ref="G214:Q214" si="44">G209</f>
        <v>0.46</v>
      </c>
      <c r="H214" s="181">
        <f t="shared" si="44"/>
        <v>0.46</v>
      </c>
      <c r="I214" s="180">
        <f t="shared" si="44"/>
        <v>0.46</v>
      </c>
      <c r="J214" s="181">
        <f t="shared" si="44"/>
        <v>0.46</v>
      </c>
      <c r="K214" s="181">
        <f t="shared" si="44"/>
        <v>0.46</v>
      </c>
      <c r="L214" s="180">
        <f t="shared" si="44"/>
        <v>0.46</v>
      </c>
      <c r="M214" s="181">
        <f t="shared" si="44"/>
        <v>0.46</v>
      </c>
      <c r="N214" s="181">
        <f t="shared" si="44"/>
        <v>0.46</v>
      </c>
      <c r="O214" s="180">
        <f t="shared" si="44"/>
        <v>0.46</v>
      </c>
      <c r="P214" s="181">
        <f t="shared" si="44"/>
        <v>0.46</v>
      </c>
      <c r="Q214" s="181">
        <f t="shared" si="44"/>
        <v>0.46</v>
      </c>
      <c r="R214" s="170"/>
      <c r="S214" s="180">
        <f>S209</f>
        <v>0.46</v>
      </c>
      <c r="T214" s="181">
        <f>T209</f>
        <v>0.46</v>
      </c>
      <c r="U214" s="181">
        <f>U209</f>
        <v>0.46</v>
      </c>
      <c r="V214" s="181">
        <f>V209</f>
        <v>0.46</v>
      </c>
      <c r="W214" s="170"/>
      <c r="X214" s="180">
        <f>X209</f>
        <v>0.46</v>
      </c>
      <c r="Y214" s="181" t="e">
        <f>NA()</f>
        <v>#N/A</v>
      </c>
      <c r="Z214" s="170"/>
    </row>
    <row r="215" spans="3:26" s="93" customFormat="1" ht="15" customHeight="1" outlineLevel="1">
      <c r="C215" s="169" t="s">
        <v>198</v>
      </c>
      <c r="D215" s="169">
        <f>$C$123</f>
        <v>2024</v>
      </c>
      <c r="E215" s="169"/>
      <c r="F215" s="180">
        <f>F207</f>
        <v>0.33764837257824137</v>
      </c>
      <c r="G215" s="181">
        <f t="shared" ref="G215:Q215" si="45">G207</f>
        <v>0.31691922887481366</v>
      </c>
      <c r="H215" s="181">
        <f t="shared" si="45"/>
        <v>0.33522905022568916</v>
      </c>
      <c r="I215" s="180">
        <f t="shared" si="45"/>
        <v>0.49511060384189959</v>
      </c>
      <c r="J215" s="181">
        <f t="shared" si="45"/>
        <v>0.48459662111273738</v>
      </c>
      <c r="K215" s="181">
        <f t="shared" si="45"/>
        <v>0.51933775984670028</v>
      </c>
      <c r="L215" s="180">
        <f t="shared" si="45"/>
        <v>0.51257425336996865</v>
      </c>
      <c r="M215" s="181">
        <f t="shared" si="45"/>
        <v>0.46114563025977728</v>
      </c>
      <c r="N215" s="181">
        <f t="shared" si="45"/>
        <v>0.47672126290608913</v>
      </c>
      <c r="O215" s="180">
        <f t="shared" si="45"/>
        <v>0.43728554683424886</v>
      </c>
      <c r="P215" s="181">
        <f t="shared" si="45"/>
        <v>0.40956498241302097</v>
      </c>
      <c r="Q215" s="181">
        <f t="shared" si="45"/>
        <v>0.43842176635419111</v>
      </c>
      <c r="R215" s="170"/>
      <c r="S215" s="180">
        <f t="shared" ref="S215:V215" si="46">S207</f>
        <v>0.3299322172262481</v>
      </c>
      <c r="T215" s="181">
        <f t="shared" si="46"/>
        <v>0.49983989052285699</v>
      </c>
      <c r="U215" s="181">
        <f t="shared" si="46"/>
        <v>0.48348038217861172</v>
      </c>
      <c r="V215" s="181">
        <f t="shared" si="46"/>
        <v>0.42842409853382041</v>
      </c>
      <c r="W215" s="170"/>
      <c r="X215" s="180">
        <f>IF(SUM($X$123:$X$124)&gt;1,NA(),Y215)</f>
        <v>0.44930776033101671</v>
      </c>
      <c r="Y215" s="181">
        <f>X212</f>
        <v>0.44930776033101671</v>
      </c>
      <c r="Z215" s="170"/>
    </row>
    <row r="216" spans="3:26" s="93" customFormat="1" ht="15" customHeight="1" outlineLevel="1">
      <c r="C216" s="169" t="s">
        <v>198</v>
      </c>
      <c r="D216" s="169">
        <f>$C$124</f>
        <v>2025</v>
      </c>
      <c r="E216" s="169"/>
      <c r="F216" s="180">
        <f t="shared" ref="F216:Q216" si="47">F208</f>
        <v>0.34846620970096231</v>
      </c>
      <c r="G216" s="181">
        <f t="shared" si="47"/>
        <v>0.41859564403341287</v>
      </c>
      <c r="H216" s="181">
        <f t="shared" si="47"/>
        <v>0.46447955008935693</v>
      </c>
      <c r="I216" s="180">
        <f t="shared" si="47"/>
        <v>0.49654290254823391</v>
      </c>
      <c r="J216" s="181">
        <f t="shared" si="47"/>
        <v>0.42846621018810138</v>
      </c>
      <c r="K216" s="181">
        <f t="shared" si="47"/>
        <v>0.50007118650164883</v>
      </c>
      <c r="L216" s="180">
        <f t="shared" si="47"/>
        <v>0.49459415983111149</v>
      </c>
      <c r="M216" s="181">
        <f t="shared" si="47"/>
        <v>0.43451901018293876</v>
      </c>
      <c r="N216" s="181">
        <f t="shared" si="47"/>
        <v>0.503218828265111</v>
      </c>
      <c r="O216" s="180">
        <f t="shared" si="47"/>
        <v>0.53799469750396689</v>
      </c>
      <c r="P216" s="181">
        <f t="shared" si="47"/>
        <v>0.49688360840723106</v>
      </c>
      <c r="Q216" s="181">
        <f t="shared" si="47"/>
        <v>0.54013685742051609</v>
      </c>
      <c r="R216" s="170"/>
      <c r="S216" s="180">
        <f t="shared" ref="S216:V216" si="48">S208</f>
        <v>0.41759392064501066</v>
      </c>
      <c r="T216" s="181">
        <f t="shared" si="48"/>
        <v>0.47502676641266128</v>
      </c>
      <c r="U216" s="181">
        <f t="shared" si="48"/>
        <v>0.47744399942638704</v>
      </c>
      <c r="V216" s="181">
        <f t="shared" si="48"/>
        <v>0.52500505444390466</v>
      </c>
      <c r="W216" s="170"/>
      <c r="X216" s="180">
        <f>IF(SUM($X$123:$X$124)&gt;1,NA(),Y216)</f>
        <v>0.47970084724293338</v>
      </c>
      <c r="Y216" s="181">
        <f t="shared" ref="Y216:Y217" si="49">X213</f>
        <v>0.47970084724293338</v>
      </c>
      <c r="Z216" s="170"/>
    </row>
    <row r="217" spans="3:26" s="93" customFormat="1" ht="15" customHeight="1" outlineLevel="1">
      <c r="C217" s="169" t="s">
        <v>198</v>
      </c>
      <c r="D217" s="76" t="s">
        <v>194</v>
      </c>
      <c r="E217" s="76"/>
      <c r="F217" s="180"/>
      <c r="G217" s="181"/>
      <c r="H217" s="181"/>
      <c r="I217" s="180"/>
      <c r="J217" s="181"/>
      <c r="K217" s="181"/>
      <c r="L217" s="180"/>
      <c r="M217" s="181"/>
      <c r="N217" s="181"/>
      <c r="O217" s="180"/>
      <c r="P217" s="181"/>
      <c r="Q217" s="181"/>
      <c r="R217" s="170"/>
      <c r="S217" s="170"/>
      <c r="W217" s="170"/>
      <c r="X217" s="180">
        <f>Y217</f>
        <v>0.46</v>
      </c>
      <c r="Y217" s="181">
        <f t="shared" si="49"/>
        <v>0.46</v>
      </c>
      <c r="Z217" s="170"/>
    </row>
    <row r="218" spans="3:26" s="93" customFormat="1" ht="15" customHeight="1" outlineLevel="1"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S218" s="171"/>
      <c r="T218" s="171"/>
      <c r="U218" s="171"/>
      <c r="V218" s="171"/>
      <c r="X218" s="171"/>
      <c r="Y218" s="171"/>
    </row>
    <row r="219" spans="3:26" s="93" customFormat="1" ht="15" customHeight="1" outlineLevel="1">
      <c r="C219" s="437" t="s">
        <v>194</v>
      </c>
      <c r="D219" s="438"/>
      <c r="E219" s="438"/>
      <c r="F219" s="439"/>
      <c r="G219" s="439"/>
      <c r="H219" s="439"/>
      <c r="I219" s="439"/>
      <c r="J219" s="439"/>
      <c r="K219" s="439"/>
      <c r="L219" s="439"/>
      <c r="M219" s="439"/>
      <c r="N219" s="439"/>
      <c r="O219" s="439"/>
      <c r="P219" s="439"/>
      <c r="Q219" s="439"/>
      <c r="R219" s="440"/>
      <c r="S219" s="439"/>
      <c r="T219" s="439"/>
      <c r="U219" s="439"/>
      <c r="V219" s="439"/>
      <c r="W219" s="440"/>
      <c r="X219" s="439"/>
    </row>
    <row r="220" spans="3:26" s="93" customFormat="1" ht="15" customHeight="1" outlineLevel="1">
      <c r="C220" s="441" t="s">
        <v>209</v>
      </c>
      <c r="D220" s="438"/>
      <c r="E220" s="438"/>
      <c r="F220" s="442">
        <f>F209</f>
        <v>0.46</v>
      </c>
      <c r="G220" s="443">
        <f t="shared" ref="G220:Q220" si="50">G209</f>
        <v>0.46</v>
      </c>
      <c r="H220" s="443">
        <f t="shared" si="50"/>
        <v>0.46</v>
      </c>
      <c r="I220" s="442">
        <f t="shared" si="50"/>
        <v>0.46</v>
      </c>
      <c r="J220" s="443">
        <f t="shared" si="50"/>
        <v>0.46</v>
      </c>
      <c r="K220" s="443">
        <f t="shared" si="50"/>
        <v>0.46</v>
      </c>
      <c r="L220" s="442">
        <f t="shared" si="50"/>
        <v>0.46</v>
      </c>
      <c r="M220" s="443">
        <f t="shared" si="50"/>
        <v>0.46</v>
      </c>
      <c r="N220" s="443">
        <f t="shared" si="50"/>
        <v>0.46</v>
      </c>
      <c r="O220" s="442">
        <f t="shared" si="50"/>
        <v>0.46</v>
      </c>
      <c r="P220" s="443">
        <f t="shared" si="50"/>
        <v>0.46</v>
      </c>
      <c r="Q220" s="443">
        <f t="shared" si="50"/>
        <v>0.46</v>
      </c>
      <c r="R220" s="444"/>
      <c r="S220" s="442">
        <f>S222/S221</f>
        <v>0.46</v>
      </c>
      <c r="T220" s="443">
        <f>T222/T221</f>
        <v>0.46</v>
      </c>
      <c r="U220" s="443">
        <f>U222/U221</f>
        <v>0.46</v>
      </c>
      <c r="V220" s="443">
        <f>V222/V221</f>
        <v>0.46</v>
      </c>
      <c r="W220" s="447"/>
      <c r="X220" s="442">
        <f>X222/X221</f>
        <v>0.46</v>
      </c>
      <c r="Y220" s="170"/>
    </row>
    <row r="221" spans="3:26" s="93" customFormat="1" ht="15" customHeight="1" outlineLevel="1">
      <c r="C221" s="441" t="s">
        <v>207</v>
      </c>
      <c r="D221" s="438"/>
      <c r="E221" s="438"/>
      <c r="F221" s="445">
        <f>F136</f>
        <v>1400</v>
      </c>
      <c r="G221" s="446">
        <f t="shared" ref="G221:Q221" si="51">G136</f>
        <v>1600</v>
      </c>
      <c r="H221" s="446">
        <f t="shared" si="51"/>
        <v>1600</v>
      </c>
      <c r="I221" s="445">
        <f t="shared" si="51"/>
        <v>1500</v>
      </c>
      <c r="J221" s="446">
        <f t="shared" si="51"/>
        <v>1500</v>
      </c>
      <c r="K221" s="446">
        <f t="shared" si="51"/>
        <v>1500</v>
      </c>
      <c r="L221" s="445">
        <f t="shared" si="51"/>
        <v>1500</v>
      </c>
      <c r="M221" s="446">
        <f t="shared" si="51"/>
        <v>1500</v>
      </c>
      <c r="N221" s="446">
        <f t="shared" si="51"/>
        <v>1500</v>
      </c>
      <c r="O221" s="445">
        <f t="shared" si="51"/>
        <v>1600</v>
      </c>
      <c r="P221" s="446">
        <f t="shared" si="51"/>
        <v>1600</v>
      </c>
      <c r="Q221" s="446">
        <f t="shared" si="51"/>
        <v>1600</v>
      </c>
      <c r="R221" s="445"/>
      <c r="S221" s="445">
        <f>SUMIFS($F221:$Q221,$F$119:$Q$119,S$120)</f>
        <v>4600</v>
      </c>
      <c r="T221" s="446">
        <f t="shared" ref="S221:V222" si="52">SUMIFS($F221:$Q221,$F$119:$Q$119,T$120)</f>
        <v>4500</v>
      </c>
      <c r="U221" s="446">
        <f t="shared" si="52"/>
        <v>4500</v>
      </c>
      <c r="V221" s="446">
        <f t="shared" si="52"/>
        <v>4800</v>
      </c>
      <c r="W221" s="445"/>
      <c r="X221" s="445">
        <f>SUM(S221:V221)</f>
        <v>18400</v>
      </c>
      <c r="Y221" s="170"/>
    </row>
    <row r="222" spans="3:26" s="93" customFormat="1" ht="15" customHeight="1" outlineLevel="1">
      <c r="C222" s="441" t="s">
        <v>117</v>
      </c>
      <c r="D222" s="438"/>
      <c r="E222" s="438"/>
      <c r="F222" s="445">
        <f>F221*F220</f>
        <v>644</v>
      </c>
      <c r="G222" s="446">
        <f t="shared" ref="G222:Q222" si="53">G221*G220</f>
        <v>736</v>
      </c>
      <c r="H222" s="446">
        <f t="shared" si="53"/>
        <v>736</v>
      </c>
      <c r="I222" s="445">
        <f t="shared" si="53"/>
        <v>690</v>
      </c>
      <c r="J222" s="446">
        <f t="shared" si="53"/>
        <v>690</v>
      </c>
      <c r="K222" s="446">
        <f t="shared" si="53"/>
        <v>690</v>
      </c>
      <c r="L222" s="445">
        <f t="shared" si="53"/>
        <v>690</v>
      </c>
      <c r="M222" s="446">
        <f t="shared" si="53"/>
        <v>690</v>
      </c>
      <c r="N222" s="446">
        <f t="shared" si="53"/>
        <v>690</v>
      </c>
      <c r="O222" s="445">
        <f t="shared" si="53"/>
        <v>736</v>
      </c>
      <c r="P222" s="446">
        <f t="shared" si="53"/>
        <v>736</v>
      </c>
      <c r="Q222" s="446">
        <f t="shared" si="53"/>
        <v>736</v>
      </c>
      <c r="R222" s="445"/>
      <c r="S222" s="445">
        <f t="shared" si="52"/>
        <v>2116</v>
      </c>
      <c r="T222" s="446">
        <f t="shared" si="52"/>
        <v>2070</v>
      </c>
      <c r="U222" s="446">
        <f t="shared" si="52"/>
        <v>2070</v>
      </c>
      <c r="V222" s="446">
        <f t="shared" si="52"/>
        <v>2208</v>
      </c>
      <c r="W222" s="445"/>
      <c r="X222" s="445">
        <f>SUM(S222:V222)</f>
        <v>8464</v>
      </c>
      <c r="Y222" s="170"/>
    </row>
    <row r="223" spans="3:26" s="93" customFormat="1" ht="15" customHeight="1" outlineLevel="1">
      <c r="C223" s="441"/>
      <c r="D223" s="438"/>
      <c r="E223" s="438"/>
      <c r="F223" s="448"/>
      <c r="G223" s="448"/>
      <c r="H223" s="448"/>
      <c r="I223" s="448"/>
      <c r="J223" s="448"/>
      <c r="K223" s="448"/>
      <c r="L223" s="448"/>
      <c r="M223" s="448"/>
      <c r="N223" s="448"/>
      <c r="O223" s="448"/>
      <c r="P223" s="448"/>
      <c r="Q223" s="448"/>
      <c r="R223" s="446"/>
      <c r="S223" s="448"/>
      <c r="T223" s="448"/>
      <c r="U223" s="448"/>
      <c r="V223" s="448"/>
      <c r="W223" s="446"/>
      <c r="X223" s="448"/>
    </row>
    <row r="224" spans="3:26" s="93" customFormat="1" ht="15" customHeight="1" outlineLevel="1">
      <c r="C224" s="441"/>
      <c r="D224" s="438"/>
      <c r="E224" s="438"/>
      <c r="F224" s="446"/>
      <c r="G224" s="446"/>
      <c r="H224" s="446"/>
      <c r="I224" s="446"/>
      <c r="J224" s="446"/>
      <c r="K224" s="446"/>
      <c r="L224" s="446"/>
      <c r="M224" s="446"/>
      <c r="N224" s="446"/>
      <c r="O224" s="446"/>
      <c r="P224" s="446"/>
      <c r="Q224" s="446"/>
      <c r="R224" s="446"/>
      <c r="S224" s="446"/>
      <c r="T224" s="446"/>
      <c r="U224" s="446"/>
      <c r="V224" s="446"/>
      <c r="W224" s="446"/>
      <c r="X224" s="446"/>
    </row>
    <row r="225" spans="1:37" s="93" customFormat="1" ht="15" customHeight="1" outlineLevel="1">
      <c r="C225" s="168" t="s">
        <v>195</v>
      </c>
      <c r="D225" s="168" t="s">
        <v>196</v>
      </c>
      <c r="E225" s="168"/>
      <c r="T225" s="446"/>
      <c r="U225" s="446"/>
      <c r="V225" s="446"/>
      <c r="W225" s="446"/>
      <c r="X225" s="446"/>
    </row>
    <row r="226" spans="1:37" s="93" customFormat="1" ht="15" customHeight="1" outlineLevel="1">
      <c r="C226" s="169"/>
      <c r="D226" s="169" t="s">
        <v>197</v>
      </c>
      <c r="E226" s="169"/>
      <c r="F226" s="140"/>
      <c r="G226" s="141"/>
      <c r="H226" s="141"/>
      <c r="I226" s="140"/>
      <c r="J226" s="141"/>
      <c r="K226" s="141"/>
      <c r="L226" s="140"/>
      <c r="M226" s="141"/>
      <c r="N226" s="141"/>
      <c r="O226" s="140"/>
      <c r="P226" s="141"/>
      <c r="Q226" s="141"/>
      <c r="R226" s="170"/>
      <c r="T226" s="446"/>
      <c r="U226" s="446"/>
      <c r="V226" s="446"/>
      <c r="W226" s="446"/>
      <c r="X226" s="446"/>
    </row>
    <row r="227" spans="1:37" s="93" customFormat="1" ht="15" customHeight="1" outlineLevel="1">
      <c r="C227" s="169"/>
      <c r="D227" s="169" t="s">
        <v>198</v>
      </c>
      <c r="E227" s="169"/>
      <c r="F227" s="449"/>
      <c r="G227" s="450"/>
      <c r="H227" s="450"/>
      <c r="I227" s="449"/>
      <c r="J227" s="450"/>
      <c r="K227" s="450"/>
      <c r="L227" s="449"/>
      <c r="M227" s="450"/>
      <c r="N227" s="450"/>
      <c r="O227" s="449"/>
      <c r="P227" s="450"/>
      <c r="Q227" s="433"/>
      <c r="T227" s="446"/>
      <c r="U227" s="446"/>
      <c r="V227" s="446"/>
      <c r="W227" s="446"/>
      <c r="X227" s="446"/>
    </row>
    <row r="228" spans="1:37" s="93" customFormat="1" ht="15" customHeight="1" outlineLevel="1">
      <c r="A228" s="88"/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8"/>
      <c r="M228" s="88"/>
      <c r="N228" s="88"/>
      <c r="O228" s="88"/>
      <c r="P228" s="88"/>
      <c r="Q228" s="88"/>
      <c r="R228" s="88"/>
      <c r="T228" s="446"/>
      <c r="U228" s="446"/>
      <c r="V228" s="446"/>
      <c r="W228" s="446"/>
      <c r="X228" s="446"/>
    </row>
    <row r="229" spans="1:37" s="93" customFormat="1" ht="15" customHeight="1" outlineLevel="1"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</row>
    <row r="230" spans="1:37" s="93" customFormat="1" ht="15" customHeight="1"/>
    <row r="231" spans="1:37" ht="15" customHeight="1">
      <c r="AA231" s="93"/>
      <c r="AB231" s="93"/>
      <c r="AC231" s="93"/>
      <c r="AD231" s="93"/>
      <c r="AE231" s="93"/>
      <c r="AF231" s="93"/>
      <c r="AG231" s="93"/>
      <c r="AH231" s="93"/>
      <c r="AI231" s="93"/>
      <c r="AJ231" s="93"/>
      <c r="AK231" s="93"/>
    </row>
    <row r="232" spans="1:37" ht="15" customHeight="1">
      <c r="AA232" s="93"/>
      <c r="AB232" s="93"/>
      <c r="AC232" s="93"/>
      <c r="AD232" s="93"/>
      <c r="AE232" s="93"/>
      <c r="AF232" s="93"/>
      <c r="AG232" s="93"/>
      <c r="AH232" s="93"/>
      <c r="AI232" s="93"/>
      <c r="AJ232" s="93"/>
      <c r="AK232" s="93"/>
    </row>
    <row r="233" spans="1:37" ht="15" customHeight="1">
      <c r="AA233" s="93"/>
      <c r="AB233" s="93"/>
      <c r="AC233" s="93"/>
      <c r="AD233" s="93"/>
      <c r="AE233" s="93"/>
      <c r="AF233" s="93"/>
      <c r="AG233" s="93"/>
      <c r="AH233" s="93"/>
      <c r="AI233" s="93"/>
      <c r="AJ233" s="93"/>
      <c r="AK233" s="93"/>
    </row>
    <row r="234" spans="1:37" ht="15" customHeight="1">
      <c r="AA234" s="93"/>
      <c r="AB234" s="93"/>
      <c r="AC234" s="93"/>
      <c r="AD234" s="93"/>
      <c r="AE234" s="93"/>
      <c r="AF234" s="93"/>
      <c r="AG234" s="93"/>
      <c r="AH234" s="93"/>
      <c r="AI234" s="93"/>
      <c r="AJ234" s="93"/>
      <c r="AK234" s="93"/>
    </row>
    <row r="235" spans="1:37" ht="15" customHeight="1">
      <c r="AA235" s="93"/>
      <c r="AB235" s="93"/>
      <c r="AC235" s="93"/>
      <c r="AD235" s="93"/>
      <c r="AE235" s="93"/>
      <c r="AF235" s="93"/>
      <c r="AG235" s="93"/>
      <c r="AH235" s="93"/>
      <c r="AI235" s="93"/>
      <c r="AJ235" s="93"/>
      <c r="AK235" s="93"/>
    </row>
    <row r="236" spans="1:37" ht="15" customHeight="1">
      <c r="AA236" s="93"/>
      <c r="AB236" s="93"/>
      <c r="AC236" s="93"/>
      <c r="AD236" s="93"/>
      <c r="AE236" s="93"/>
      <c r="AF236" s="93"/>
      <c r="AG236" s="93"/>
      <c r="AH236" s="93"/>
      <c r="AI236" s="93"/>
      <c r="AJ236" s="93"/>
      <c r="AK236" s="93"/>
    </row>
    <row r="237" spans="1:37" ht="15" customHeight="1">
      <c r="AA237" s="93"/>
      <c r="AB237" s="93"/>
      <c r="AC237" s="93"/>
      <c r="AD237" s="93"/>
      <c r="AE237" s="93"/>
      <c r="AF237" s="93"/>
      <c r="AG237" s="93"/>
      <c r="AH237" s="93"/>
      <c r="AI237" s="93"/>
      <c r="AJ237" s="93"/>
      <c r="AK237" s="93"/>
    </row>
  </sheetData>
  <printOptions horizontalCentered="1"/>
  <pageMargins left="0" right="0" top="0" bottom="0" header="0" footer="0"/>
  <pageSetup scale="90" fitToHeight="0" orientation="portrait" r:id="rId1"/>
  <headerFooter>
    <oddFooter>&amp;L&amp;"Open Sans,Bold"&amp;K002060FP&amp;&amp;A Budgeting and Forecasting Model&amp;C&amp;"Open Sans,Bold"&amp;K002060Page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PresentationFormat/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Cover</vt:lpstr>
      <vt:lpstr>Model</vt:lpstr>
      <vt:lpstr>Totals</vt:lpstr>
      <vt:lpstr>Graphs</vt:lpstr>
      <vt:lpstr>Cover!Druckbereich</vt:lpstr>
      <vt:lpstr>Graphs!Druckbereich</vt:lpstr>
      <vt:lpstr>Model!Druckbereich</vt:lpstr>
      <vt:lpstr>Totals!Druckbereich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Guenther</dc:creator>
  <cp:keywords/>
  <dc:description/>
  <cp:lastModifiedBy>Philipp Guenther</cp:lastModifiedBy>
  <cp:revision/>
  <cp:lastPrinted>1899-12-30T05:00:00Z</cp:lastPrinted>
  <dcterms:created xsi:type="dcterms:W3CDTF">1899-12-30T05:00:00Z</dcterms:created>
  <dcterms:modified xsi:type="dcterms:W3CDTF">2024-11-18T12:45:53Z</dcterms:modified>
  <cp:category/>
  <cp:contentStatus/>
  <dc:language/>
  <cp:version/>
</cp:coreProperties>
</file>