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9881f77f5e4853d/Desktop/Bildung/CFI Ausbildung/FMVA/GitHub/"/>
    </mc:Choice>
  </mc:AlternateContent>
  <xr:revisionPtr revIDLastSave="138" documentId="8_{AA3C6887-861B-46E6-BF2C-26F4BC21CB3B}" xr6:coauthVersionLast="47" xr6:coauthVersionMax="47" xr10:uidLastSave="{703521DB-DF9A-48E1-8B3C-EB50B6D10798}"/>
  <bookViews>
    <workbookView xWindow="-120" yWindow="-120" windowWidth="38640" windowHeight="218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Cover!$B$2:$M$24</definedName>
    <definedName name="_xlnm.Print_Area" localSheetId="1">Model!$B$3:$O$42,Model!$B$45:$O$89,Model!$B$92:$O$120,Model!$B$123:$O$152,Model!$B$155:$O$199,Model!$B$202:$O$228,Model!$B$231:$O$270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9" i="1" l="1"/>
  <c r="K264" i="1"/>
  <c r="K254" i="1"/>
  <c r="N249" i="1"/>
  <c r="K249" i="1"/>
  <c r="N246" i="1"/>
  <c r="M246" i="1"/>
  <c r="M249" i="1" s="1"/>
  <c r="K246" i="1"/>
  <c r="O243" i="1"/>
  <c r="O264" i="1" s="1"/>
  <c r="N243" i="1"/>
  <c r="N264" i="1" s="1"/>
  <c r="M243" i="1"/>
  <c r="M255" i="1" s="1"/>
  <c r="L243" i="1"/>
  <c r="L255" i="1" s="1"/>
  <c r="K243" i="1"/>
  <c r="K255" i="1" s="1"/>
  <c r="O220" i="1"/>
  <c r="N220" i="1"/>
  <c r="K219" i="1"/>
  <c r="O214" i="1"/>
  <c r="N214" i="1"/>
  <c r="M214" i="1"/>
  <c r="M220" i="1" s="1"/>
  <c r="L214" i="1"/>
  <c r="L220" i="1" s="1"/>
  <c r="K214" i="1"/>
  <c r="K220" i="1" s="1"/>
  <c r="K213" i="1"/>
  <c r="K216" i="1" s="1"/>
  <c r="L213" i="1" s="1"/>
  <c r="L216" i="1" s="1"/>
  <c r="M213" i="1" s="1"/>
  <c r="M216" i="1" s="1"/>
  <c r="N213" i="1" s="1"/>
  <c r="N216" i="1" s="1"/>
  <c r="O213" i="1" s="1"/>
  <c r="O216" i="1" s="1"/>
  <c r="N192" i="1"/>
  <c r="M192" i="1"/>
  <c r="L192" i="1"/>
  <c r="K192" i="1"/>
  <c r="O191" i="1"/>
  <c r="N191" i="1"/>
  <c r="M191" i="1"/>
  <c r="L191" i="1"/>
  <c r="K191" i="1"/>
  <c r="O190" i="1"/>
  <c r="O192" i="1" s="1"/>
  <c r="N190" i="1"/>
  <c r="M190" i="1"/>
  <c r="L190" i="1"/>
  <c r="K190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J186" i="1"/>
  <c r="J185" i="1"/>
  <c r="J184" i="1"/>
  <c r="J183" i="1"/>
  <c r="J182" i="1"/>
  <c r="I186" i="1"/>
  <c r="I185" i="1"/>
  <c r="I184" i="1"/>
  <c r="I183" i="1"/>
  <c r="I182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L170" i="1"/>
  <c r="M170" i="1" s="1"/>
  <c r="N170" i="1" s="1"/>
  <c r="O170" i="1" s="1"/>
  <c r="K170" i="1"/>
  <c r="O246" i="1" l="1"/>
  <c r="O249" i="1" s="1"/>
  <c r="N255" i="1"/>
  <c r="O255" i="1"/>
  <c r="L246" i="1"/>
  <c r="L249" i="1" s="1"/>
  <c r="L264" i="1"/>
  <c r="M264" i="1"/>
  <c r="K221" i="1"/>
  <c r="K222" i="1" s="1"/>
  <c r="L219" i="1" s="1"/>
  <c r="L221" i="1" l="1"/>
  <c r="L222" i="1"/>
  <c r="M219" i="1" s="1"/>
  <c r="M221" i="1" l="1"/>
  <c r="M222" i="1"/>
  <c r="N219" i="1" s="1"/>
  <c r="N221" i="1" l="1"/>
  <c r="N222" i="1" s="1"/>
  <c r="O219" i="1" s="1"/>
  <c r="O221" i="1" l="1"/>
  <c r="O222" i="1" s="1"/>
  <c r="K164" i="1" l="1"/>
  <c r="L164" i="1" s="1"/>
  <c r="O148" i="1"/>
  <c r="N148" i="1"/>
  <c r="M148" i="1"/>
  <c r="L148" i="1"/>
  <c r="K148" i="1"/>
  <c r="L151" i="1" s="1"/>
  <c r="J148" i="1"/>
  <c r="I148" i="1"/>
  <c r="H148" i="1"/>
  <c r="I151" i="1" s="1"/>
  <c r="O151" i="1"/>
  <c r="N151" i="1"/>
  <c r="M151" i="1"/>
  <c r="J151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H147" i="1"/>
  <c r="H146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K142" i="1"/>
  <c r="K141" i="1"/>
  <c r="K140" i="1"/>
  <c r="J136" i="1"/>
  <c r="I136" i="1"/>
  <c r="J135" i="1"/>
  <c r="I135" i="1"/>
  <c r="J134" i="1"/>
  <c r="I134" i="1"/>
  <c r="H136" i="1"/>
  <c r="H135" i="1"/>
  <c r="H134" i="1"/>
  <c r="O117" i="1"/>
  <c r="N117" i="1"/>
  <c r="M117" i="1"/>
  <c r="L117" i="1"/>
  <c r="K117" i="1"/>
  <c r="K119" i="1" s="1"/>
  <c r="J117" i="1"/>
  <c r="J119" i="1" s="1"/>
  <c r="I117" i="1"/>
  <c r="H117" i="1"/>
  <c r="O119" i="1"/>
  <c r="N119" i="1"/>
  <c r="M119" i="1"/>
  <c r="L119" i="1"/>
  <c r="I119" i="1"/>
  <c r="H119" i="1"/>
  <c r="O113" i="1"/>
  <c r="N113" i="1"/>
  <c r="M113" i="1"/>
  <c r="L113" i="1"/>
  <c r="K113" i="1"/>
  <c r="J113" i="1"/>
  <c r="I113" i="1"/>
  <c r="H113" i="1"/>
  <c r="O110" i="1"/>
  <c r="N110" i="1"/>
  <c r="M110" i="1"/>
  <c r="L110" i="1"/>
  <c r="K110" i="1"/>
  <c r="J110" i="1"/>
  <c r="I110" i="1"/>
  <c r="H110" i="1"/>
  <c r="O106" i="1"/>
  <c r="N106" i="1"/>
  <c r="M106" i="1"/>
  <c r="L106" i="1"/>
  <c r="K106" i="1"/>
  <c r="J106" i="1"/>
  <c r="I106" i="1"/>
  <c r="H106" i="1"/>
  <c r="M105" i="1"/>
  <c r="N105" i="1" s="1"/>
  <c r="O105" i="1" s="1"/>
  <c r="L105" i="1"/>
  <c r="L104" i="1"/>
  <c r="K105" i="1"/>
  <c r="K104" i="1"/>
  <c r="O101" i="1"/>
  <c r="N101" i="1"/>
  <c r="M101" i="1"/>
  <c r="L101" i="1"/>
  <c r="K101" i="1"/>
  <c r="J101" i="1"/>
  <c r="I101" i="1"/>
  <c r="H10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O71" i="1" s="1"/>
  <c r="O83" i="1" s="1"/>
  <c r="N68" i="1"/>
  <c r="N71" i="1" s="1"/>
  <c r="N83" i="1" s="1"/>
  <c r="M68" i="1"/>
  <c r="M71" i="1" s="1"/>
  <c r="M83" i="1" s="1"/>
  <c r="L68" i="1"/>
  <c r="L71" i="1" s="1"/>
  <c r="L83" i="1" s="1"/>
  <c r="L84" i="1" s="1"/>
  <c r="K68" i="1"/>
  <c r="K71" i="1" s="1"/>
  <c r="K83" i="1" s="1"/>
  <c r="K84" i="1" s="1"/>
  <c r="J68" i="1"/>
  <c r="J71" i="1" s="1"/>
  <c r="J83" i="1" s="1"/>
  <c r="I68" i="1"/>
  <c r="I71" i="1" s="1"/>
  <c r="I83" i="1" s="1"/>
  <c r="H70" i="1"/>
  <c r="H69" i="1"/>
  <c r="H68" i="1"/>
  <c r="M88" i="1"/>
  <c r="I88" i="1"/>
  <c r="O87" i="1"/>
  <c r="N87" i="1"/>
  <c r="N88" i="1" s="1"/>
  <c r="M87" i="1"/>
  <c r="L87" i="1"/>
  <c r="K87" i="1"/>
  <c r="J87" i="1"/>
  <c r="I87" i="1"/>
  <c r="O86" i="1"/>
  <c r="O88" i="1" s="1"/>
  <c r="N86" i="1"/>
  <c r="M86" i="1"/>
  <c r="L86" i="1"/>
  <c r="L88" i="1" s="1"/>
  <c r="K86" i="1"/>
  <c r="K88" i="1" s="1"/>
  <c r="J86" i="1"/>
  <c r="J88" i="1" s="1"/>
  <c r="I86" i="1"/>
  <c r="H88" i="1"/>
  <c r="H87" i="1"/>
  <c r="H86" i="1"/>
  <c r="O82" i="1"/>
  <c r="N82" i="1"/>
  <c r="M82" i="1"/>
  <c r="L82" i="1"/>
  <c r="K82" i="1"/>
  <c r="J82" i="1"/>
  <c r="I82" i="1"/>
  <c r="H82" i="1"/>
  <c r="O76" i="1"/>
  <c r="N76" i="1"/>
  <c r="M76" i="1"/>
  <c r="L76" i="1"/>
  <c r="K76" i="1"/>
  <c r="J76" i="1"/>
  <c r="I76" i="1"/>
  <c r="H76" i="1"/>
  <c r="L75" i="1"/>
  <c r="M75" i="1" s="1"/>
  <c r="N75" i="1" s="1"/>
  <c r="O75" i="1" s="1"/>
  <c r="L74" i="1"/>
  <c r="M74" i="1" s="1"/>
  <c r="N74" i="1" s="1"/>
  <c r="O74" i="1" s="1"/>
  <c r="M73" i="1"/>
  <c r="N73" i="1" s="1"/>
  <c r="O73" i="1" s="1"/>
  <c r="L73" i="1"/>
  <c r="K75" i="1"/>
  <c r="K74" i="1"/>
  <c r="K73" i="1"/>
  <c r="O62" i="1"/>
  <c r="N62" i="1"/>
  <c r="M62" i="1"/>
  <c r="L62" i="1"/>
  <c r="K62" i="1"/>
  <c r="J62" i="1"/>
  <c r="I62" i="1"/>
  <c r="H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H61" i="1"/>
  <c r="H60" i="1"/>
  <c r="H59" i="1"/>
  <c r="O57" i="1"/>
  <c r="N57" i="1"/>
  <c r="M57" i="1"/>
  <c r="L57" i="1"/>
  <c r="K57" i="1"/>
  <c r="J57" i="1"/>
  <c r="I57" i="1"/>
  <c r="H57" i="1"/>
  <c r="L56" i="1"/>
  <c r="M56" i="1" s="1"/>
  <c r="N56" i="1" s="1"/>
  <c r="O56" i="1" s="1"/>
  <c r="L55" i="1"/>
  <c r="M55" i="1" s="1"/>
  <c r="N55" i="1" s="1"/>
  <c r="O55" i="1" s="1"/>
  <c r="M54" i="1"/>
  <c r="N54" i="1" s="1"/>
  <c r="O54" i="1" s="1"/>
  <c r="L54" i="1"/>
  <c r="K56" i="1"/>
  <c r="K55" i="1"/>
  <c r="K54" i="1"/>
  <c r="O41" i="1"/>
  <c r="N41" i="1"/>
  <c r="M41" i="1"/>
  <c r="L41" i="1"/>
  <c r="K41" i="1"/>
  <c r="J41" i="1"/>
  <c r="I41" i="1"/>
  <c r="H41" i="1"/>
  <c r="K38" i="1"/>
  <c r="O37" i="1"/>
  <c r="N37" i="1"/>
  <c r="M37" i="1"/>
  <c r="L37" i="1"/>
  <c r="L38" i="1" s="1"/>
  <c r="K37" i="1"/>
  <c r="J37" i="1"/>
  <c r="I37" i="1"/>
  <c r="O36" i="1"/>
  <c r="O38" i="1" s="1"/>
  <c r="N36" i="1"/>
  <c r="N38" i="1" s="1"/>
  <c r="M36" i="1"/>
  <c r="M38" i="1" s="1"/>
  <c r="L36" i="1"/>
  <c r="K36" i="1"/>
  <c r="J36" i="1"/>
  <c r="J38" i="1" s="1"/>
  <c r="I36" i="1"/>
  <c r="I38" i="1" s="1"/>
  <c r="H38" i="1"/>
  <c r="H37" i="1"/>
  <c r="H36" i="1"/>
  <c r="L31" i="1"/>
  <c r="M31" i="1" s="1"/>
  <c r="N31" i="1" s="1"/>
  <c r="O31" i="1" s="1"/>
  <c r="K31" i="1"/>
  <c r="J30" i="1"/>
  <c r="I30" i="1"/>
  <c r="O25" i="1"/>
  <c r="N25" i="1"/>
  <c r="M25" i="1"/>
  <c r="L25" i="1"/>
  <c r="K25" i="1"/>
  <c r="J25" i="1"/>
  <c r="I25" i="1"/>
  <c r="H25" i="1"/>
  <c r="O24" i="1"/>
  <c r="N24" i="1"/>
  <c r="M24" i="1"/>
  <c r="L24" i="1"/>
  <c r="K24" i="1"/>
  <c r="J24" i="1"/>
  <c r="I24" i="1"/>
  <c r="H24" i="1"/>
  <c r="O23" i="1"/>
  <c r="N23" i="1"/>
  <c r="M23" i="1"/>
  <c r="L23" i="1"/>
  <c r="K23" i="1"/>
  <c r="J23" i="1"/>
  <c r="I23" i="1"/>
  <c r="H23" i="1"/>
  <c r="O16" i="1"/>
  <c r="N16" i="1"/>
  <c r="M16" i="1"/>
  <c r="L16" i="1"/>
  <c r="K16" i="1"/>
  <c r="J16" i="1"/>
  <c r="I16" i="1"/>
  <c r="H16" i="1"/>
  <c r="L14" i="1"/>
  <c r="M14" i="1" s="1"/>
  <c r="N14" i="1" s="1"/>
  <c r="O14" i="1" s="1"/>
  <c r="K14" i="1"/>
  <c r="J12" i="1"/>
  <c r="I12" i="1"/>
  <c r="K236" i="1"/>
  <c r="K256" i="1" s="1"/>
  <c r="O236" i="1"/>
  <c r="N236" i="1"/>
  <c r="M236" i="1"/>
  <c r="L236" i="1"/>
  <c r="J204" i="1"/>
  <c r="K204" i="1" s="1"/>
  <c r="L204" i="1" s="1"/>
  <c r="M204" i="1" s="1"/>
  <c r="N204" i="1" s="1"/>
  <c r="O204" i="1" s="1"/>
  <c r="I174" i="1"/>
  <c r="I175" i="1" s="1"/>
  <c r="I94" i="1"/>
  <c r="J94" i="1" s="1"/>
  <c r="K94" i="1" s="1"/>
  <c r="L94" i="1" s="1"/>
  <c r="M94" i="1" s="1"/>
  <c r="N94" i="1" s="1"/>
  <c r="O94" i="1" s="1"/>
  <c r="I47" i="1"/>
  <c r="J47" i="1" s="1"/>
  <c r="K47" i="1" s="1"/>
  <c r="L47" i="1" s="1"/>
  <c r="M47" i="1" s="1"/>
  <c r="N47" i="1" s="1"/>
  <c r="O47" i="1" s="1"/>
  <c r="K233" i="1"/>
  <c r="L233" i="1" s="1"/>
  <c r="M233" i="1" s="1"/>
  <c r="N233" i="1" s="1"/>
  <c r="O233" i="1" s="1"/>
  <c r="B239" i="1" s="1"/>
  <c r="I157" i="1"/>
  <c r="J157" i="1" s="1"/>
  <c r="K157" i="1" s="1"/>
  <c r="L157" i="1" s="1"/>
  <c r="M157" i="1" s="1"/>
  <c r="N157" i="1" s="1"/>
  <c r="O157" i="1" s="1"/>
  <c r="I125" i="1"/>
  <c r="J125" i="1" s="1"/>
  <c r="K125" i="1" s="1"/>
  <c r="L125" i="1" s="1"/>
  <c r="M125" i="1" s="1"/>
  <c r="N125" i="1" s="1"/>
  <c r="O125" i="1" s="1"/>
  <c r="I5" i="1"/>
  <c r="K250" i="1" l="1"/>
  <c r="K251" i="1" s="1"/>
  <c r="K262" i="1" s="1"/>
  <c r="K263" i="1" s="1"/>
  <c r="K257" i="1"/>
  <c r="L254" i="1" s="1"/>
  <c r="L256" i="1"/>
  <c r="L250" i="1" s="1"/>
  <c r="L251" i="1" s="1"/>
  <c r="L262" i="1" s="1"/>
  <c r="L263" i="1" s="1"/>
  <c r="M164" i="1"/>
  <c r="K151" i="1"/>
  <c r="M104" i="1"/>
  <c r="M84" i="1"/>
  <c r="N84" i="1"/>
  <c r="I84" i="1"/>
  <c r="O84" i="1"/>
  <c r="J84" i="1"/>
  <c r="H71" i="1"/>
  <c r="H83" i="1" s="1"/>
  <c r="H84" i="1"/>
  <c r="B164" i="1"/>
  <c r="J5" i="1"/>
  <c r="K5" i="1" s="1"/>
  <c r="L257" i="1" l="1"/>
  <c r="M254" i="1" s="1"/>
  <c r="N164" i="1"/>
  <c r="O164" i="1" s="1"/>
  <c r="N104" i="1"/>
  <c r="L5" i="1"/>
  <c r="M256" i="1" l="1"/>
  <c r="M250" i="1" s="1"/>
  <c r="M251" i="1" s="1"/>
  <c r="M262" i="1" s="1"/>
  <c r="M263" i="1" s="1"/>
  <c r="O104" i="1"/>
  <c r="M5" i="1"/>
  <c r="M257" i="1" l="1"/>
  <c r="N254" i="1" s="1"/>
  <c r="N5" i="1"/>
  <c r="N256" i="1" l="1"/>
  <c r="N250" i="1" s="1"/>
  <c r="N251" i="1" s="1"/>
  <c r="N262" i="1" s="1"/>
  <c r="N263" i="1" s="1"/>
  <c r="O5" i="1"/>
  <c r="N257" i="1" l="1"/>
  <c r="O254" i="1" s="1"/>
  <c r="L163" i="1"/>
  <c r="M163" i="1" s="1"/>
  <c r="N163" i="1" s="1"/>
  <c r="O163" i="1" s="1"/>
  <c r="L169" i="1"/>
  <c r="M169" i="1" s="1"/>
  <c r="N169" i="1" s="1"/>
  <c r="O169" i="1" s="1"/>
  <c r="I176" i="1"/>
  <c r="I177" i="1" s="1"/>
  <c r="I178" i="1" s="1"/>
  <c r="O256" i="1" l="1"/>
  <c r="O250" i="1" s="1"/>
  <c r="O251" i="1" s="1"/>
  <c r="O262" i="1" s="1"/>
  <c r="O263" i="1" s="1"/>
  <c r="K173" i="1"/>
  <c r="L173" i="1"/>
  <c r="O257" i="1" l="1"/>
  <c r="H174" i="1"/>
  <c r="H182" i="1" s="1"/>
  <c r="K181" i="1"/>
  <c r="L181" i="1"/>
  <c r="M173" i="1"/>
  <c r="H175" i="1" l="1"/>
  <c r="H183" i="1" s="1"/>
  <c r="M181" i="1"/>
  <c r="N181" i="1"/>
  <c r="H176" i="1" l="1"/>
  <c r="H177" i="1" s="1"/>
  <c r="H185" i="1" s="1"/>
  <c r="N173" i="1"/>
  <c r="H184" i="1" l="1"/>
  <c r="H178" i="1"/>
  <c r="H186" i="1" s="1"/>
  <c r="O173" i="1"/>
  <c r="O181" i="1"/>
</calcChain>
</file>

<file path=xl/sharedStrings.xml><?xml version="1.0" encoding="utf-8"?>
<sst xmlns="http://schemas.openxmlformats.org/spreadsheetml/2006/main" count="183" uniqueCount="113">
  <si>
    <t>Revenue</t>
  </si>
  <si>
    <t>Days in Period</t>
  </si>
  <si>
    <t>Accounts Receivable</t>
  </si>
  <si>
    <t>(Days)</t>
  </si>
  <si>
    <t>Inventory</t>
  </si>
  <si>
    <t>Accounts Payable</t>
  </si>
  <si>
    <t>Net Working Capital</t>
  </si>
  <si>
    <t>Beginning</t>
  </si>
  <si>
    <t>Ending</t>
  </si>
  <si>
    <t>Plant Capacity</t>
  </si>
  <si>
    <t>(Units/Day)</t>
  </si>
  <si>
    <t>Sales Volume Growth</t>
  </si>
  <si>
    <t>Sales Volume</t>
  </si>
  <si>
    <t>Operational Efficiency</t>
  </si>
  <si>
    <t>(Units)</t>
  </si>
  <si>
    <t>Unit Price</t>
  </si>
  <si>
    <t>(USD/Unit)</t>
  </si>
  <si>
    <t>Pricing Increases</t>
  </si>
  <si>
    <t>Revenue Schedule</t>
  </si>
  <si>
    <t>All figures in USD thousands unless stated</t>
  </si>
  <si>
    <t>Cost Schedule</t>
  </si>
  <si>
    <t>Variable Costs</t>
  </si>
  <si>
    <t>Packaging</t>
  </si>
  <si>
    <t>Fixed Costs</t>
  </si>
  <si>
    <t>Insurance</t>
  </si>
  <si>
    <t>Utilities</t>
  </si>
  <si>
    <t>Labour</t>
  </si>
  <si>
    <t>Inflation</t>
  </si>
  <si>
    <t>Transportation</t>
  </si>
  <si>
    <t>Subtotal</t>
  </si>
  <si>
    <t>Total Costs</t>
  </si>
  <si>
    <t>EBT</t>
  </si>
  <si>
    <t>Add: Accounting Depreciation</t>
  </si>
  <si>
    <t>Less: Tax Depreciation</t>
  </si>
  <si>
    <t>Taxable Income</t>
  </si>
  <si>
    <t>Income Statement</t>
  </si>
  <si>
    <t>Gross Profit</t>
  </si>
  <si>
    <t>EBITDA</t>
  </si>
  <si>
    <t>Depreciation</t>
  </si>
  <si>
    <t>EBIT</t>
  </si>
  <si>
    <t>Current Tax</t>
  </si>
  <si>
    <t>Deferred Tax</t>
  </si>
  <si>
    <t>Total Tax</t>
  </si>
  <si>
    <t>Net Income</t>
  </si>
  <si>
    <t>Other</t>
  </si>
  <si>
    <t>Interest</t>
  </si>
  <si>
    <t>Add: New Losses</t>
  </si>
  <si>
    <t>Adjustment for Depreciation</t>
  </si>
  <si>
    <t>Adjustment for Tax Losses</t>
  </si>
  <si>
    <t>Current Taxes</t>
  </si>
  <si>
    <t>Deferred Taxes</t>
  </si>
  <si>
    <t>Total Taxes</t>
  </si>
  <si>
    <t>Tax Rate</t>
  </si>
  <si>
    <t>Taxes</t>
  </si>
  <si>
    <t>Profitable Before Taxes?</t>
  </si>
  <si>
    <t>Asset Schedule</t>
  </si>
  <si>
    <t>Capital Expenditure</t>
  </si>
  <si>
    <t>Accounting Depreciation</t>
  </si>
  <si>
    <t>Tax Basis</t>
  </si>
  <si>
    <t>Tax Depreciation</t>
  </si>
  <si>
    <t>Blended Tax Depreciation Rate</t>
  </si>
  <si>
    <t>Tax Losses</t>
  </si>
  <si>
    <t>EBT After Adjustment</t>
  </si>
  <si>
    <t>Less: Use of Tax Losses</t>
  </si>
  <si>
    <t>Earnings Before Tax (EBT)</t>
  </si>
  <si>
    <t>Existing Assets</t>
  </si>
  <si>
    <t>New Assets</t>
  </si>
  <si>
    <t>Year</t>
  </si>
  <si>
    <t>Capex</t>
  </si>
  <si>
    <t>Life</t>
  </si>
  <si>
    <t>Amounts for Depreciation</t>
  </si>
  <si>
    <t>Total Depreciation</t>
  </si>
  <si>
    <t>Per Yr</t>
  </si>
  <si>
    <t>Years</t>
  </si>
  <si>
    <t>Income Tax Schedule</t>
  </si>
  <si>
    <t>First Year Accounting Depreciation</t>
  </si>
  <si>
    <t>First Year Tax Depreciation</t>
  </si>
  <si>
    <t>Percent of Full Year</t>
  </si>
  <si>
    <t>TOTAL ASSET DEPRECIATION</t>
  </si>
  <si>
    <t>NEW ASSET DEPRECIATION</t>
  </si>
  <si>
    <t>EXISTING ASSET DEPRECIATION</t>
  </si>
  <si>
    <t>Useful Life: Existing Assets</t>
  </si>
  <si>
    <t>Useful Life: New Assets</t>
  </si>
  <si>
    <t>Sales Price</t>
  </si>
  <si>
    <t>REVENUE</t>
  </si>
  <si>
    <t>PRICING</t>
  </si>
  <si>
    <t>VOLUME</t>
  </si>
  <si>
    <t>SG&amp;A</t>
  </si>
  <si>
    <t>Property Plant &amp; Equipment</t>
  </si>
  <si>
    <t>Materials</t>
  </si>
  <si>
    <t>TOTAL AMOUNTS</t>
  </si>
  <si>
    <t>COGS</t>
  </si>
  <si>
    <t>OPERATIONS</t>
  </si>
  <si>
    <t>Capacity Exceeded?</t>
  </si>
  <si>
    <t>FIXED COSTS</t>
  </si>
  <si>
    <t>VARIABLE COSTS</t>
  </si>
  <si>
    <t>SUMMARY</t>
  </si>
  <si>
    <t>Current Assets</t>
  </si>
  <si>
    <t>Current Liabilities</t>
  </si>
  <si>
    <t>Cash from Working Capital Items</t>
  </si>
  <si>
    <t>NET WORKING CAPITAL</t>
  </si>
  <si>
    <t>AMOUNTS PER DAY</t>
  </si>
  <si>
    <t>Working Capital Schedule</t>
  </si>
  <si>
    <t xml:space="preserve">Model assumes that tax losses can be carried forward indefinately into the future.  </t>
  </si>
  <si>
    <t>Model assumes losses do not carry back to previous periods to reduce taxable income.</t>
  </si>
  <si>
    <t>Depreciation Schedule</t>
  </si>
  <si>
    <t xml:space="preserve">This schedule calculates depreciation on a straight-line basis.  </t>
  </si>
  <si>
    <t xml:space="preserve">This schedule assumes all PP&amp;E is depreciable.  </t>
  </si>
  <si>
    <t xml:space="preserve">This schedule assumes that there are no asset disposals.  </t>
  </si>
  <si>
    <t xml:space="preserve"> </t>
  </si>
  <si>
    <t>Table of Contents</t>
  </si>
  <si>
    <t>Model</t>
  </si>
  <si>
    <t>Operational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</si>
</sst>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0&quot;F&quot;"/>
    <numFmt numFmtId="168" formatCode="_(#,##0_);\(#,##0\);_(&quot;–&quot;_);_(@_)"/>
    <numFmt numFmtId="169" formatCode="#,##0_);[Red]\(#,##0\);\-"/>
    <numFmt numFmtId="170" formatCode="#,##0_);\(#,##0\);\-"/>
    <numFmt numFmtId="171" formatCode="_(#,##0.0%_);\(#,##0.0%\);_(&quot;–&quot;_)_%;_(@_)_%"/>
    <numFmt numFmtId="172" formatCode="0&quot;E&quot;"/>
    <numFmt numFmtId="173" formatCode="0.0%"/>
    <numFmt numFmtId="174" formatCode="_(#,##0.00_);\(#,##0.00\);_(&quot;–&quot;_);_(@_)"/>
    <numFmt numFmtId="175" formatCode="#,##0.0_);\(#,##0.0\);\-"/>
    <numFmt numFmtId="176" formatCode="#,##0.00_);\(#,##0.00\);\-"/>
    <numFmt numFmtId="177" formatCode="&quot;Yr&quot;\ 0"/>
    <numFmt numFmtId="178" formatCode="_(#,##0%_);\(#,##0%\);_(&quot;–&quot;_)_%;_(@_)_%"/>
    <numFmt numFmtId="179" formatCode="0&quot;F&quot;\ "/>
    <numFmt numFmtId="180" formatCode="_(#,##0.0_);\(#,##0.0\);_(&quot;–&quot;_);_(@_)"/>
    <numFmt numFmtId="181" formatCode="[=1]&quot;Yes&quot;_);[=0]&quot;No&quot;_)"/>
    <numFmt numFmtId="182" formatCode="@\⁽\¹\⁾"/>
    <numFmt numFmtId="183" formatCode="@\⁽\²\⁾"/>
    <numFmt numFmtId="184" formatCode="[=0]&quot;-&quot;_);[=1]&quot;Yes&quot;_)"/>
    <numFmt numFmtId="186" formatCode="[=0]&quot;-&quot;_];[=1]&quot;Yes&quot;_]"/>
  </numFmts>
  <fonts count="43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1"/>
      <name val="Arial Narrow"/>
      <family val="2"/>
    </font>
    <font>
      <b/>
      <sz val="16"/>
      <color theme="0"/>
      <name val="Open Sans"/>
      <family val="2"/>
    </font>
    <font>
      <sz val="10"/>
      <name val="Bookman"/>
      <family val="1"/>
    </font>
    <font>
      <sz val="11"/>
      <color theme="1"/>
      <name val="Open Sans"/>
      <family val="2"/>
    </font>
    <font>
      <i/>
      <sz val="11"/>
      <color theme="1"/>
      <name val="Open Sans"/>
      <family val="2"/>
    </font>
    <font>
      <sz val="14"/>
      <color theme="1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i/>
      <sz val="9"/>
      <name val="Open Sans"/>
      <family val="2"/>
    </font>
    <font>
      <b/>
      <sz val="10"/>
      <name val="Open Sans"/>
      <family val="2"/>
    </font>
    <font>
      <sz val="14"/>
      <color theme="1"/>
      <name val="Arial Narrow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i/>
      <sz val="8"/>
      <name val="Open Sans"/>
      <family val="2"/>
    </font>
    <font>
      <sz val="10"/>
      <color rgb="FF0000FF"/>
      <name val="Open Sans"/>
      <family val="2"/>
    </font>
    <font>
      <i/>
      <sz val="10"/>
      <color rgb="FF3271D2"/>
      <name val="Open Sans"/>
      <family val="2"/>
    </font>
    <font>
      <sz val="10"/>
      <color rgb="FFFF0000"/>
      <name val="Open Sans"/>
      <family val="2"/>
    </font>
    <font>
      <b/>
      <sz val="10"/>
      <color rgb="FF0000FF"/>
      <name val="Open Sans"/>
      <family val="2"/>
    </font>
    <font>
      <i/>
      <sz val="10"/>
      <color rgb="FF000000"/>
      <name val="Open Sans"/>
      <family val="2"/>
    </font>
    <font>
      <i/>
      <sz val="9"/>
      <color rgb="FF000000"/>
      <name val="Open Sans"/>
      <family val="2"/>
    </font>
    <font>
      <b/>
      <sz val="10"/>
      <color rgb="FFFFFFFF"/>
      <name val="Open Sans"/>
      <family val="2"/>
    </font>
    <font>
      <sz val="10"/>
      <color theme="9" tint="-0.249977111117893"/>
      <name val="Open Sans"/>
      <family val="2"/>
    </font>
    <font>
      <sz val="14"/>
      <color rgb="FF000000"/>
      <name val="Arial Narrow"/>
      <family val="2"/>
    </font>
    <font>
      <b/>
      <sz val="10"/>
      <color rgb="FF3271D2"/>
      <name val="Open Sans"/>
      <family val="2"/>
    </font>
    <font>
      <i/>
      <sz val="8"/>
      <color rgb="FFFF0000"/>
      <name val="Open Sans"/>
      <family val="2"/>
    </font>
    <font>
      <i/>
      <sz val="10"/>
      <color rgb="FFFF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000C3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43" fontId="10" fillId="0" borderId="0" applyFont="0" applyFill="0" applyBorder="0" applyAlignment="0" applyProtection="0"/>
  </cellStyleXfs>
  <cellXfs count="256">
    <xf numFmtId="0" fontId="0" fillId="0" borderId="0" xfId="0"/>
    <xf numFmtId="0" fontId="11" fillId="0" borderId="0" xfId="4" applyFont="1"/>
    <xf numFmtId="0" fontId="8" fillId="0" borderId="0" xfId="0" applyFont="1"/>
    <xf numFmtId="165" fontId="11" fillId="0" borderId="0" xfId="5" applyNumberFormat="1" applyFont="1" applyProtection="1">
      <protection locked="0"/>
    </xf>
    <xf numFmtId="165" fontId="12" fillId="0" borderId="0" xfId="5" applyNumberFormat="1" applyFont="1" applyProtection="1">
      <protection locked="0"/>
    </xf>
    <xf numFmtId="165" fontId="12" fillId="0" borderId="0" xfId="5" applyNumberFormat="1" applyFont="1" applyAlignment="1" applyProtection="1">
      <alignment horizontal="center"/>
      <protection locked="0"/>
    </xf>
    <xf numFmtId="165" fontId="12" fillId="0" borderId="0" xfId="5" applyNumberFormat="1" applyFont="1" applyAlignment="1">
      <alignment horizontal="right"/>
    </xf>
    <xf numFmtId="37" fontId="13" fillId="0" borderId="0" xfId="0" applyNumberFormat="1" applyFont="1" applyAlignment="1">
      <alignment vertical="center"/>
    </xf>
    <xf numFmtId="37" fontId="16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right"/>
    </xf>
    <xf numFmtId="167" fontId="18" fillId="0" borderId="3" xfId="0" applyNumberFormat="1" applyFont="1" applyBorder="1" applyAlignment="1">
      <alignment horizontal="right"/>
    </xf>
    <xf numFmtId="37" fontId="19" fillId="0" borderId="0" xfId="0" applyNumberFormat="1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168" fontId="23" fillId="0" borderId="4" xfId="0" applyNumberFormat="1" applyFont="1" applyBorder="1"/>
    <xf numFmtId="0" fontId="24" fillId="0" borderId="0" xfId="0" applyFont="1" applyAlignment="1">
      <alignment horizontal="left"/>
    </xf>
    <xf numFmtId="0" fontId="18" fillId="0" borderId="0" xfId="0" applyFont="1"/>
    <xf numFmtId="169" fontId="18" fillId="0" borderId="0" xfId="0" applyNumberFormat="1" applyFont="1"/>
    <xf numFmtId="170" fontId="23" fillId="0" borderId="0" xfId="0" applyNumberFormat="1" applyFont="1"/>
    <xf numFmtId="170" fontId="22" fillId="0" borderId="0" xfId="0" applyNumberFormat="1" applyFont="1"/>
    <xf numFmtId="170" fontId="21" fillId="0" borderId="0" xfId="0" applyNumberFormat="1" applyFont="1"/>
    <xf numFmtId="0" fontId="0" fillId="0" borderId="4" xfId="0" applyBorder="1"/>
    <xf numFmtId="0" fontId="21" fillId="0" borderId="0" xfId="0" applyFont="1"/>
    <xf numFmtId="0" fontId="25" fillId="0" borderId="0" xfId="0" applyFont="1" applyAlignment="1">
      <alignment horizontal="center"/>
    </xf>
    <xf numFmtId="170" fontId="21" fillId="0" borderId="10" xfId="0" applyNumberFormat="1" applyFont="1" applyBorder="1"/>
    <xf numFmtId="170" fontId="21" fillId="0" borderId="4" xfId="0" applyNumberFormat="1" applyFont="1" applyBorder="1"/>
    <xf numFmtId="0" fontId="22" fillId="0" borderId="0" xfId="0" applyFont="1" applyAlignment="1">
      <alignment horizontal="left"/>
    </xf>
    <xf numFmtId="38" fontId="22" fillId="0" borderId="0" xfId="0" applyNumberFormat="1" applyFont="1"/>
    <xf numFmtId="0" fontId="17" fillId="0" borderId="0" xfId="0" applyFont="1" applyAlignment="1">
      <alignment horizontal="center"/>
    </xf>
    <xf numFmtId="170" fontId="26" fillId="0" borderId="0" xfId="0" applyNumberFormat="1" applyFont="1"/>
    <xf numFmtId="0" fontId="18" fillId="0" borderId="0" xfId="0" applyFont="1" applyAlignment="1">
      <alignment horizontal="left"/>
    </xf>
    <xf numFmtId="0" fontId="22" fillId="0" borderId="4" xfId="0" applyFont="1" applyBorder="1"/>
    <xf numFmtId="164" fontId="17" fillId="0" borderId="4" xfId="0" applyNumberFormat="1" applyFont="1" applyBorder="1" applyAlignment="1">
      <alignment vertical="center"/>
    </xf>
    <xf numFmtId="37" fontId="5" fillId="0" borderId="4" xfId="0" applyNumberFormat="1" applyFont="1" applyBorder="1" applyAlignment="1">
      <alignment vertical="center"/>
    </xf>
    <xf numFmtId="166" fontId="18" fillId="0" borderId="4" xfId="0" applyNumberFormat="1" applyFont="1" applyBorder="1" applyAlignment="1">
      <alignment horizontal="right"/>
    </xf>
    <xf numFmtId="37" fontId="19" fillId="0" borderId="4" xfId="0" applyNumberFormat="1" applyFont="1" applyBorder="1" applyAlignment="1">
      <alignment vertical="center"/>
    </xf>
    <xf numFmtId="174" fontId="21" fillId="0" borderId="0" xfId="0" applyNumberFormat="1" applyFont="1"/>
    <xf numFmtId="0" fontId="21" fillId="0" borderId="4" xfId="0" applyFont="1" applyBorder="1" applyAlignment="1">
      <alignment horizontal="left"/>
    </xf>
    <xf numFmtId="0" fontId="25" fillId="0" borderId="4" xfId="0" applyFont="1" applyBorder="1" applyAlignment="1">
      <alignment horizontal="center"/>
    </xf>
    <xf numFmtId="40" fontId="22" fillId="0" borderId="0" xfId="0" applyNumberFormat="1" applyFont="1"/>
    <xf numFmtId="0" fontId="8" fillId="0" borderId="4" xfId="0" applyFont="1" applyBorder="1"/>
    <xf numFmtId="0" fontId="21" fillId="0" borderId="4" xfId="0" applyFont="1" applyBorder="1"/>
    <xf numFmtId="167" fontId="18" fillId="0" borderId="0" xfId="0" applyNumberFormat="1" applyFont="1" applyAlignment="1">
      <alignment horizontal="right"/>
    </xf>
    <xf numFmtId="168" fontId="23" fillId="0" borderId="0" xfId="0" applyNumberFormat="1" applyFont="1"/>
    <xf numFmtId="168" fontId="22" fillId="0" borderId="0" xfId="0" applyNumberFormat="1" applyFont="1"/>
    <xf numFmtId="0" fontId="28" fillId="0" borderId="0" xfId="0" applyFont="1" applyAlignment="1">
      <alignment horizontal="left"/>
    </xf>
    <xf numFmtId="0" fontId="18" fillId="0" borderId="4" xfId="0" applyFont="1" applyBorder="1"/>
    <xf numFmtId="169" fontId="18" fillId="0" borderId="4" xfId="0" applyNumberFormat="1" applyFont="1" applyBorder="1"/>
    <xf numFmtId="169" fontId="22" fillId="0" borderId="0" xfId="0" applyNumberFormat="1" applyFont="1"/>
    <xf numFmtId="173" fontId="27" fillId="0" borderId="0" xfId="1" applyNumberFormat="1" applyFont="1" applyBorder="1"/>
    <xf numFmtId="37" fontId="5" fillId="0" borderId="7" xfId="0" applyNumberFormat="1" applyFont="1" applyBorder="1" applyAlignment="1">
      <alignment vertical="center"/>
    </xf>
    <xf numFmtId="0" fontId="22" fillId="0" borderId="6" xfId="0" applyFont="1" applyBorder="1" applyAlignment="1">
      <alignment horizontal="left"/>
    </xf>
    <xf numFmtId="167" fontId="18" fillId="0" borderId="4" xfId="0" applyNumberFormat="1" applyFont="1" applyBorder="1" applyAlignment="1">
      <alignment horizontal="right"/>
    </xf>
    <xf numFmtId="166" fontId="18" fillId="0" borderId="7" xfId="0" applyNumberFormat="1" applyFont="1" applyBorder="1" applyAlignment="1">
      <alignment horizontal="right"/>
    </xf>
    <xf numFmtId="0" fontId="22" fillId="0" borderId="10" xfId="0" applyFont="1" applyBorder="1" applyAlignment="1">
      <alignment horizontal="left"/>
    </xf>
    <xf numFmtId="37" fontId="5" fillId="0" borderId="10" xfId="0" applyNumberFormat="1" applyFont="1" applyBorder="1" applyAlignment="1">
      <alignment vertical="center"/>
    </xf>
    <xf numFmtId="166" fontId="18" fillId="0" borderId="10" xfId="0" applyNumberFormat="1" applyFont="1" applyBorder="1" applyAlignment="1">
      <alignment horizontal="right"/>
    </xf>
    <xf numFmtId="0" fontId="22" fillId="0" borderId="9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164" fontId="31" fillId="0" borderId="4" xfId="0" applyNumberFormat="1" applyFont="1" applyBorder="1" applyAlignment="1">
      <alignment vertical="center"/>
    </xf>
    <xf numFmtId="37" fontId="32" fillId="0" borderId="4" xfId="0" applyNumberFormat="1" applyFont="1" applyBorder="1" applyAlignment="1">
      <alignment vertical="center"/>
    </xf>
    <xf numFmtId="166" fontId="24" fillId="0" borderId="4" xfId="0" applyNumberFormat="1" applyFont="1" applyBorder="1" applyAlignment="1">
      <alignment horizontal="right"/>
    </xf>
    <xf numFmtId="167" fontId="24" fillId="0" borderId="4" xfId="0" applyNumberFormat="1" applyFont="1" applyBorder="1" applyAlignment="1">
      <alignment horizontal="right"/>
    </xf>
    <xf numFmtId="37" fontId="19" fillId="0" borderId="10" xfId="0" applyNumberFormat="1" applyFont="1" applyBorder="1" applyAlignment="1">
      <alignment vertical="center"/>
    </xf>
    <xf numFmtId="37" fontId="19" fillId="0" borderId="7" xfId="0" applyNumberFormat="1" applyFont="1" applyBorder="1" applyAlignment="1">
      <alignment vertical="center"/>
    </xf>
    <xf numFmtId="170" fontId="23" fillId="0" borderId="7" xfId="0" applyNumberFormat="1" applyFont="1" applyBorder="1"/>
    <xf numFmtId="167" fontId="22" fillId="0" borderId="0" xfId="0" applyNumberFormat="1" applyFont="1" applyAlignment="1">
      <alignment horizontal="left"/>
    </xf>
    <xf numFmtId="175" fontId="21" fillId="0" borderId="0" xfId="0" applyNumberFormat="1" applyFont="1" applyAlignment="1">
      <alignment horizontal="left"/>
    </xf>
    <xf numFmtId="0" fontId="18" fillId="0" borderId="0" xfId="0" applyFont="1" applyAlignment="1">
      <alignment horizontal="centerContinuous"/>
    </xf>
    <xf numFmtId="167" fontId="18" fillId="0" borderId="0" xfId="0" applyNumberFormat="1" applyFont="1" applyAlignment="1">
      <alignment horizontal="centerContinuous"/>
    </xf>
    <xf numFmtId="167" fontId="22" fillId="0" borderId="4" xfId="0" applyNumberFormat="1" applyFont="1" applyBorder="1" applyAlignment="1">
      <alignment horizontal="left"/>
    </xf>
    <xf numFmtId="37" fontId="19" fillId="0" borderId="0" xfId="0" applyNumberFormat="1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18" fillId="0" borderId="0" xfId="0" applyNumberFormat="1" applyFont="1" applyAlignment="1">
      <alignment horizontal="left"/>
    </xf>
    <xf numFmtId="179" fontId="18" fillId="0" borderId="0" xfId="0" applyNumberFormat="1" applyFont="1" applyAlignment="1">
      <alignment horizontal="right"/>
    </xf>
    <xf numFmtId="177" fontId="18" fillId="0" borderId="4" xfId="0" applyNumberFormat="1" applyFont="1" applyBorder="1" applyAlignment="1">
      <alignment horizontal="right"/>
    </xf>
    <xf numFmtId="174" fontId="27" fillId="0" borderId="0" xfId="1" applyNumberFormat="1" applyFont="1" applyBorder="1" applyAlignment="1">
      <alignment horizontal="right"/>
    </xf>
    <xf numFmtId="178" fontId="21" fillId="0" borderId="0" xfId="0" applyNumberFormat="1" applyFont="1" applyAlignment="1">
      <alignment horizontal="right"/>
    </xf>
    <xf numFmtId="174" fontId="23" fillId="0" borderId="11" xfId="1" applyNumberFormat="1" applyFont="1" applyBorder="1" applyAlignment="1">
      <alignment horizontal="right"/>
    </xf>
    <xf numFmtId="0" fontId="33" fillId="0" borderId="0" xfId="0" applyFont="1" applyAlignment="1">
      <alignment horizontal="left"/>
    </xf>
    <xf numFmtId="169" fontId="33" fillId="0" borderId="0" xfId="0" applyNumberFormat="1" applyFont="1"/>
    <xf numFmtId="37" fontId="34" fillId="0" borderId="0" xfId="0" applyNumberFormat="1" applyFont="1" applyAlignment="1">
      <alignment vertical="center"/>
    </xf>
    <xf numFmtId="0" fontId="21" fillId="0" borderId="14" xfId="0" applyFont="1" applyBorder="1" applyAlignment="1">
      <alignment horizontal="left"/>
    </xf>
    <xf numFmtId="37" fontId="34" fillId="0" borderId="4" xfId="0" applyNumberFormat="1" applyFont="1" applyBorder="1" applyAlignment="1">
      <alignment vertical="center"/>
    </xf>
    <xf numFmtId="171" fontId="23" fillId="0" borderId="0" xfId="0" applyNumberFormat="1" applyFont="1" applyAlignment="1">
      <alignment horizontal="right"/>
    </xf>
    <xf numFmtId="37" fontId="34" fillId="0" borderId="7" xfId="0" applyNumberFormat="1" applyFont="1" applyBorder="1" applyAlignment="1">
      <alignment vertical="center"/>
    </xf>
    <xf numFmtId="174" fontId="23" fillId="0" borderId="0" xfId="1" applyNumberFormat="1" applyFont="1" applyBorder="1" applyAlignment="1">
      <alignment horizontal="right"/>
    </xf>
    <xf numFmtId="177" fontId="18" fillId="0" borderId="0" xfId="0" applyNumberFormat="1" applyFont="1" applyAlignment="1">
      <alignment horizontal="right"/>
    </xf>
    <xf numFmtId="176" fontId="21" fillId="0" borderId="0" xfId="0" applyNumberFormat="1" applyFont="1" applyAlignment="1">
      <alignment horizontal="left"/>
    </xf>
    <xf numFmtId="171" fontId="21" fillId="2" borderId="10" xfId="0" applyNumberFormat="1" applyFont="1" applyFill="1" applyBorder="1" applyAlignment="1">
      <alignment horizontal="right"/>
    </xf>
    <xf numFmtId="171" fontId="21" fillId="2" borderId="11" xfId="0" applyNumberFormat="1" applyFont="1" applyFill="1" applyBorder="1" applyAlignment="1">
      <alignment horizontal="right"/>
    </xf>
    <xf numFmtId="171" fontId="21" fillId="2" borderId="0" xfId="0" applyNumberFormat="1" applyFont="1" applyFill="1" applyAlignment="1">
      <alignment horizontal="right"/>
    </xf>
    <xf numFmtId="171" fontId="21" fillId="2" borderId="13" xfId="0" applyNumberFormat="1" applyFont="1" applyFill="1" applyBorder="1" applyAlignment="1">
      <alignment horizontal="right"/>
    </xf>
    <xf numFmtId="171" fontId="21" fillId="2" borderId="15" xfId="0" applyNumberFormat="1" applyFont="1" applyFill="1" applyBorder="1" applyAlignment="1">
      <alignment horizontal="right"/>
    </xf>
    <xf numFmtId="167" fontId="18" fillId="0" borderId="12" xfId="0" applyNumberFormat="1" applyFont="1" applyBorder="1" applyAlignment="1">
      <alignment horizontal="left"/>
    </xf>
    <xf numFmtId="167" fontId="18" fillId="0" borderId="9" xfId="0" applyNumberFormat="1" applyFont="1" applyBorder="1" applyAlignment="1">
      <alignment horizontal="left"/>
    </xf>
    <xf numFmtId="167" fontId="18" fillId="0" borderId="14" xfId="0" applyNumberFormat="1" applyFont="1" applyBorder="1" applyAlignment="1">
      <alignment horizontal="left"/>
    </xf>
    <xf numFmtId="170" fontId="21" fillId="2" borderId="10" xfId="0" applyNumberFormat="1" applyFont="1" applyFill="1" applyBorder="1" applyAlignment="1">
      <alignment horizontal="right"/>
    </xf>
    <xf numFmtId="170" fontId="21" fillId="2" borderId="0" xfId="0" applyNumberFormat="1" applyFont="1" applyFill="1" applyAlignment="1">
      <alignment horizontal="right"/>
    </xf>
    <xf numFmtId="170" fontId="21" fillId="2" borderId="15" xfId="0" applyNumberFormat="1" applyFont="1" applyFill="1" applyBorder="1" applyAlignment="1">
      <alignment horizontal="right"/>
    </xf>
    <xf numFmtId="176" fontId="21" fillId="0" borderId="10" xfId="0" applyNumberFormat="1" applyFont="1" applyBorder="1" applyAlignment="1">
      <alignment horizontal="left"/>
    </xf>
    <xf numFmtId="167" fontId="22" fillId="0" borderId="11" xfId="0" applyNumberFormat="1" applyFont="1" applyBorder="1" applyAlignment="1">
      <alignment horizontal="left"/>
    </xf>
    <xf numFmtId="167" fontId="22" fillId="0" borderId="13" xfId="0" applyNumberFormat="1" applyFont="1" applyBorder="1" applyAlignment="1">
      <alignment horizontal="left"/>
    </xf>
    <xf numFmtId="176" fontId="21" fillId="0" borderId="4" xfId="0" applyNumberFormat="1" applyFont="1" applyBorder="1" applyAlignment="1">
      <alignment horizontal="left"/>
    </xf>
    <xf numFmtId="167" fontId="22" fillId="0" borderId="15" xfId="0" applyNumberFormat="1" applyFont="1" applyBorder="1" applyAlignment="1">
      <alignment horizontal="left"/>
    </xf>
    <xf numFmtId="170" fontId="21" fillId="2" borderId="11" xfId="0" applyNumberFormat="1" applyFont="1" applyFill="1" applyBorder="1" applyAlignment="1">
      <alignment horizontal="right"/>
    </xf>
    <xf numFmtId="170" fontId="21" fillId="2" borderId="13" xfId="0" applyNumberFormat="1" applyFont="1" applyFill="1" applyBorder="1" applyAlignment="1">
      <alignment horizontal="right"/>
    </xf>
    <xf numFmtId="178" fontId="23" fillId="0" borderId="15" xfId="0" applyNumberFormat="1" applyFont="1" applyBorder="1" applyAlignment="1">
      <alignment horizontal="right"/>
    </xf>
    <xf numFmtId="178" fontId="23" fillId="0" borderId="8" xfId="0" applyNumberFormat="1" applyFont="1" applyBorder="1" applyAlignment="1">
      <alignment horizontal="right"/>
    </xf>
    <xf numFmtId="170" fontId="23" fillId="0" borderId="10" xfId="0" applyNumberFormat="1" applyFont="1" applyBorder="1"/>
    <xf numFmtId="171" fontId="21" fillId="0" borderId="0" xfId="0" applyNumberFormat="1" applyFont="1"/>
    <xf numFmtId="0" fontId="17" fillId="0" borderId="0" xfId="0" applyFont="1" applyAlignment="1">
      <alignment horizontal="right" vertical="center"/>
    </xf>
    <xf numFmtId="168" fontId="22" fillId="0" borderId="0" xfId="0" applyNumberFormat="1" applyFont="1" applyAlignment="1">
      <alignment horizontal="right"/>
    </xf>
    <xf numFmtId="37" fontId="14" fillId="3" borderId="0" xfId="0" applyNumberFormat="1" applyFont="1" applyFill="1" applyAlignment="1">
      <alignment vertical="center"/>
    </xf>
    <xf numFmtId="37" fontId="5" fillId="3" borderId="0" xfId="0" applyNumberFormat="1" applyFont="1" applyFill="1" applyAlignment="1">
      <alignment vertical="center"/>
    </xf>
    <xf numFmtId="37" fontId="6" fillId="3" borderId="0" xfId="0" applyNumberFormat="1" applyFont="1" applyFill="1" applyAlignment="1">
      <alignment vertical="center"/>
    </xf>
    <xf numFmtId="166" fontId="5" fillId="3" borderId="0" xfId="0" applyNumberFormat="1" applyFont="1" applyFill="1" applyAlignment="1">
      <alignment horizontal="right"/>
    </xf>
    <xf numFmtId="166" fontId="15" fillId="3" borderId="0" xfId="0" applyNumberFormat="1" applyFont="1" applyFill="1" applyAlignment="1">
      <alignment horizontal="right"/>
    </xf>
    <xf numFmtId="37" fontId="3" fillId="3" borderId="0" xfId="0" applyNumberFormat="1" applyFont="1" applyFill="1" applyAlignment="1">
      <alignment vertical="center"/>
    </xf>
    <xf numFmtId="172" fontId="17" fillId="3" borderId="0" xfId="0" applyNumberFormat="1" applyFont="1" applyFill="1" applyAlignment="1">
      <alignment horizontal="centerContinuous"/>
    </xf>
    <xf numFmtId="172" fontId="18" fillId="3" borderId="0" xfId="0" applyNumberFormat="1" applyFont="1" applyFill="1" applyAlignment="1">
      <alignment horizontal="centerContinuous"/>
    </xf>
    <xf numFmtId="168" fontId="21" fillId="0" borderId="4" xfId="0" applyNumberFormat="1" applyFont="1" applyBorder="1"/>
    <xf numFmtId="166" fontId="18" fillId="0" borderId="2" xfId="0" applyNumberFormat="1" applyFont="1" applyBorder="1" applyAlignment="1">
      <alignment horizontal="right"/>
    </xf>
    <xf numFmtId="174" fontId="23" fillId="0" borderId="0" xfId="0" applyNumberFormat="1" applyFont="1"/>
    <xf numFmtId="168" fontId="21" fillId="0" borderId="0" xfId="0" applyNumberFormat="1" applyFont="1"/>
    <xf numFmtId="170" fontId="23" fillId="0" borderId="14" xfId="0" applyNumberFormat="1" applyFont="1" applyBorder="1"/>
    <xf numFmtId="171" fontId="22" fillId="0" borderId="0" xfId="0" applyNumberFormat="1" applyFont="1"/>
    <xf numFmtId="166" fontId="35" fillId="0" borderId="2" xfId="0" applyNumberFormat="1" applyFont="1" applyBorder="1" applyAlignment="1">
      <alignment horizontal="right"/>
    </xf>
    <xf numFmtId="170" fontId="23" fillId="0" borderId="6" xfId="0" applyNumberFormat="1" applyFont="1" applyBorder="1"/>
    <xf numFmtId="174" fontId="22" fillId="0" borderId="0" xfId="0" applyNumberFormat="1" applyFont="1"/>
    <xf numFmtId="171" fontId="23" fillId="0" borderId="0" xfId="0" applyNumberFormat="1" applyFont="1"/>
    <xf numFmtId="171" fontId="23" fillId="0" borderId="4" xfId="0" applyNumberFormat="1" applyFont="1" applyBorder="1"/>
    <xf numFmtId="174" fontId="23" fillId="0" borderId="4" xfId="0" applyNumberFormat="1" applyFont="1" applyBorder="1"/>
    <xf numFmtId="168" fontId="18" fillId="0" borderId="0" xfId="0" applyNumberFormat="1" applyFont="1" applyAlignment="1">
      <alignment horizontal="right"/>
    </xf>
    <xf numFmtId="168" fontId="23" fillId="0" borderId="0" xfId="0" applyNumberFormat="1" applyFont="1" applyAlignment="1">
      <alignment horizontal="right"/>
    </xf>
    <xf numFmtId="168" fontId="23" fillId="0" borderId="4" xfId="0" applyNumberFormat="1" applyFont="1" applyBorder="1" applyAlignment="1">
      <alignment horizontal="right"/>
    </xf>
    <xf numFmtId="168" fontId="23" fillId="0" borderId="1" xfId="0" applyNumberFormat="1" applyFont="1" applyBorder="1" applyAlignment="1">
      <alignment horizontal="right"/>
    </xf>
    <xf numFmtId="168" fontId="22" fillId="0" borderId="1" xfId="0" applyNumberFormat="1" applyFont="1" applyBorder="1" applyAlignment="1">
      <alignment horizontal="right"/>
    </xf>
    <xf numFmtId="180" fontId="23" fillId="0" borderId="0" xfId="0" applyNumberFormat="1" applyFont="1"/>
    <xf numFmtId="168" fontId="23" fillId="0" borderId="10" xfId="0" applyNumberFormat="1" applyFont="1" applyBorder="1"/>
    <xf numFmtId="168" fontId="23" fillId="0" borderId="9" xfId="0" applyNumberFormat="1" applyFont="1" applyBorder="1"/>
    <xf numFmtId="171" fontId="23" fillId="0" borderId="14" xfId="0" applyNumberFormat="1" applyFont="1" applyBorder="1"/>
    <xf numFmtId="171" fontId="23" fillId="0" borderId="7" xfId="0" applyNumberFormat="1" applyFont="1" applyBorder="1"/>
    <xf numFmtId="171" fontId="23" fillId="0" borderId="6" xfId="0" applyNumberFormat="1" applyFont="1" applyBorder="1"/>
    <xf numFmtId="170" fontId="23" fillId="0" borderId="9" xfId="0" applyNumberFormat="1" applyFont="1" applyBorder="1"/>
    <xf numFmtId="170" fontId="23" fillId="0" borderId="12" xfId="0" applyNumberFormat="1" applyFont="1" applyBorder="1"/>
    <xf numFmtId="176" fontId="21" fillId="0" borderId="0" xfId="0" applyNumberFormat="1" applyFont="1"/>
    <xf numFmtId="174" fontId="23" fillId="0" borderId="11" xfId="1" applyNumberFormat="1" applyFont="1" applyFill="1" applyBorder="1" applyAlignment="1">
      <alignment horizontal="right"/>
    </xf>
    <xf numFmtId="170" fontId="23" fillId="0" borderId="13" xfId="0" applyNumberFormat="1" applyFont="1" applyBorder="1"/>
    <xf numFmtId="9" fontId="29" fillId="0" borderId="0" xfId="1" applyFont="1" applyAlignment="1">
      <alignment horizontal="right"/>
    </xf>
    <xf numFmtId="9" fontId="18" fillId="0" borderId="0" xfId="1" applyFont="1" applyAlignment="1">
      <alignment horizontal="right"/>
    </xf>
    <xf numFmtId="9" fontId="18" fillId="0" borderId="0" xfId="1" applyFont="1" applyBorder="1" applyAlignment="1">
      <alignment horizontal="right"/>
    </xf>
    <xf numFmtId="0" fontId="30" fillId="0" borderId="0" xfId="0" applyFont="1" applyAlignment="1">
      <alignment horizontal="left"/>
    </xf>
    <xf numFmtId="170" fontId="37" fillId="0" borderId="0" xfId="0" applyNumberFormat="1" applyFont="1" applyAlignment="1">
      <alignment horizontal="centerContinuous"/>
    </xf>
    <xf numFmtId="170" fontId="23" fillId="0" borderId="11" xfId="0" applyNumberFormat="1" applyFont="1" applyBorder="1"/>
    <xf numFmtId="37" fontId="2" fillId="3" borderId="0" xfId="0" applyNumberFormat="1" applyFont="1" applyFill="1" applyAlignment="1">
      <alignment vertical="center"/>
    </xf>
    <xf numFmtId="173" fontId="18" fillId="0" borderId="0" xfId="1" applyNumberFormat="1" applyFont="1" applyAlignment="1">
      <alignment horizontal="right"/>
    </xf>
    <xf numFmtId="0" fontId="36" fillId="0" borderId="0" xfId="0" applyFont="1" applyAlignment="1">
      <alignment horizontal="center"/>
    </xf>
    <xf numFmtId="0" fontId="28" fillId="0" borderId="0" xfId="0" applyFont="1"/>
    <xf numFmtId="173" fontId="37" fillId="0" borderId="0" xfId="1" applyNumberFormat="1" applyFont="1" applyFill="1" applyBorder="1"/>
    <xf numFmtId="173" fontId="28" fillId="0" borderId="0" xfId="0" applyNumberFormat="1" applyFont="1"/>
    <xf numFmtId="173" fontId="21" fillId="0" borderId="0" xfId="1" applyNumberFormat="1" applyFont="1" applyFill="1" applyBorder="1"/>
    <xf numFmtId="173" fontId="21" fillId="0" borderId="0" xfId="1" applyNumberFormat="1" applyFont="1" applyBorder="1"/>
    <xf numFmtId="173" fontId="21" fillId="0" borderId="4" xfId="1" applyNumberFormat="1" applyFont="1" applyFill="1" applyBorder="1"/>
    <xf numFmtId="173" fontId="23" fillId="0" borderId="4" xfId="1" applyNumberFormat="1" applyFont="1" applyFill="1" applyBorder="1"/>
    <xf numFmtId="9" fontId="21" fillId="0" borderId="0" xfId="1" applyFont="1"/>
    <xf numFmtId="170" fontId="23" fillId="0" borderId="8" xfId="0" applyNumberFormat="1" applyFont="1" applyBorder="1"/>
    <xf numFmtId="170" fontId="23" fillId="0" borderId="15" xfId="0" applyNumberFormat="1" applyFont="1" applyBorder="1" applyAlignment="1">
      <alignment horizontal="right"/>
    </xf>
    <xf numFmtId="173" fontId="23" fillId="0" borderId="15" xfId="1" applyNumberFormat="1" applyFont="1" applyFill="1" applyBorder="1"/>
    <xf numFmtId="181" fontId="21" fillId="0" borderId="4" xfId="0" applyNumberFormat="1" applyFont="1" applyBorder="1"/>
    <xf numFmtId="181" fontId="21" fillId="0" borderId="15" xfId="0" applyNumberFormat="1" applyFont="1" applyBorder="1"/>
    <xf numFmtId="182" fontId="22" fillId="0" borderId="0" xfId="0" quotePrefix="1" applyNumberFormat="1" applyFont="1" applyAlignment="1">
      <alignment horizontal="left"/>
    </xf>
    <xf numFmtId="183" fontId="22" fillId="0" borderId="0" xfId="0" quotePrefix="1" applyNumberFormat="1" applyFont="1" applyAlignment="1">
      <alignment horizontal="left"/>
    </xf>
    <xf numFmtId="182" fontId="22" fillId="0" borderId="0" xfId="0" quotePrefix="1" applyNumberFormat="1" applyFont="1" applyAlignment="1">
      <alignment horizontal="right"/>
    </xf>
    <xf numFmtId="183" fontId="22" fillId="0" borderId="0" xfId="0" quotePrefix="1" applyNumberFormat="1" applyFont="1" applyAlignment="1">
      <alignment horizontal="right"/>
    </xf>
    <xf numFmtId="171" fontId="21" fillId="2" borderId="0" xfId="0" applyNumberFormat="1" applyFont="1" applyFill="1"/>
    <xf numFmtId="168" fontId="21" fillId="2" borderId="0" xfId="0" applyNumberFormat="1" applyFont="1" applyFill="1"/>
    <xf numFmtId="168" fontId="23" fillId="0" borderId="11" xfId="0" applyNumberFormat="1" applyFont="1" applyBorder="1"/>
    <xf numFmtId="171" fontId="23" fillId="0" borderId="15" xfId="0" applyNumberFormat="1" applyFont="1" applyBorder="1"/>
    <xf numFmtId="171" fontId="23" fillId="0" borderId="8" xfId="0" applyNumberFormat="1" applyFont="1" applyBorder="1"/>
    <xf numFmtId="170" fontId="21" fillId="2" borderId="0" xfId="0" applyNumberFormat="1" applyFont="1" applyFill="1"/>
    <xf numFmtId="168" fontId="21" fillId="2" borderId="4" xfId="0" applyNumberFormat="1" applyFont="1" applyFill="1" applyBorder="1"/>
    <xf numFmtId="168" fontId="21" fillId="2" borderId="10" xfId="0" applyNumberFormat="1" applyFont="1" applyFill="1" applyBorder="1"/>
    <xf numFmtId="171" fontId="21" fillId="2" borderId="4" xfId="0" applyNumberFormat="1" applyFont="1" applyFill="1" applyBorder="1"/>
    <xf numFmtId="174" fontId="22" fillId="2" borderId="0" xfId="0" applyNumberFormat="1" applyFont="1" applyFill="1"/>
    <xf numFmtId="174" fontId="21" fillId="2" borderId="0" xfId="0" applyNumberFormat="1" applyFont="1" applyFill="1"/>
    <xf numFmtId="168" fontId="21" fillId="2" borderId="16" xfId="0" applyNumberFormat="1" applyFont="1" applyFill="1" applyBorder="1"/>
    <xf numFmtId="174" fontId="22" fillId="2" borderId="4" xfId="0" applyNumberFormat="1" applyFont="1" applyFill="1" applyBorder="1"/>
    <xf numFmtId="168" fontId="22" fillId="2" borderId="0" xfId="0" applyNumberFormat="1" applyFont="1" applyFill="1"/>
    <xf numFmtId="168" fontId="22" fillId="2" borderId="4" xfId="0" applyNumberFormat="1" applyFont="1" applyFill="1" applyBorder="1"/>
    <xf numFmtId="174" fontId="21" fillId="2" borderId="4" xfId="0" applyNumberFormat="1" applyFont="1" applyFill="1" applyBorder="1"/>
    <xf numFmtId="168" fontId="21" fillId="2" borderId="5" xfId="0" applyNumberFormat="1" applyFont="1" applyFill="1" applyBorder="1"/>
    <xf numFmtId="168" fontId="22" fillId="2" borderId="0" xfId="0" applyNumberFormat="1" applyFont="1" applyFill="1" applyAlignment="1">
      <alignment horizontal="right"/>
    </xf>
    <xf numFmtId="168" fontId="22" fillId="2" borderId="4" xfId="0" applyNumberFormat="1" applyFont="1" applyFill="1" applyBorder="1" applyAlignment="1">
      <alignment horizontal="right"/>
    </xf>
    <xf numFmtId="168" fontId="18" fillId="2" borderId="0" xfId="0" applyNumberFormat="1" applyFont="1" applyFill="1" applyAlignment="1">
      <alignment horizontal="right"/>
    </xf>
    <xf numFmtId="168" fontId="21" fillId="2" borderId="0" xfId="0" applyNumberFormat="1" applyFont="1" applyFill="1" applyAlignment="1">
      <alignment horizontal="right"/>
    </xf>
    <xf numFmtId="168" fontId="18" fillId="2" borderId="5" xfId="0" applyNumberFormat="1" applyFont="1" applyFill="1" applyBorder="1" applyAlignment="1">
      <alignment horizontal="right"/>
    </xf>
    <xf numFmtId="170" fontId="23" fillId="0" borderId="4" xfId="0" applyNumberFormat="1" applyFont="1" applyBorder="1"/>
    <xf numFmtId="170" fontId="23" fillId="0" borderId="15" xfId="0" applyNumberFormat="1" applyFont="1" applyBorder="1"/>
    <xf numFmtId="38" fontId="22" fillId="2" borderId="0" xfId="0" applyNumberFormat="1" applyFont="1" applyFill="1"/>
    <xf numFmtId="170" fontId="21" fillId="2" borderId="4" xfId="0" applyNumberFormat="1" applyFont="1" applyFill="1" applyBorder="1"/>
    <xf numFmtId="170" fontId="24" fillId="2" borderId="5" xfId="0" applyNumberFormat="1" applyFont="1" applyFill="1" applyBorder="1"/>
    <xf numFmtId="178" fontId="21" fillId="2" borderId="14" xfId="0" applyNumberFormat="1" applyFont="1" applyFill="1" applyBorder="1" applyAlignment="1">
      <alignment horizontal="right"/>
    </xf>
    <xf numFmtId="178" fontId="21" fillId="2" borderId="4" xfId="0" applyNumberFormat="1" applyFont="1" applyFill="1" applyBorder="1" applyAlignment="1">
      <alignment horizontal="right"/>
    </xf>
    <xf numFmtId="178" fontId="21" fillId="2" borderId="15" xfId="0" applyNumberFormat="1" applyFont="1" applyFill="1" applyBorder="1" applyAlignment="1">
      <alignment horizontal="right"/>
    </xf>
    <xf numFmtId="170" fontId="21" fillId="2" borderId="5" xfId="0" applyNumberFormat="1" applyFont="1" applyFill="1" applyBorder="1"/>
    <xf numFmtId="170" fontId="21" fillId="2" borderId="10" xfId="0" applyNumberFormat="1" applyFont="1" applyFill="1" applyBorder="1" applyAlignment="1">
      <alignment horizontal="left"/>
    </xf>
    <xf numFmtId="170" fontId="21" fillId="2" borderId="0" xfId="0" applyNumberFormat="1" applyFont="1" applyFill="1" applyAlignment="1">
      <alignment horizontal="left"/>
    </xf>
    <xf numFmtId="170" fontId="21" fillId="2" borderId="4" xfId="0" applyNumberFormat="1" applyFont="1" applyFill="1" applyBorder="1" applyAlignment="1">
      <alignment horizontal="left"/>
    </xf>
    <xf numFmtId="170" fontId="21" fillId="2" borderId="11" xfId="0" applyNumberFormat="1" applyFont="1" applyFill="1" applyBorder="1" applyAlignment="1">
      <alignment horizontal="left"/>
    </xf>
    <xf numFmtId="170" fontId="21" fillId="2" borderId="13" xfId="0" applyNumberFormat="1" applyFont="1" applyFill="1" applyBorder="1" applyAlignment="1">
      <alignment horizontal="left"/>
    </xf>
    <xf numFmtId="170" fontId="21" fillId="2" borderId="15" xfId="0" applyNumberFormat="1" applyFont="1" applyFill="1" applyBorder="1" applyAlignment="1">
      <alignment horizontal="left"/>
    </xf>
    <xf numFmtId="164" fontId="31" fillId="0" borderId="0" xfId="0" applyNumberFormat="1" applyFont="1" applyAlignment="1">
      <alignment vertical="center"/>
    </xf>
    <xf numFmtId="37" fontId="32" fillId="0" borderId="0" xfId="0" applyNumberFormat="1" applyFont="1" applyAlignment="1">
      <alignment vertical="center"/>
    </xf>
    <xf numFmtId="173" fontId="23" fillId="0" borderId="0" xfId="1" applyNumberFormat="1" applyFont="1" applyFill="1" applyBorder="1" applyAlignment="1"/>
    <xf numFmtId="164" fontId="31" fillId="0" borderId="10" xfId="0" applyNumberFormat="1" applyFont="1" applyBorder="1" applyAlignment="1">
      <alignment vertical="center"/>
    </xf>
    <xf numFmtId="37" fontId="32" fillId="0" borderId="10" xfId="0" applyNumberFormat="1" applyFont="1" applyBorder="1" applyAlignment="1">
      <alignment vertical="center"/>
    </xf>
    <xf numFmtId="0" fontId="21" fillId="0" borderId="9" xfId="0" applyFont="1" applyBorder="1" applyAlignment="1">
      <alignment horizontal="left"/>
    </xf>
    <xf numFmtId="173" fontId="23" fillId="0" borderId="11" xfId="1" applyNumberFormat="1" applyFont="1" applyFill="1" applyBorder="1" applyAlignment="1"/>
    <xf numFmtId="184" fontId="21" fillId="2" borderId="15" xfId="0" applyNumberFormat="1" applyFont="1" applyFill="1" applyBorder="1" applyAlignment="1">
      <alignment horizontal="right"/>
    </xf>
    <xf numFmtId="171" fontId="21" fillId="2" borderId="4" xfId="0" applyNumberFormat="1" applyFont="1" applyFill="1" applyBorder="1" applyAlignment="1">
      <alignment horizontal="right"/>
    </xf>
    <xf numFmtId="170" fontId="21" fillId="2" borderId="4" xfId="0" applyNumberFormat="1" applyFont="1" applyFill="1" applyBorder="1" applyAlignment="1">
      <alignment horizontal="right"/>
    </xf>
    <xf numFmtId="0" fontId="11" fillId="0" borderId="20" xfId="4" applyFont="1" applyBorder="1"/>
    <xf numFmtId="0" fontId="11" fillId="0" borderId="21" xfId="4" applyFont="1" applyBorder="1"/>
    <xf numFmtId="0" fontId="38" fillId="0" borderId="0" xfId="4" applyFont="1" applyProtection="1">
      <protection locked="0"/>
    </xf>
    <xf numFmtId="0" fontId="39" fillId="0" borderId="0" xfId="4" applyFont="1" applyAlignment="1">
      <alignment horizontal="right"/>
    </xf>
    <xf numFmtId="0" fontId="11" fillId="0" borderId="0" xfId="4" applyFont="1" applyProtection="1">
      <protection locked="0"/>
    </xf>
    <xf numFmtId="0" fontId="40" fillId="0" borderId="0" xfId="4" applyFont="1"/>
    <xf numFmtId="0" fontId="39" fillId="0" borderId="1" xfId="4" applyFont="1" applyBorder="1" applyProtection="1">
      <protection locked="0"/>
    </xf>
    <xf numFmtId="0" fontId="1" fillId="0" borderId="0" xfId="4" applyFont="1"/>
    <xf numFmtId="164" fontId="41" fillId="0" borderId="0" xfId="2" applyNumberFormat="1" applyFont="1" applyFill="1" applyBorder="1" applyProtection="1">
      <protection locked="0"/>
    </xf>
    <xf numFmtId="0" fontId="42" fillId="0" borderId="0" xfId="2" applyFont="1" applyFill="1" applyBorder="1" applyProtection="1">
      <protection locked="0"/>
    </xf>
    <xf numFmtId="0" fontId="11" fillId="0" borderId="22" xfId="4" applyFont="1" applyBorder="1"/>
    <xf numFmtId="0" fontId="11" fillId="0" borderId="23" xfId="4" applyFont="1" applyBorder="1"/>
    <xf numFmtId="0" fontId="11" fillId="0" borderId="24" xfId="4" applyFont="1" applyBorder="1"/>
    <xf numFmtId="0" fontId="11" fillId="4" borderId="17" xfId="4" applyFont="1" applyFill="1" applyBorder="1"/>
    <xf numFmtId="0" fontId="11" fillId="4" borderId="18" xfId="4" applyFont="1" applyFill="1" applyBorder="1"/>
    <xf numFmtId="0" fontId="11" fillId="4" borderId="19" xfId="4" applyFont="1" applyFill="1" applyBorder="1"/>
    <xf numFmtId="0" fontId="11" fillId="4" borderId="20" xfId="4" applyFont="1" applyFill="1" applyBorder="1"/>
    <xf numFmtId="0" fontId="11" fillId="4" borderId="0" xfId="4" applyFont="1" applyFill="1"/>
    <xf numFmtId="0" fontId="11" fillId="4" borderId="21" xfId="4" applyFont="1" applyFill="1" applyBorder="1"/>
    <xf numFmtId="0" fontId="8" fillId="0" borderId="0" xfId="0" applyFont="1" applyFill="1"/>
    <xf numFmtId="0" fontId="9" fillId="0" borderId="0" xfId="2" applyFont="1" applyFill="1" applyAlignment="1">
      <alignment horizontal="center" vertical="center"/>
    </xf>
    <xf numFmtId="0" fontId="0" fillId="0" borderId="0" xfId="0" applyFill="1"/>
    <xf numFmtId="186" fontId="21" fillId="2" borderId="6" xfId="0" applyNumberFormat="1" applyFont="1" applyFill="1" applyBorder="1" applyAlignment="1">
      <alignment horizontal="right"/>
    </xf>
    <xf numFmtId="186" fontId="21" fillId="2" borderId="7" xfId="0" applyNumberFormat="1" applyFont="1" applyFill="1" applyBorder="1" applyAlignment="1">
      <alignment horizontal="right"/>
    </xf>
    <xf numFmtId="186" fontId="21" fillId="2" borderId="8" xfId="0" applyNumberFormat="1" applyFont="1" applyFill="1" applyBorder="1" applyAlignment="1">
      <alignment horizontal="right"/>
    </xf>
    <xf numFmtId="9" fontId="21" fillId="2" borderId="7" xfId="1" applyFont="1" applyFill="1" applyBorder="1" applyAlignment="1">
      <alignment horizontal="right"/>
    </xf>
    <xf numFmtId="9" fontId="21" fillId="2" borderId="8" xfId="1" applyFont="1" applyFill="1" applyBorder="1" applyAlignment="1">
      <alignment horizontal="right"/>
    </xf>
  </cellXfs>
  <cellStyles count="6">
    <cellStyle name="Comma 2" xfId="5" xr:uid="{E4921B80-8D66-4D3A-80A8-30D7AC6654E4}"/>
    <cellStyle name="Hyperlink 2" xfId="2" xr:uid="{AB6B3A7D-3778-4F12-89C6-854994145915}"/>
    <cellStyle name="Hyperlink 2 2" xfId="3" xr:uid="{68C7A1A0-E6BF-4680-81F4-BC0E6FC46C33}"/>
    <cellStyle name="Normal 2 2 2" xfId="4" xr:uid="{78B9DE1D-532C-4950-9B15-A4A33EAE21E4}"/>
    <cellStyle name="Prozent" xfId="1" builtinId="5"/>
    <cellStyle name="Standard" xfId="0" builtinId="0"/>
  </cellStyles>
  <dxfs count="1">
    <dxf>
      <font>
        <b/>
        <i val="0"/>
        <color theme="5"/>
      </font>
    </dxf>
  </dxfs>
  <tableStyles count="0" defaultTableStyle="TableStyleMedium2" defaultPivotStyle="PivotStyleLight16"/>
  <colors>
    <mruColors>
      <color rgb="FF000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25"/>
  <sheetViews>
    <sheetView showGridLines="0" tabSelected="1" zoomScaleNormal="100" zoomScaleSheetLayoutView="100" workbookViewId="0">
      <selection activeCell="U28" sqref="U28"/>
    </sheetView>
  </sheetViews>
  <sheetFormatPr baseColWidth="10" defaultColWidth="9.140625" defaultRowHeight="19.5" customHeight="1"/>
  <cols>
    <col min="1" max="1" width="4.7109375" style="1" customWidth="1"/>
    <col min="2" max="2" width="4.85546875" style="1" customWidth="1"/>
    <col min="3" max="3" width="36.7109375" style="1" customWidth="1"/>
    <col min="4" max="11" width="10.7109375" style="1" customWidth="1"/>
    <col min="12" max="12" width="36.7109375" style="1" customWidth="1"/>
    <col min="13" max="13" width="4.85546875" style="1" customWidth="1"/>
    <col min="14" max="14" width="11" style="1" customWidth="1"/>
    <col min="15" max="16384" width="9.140625" style="1"/>
  </cols>
  <sheetData>
    <row r="1" spans="2:13" ht="19.5" customHeight="1" thickBot="1"/>
    <row r="2" spans="2:13" ht="19.5" customHeight="1" thickTop="1">
      <c r="B2" s="242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4"/>
    </row>
    <row r="3" spans="2:13" ht="19.5" customHeight="1">
      <c r="B3" s="245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7"/>
    </row>
    <row r="4" spans="2:13" ht="19.5" customHeight="1">
      <c r="B4" s="245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7"/>
    </row>
    <row r="5" spans="2:13" ht="19.5" customHeight="1">
      <c r="B5" s="245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2:13" ht="19.5" customHeight="1">
      <c r="B6" s="245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7"/>
    </row>
    <row r="7" spans="2:13" ht="19.5" customHeight="1">
      <c r="B7" s="245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7"/>
    </row>
    <row r="8" spans="2:13" ht="19.5" customHeight="1">
      <c r="B8" s="245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7"/>
    </row>
    <row r="9" spans="2:13" ht="19.5" customHeight="1">
      <c r="B9" s="245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7"/>
    </row>
    <row r="10" spans="2:13" ht="19.5" customHeight="1">
      <c r="B10" s="229"/>
      <c r="M10" s="230"/>
    </row>
    <row r="11" spans="2:13" ht="28.5" customHeight="1">
      <c r="B11" s="229"/>
      <c r="C11" s="231" t="s">
        <v>112</v>
      </c>
      <c r="L11" s="232"/>
      <c r="M11" s="230"/>
    </row>
    <row r="12" spans="2:13" ht="19.5" customHeight="1">
      <c r="B12" s="229"/>
      <c r="C12" s="233"/>
      <c r="K12" s="234"/>
      <c r="M12" s="230"/>
    </row>
    <row r="13" spans="2:13" ht="19.5" customHeight="1">
      <c r="B13" s="229"/>
      <c r="C13" s="235" t="s">
        <v>110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0"/>
    </row>
    <row r="14" spans="2:13" ht="19.5" customHeight="1">
      <c r="B14" s="229"/>
      <c r="D14" s="236"/>
      <c r="E14" s="236"/>
      <c r="F14" s="236"/>
      <c r="G14" s="236"/>
      <c r="H14" s="236"/>
      <c r="I14" s="236"/>
      <c r="J14" s="236"/>
      <c r="K14" s="236"/>
      <c r="L14" s="236"/>
      <c r="M14" s="230"/>
    </row>
    <row r="15" spans="2:13" ht="19.5" customHeight="1">
      <c r="B15" s="229"/>
      <c r="C15" s="237" t="s">
        <v>111</v>
      </c>
      <c r="D15" s="236"/>
      <c r="E15" s="236"/>
      <c r="F15" s="236"/>
      <c r="G15" s="236"/>
      <c r="H15" s="236"/>
      <c r="I15" s="236"/>
      <c r="J15" s="236"/>
      <c r="K15" s="236"/>
      <c r="L15" s="236"/>
      <c r="M15" s="230"/>
    </row>
    <row r="16" spans="2:13" ht="19.5" customHeight="1">
      <c r="B16" s="229"/>
      <c r="C16"/>
      <c r="D16" s="236"/>
      <c r="E16" s="236"/>
      <c r="F16" s="236"/>
      <c r="G16" s="236"/>
      <c r="H16" s="236"/>
      <c r="I16" s="236"/>
      <c r="J16" s="236"/>
      <c r="K16" s="236"/>
      <c r="L16" s="236"/>
      <c r="M16" s="230"/>
    </row>
    <row r="17" spans="2:14" ht="19.5" customHeight="1">
      <c r="B17" s="229"/>
      <c r="C17"/>
      <c r="D17" s="236"/>
      <c r="E17" s="236"/>
      <c r="F17" s="236"/>
      <c r="G17" s="236"/>
      <c r="H17" s="236"/>
      <c r="I17" s="236"/>
      <c r="J17" s="236"/>
      <c r="K17" s="236"/>
      <c r="L17" s="236"/>
      <c r="M17" s="230"/>
    </row>
    <row r="18" spans="2:14" ht="19.5" customHeight="1">
      <c r="B18" s="229"/>
      <c r="C18"/>
      <c r="D18" s="236"/>
      <c r="E18" s="236"/>
      <c r="F18" s="236"/>
      <c r="G18" s="236"/>
      <c r="H18" s="236"/>
      <c r="I18" s="236"/>
      <c r="J18" s="236"/>
      <c r="K18" s="236"/>
      <c r="L18" s="236"/>
      <c r="M18" s="230"/>
    </row>
    <row r="19" spans="2:14" ht="19.5" customHeight="1">
      <c r="B19" s="229"/>
      <c r="C19"/>
      <c r="D19" s="236"/>
      <c r="E19" s="236"/>
      <c r="F19" s="236"/>
      <c r="G19" s="236"/>
      <c r="H19" s="236"/>
      <c r="I19" s="236"/>
      <c r="J19" s="236"/>
      <c r="K19" s="236"/>
      <c r="L19" s="236"/>
      <c r="M19" s="230"/>
    </row>
    <row r="20" spans="2:14" ht="19.5" customHeight="1">
      <c r="B20" s="229"/>
      <c r="C20" s="238"/>
      <c r="D20" s="236"/>
      <c r="E20" s="236"/>
      <c r="F20" s="236"/>
      <c r="G20" s="236"/>
      <c r="H20" s="236"/>
      <c r="I20" s="236"/>
      <c r="J20" s="236"/>
      <c r="K20" s="236"/>
      <c r="L20" s="236"/>
      <c r="M20" s="230"/>
    </row>
    <row r="21" spans="2:14" ht="19.5" customHeight="1">
      <c r="B21" s="229"/>
      <c r="C21" s="238"/>
      <c r="D21" s="236"/>
      <c r="E21" s="236"/>
      <c r="F21" s="236"/>
      <c r="G21" s="236"/>
      <c r="H21" s="236"/>
      <c r="I21" s="236"/>
      <c r="J21" s="236"/>
      <c r="K21" s="236"/>
      <c r="L21" s="236"/>
      <c r="M21" s="230"/>
    </row>
    <row r="22" spans="2:14" ht="19.5" customHeight="1">
      <c r="B22" s="229"/>
      <c r="C22" s="238"/>
      <c r="D22" s="236"/>
      <c r="E22" s="236"/>
      <c r="F22" s="236"/>
      <c r="G22" s="236"/>
      <c r="H22" s="236"/>
      <c r="I22" s="236"/>
      <c r="J22" s="236"/>
      <c r="K22" s="236"/>
      <c r="L22" s="236"/>
      <c r="M22" s="230"/>
    </row>
    <row r="23" spans="2:14" ht="19.5" customHeight="1">
      <c r="B23" s="229"/>
      <c r="C23" s="238"/>
      <c r="D23" s="236"/>
      <c r="E23" s="236"/>
      <c r="F23" s="236"/>
      <c r="G23" s="236"/>
      <c r="H23" s="236"/>
      <c r="I23" s="236"/>
      <c r="J23" s="236"/>
      <c r="K23" s="236"/>
      <c r="L23" s="236"/>
      <c r="M23" s="230"/>
    </row>
    <row r="24" spans="2:14" ht="19.5" customHeight="1" thickBot="1">
      <c r="B24" s="239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1" t="s">
        <v>109</v>
      </c>
    </row>
    <row r="25" spans="2:14" ht="19.5" customHeight="1" thickTop="1">
      <c r="N25" s="1" t="s">
        <v>109</v>
      </c>
    </row>
  </sheetData>
  <hyperlinks>
    <hyperlink ref="C15" location="Model!A1" display="Cover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71"/>
  <sheetViews>
    <sheetView showGridLines="0" zoomScaleNormal="100" zoomScaleSheetLayoutView="85" workbookViewId="0">
      <pane ySplit="1" topLeftCell="A171" activePane="bottomLeft" state="frozen"/>
      <selection pane="bottomLeft" activeCell="Y183" sqref="Y183"/>
    </sheetView>
  </sheetViews>
  <sheetFormatPr baseColWidth="10" defaultColWidth="9.140625" defaultRowHeight="15" customHeight="1" outlineLevelRow="1"/>
  <cols>
    <col min="2" max="3" width="1.7109375" customWidth="1"/>
    <col min="4" max="4" width="15.7109375" customWidth="1"/>
    <col min="5" max="5" width="10.7109375" customWidth="1"/>
    <col min="6" max="6" width="15.7109375" customWidth="1"/>
    <col min="7" max="7" width="1.7109375" customWidth="1"/>
    <col min="8" max="15" width="10.28515625" customWidth="1"/>
  </cols>
  <sheetData>
    <row r="1" spans="1:19" ht="50.1" customHeight="1">
      <c r="A1" s="248"/>
      <c r="B1" s="248"/>
      <c r="C1" s="248"/>
      <c r="D1" s="248"/>
      <c r="E1" s="248"/>
      <c r="F1" s="248"/>
      <c r="G1" s="248"/>
      <c r="H1" s="249"/>
      <c r="I1" s="249"/>
      <c r="J1" s="249"/>
      <c r="K1" s="248"/>
      <c r="L1" s="248"/>
      <c r="M1" s="248"/>
      <c r="N1" s="248"/>
      <c r="O1" s="248"/>
      <c r="P1" s="250"/>
      <c r="Q1" s="250"/>
      <c r="R1" s="250"/>
      <c r="S1" s="250"/>
    </row>
    <row r="2" spans="1:19" ht="15" customHeight="1">
      <c r="A2" s="3"/>
      <c r="B2" s="3"/>
      <c r="C2" s="3"/>
      <c r="D2" s="4"/>
      <c r="E2" s="4"/>
      <c r="F2" s="4"/>
      <c r="G2" s="4"/>
      <c r="H2" s="5"/>
      <c r="I2" s="5"/>
      <c r="J2" s="6"/>
      <c r="K2" s="6"/>
      <c r="L2" s="6"/>
      <c r="M2" s="6"/>
      <c r="N2" s="6"/>
      <c r="O2" s="3"/>
      <c r="P2" s="51"/>
    </row>
    <row r="3" spans="1:19" ht="15" customHeight="1">
      <c r="A3" s="3" t="s">
        <v>109</v>
      </c>
      <c r="B3" s="120" t="s">
        <v>18</v>
      </c>
      <c r="C3" s="120"/>
      <c r="D3" s="121"/>
      <c r="E3" s="121"/>
      <c r="F3" s="122"/>
      <c r="G3" s="122"/>
      <c r="H3" s="123"/>
      <c r="I3" s="124"/>
      <c r="J3" s="124"/>
      <c r="K3" s="124"/>
      <c r="L3" s="124"/>
      <c r="M3" s="124"/>
      <c r="N3" s="124"/>
      <c r="O3" s="124"/>
    </row>
    <row r="4" spans="1:19" ht="15" customHeight="1" outlineLevel="1">
      <c r="A4" s="3"/>
      <c r="B4" s="8"/>
      <c r="C4" s="8"/>
      <c r="D4" s="9"/>
      <c r="E4" s="9"/>
      <c r="F4" s="10"/>
      <c r="G4" s="10"/>
      <c r="H4" s="11"/>
      <c r="I4" s="12"/>
      <c r="J4" s="12"/>
      <c r="K4" s="12"/>
      <c r="L4" s="12"/>
      <c r="M4" s="12"/>
      <c r="N4" s="12"/>
      <c r="O4" s="12"/>
    </row>
    <row r="5" spans="1:19" ht="15" customHeight="1" outlineLevel="1" thickBot="1">
      <c r="A5" s="3"/>
      <c r="B5" s="13" t="s">
        <v>19</v>
      </c>
      <c r="C5" s="13"/>
      <c r="D5" s="9"/>
      <c r="E5" s="9"/>
      <c r="F5" s="14"/>
      <c r="G5" s="14"/>
      <c r="H5" s="134">
        <v>2019</v>
      </c>
      <c r="I5" s="129">
        <f t="shared" ref="I5:O5" si="0">H5+1</f>
        <v>2020</v>
      </c>
      <c r="J5" s="129">
        <f t="shared" si="0"/>
        <v>2021</v>
      </c>
      <c r="K5" s="15">
        <f t="shared" si="0"/>
        <v>2022</v>
      </c>
      <c r="L5" s="15">
        <f t="shared" si="0"/>
        <v>2023</v>
      </c>
      <c r="M5" s="15">
        <f t="shared" si="0"/>
        <v>2024</v>
      </c>
      <c r="N5" s="15">
        <f t="shared" si="0"/>
        <v>2025</v>
      </c>
      <c r="O5" s="15">
        <f t="shared" si="0"/>
        <v>2026</v>
      </c>
    </row>
    <row r="6" spans="1:19" ht="15" customHeight="1" outlineLevel="1">
      <c r="A6" s="7"/>
      <c r="B6" s="13"/>
      <c r="C6" s="13"/>
      <c r="D6" s="9"/>
      <c r="E6" s="9"/>
      <c r="F6" s="14"/>
      <c r="G6" s="14"/>
      <c r="H6" s="14"/>
      <c r="I6" s="14"/>
      <c r="J6" s="14"/>
      <c r="K6" s="16"/>
      <c r="L6" s="16"/>
      <c r="M6" s="16"/>
      <c r="N6" s="16"/>
      <c r="O6" s="16"/>
    </row>
    <row r="7" spans="1:19" s="2" customFormat="1" ht="15" customHeight="1" outlineLevel="1">
      <c r="A7" s="17"/>
      <c r="B7" s="18" t="s">
        <v>1</v>
      </c>
      <c r="D7" s="28"/>
      <c r="E7" s="28"/>
      <c r="F7" s="29"/>
      <c r="G7" s="19"/>
      <c r="H7" s="135">
        <v>365</v>
      </c>
      <c r="I7" s="72">
        <v>365</v>
      </c>
      <c r="J7" s="72">
        <v>365</v>
      </c>
      <c r="K7" s="72">
        <v>365</v>
      </c>
      <c r="L7" s="72">
        <v>365</v>
      </c>
      <c r="M7" s="72">
        <v>365</v>
      </c>
      <c r="N7" s="72">
        <v>365</v>
      </c>
      <c r="O7" s="173">
        <v>365</v>
      </c>
    </row>
    <row r="8" spans="1:19" ht="15" customHeight="1" outlineLevel="1">
      <c r="A8" s="7"/>
      <c r="C8" s="18"/>
      <c r="D8" s="9"/>
      <c r="E8" s="9"/>
      <c r="F8" s="29"/>
      <c r="G8" s="14"/>
      <c r="H8" s="131"/>
      <c r="I8" s="131"/>
      <c r="J8" s="131"/>
      <c r="K8" s="131"/>
      <c r="L8" s="131"/>
      <c r="M8" s="131"/>
      <c r="N8" s="131"/>
      <c r="O8" s="131"/>
    </row>
    <row r="9" spans="1:19" ht="15" customHeight="1" outlineLevel="1">
      <c r="A9" s="7"/>
      <c r="B9" s="13"/>
      <c r="C9" s="13"/>
      <c r="D9" s="9"/>
      <c r="E9" s="9"/>
      <c r="F9" s="14"/>
      <c r="G9" s="14"/>
      <c r="H9" s="14"/>
      <c r="I9" s="14"/>
      <c r="J9" s="14"/>
      <c r="K9" s="16"/>
      <c r="L9" s="16"/>
      <c r="M9" s="16"/>
      <c r="N9" s="16"/>
      <c r="O9" s="16"/>
    </row>
    <row r="10" spans="1:19" s="2" customFormat="1" ht="15" customHeight="1" outlineLevel="1">
      <c r="A10" s="17"/>
      <c r="B10" s="21" t="s">
        <v>92</v>
      </c>
      <c r="D10" s="28"/>
      <c r="E10" s="28"/>
      <c r="F10" s="29"/>
      <c r="G10" s="19"/>
      <c r="H10" s="145"/>
      <c r="I10" s="26"/>
      <c r="J10" s="26"/>
      <c r="K10" s="16"/>
      <c r="L10" s="16"/>
      <c r="M10" s="16"/>
      <c r="N10" s="16"/>
      <c r="O10" s="16"/>
    </row>
    <row r="11" spans="1:19" s="2" customFormat="1" ht="15" customHeight="1" outlineLevel="1">
      <c r="A11" s="17"/>
      <c r="B11" s="18"/>
      <c r="D11" s="28"/>
      <c r="E11" s="28"/>
      <c r="F11" s="29"/>
      <c r="G11" s="19"/>
      <c r="H11" s="26"/>
      <c r="I11" s="26"/>
      <c r="J11" s="26"/>
      <c r="K11" s="26"/>
      <c r="L11" s="26"/>
      <c r="M11" s="26"/>
      <c r="N11" s="26"/>
      <c r="O11" s="26"/>
    </row>
    <row r="12" spans="1:19" ht="15" customHeight="1" outlineLevel="1">
      <c r="A12" s="7"/>
      <c r="C12" s="18" t="s">
        <v>11</v>
      </c>
      <c r="D12" s="9"/>
      <c r="E12" s="9"/>
      <c r="F12" s="14"/>
      <c r="G12" s="14"/>
      <c r="H12" s="14"/>
      <c r="I12" s="182">
        <f>I14/H14-1</f>
        <v>1.9650655021834051E-2</v>
      </c>
      <c r="J12" s="182">
        <f t="shared" ref="J12" si="1">J14/I14-1</f>
        <v>2.0699500356887945E-2</v>
      </c>
      <c r="K12" s="137">
        <v>0.02</v>
      </c>
      <c r="L12" s="137">
        <v>0.01</v>
      </c>
      <c r="M12" s="137">
        <v>0.01</v>
      </c>
      <c r="N12" s="137">
        <v>5.0000000000000001E-3</v>
      </c>
      <c r="O12" s="137">
        <v>5.0000000000000001E-3</v>
      </c>
    </row>
    <row r="13" spans="1:19" ht="15" customHeight="1" outlineLevel="1">
      <c r="A13" s="7"/>
      <c r="C13" s="18"/>
      <c r="D13" s="9"/>
      <c r="E13" s="9"/>
      <c r="F13" s="14"/>
      <c r="G13" s="14"/>
      <c r="H13" s="14"/>
      <c r="I13" s="117"/>
      <c r="J13" s="117"/>
      <c r="K13" s="133"/>
      <c r="L13" s="133"/>
      <c r="M13" s="133"/>
      <c r="N13" s="133"/>
      <c r="O13" s="133"/>
    </row>
    <row r="14" spans="1:19" ht="15" customHeight="1" outlineLevel="1">
      <c r="A14" s="7"/>
      <c r="C14" s="18" t="s">
        <v>12</v>
      </c>
      <c r="D14" s="9"/>
      <c r="E14" s="9"/>
      <c r="F14" s="29" t="s">
        <v>10</v>
      </c>
      <c r="G14" s="14"/>
      <c r="H14" s="49">
        <v>1374</v>
      </c>
      <c r="I14" s="49">
        <v>1401</v>
      </c>
      <c r="J14" s="49">
        <v>1430</v>
      </c>
      <c r="K14" s="183">
        <f>J14*(1+K12)</f>
        <v>1458.6000000000001</v>
      </c>
      <c r="L14" s="183">
        <f t="shared" ref="L14:O14" si="2">K14*(1+L12)</f>
        <v>1473.1860000000001</v>
      </c>
      <c r="M14" s="183">
        <f t="shared" si="2"/>
        <v>1487.9178600000002</v>
      </c>
      <c r="N14" s="183">
        <f t="shared" si="2"/>
        <v>1495.3574493000001</v>
      </c>
      <c r="O14" s="183">
        <f t="shared" si="2"/>
        <v>1502.8342365465001</v>
      </c>
    </row>
    <row r="15" spans="1:19" s="2" customFormat="1" ht="15" customHeight="1" outlineLevel="1">
      <c r="A15" s="17"/>
      <c r="C15" s="18" t="s">
        <v>9</v>
      </c>
      <c r="D15" s="28"/>
      <c r="E15" s="28"/>
      <c r="F15" s="29" t="s">
        <v>10</v>
      </c>
      <c r="G15" s="19"/>
      <c r="H15" s="20">
        <v>1500</v>
      </c>
      <c r="I15" s="20">
        <v>1500</v>
      </c>
      <c r="J15" s="20">
        <v>1500</v>
      </c>
      <c r="K15" s="20">
        <v>1500</v>
      </c>
      <c r="L15" s="20">
        <v>1500</v>
      </c>
      <c r="M15" s="20">
        <v>1500</v>
      </c>
      <c r="N15" s="20">
        <v>1500</v>
      </c>
      <c r="O15" s="20">
        <v>1500</v>
      </c>
    </row>
    <row r="16" spans="1:19" s="2" customFormat="1" ht="15" customHeight="1" outlineLevel="1">
      <c r="A16" s="17"/>
      <c r="C16" s="18" t="s">
        <v>13</v>
      </c>
      <c r="D16" s="9"/>
      <c r="E16" s="9"/>
      <c r="F16" s="14"/>
      <c r="G16" s="14"/>
      <c r="H16" s="182">
        <f>H14/H15</f>
        <v>0.91600000000000004</v>
      </c>
      <c r="I16" s="182">
        <f t="shared" ref="I16:O16" si="3">I14/I15</f>
        <v>0.93400000000000005</v>
      </c>
      <c r="J16" s="182">
        <f t="shared" si="3"/>
        <v>0.95333333333333337</v>
      </c>
      <c r="K16" s="182">
        <f t="shared" si="3"/>
        <v>0.97240000000000004</v>
      </c>
      <c r="L16" s="182">
        <f t="shared" si="3"/>
        <v>0.98212400000000011</v>
      </c>
      <c r="M16" s="182">
        <f t="shared" si="3"/>
        <v>0.99194524000000017</v>
      </c>
      <c r="N16" s="182">
        <f t="shared" si="3"/>
        <v>0.99690496620000002</v>
      </c>
      <c r="O16" s="182">
        <f t="shared" si="3"/>
        <v>1.0018894910310001</v>
      </c>
    </row>
    <row r="17" spans="1:15" ht="15" customHeight="1" outlineLevel="1">
      <c r="A17" s="7"/>
      <c r="C17" s="18"/>
      <c r="D17" s="9"/>
      <c r="E17" s="9"/>
      <c r="F17" s="29"/>
      <c r="G17" s="14"/>
      <c r="H17" s="131"/>
      <c r="I17" s="131"/>
      <c r="J17" s="131"/>
      <c r="K17" s="131"/>
      <c r="L17" s="131"/>
      <c r="M17" s="131"/>
      <c r="N17" s="131"/>
      <c r="O17" s="131"/>
    </row>
    <row r="18" spans="1:15" ht="15" customHeight="1" outlineLevel="1">
      <c r="A18" s="7"/>
      <c r="C18" s="43"/>
      <c r="D18" s="39"/>
      <c r="E18" s="39"/>
      <c r="F18" s="44"/>
      <c r="G18" s="40"/>
      <c r="H18" s="128"/>
      <c r="I18" s="128"/>
      <c r="J18" s="128"/>
      <c r="K18" s="128"/>
      <c r="L18" s="128"/>
      <c r="M18" s="128"/>
      <c r="N18" s="128"/>
      <c r="O18" s="128"/>
    </row>
    <row r="19" spans="1:15" ht="15" customHeight="1" outlineLevel="1">
      <c r="A19" s="7"/>
      <c r="B19" s="13"/>
      <c r="C19" s="13"/>
      <c r="D19" s="9"/>
      <c r="E19" s="9"/>
      <c r="F19" s="14"/>
      <c r="G19" s="14"/>
      <c r="H19" s="14"/>
      <c r="I19" s="14"/>
      <c r="J19" s="14"/>
      <c r="K19" s="16"/>
      <c r="L19" s="16"/>
      <c r="M19" s="16"/>
      <c r="N19" s="16"/>
      <c r="O19" s="16"/>
    </row>
    <row r="20" spans="1:15" ht="15" customHeight="1" outlineLevel="1">
      <c r="A20" s="7"/>
      <c r="B20" s="13"/>
      <c r="C20" s="13"/>
      <c r="D20" s="9"/>
      <c r="E20" s="9"/>
      <c r="F20" s="14"/>
      <c r="G20" s="14"/>
      <c r="H20" s="14"/>
      <c r="I20" s="14"/>
      <c r="J20" s="14"/>
      <c r="K20" s="16"/>
      <c r="L20" s="16"/>
      <c r="M20" s="16"/>
      <c r="N20" s="16"/>
      <c r="O20" s="16"/>
    </row>
    <row r="21" spans="1:15" s="2" customFormat="1" ht="15" customHeight="1" outlineLevel="1">
      <c r="A21" s="17"/>
      <c r="B21" s="21" t="s">
        <v>86</v>
      </c>
      <c r="D21" s="28"/>
      <c r="E21" s="28"/>
      <c r="F21" s="29"/>
      <c r="G21" s="19"/>
      <c r="H21" s="26"/>
      <c r="I21" s="26"/>
      <c r="J21" s="26"/>
      <c r="K21" s="26"/>
      <c r="L21" s="26"/>
      <c r="M21" s="26"/>
      <c r="N21" s="26"/>
      <c r="O21" s="26"/>
    </row>
    <row r="22" spans="1:15" s="2" customFormat="1" ht="15" customHeight="1" outlineLevel="1">
      <c r="A22" s="17"/>
      <c r="B22" s="18"/>
      <c r="D22" s="28"/>
      <c r="E22" s="28"/>
      <c r="F22" s="29"/>
      <c r="G22" s="19"/>
      <c r="H22" s="26"/>
      <c r="I22" s="26"/>
      <c r="J22" s="26"/>
      <c r="K22" s="26"/>
      <c r="L22" s="26"/>
      <c r="M22" s="26"/>
      <c r="N22" s="26"/>
      <c r="O22" s="26"/>
    </row>
    <row r="23" spans="1:15" ht="15" customHeight="1" outlineLevel="1">
      <c r="A23" s="7"/>
      <c r="C23" s="18" t="s">
        <v>1</v>
      </c>
      <c r="D23" s="9"/>
      <c r="E23" s="9"/>
      <c r="F23" s="14"/>
      <c r="G23" s="14"/>
      <c r="H23" s="187">
        <f>H7</f>
        <v>365</v>
      </c>
      <c r="I23" s="187">
        <f t="shared" ref="I23:O23" si="4">I7</f>
        <v>365</v>
      </c>
      <c r="J23" s="187">
        <f t="shared" si="4"/>
        <v>365</v>
      </c>
      <c r="K23" s="187">
        <f t="shared" si="4"/>
        <v>365</v>
      </c>
      <c r="L23" s="187">
        <f t="shared" si="4"/>
        <v>365</v>
      </c>
      <c r="M23" s="187">
        <f t="shared" si="4"/>
        <v>365</v>
      </c>
      <c r="N23" s="187">
        <f t="shared" si="4"/>
        <v>365</v>
      </c>
      <c r="O23" s="187">
        <f t="shared" si="4"/>
        <v>365</v>
      </c>
    </row>
    <row r="24" spans="1:15" ht="15" customHeight="1" outlineLevel="1">
      <c r="A24" s="7"/>
      <c r="C24" s="18" t="s">
        <v>12</v>
      </c>
      <c r="D24" s="9"/>
      <c r="E24" s="9"/>
      <c r="F24" s="29" t="s">
        <v>10</v>
      </c>
      <c r="G24" s="14"/>
      <c r="H24" s="188">
        <f>H14</f>
        <v>1374</v>
      </c>
      <c r="I24" s="188">
        <f t="shared" ref="I24:O24" si="5">I14</f>
        <v>1401</v>
      </c>
      <c r="J24" s="188">
        <f t="shared" si="5"/>
        <v>1430</v>
      </c>
      <c r="K24" s="183">
        <f t="shared" si="5"/>
        <v>1458.6000000000001</v>
      </c>
      <c r="L24" s="188">
        <f t="shared" si="5"/>
        <v>1473.1860000000001</v>
      </c>
      <c r="M24" s="188">
        <f t="shared" si="5"/>
        <v>1487.9178600000002</v>
      </c>
      <c r="N24" s="188">
        <f t="shared" si="5"/>
        <v>1495.3574493000001</v>
      </c>
      <c r="O24" s="188">
        <f t="shared" si="5"/>
        <v>1502.8342365465001</v>
      </c>
    </row>
    <row r="25" spans="1:15" ht="15" customHeight="1" outlineLevel="1">
      <c r="A25" s="7"/>
      <c r="C25" s="18" t="s">
        <v>12</v>
      </c>
      <c r="D25" s="9"/>
      <c r="E25" s="9"/>
      <c r="F25" s="29" t="s">
        <v>14</v>
      </c>
      <c r="G25" s="14"/>
      <c r="H25" s="183">
        <f>H23*H24</f>
        <v>501510</v>
      </c>
      <c r="I25" s="183">
        <f t="shared" ref="I25:O25" si="6">I23*I24</f>
        <v>511365</v>
      </c>
      <c r="J25" s="183">
        <f t="shared" si="6"/>
        <v>521950</v>
      </c>
      <c r="K25" s="189">
        <f t="shared" si="6"/>
        <v>532389</v>
      </c>
      <c r="L25" s="183">
        <f t="shared" si="6"/>
        <v>537712.89</v>
      </c>
      <c r="M25" s="183">
        <f t="shared" si="6"/>
        <v>543090.01890000014</v>
      </c>
      <c r="N25" s="183">
        <f t="shared" si="6"/>
        <v>545805.4689945</v>
      </c>
      <c r="O25" s="183">
        <f t="shared" si="6"/>
        <v>548534.49633947248</v>
      </c>
    </row>
    <row r="26" spans="1:15" ht="15" customHeight="1" outlineLevel="1">
      <c r="A26" s="7"/>
      <c r="B26" s="18"/>
      <c r="C26" s="13"/>
      <c r="D26" s="9"/>
      <c r="E26" s="9"/>
      <c r="F26" s="29"/>
      <c r="G26" s="14"/>
      <c r="H26" s="131"/>
      <c r="I26" s="131"/>
      <c r="J26" s="131"/>
      <c r="K26" s="168"/>
      <c r="L26" s="168"/>
      <c r="M26" s="168"/>
      <c r="N26" s="168"/>
      <c r="O26" s="168"/>
    </row>
    <row r="27" spans="1:15" ht="15" customHeight="1" outlineLevel="1">
      <c r="A27" s="7"/>
      <c r="B27" s="18"/>
      <c r="C27" s="13"/>
      <c r="D27" s="9"/>
      <c r="E27" s="9"/>
      <c r="F27" s="29"/>
      <c r="G27" s="29"/>
      <c r="H27" s="29"/>
      <c r="I27" s="29"/>
      <c r="J27" s="29"/>
      <c r="K27" s="29"/>
      <c r="L27" s="29"/>
      <c r="M27" s="29"/>
      <c r="N27" s="29"/>
      <c r="O27" s="131"/>
    </row>
    <row r="28" spans="1:15" s="2" customFormat="1" ht="15" customHeight="1" outlineLevel="1">
      <c r="A28" s="17"/>
      <c r="B28" s="21" t="s">
        <v>85</v>
      </c>
      <c r="D28" s="28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131"/>
    </row>
    <row r="29" spans="1:15" s="2" customFormat="1" ht="15" customHeight="1" outlineLevel="1">
      <c r="A29" s="17"/>
      <c r="B29" s="18"/>
      <c r="D29" s="28"/>
      <c r="E29" s="28"/>
      <c r="F29" s="29"/>
      <c r="G29" s="19"/>
      <c r="H29" s="26"/>
      <c r="I29" s="26"/>
      <c r="J29" s="26"/>
      <c r="K29" s="26"/>
      <c r="L29" s="26"/>
      <c r="M29" s="26"/>
      <c r="N29" s="26"/>
      <c r="O29" s="26"/>
    </row>
    <row r="30" spans="1:15" ht="15" customHeight="1" outlineLevel="1">
      <c r="A30" s="7"/>
      <c r="C30" s="18" t="s">
        <v>17</v>
      </c>
      <c r="D30" s="9"/>
      <c r="E30" s="9"/>
      <c r="F30" s="14"/>
      <c r="G30" s="14"/>
      <c r="H30" s="40"/>
      <c r="I30" s="190">
        <f>I31/H31-1</f>
        <v>1.701341629399189E-2</v>
      </c>
      <c r="J30" s="190">
        <f t="shared" ref="J30" si="7">J31/I31-1</f>
        <v>2.1030494216614182E-2</v>
      </c>
      <c r="K30" s="138">
        <v>0.03</v>
      </c>
      <c r="L30" s="138">
        <v>0.01</v>
      </c>
      <c r="M30" s="138">
        <v>0.01</v>
      </c>
      <c r="N30" s="138">
        <v>0.01</v>
      </c>
      <c r="O30" s="138">
        <v>5.0000000000000001E-3</v>
      </c>
    </row>
    <row r="31" spans="1:15" ht="15" customHeight="1" outlineLevel="1">
      <c r="A31" s="7"/>
      <c r="C31" s="18" t="s">
        <v>15</v>
      </c>
      <c r="D31" s="9"/>
      <c r="E31" s="9"/>
      <c r="F31" s="29" t="s">
        <v>16</v>
      </c>
      <c r="G31" s="14"/>
      <c r="H31" s="130">
        <v>102.86</v>
      </c>
      <c r="I31" s="130">
        <v>104.61</v>
      </c>
      <c r="J31" s="130">
        <v>106.81</v>
      </c>
      <c r="K31" s="191">
        <f>J31*(1+K30)</f>
        <v>110.01430000000001</v>
      </c>
      <c r="L31" s="191">
        <f t="shared" ref="L31:O31" si="8">K31*(1+L30)</f>
        <v>111.11444300000001</v>
      </c>
      <c r="M31" s="191">
        <f t="shared" si="8"/>
        <v>112.22558743</v>
      </c>
      <c r="N31" s="191">
        <f t="shared" si="8"/>
        <v>113.3478433043</v>
      </c>
      <c r="O31" s="191">
        <f t="shared" si="8"/>
        <v>113.91458252082148</v>
      </c>
    </row>
    <row r="32" spans="1:15" ht="15" customHeight="1" outlineLevel="1">
      <c r="A32" s="7"/>
      <c r="C32" s="18"/>
      <c r="D32" s="9"/>
      <c r="E32" s="9"/>
      <c r="F32" s="29"/>
      <c r="G32" s="14"/>
      <c r="H32" s="130"/>
      <c r="I32" s="130"/>
      <c r="J32" s="130"/>
      <c r="K32" s="136"/>
      <c r="L32" s="136"/>
      <c r="M32" s="136"/>
      <c r="N32" s="136"/>
      <c r="O32" s="136"/>
    </row>
    <row r="33" spans="1:16" ht="15" customHeight="1" outlineLevel="1">
      <c r="A33" s="7"/>
      <c r="C33" s="18"/>
      <c r="D33" s="9"/>
      <c r="E33" s="9"/>
      <c r="F33" s="29"/>
      <c r="G33" s="14"/>
      <c r="H33" s="130"/>
      <c r="I33" s="130"/>
      <c r="J33" s="130"/>
      <c r="K33" s="136"/>
      <c r="L33" s="136"/>
      <c r="M33" s="136"/>
      <c r="N33" s="136"/>
      <c r="O33" s="136"/>
    </row>
    <row r="34" spans="1:16" s="2" customFormat="1" ht="15" customHeight="1" outlineLevel="1">
      <c r="A34" s="17"/>
      <c r="B34" s="21" t="s">
        <v>84</v>
      </c>
      <c r="D34" s="28"/>
      <c r="E34" s="28"/>
      <c r="F34" s="29"/>
      <c r="G34" s="19"/>
      <c r="H34" s="26"/>
      <c r="I34" s="26"/>
      <c r="J34" s="26"/>
      <c r="K34" s="26"/>
      <c r="L34" s="26"/>
      <c r="M34" s="26"/>
      <c r="N34" s="26"/>
      <c r="O34" s="26"/>
    </row>
    <row r="35" spans="1:16" s="2" customFormat="1" ht="15" customHeight="1" outlineLevel="1">
      <c r="A35" s="17"/>
      <c r="B35" s="18"/>
      <c r="D35" s="28"/>
      <c r="E35" s="28"/>
      <c r="F35" s="29"/>
      <c r="G35" s="19"/>
      <c r="H35" s="26"/>
      <c r="I35" s="26"/>
      <c r="J35" s="26"/>
      <c r="K35" s="26"/>
      <c r="L35" s="26"/>
      <c r="M35" s="26"/>
      <c r="N35" s="26"/>
      <c r="O35" s="26"/>
    </row>
    <row r="36" spans="1:16" ht="15" customHeight="1" outlineLevel="1">
      <c r="A36" s="7"/>
      <c r="C36" s="18" t="s">
        <v>12</v>
      </c>
      <c r="D36" s="9"/>
      <c r="E36" s="9"/>
      <c r="F36" s="29" t="s">
        <v>14</v>
      </c>
      <c r="G36" s="14"/>
      <c r="H36" s="183">
        <f>H25</f>
        <v>501510</v>
      </c>
      <c r="I36" s="183">
        <f t="shared" ref="I36:O36" si="9">I25</f>
        <v>511365</v>
      </c>
      <c r="J36" s="183">
        <f t="shared" si="9"/>
        <v>521950</v>
      </c>
      <c r="K36" s="183">
        <f t="shared" si="9"/>
        <v>532389</v>
      </c>
      <c r="L36" s="183">
        <f t="shared" si="9"/>
        <v>537712.89</v>
      </c>
      <c r="M36" s="183">
        <f t="shared" si="9"/>
        <v>543090.01890000014</v>
      </c>
      <c r="N36" s="183">
        <f t="shared" si="9"/>
        <v>545805.4689945</v>
      </c>
      <c r="O36" s="183">
        <f t="shared" si="9"/>
        <v>548534.49633947248</v>
      </c>
    </row>
    <row r="37" spans="1:16" ht="15" customHeight="1" outlineLevel="1">
      <c r="A37" s="7"/>
      <c r="C37" s="18" t="s">
        <v>83</v>
      </c>
      <c r="D37" s="9"/>
      <c r="E37" s="9"/>
      <c r="F37" s="29" t="s">
        <v>16</v>
      </c>
      <c r="G37" s="14"/>
      <c r="H37" s="192">
        <f>H31</f>
        <v>102.86</v>
      </c>
      <c r="I37" s="192">
        <f t="shared" ref="I37:O37" si="10">I31</f>
        <v>104.61</v>
      </c>
      <c r="J37" s="192">
        <f t="shared" si="10"/>
        <v>106.81</v>
      </c>
      <c r="K37" s="192">
        <f t="shared" si="10"/>
        <v>110.01430000000001</v>
      </c>
      <c r="L37" s="192">
        <f t="shared" si="10"/>
        <v>111.11444300000001</v>
      </c>
      <c r="M37" s="192">
        <f t="shared" si="10"/>
        <v>112.22558743</v>
      </c>
      <c r="N37" s="192">
        <f t="shared" si="10"/>
        <v>113.3478433043</v>
      </c>
      <c r="O37" s="192">
        <f t="shared" si="10"/>
        <v>113.91458252082148</v>
      </c>
    </row>
    <row r="38" spans="1:16" ht="15" customHeight="1" outlineLevel="1" thickBot="1">
      <c r="A38" s="7"/>
      <c r="C38" s="18" t="s">
        <v>0</v>
      </c>
      <c r="D38" s="9"/>
      <c r="E38" s="9"/>
      <c r="F38" s="29"/>
      <c r="G38" s="14"/>
      <c r="H38" s="193">
        <f>(H36*H37)/1000</f>
        <v>51585.318599999999</v>
      </c>
      <c r="I38" s="193">
        <f t="shared" ref="I38:O38" si="11">(I36*I37)/1000</f>
        <v>53493.892650000002</v>
      </c>
      <c r="J38" s="193">
        <f t="shared" si="11"/>
        <v>55749.479500000001</v>
      </c>
      <c r="K38" s="193">
        <f t="shared" si="11"/>
        <v>58570.403162700008</v>
      </c>
      <c r="L38" s="193">
        <f t="shared" si="11"/>
        <v>59747.668266270273</v>
      </c>
      <c r="M38" s="193">
        <f t="shared" si="11"/>
        <v>60948.59639842232</v>
      </c>
      <c r="N38" s="193">
        <f t="shared" si="11"/>
        <v>61865.872774218558</v>
      </c>
      <c r="O38" s="193">
        <f t="shared" si="11"/>
        <v>62486.078148780085</v>
      </c>
    </row>
    <row r="39" spans="1:16" ht="15" customHeight="1" outlineLevel="1">
      <c r="A39" s="7"/>
      <c r="C39" s="18"/>
      <c r="D39" s="9"/>
      <c r="E39" s="9"/>
      <c r="F39" s="29"/>
      <c r="G39" s="14"/>
      <c r="H39" s="131"/>
      <c r="I39" s="131"/>
      <c r="J39" s="131"/>
      <c r="K39" s="131"/>
      <c r="L39" s="131"/>
      <c r="M39" s="131"/>
      <c r="N39" s="131"/>
      <c r="O39" s="131"/>
    </row>
    <row r="40" spans="1:16" ht="15" customHeight="1" outlineLevel="1">
      <c r="A40" s="7"/>
      <c r="C40" s="18"/>
      <c r="D40" s="9"/>
      <c r="E40" s="9"/>
      <c r="F40" s="29"/>
      <c r="G40" s="14"/>
      <c r="H40" s="131"/>
      <c r="I40" s="131"/>
      <c r="J40" s="131"/>
      <c r="K40" s="131"/>
      <c r="L40" s="131"/>
      <c r="M40" s="131"/>
      <c r="N40" s="131"/>
      <c r="O40" s="131"/>
    </row>
    <row r="41" spans="1:16" ht="15" customHeight="1" outlineLevel="1">
      <c r="A41" s="7"/>
      <c r="B41" s="18" t="s">
        <v>93</v>
      </c>
      <c r="D41" s="9"/>
      <c r="E41" s="9"/>
      <c r="F41" s="29"/>
      <c r="G41" s="14"/>
      <c r="H41" s="251">
        <f>IF(H16&gt;=1,1,0)</f>
        <v>0</v>
      </c>
      <c r="I41" s="252">
        <f t="shared" ref="I41:O41" si="12">IF(I16&gt;=1,1,0)</f>
        <v>0</v>
      </c>
      <c r="J41" s="252">
        <f t="shared" si="12"/>
        <v>0</v>
      </c>
      <c r="K41" s="252">
        <f t="shared" si="12"/>
        <v>0</v>
      </c>
      <c r="L41" s="252">
        <f t="shared" si="12"/>
        <v>0</v>
      </c>
      <c r="M41" s="252">
        <f t="shared" si="12"/>
        <v>0</v>
      </c>
      <c r="N41" s="252">
        <f t="shared" si="12"/>
        <v>0</v>
      </c>
      <c r="O41" s="253">
        <f t="shared" si="12"/>
        <v>1</v>
      </c>
    </row>
    <row r="42" spans="1:16" ht="15" customHeight="1" outlineLevel="1">
      <c r="A42" s="7"/>
      <c r="B42" s="13"/>
      <c r="C42" s="13"/>
      <c r="D42" s="9"/>
      <c r="E42" s="9"/>
      <c r="F42" s="14"/>
      <c r="G42" s="14"/>
      <c r="H42" s="14"/>
      <c r="I42" s="14"/>
      <c r="J42" s="14"/>
      <c r="K42" s="16"/>
      <c r="L42" s="16"/>
      <c r="M42" s="16"/>
      <c r="N42" s="16"/>
      <c r="O42" s="16"/>
    </row>
    <row r="43" spans="1:16" ht="15" customHeight="1" outlineLevel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6" s="2" customFormat="1" ht="15" customHeight="1">
      <c r="A44" s="1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54"/>
    </row>
    <row r="45" spans="1:16" ht="15" customHeight="1">
      <c r="A45" s="17" t="s">
        <v>109</v>
      </c>
      <c r="B45" s="120" t="s">
        <v>20</v>
      </c>
      <c r="C45" s="120"/>
      <c r="D45" s="121"/>
      <c r="E45" s="121"/>
      <c r="F45" s="122"/>
      <c r="G45" s="122"/>
      <c r="H45" s="123"/>
      <c r="I45" s="124"/>
      <c r="J45" s="124"/>
      <c r="K45" s="124"/>
      <c r="L45" s="124"/>
      <c r="M45" s="124"/>
      <c r="N45" s="124"/>
      <c r="O45" s="124"/>
      <c r="P45" s="51"/>
    </row>
    <row r="46" spans="1:16" ht="15" customHeight="1" outlineLevel="1">
      <c r="A46" s="17"/>
      <c r="B46" s="8"/>
      <c r="C46" s="8"/>
      <c r="D46" s="9"/>
      <c r="E46" s="9"/>
      <c r="F46" s="10"/>
      <c r="G46" s="10"/>
      <c r="H46" s="11"/>
      <c r="I46" s="12"/>
      <c r="J46" s="12"/>
      <c r="K46" s="12"/>
      <c r="L46" s="12"/>
      <c r="M46" s="12"/>
      <c r="N46" s="12"/>
      <c r="O46" s="12"/>
    </row>
    <row r="47" spans="1:16" ht="15" customHeight="1" outlineLevel="1" thickBot="1">
      <c r="A47" s="17"/>
      <c r="B47" s="13" t="s">
        <v>19</v>
      </c>
      <c r="C47" s="13"/>
      <c r="D47" s="9"/>
      <c r="E47" s="9"/>
      <c r="F47" s="14"/>
      <c r="G47" s="14"/>
      <c r="H47" s="134">
        <v>2019</v>
      </c>
      <c r="I47" s="129">
        <f t="shared" ref="I47:O47" si="13">H47+1</f>
        <v>2020</v>
      </c>
      <c r="J47" s="129">
        <f t="shared" si="13"/>
        <v>2021</v>
      </c>
      <c r="K47" s="15">
        <f t="shared" si="13"/>
        <v>2022</v>
      </c>
      <c r="L47" s="15">
        <f t="shared" si="13"/>
        <v>2023</v>
      </c>
      <c r="M47" s="15">
        <f t="shared" si="13"/>
        <v>2024</v>
      </c>
      <c r="N47" s="15">
        <f t="shared" si="13"/>
        <v>2025</v>
      </c>
      <c r="O47" s="15">
        <f t="shared" si="13"/>
        <v>2026</v>
      </c>
    </row>
    <row r="48" spans="1:16" ht="15" customHeight="1" outlineLevel="1">
      <c r="A48" s="17"/>
      <c r="B48" s="13"/>
      <c r="C48" s="13"/>
      <c r="D48" s="9"/>
      <c r="E48" s="9"/>
      <c r="F48" s="14"/>
      <c r="G48" s="14"/>
      <c r="H48" s="14"/>
      <c r="I48" s="14"/>
      <c r="J48" s="14"/>
      <c r="K48" s="16"/>
      <c r="L48" s="16"/>
      <c r="M48" s="16"/>
      <c r="N48" s="16"/>
      <c r="O48" s="16"/>
    </row>
    <row r="49" spans="1:16" ht="15" customHeight="1" outlineLevel="1">
      <c r="A49" s="17"/>
      <c r="B49" s="18" t="s">
        <v>12</v>
      </c>
      <c r="C49" s="13"/>
      <c r="D49" s="9"/>
      <c r="E49" s="9"/>
      <c r="F49" s="29" t="s">
        <v>14</v>
      </c>
      <c r="G49" s="14"/>
      <c r="H49" s="147">
        <v>501510</v>
      </c>
      <c r="I49" s="146">
        <v>511365</v>
      </c>
      <c r="J49" s="146">
        <v>521950</v>
      </c>
      <c r="K49" s="146">
        <v>532389</v>
      </c>
      <c r="L49" s="146">
        <v>537712.89</v>
      </c>
      <c r="M49" s="146">
        <v>543090.01890000014</v>
      </c>
      <c r="N49" s="146">
        <v>545805.4689945</v>
      </c>
      <c r="O49" s="184">
        <v>548534.49633947248</v>
      </c>
    </row>
    <row r="50" spans="1:16" ht="15" customHeight="1" outlineLevel="1">
      <c r="A50" s="17"/>
      <c r="B50" s="18" t="s">
        <v>27</v>
      </c>
      <c r="C50" s="13"/>
      <c r="D50" s="9"/>
      <c r="E50" s="9"/>
      <c r="F50" s="14"/>
      <c r="G50" s="14"/>
      <c r="H50" s="148">
        <v>2.4E-2</v>
      </c>
      <c r="I50" s="138">
        <v>2.1999999999999999E-2</v>
      </c>
      <c r="J50" s="138">
        <v>2.3E-2</v>
      </c>
      <c r="K50" s="138">
        <v>3.5000000000000003E-2</v>
      </c>
      <c r="L50" s="138">
        <v>0.03</v>
      </c>
      <c r="M50" s="138">
        <v>0.03</v>
      </c>
      <c r="N50" s="138">
        <v>2.5000000000000001E-2</v>
      </c>
      <c r="O50" s="185">
        <v>2.5000000000000001E-2</v>
      </c>
    </row>
    <row r="51" spans="1:16" s="2" customFormat="1" ht="15" customHeight="1" outlineLevel="1">
      <c r="A51" s="17"/>
      <c r="B51" s="18"/>
      <c r="D51" s="28"/>
      <c r="E51" s="28"/>
      <c r="F51" s="164"/>
      <c r="G51" s="165"/>
      <c r="H51" s="166"/>
      <c r="I51" s="167"/>
      <c r="J51" s="167"/>
      <c r="K51" s="26"/>
      <c r="L51" s="26"/>
      <c r="M51" s="26"/>
      <c r="N51" s="26"/>
      <c r="O51" s="26"/>
      <c r="P51" s="51"/>
    </row>
    <row r="52" spans="1:16" s="2" customFormat="1" ht="15" customHeight="1" outlineLevel="1">
      <c r="A52" s="17"/>
      <c r="B52" s="21" t="s">
        <v>95</v>
      </c>
      <c r="D52" s="28"/>
      <c r="E52" s="28"/>
      <c r="F52" s="29"/>
      <c r="G52" s="19"/>
      <c r="H52" s="160"/>
      <c r="I52" s="160"/>
      <c r="J52" s="160"/>
      <c r="K52" s="26"/>
      <c r="L52" s="26"/>
      <c r="M52" s="26"/>
      <c r="N52" s="26"/>
      <c r="O52" s="26"/>
      <c r="P52" s="51"/>
    </row>
    <row r="53" spans="1:16" s="2" customFormat="1" ht="15" customHeight="1" outlineLevel="1">
      <c r="A53" s="17"/>
      <c r="B53" s="18"/>
      <c r="D53" s="28"/>
      <c r="E53" s="28"/>
      <c r="F53" s="29"/>
      <c r="G53" s="19"/>
      <c r="H53" s="26"/>
      <c r="I53" s="26"/>
      <c r="J53" s="26"/>
      <c r="K53" s="26"/>
      <c r="L53" s="26"/>
      <c r="M53" s="26"/>
      <c r="N53" s="26"/>
      <c r="O53" s="26"/>
      <c r="P53" s="51"/>
    </row>
    <row r="54" spans="1:16" s="2" customFormat="1" ht="15" customHeight="1" outlineLevel="1">
      <c r="A54" s="17"/>
      <c r="C54" s="18" t="s">
        <v>89</v>
      </c>
      <c r="E54" s="9"/>
      <c r="F54" s="29" t="s">
        <v>16</v>
      </c>
      <c r="G54" s="14"/>
      <c r="H54" s="130">
        <v>9.51</v>
      </c>
      <c r="I54" s="130">
        <v>9.7200000000000006</v>
      </c>
      <c r="J54" s="130">
        <v>9.91</v>
      </c>
      <c r="K54" s="191">
        <f>J54*(1+K$50)</f>
        <v>10.25685</v>
      </c>
      <c r="L54" s="191">
        <f t="shared" ref="L54:O54" si="14">K54*(1+L$50)</f>
        <v>10.564555500000001</v>
      </c>
      <c r="M54" s="191">
        <f t="shared" si="14"/>
        <v>10.881492165000001</v>
      </c>
      <c r="N54" s="191">
        <f t="shared" si="14"/>
        <v>11.153529469125001</v>
      </c>
      <c r="O54" s="191">
        <f t="shared" si="14"/>
        <v>11.432367705853125</v>
      </c>
    </row>
    <row r="55" spans="1:16" s="2" customFormat="1" ht="15" customHeight="1" outlineLevel="1">
      <c r="A55" s="17"/>
      <c r="C55" s="18" t="s">
        <v>22</v>
      </c>
      <c r="E55" s="9"/>
      <c r="F55" s="29" t="s">
        <v>16</v>
      </c>
      <c r="G55" s="14"/>
      <c r="H55" s="130">
        <v>0.82</v>
      </c>
      <c r="I55" s="130">
        <v>0.84</v>
      </c>
      <c r="J55" s="130">
        <v>0.86</v>
      </c>
      <c r="K55" s="191">
        <f t="shared" ref="K55:O56" si="15">J55*(1+K$50)</f>
        <v>0.89009999999999989</v>
      </c>
      <c r="L55" s="191">
        <f t="shared" si="15"/>
        <v>0.91680299999999992</v>
      </c>
      <c r="M55" s="191">
        <f t="shared" si="15"/>
        <v>0.9443070899999999</v>
      </c>
      <c r="N55" s="191">
        <f t="shared" si="15"/>
        <v>0.96791476724999981</v>
      </c>
      <c r="O55" s="191">
        <f t="shared" si="15"/>
        <v>0.99211263643124969</v>
      </c>
    </row>
    <row r="56" spans="1:16" s="2" customFormat="1" ht="15" customHeight="1" outlineLevel="1">
      <c r="A56" s="17"/>
      <c r="C56" s="18" t="s">
        <v>28</v>
      </c>
      <c r="E56" s="9"/>
      <c r="F56" s="29" t="s">
        <v>16</v>
      </c>
      <c r="G56" s="14"/>
      <c r="H56" s="139">
        <v>1.54</v>
      </c>
      <c r="I56" s="139">
        <v>1.58</v>
      </c>
      <c r="J56" s="139">
        <v>1.62</v>
      </c>
      <c r="K56" s="194">
        <f t="shared" si="15"/>
        <v>1.6767000000000001</v>
      </c>
      <c r="L56" s="194">
        <f t="shared" si="15"/>
        <v>1.7270010000000002</v>
      </c>
      <c r="M56" s="194">
        <f t="shared" si="15"/>
        <v>1.7788110300000002</v>
      </c>
      <c r="N56" s="194">
        <f t="shared" si="15"/>
        <v>1.8232813057500001</v>
      </c>
      <c r="O56" s="194">
        <f t="shared" si="15"/>
        <v>1.8688633383937501</v>
      </c>
    </row>
    <row r="57" spans="1:16" s="2" customFormat="1" ht="15" customHeight="1" outlineLevel="1">
      <c r="A57" s="17"/>
      <c r="C57" s="18" t="s">
        <v>29</v>
      </c>
      <c r="E57" s="28"/>
      <c r="F57" s="29"/>
      <c r="G57" s="19"/>
      <c r="H57" s="192">
        <f>SUM(H54:H56)</f>
        <v>11.870000000000001</v>
      </c>
      <c r="I57" s="192">
        <f t="shared" ref="I57:O57" si="16">SUM(I54:I56)</f>
        <v>12.14</v>
      </c>
      <c r="J57" s="192">
        <f t="shared" si="16"/>
        <v>12.39</v>
      </c>
      <c r="K57" s="192">
        <f t="shared" si="16"/>
        <v>12.823650000000001</v>
      </c>
      <c r="L57" s="192">
        <f t="shared" si="16"/>
        <v>13.2083595</v>
      </c>
      <c r="M57" s="192">
        <f t="shared" si="16"/>
        <v>13.604610285000001</v>
      </c>
      <c r="N57" s="192">
        <f t="shared" si="16"/>
        <v>13.944725542124999</v>
      </c>
      <c r="O57" s="192">
        <f t="shared" si="16"/>
        <v>14.293343680678124</v>
      </c>
    </row>
    <row r="58" spans="1:16" s="2" customFormat="1" ht="15" customHeight="1" outlineLevel="1">
      <c r="A58" s="17"/>
      <c r="B58" s="18"/>
      <c r="C58" s="28"/>
      <c r="E58" s="28"/>
      <c r="F58" s="29"/>
      <c r="G58" s="19"/>
      <c r="H58" s="42"/>
      <c r="I58" s="42"/>
      <c r="J58" s="42"/>
      <c r="K58" s="42"/>
      <c r="L58" s="42"/>
      <c r="M58" s="42"/>
      <c r="N58" s="42"/>
      <c r="O58" s="42"/>
    </row>
    <row r="59" spans="1:16" s="2" customFormat="1" ht="15" customHeight="1" outlineLevel="1">
      <c r="A59" s="17"/>
      <c r="C59" s="18" t="s">
        <v>89</v>
      </c>
      <c r="E59" s="9"/>
      <c r="F59" s="29"/>
      <c r="G59" s="14"/>
      <c r="H59" s="183">
        <f>H$49*H54</f>
        <v>4769360.0999999996</v>
      </c>
      <c r="I59" s="183">
        <f t="shared" ref="I59:O59" si="17">I$49*I54</f>
        <v>4970467.8000000007</v>
      </c>
      <c r="J59" s="183">
        <f t="shared" si="17"/>
        <v>5172524.5</v>
      </c>
      <c r="K59" s="183">
        <f t="shared" si="17"/>
        <v>5460634.1146499999</v>
      </c>
      <c r="L59" s="183">
        <f t="shared" si="17"/>
        <v>5680697.6694703959</v>
      </c>
      <c r="M59" s="183">
        <f t="shared" si="17"/>
        <v>5909629.7855500542</v>
      </c>
      <c r="N59" s="183">
        <f t="shared" si="17"/>
        <v>6087657.3828397477</v>
      </c>
      <c r="O59" s="183">
        <f t="shared" si="17"/>
        <v>6271048.0614977945</v>
      </c>
    </row>
    <row r="60" spans="1:16" s="2" customFormat="1" ht="15" customHeight="1" outlineLevel="1">
      <c r="A60" s="17"/>
      <c r="C60" s="18" t="s">
        <v>22</v>
      </c>
      <c r="E60" s="9"/>
      <c r="F60" s="29"/>
      <c r="G60" s="14"/>
      <c r="H60" s="183">
        <f t="shared" ref="H60:O61" si="18">H$49*H55</f>
        <v>411238.19999999995</v>
      </c>
      <c r="I60" s="183">
        <f t="shared" si="18"/>
        <v>429546.6</v>
      </c>
      <c r="J60" s="183">
        <f t="shared" si="18"/>
        <v>448877</v>
      </c>
      <c r="K60" s="183">
        <f t="shared" si="18"/>
        <v>473879.44889999996</v>
      </c>
      <c r="L60" s="183">
        <f t="shared" si="18"/>
        <v>492976.79069066996</v>
      </c>
      <c r="M60" s="183">
        <f t="shared" si="18"/>
        <v>512843.75535550411</v>
      </c>
      <c r="N60" s="183">
        <f t="shared" si="18"/>
        <v>528293.1734855884</v>
      </c>
      <c r="O60" s="183">
        <f t="shared" si="18"/>
        <v>544208.00533684168</v>
      </c>
    </row>
    <row r="61" spans="1:16" s="2" customFormat="1" ht="15" customHeight="1" outlineLevel="1">
      <c r="A61" s="17"/>
      <c r="C61" s="18" t="s">
        <v>28</v>
      </c>
      <c r="E61" s="9"/>
      <c r="F61" s="29"/>
      <c r="G61" s="14"/>
      <c r="H61" s="188">
        <f t="shared" si="18"/>
        <v>772325.4</v>
      </c>
      <c r="I61" s="188">
        <f t="shared" si="18"/>
        <v>807956.70000000007</v>
      </c>
      <c r="J61" s="188">
        <f t="shared" si="18"/>
        <v>845559</v>
      </c>
      <c r="K61" s="188">
        <f t="shared" si="18"/>
        <v>892656.63630000001</v>
      </c>
      <c r="L61" s="188">
        <f t="shared" si="18"/>
        <v>928630.69874289015</v>
      </c>
      <c r="M61" s="188">
        <f t="shared" si="18"/>
        <v>966054.51590222877</v>
      </c>
      <c r="N61" s="188">
        <f t="shared" si="18"/>
        <v>995156.90819378314</v>
      </c>
      <c r="O61" s="188">
        <f t="shared" si="18"/>
        <v>1025136.0100531208</v>
      </c>
    </row>
    <row r="62" spans="1:16" s="2" customFormat="1" ht="15" customHeight="1" outlineLevel="1">
      <c r="A62" s="17"/>
      <c r="C62" s="18" t="s">
        <v>29</v>
      </c>
      <c r="E62" s="28"/>
      <c r="F62" s="29"/>
      <c r="G62" s="19"/>
      <c r="H62" s="183">
        <f>SUM(H59:H61)/1000</f>
        <v>5952.9237000000003</v>
      </c>
      <c r="I62" s="183">
        <f t="shared" ref="I62:O62" si="19">SUM(I59:I61)/1000</f>
        <v>6207.9711000000007</v>
      </c>
      <c r="J62" s="183">
        <f t="shared" si="19"/>
        <v>6466.9605000000001</v>
      </c>
      <c r="K62" s="183">
        <f t="shared" si="19"/>
        <v>6827.1701998500002</v>
      </c>
      <c r="L62" s="183">
        <f t="shared" si="19"/>
        <v>7102.3051589039551</v>
      </c>
      <c r="M62" s="183">
        <f t="shared" si="19"/>
        <v>7388.5280568077869</v>
      </c>
      <c r="N62" s="183">
        <f t="shared" si="19"/>
        <v>7611.1074645191193</v>
      </c>
      <c r="O62" s="183">
        <f t="shared" si="19"/>
        <v>7840.392076887757</v>
      </c>
    </row>
    <row r="63" spans="1:16" s="2" customFormat="1" ht="15" customHeight="1" outlineLevel="1">
      <c r="A63" s="17"/>
      <c r="B63" s="18"/>
      <c r="D63" s="28"/>
      <c r="E63" s="28"/>
      <c r="F63" s="29"/>
      <c r="G63" s="19"/>
      <c r="H63" s="26"/>
      <c r="I63" s="26"/>
      <c r="J63" s="26"/>
      <c r="K63" s="26"/>
      <c r="L63" s="26"/>
      <c r="M63" s="26"/>
      <c r="N63" s="26"/>
      <c r="O63" s="26"/>
    </row>
    <row r="64" spans="1:16" s="2" customFormat="1" ht="15" customHeight="1" outlineLevel="1">
      <c r="A64" s="17"/>
      <c r="B64" s="18"/>
      <c r="C64" s="46"/>
      <c r="D64" s="47"/>
      <c r="E64" s="47"/>
      <c r="F64" s="44"/>
      <c r="G64" s="37"/>
      <c r="H64" s="31"/>
      <c r="I64" s="31"/>
      <c r="J64" s="31"/>
      <c r="K64" s="31"/>
      <c r="L64" s="31"/>
      <c r="M64" s="31"/>
      <c r="N64" s="31"/>
      <c r="O64" s="31"/>
    </row>
    <row r="65" spans="1:16" s="2" customFormat="1" ht="15" customHeight="1" outlineLevel="1">
      <c r="A65" s="17"/>
      <c r="B65" s="18"/>
      <c r="D65" s="28"/>
      <c r="E65" s="28"/>
      <c r="F65" s="29"/>
      <c r="G65" s="19"/>
      <c r="H65" s="26"/>
      <c r="I65" s="26"/>
      <c r="J65" s="26"/>
      <c r="K65" s="26"/>
      <c r="L65" s="26"/>
      <c r="M65" s="26"/>
      <c r="N65" s="26"/>
      <c r="O65" s="26"/>
    </row>
    <row r="66" spans="1:16" s="2" customFormat="1" ht="15" customHeight="1" outlineLevel="1">
      <c r="A66" s="17"/>
      <c r="B66" s="21" t="s">
        <v>94</v>
      </c>
      <c r="D66" s="28"/>
      <c r="E66" s="28"/>
      <c r="F66" s="29"/>
      <c r="G66" s="19"/>
      <c r="H66" s="26"/>
      <c r="I66" s="26"/>
      <c r="J66" s="26"/>
      <c r="K66" s="26"/>
      <c r="L66" s="26"/>
      <c r="M66" s="26"/>
      <c r="N66" s="26"/>
      <c r="O66" s="26"/>
      <c r="P66" s="51"/>
    </row>
    <row r="67" spans="1:16" s="2" customFormat="1" ht="15" customHeight="1" outlineLevel="1">
      <c r="A67" s="17"/>
      <c r="B67" s="159"/>
      <c r="D67" s="28"/>
      <c r="E67" s="28"/>
      <c r="F67" s="29"/>
      <c r="G67" s="19"/>
      <c r="H67" s="26"/>
      <c r="I67" s="26"/>
      <c r="J67" s="26"/>
      <c r="K67" s="26"/>
      <c r="L67" s="26"/>
      <c r="M67" s="26"/>
      <c r="N67" s="26"/>
      <c r="O67" s="26"/>
      <c r="P67" s="51"/>
    </row>
    <row r="68" spans="1:16" s="2" customFormat="1" ht="15" customHeight="1" outlineLevel="1">
      <c r="A68" s="17"/>
      <c r="C68" s="18" t="s">
        <v>26</v>
      </c>
      <c r="E68" s="9"/>
      <c r="F68" s="29" t="s">
        <v>16</v>
      </c>
      <c r="G68" s="14"/>
      <c r="H68" s="192">
        <f>(H73*1000)/H$49</f>
        <v>31.165879045283244</v>
      </c>
      <c r="I68" s="192">
        <f t="shared" ref="I68:O68" si="20">(I73*1000)/I$49</f>
        <v>31.236005592873976</v>
      </c>
      <c r="J68" s="192">
        <f t="shared" si="20"/>
        <v>31.307596513075964</v>
      </c>
      <c r="K68" s="192">
        <f t="shared" si="20"/>
        <v>31.768002344150606</v>
      </c>
      <c r="L68" s="192">
        <f t="shared" si="20"/>
        <v>32.397071697500131</v>
      </c>
      <c r="M68" s="192">
        <f t="shared" si="20"/>
        <v>33.038597869727845</v>
      </c>
      <c r="N68" s="192">
        <f t="shared" si="20"/>
        <v>33.696082404448809</v>
      </c>
      <c r="O68" s="192">
        <f t="shared" si="20"/>
        <v>34.366651208517439</v>
      </c>
    </row>
    <row r="69" spans="1:16" s="2" customFormat="1" ht="15" customHeight="1" outlineLevel="1">
      <c r="A69" s="17"/>
      <c r="C69" s="18" t="s">
        <v>25</v>
      </c>
      <c r="E69" s="9"/>
      <c r="F69" s="29" t="s">
        <v>16</v>
      </c>
      <c r="G69" s="14"/>
      <c r="H69" s="192">
        <f t="shared" ref="H69:O70" si="21">(H74*1000)/H$49</f>
        <v>7.2800143566429387</v>
      </c>
      <c r="I69" s="192">
        <f t="shared" si="21"/>
        <v>7.2961583213555876</v>
      </c>
      <c r="J69" s="192">
        <f t="shared" si="21"/>
        <v>7.312961011591149</v>
      </c>
      <c r="K69" s="192">
        <f t="shared" si="21"/>
        <v>7.4205045558792539</v>
      </c>
      <c r="L69" s="192">
        <f t="shared" si="21"/>
        <v>7.5674452401540906</v>
      </c>
      <c r="M69" s="192">
        <f t="shared" si="21"/>
        <v>7.7172956409492199</v>
      </c>
      <c r="N69" s="192">
        <f t="shared" si="21"/>
        <v>7.8708736636546774</v>
      </c>
      <c r="O69" s="192">
        <f t="shared" si="21"/>
        <v>8.0275079654189501</v>
      </c>
    </row>
    <row r="70" spans="1:16" s="2" customFormat="1" ht="15" customHeight="1" outlineLevel="1">
      <c r="A70" s="17"/>
      <c r="C70" s="18" t="s">
        <v>24</v>
      </c>
      <c r="E70" s="9"/>
      <c r="F70" s="29" t="s">
        <v>16</v>
      </c>
      <c r="G70" s="14"/>
      <c r="H70" s="197">
        <f t="shared" si="21"/>
        <v>4.9111682718191059</v>
      </c>
      <c r="I70" s="197">
        <f t="shared" si="21"/>
        <v>4.9221202076794466</v>
      </c>
      <c r="J70" s="197">
        <f t="shared" si="21"/>
        <v>4.9334227416419196</v>
      </c>
      <c r="K70" s="197">
        <f t="shared" si="21"/>
        <v>5.0059730760778303</v>
      </c>
      <c r="L70" s="197">
        <f t="shared" si="21"/>
        <v>5.1051012558021434</v>
      </c>
      <c r="M70" s="197">
        <f t="shared" si="21"/>
        <v>5.2061923697784227</v>
      </c>
      <c r="N70" s="197">
        <f t="shared" si="21"/>
        <v>5.3097981880824729</v>
      </c>
      <c r="O70" s="197">
        <f t="shared" si="21"/>
        <v>5.4154658137159544</v>
      </c>
    </row>
    <row r="71" spans="1:16" s="2" customFormat="1" ht="15" customHeight="1" outlineLevel="1">
      <c r="A71" s="17"/>
      <c r="C71" s="18" t="s">
        <v>29</v>
      </c>
      <c r="E71" s="28"/>
      <c r="F71" s="29"/>
      <c r="G71" s="19"/>
      <c r="H71" s="192">
        <f>SUM(H68:H70)</f>
        <v>43.357061673745292</v>
      </c>
      <c r="I71" s="192">
        <f t="shared" ref="I71:O71" si="22">SUM(I68:I70)</f>
        <v>43.454284121909012</v>
      </c>
      <c r="J71" s="192">
        <f t="shared" si="22"/>
        <v>43.553980266309033</v>
      </c>
      <c r="K71" s="192">
        <f t="shared" si="22"/>
        <v>44.194479976107687</v>
      </c>
      <c r="L71" s="192">
        <f t="shared" si="22"/>
        <v>45.069618193456364</v>
      </c>
      <c r="M71" s="192">
        <f t="shared" si="22"/>
        <v>45.962085880455483</v>
      </c>
      <c r="N71" s="192">
        <f t="shared" si="22"/>
        <v>46.876754256185961</v>
      </c>
      <c r="O71" s="192">
        <f t="shared" si="22"/>
        <v>47.809624987652342</v>
      </c>
    </row>
    <row r="72" spans="1:16" s="2" customFormat="1" ht="15" customHeight="1" outlineLevel="1">
      <c r="A72" s="17"/>
      <c r="B72" s="18"/>
      <c r="C72" s="28"/>
      <c r="E72" s="28"/>
      <c r="F72" s="29"/>
      <c r="G72" s="19"/>
      <c r="H72" s="26"/>
      <c r="I72" s="26"/>
      <c r="J72" s="26"/>
      <c r="K72" s="26"/>
      <c r="L72" s="26"/>
      <c r="M72" s="26"/>
      <c r="N72" s="26"/>
      <c r="O72" s="26"/>
    </row>
    <row r="73" spans="1:16" s="2" customFormat="1" ht="15" customHeight="1" outlineLevel="1">
      <c r="A73" s="17"/>
      <c r="C73" s="18" t="s">
        <v>26</v>
      </c>
      <c r="E73" s="9"/>
      <c r="F73" s="49"/>
      <c r="G73" s="14"/>
      <c r="H73" s="49">
        <v>15630</v>
      </c>
      <c r="I73" s="49">
        <v>15973</v>
      </c>
      <c r="J73" s="49">
        <v>16341</v>
      </c>
      <c r="K73" s="195">
        <f>J73*(1+K$50)</f>
        <v>16912.934999999998</v>
      </c>
      <c r="L73" s="195">
        <f t="shared" ref="L73:O73" si="23">K73*(1+L$50)</f>
        <v>17420.323049999999</v>
      </c>
      <c r="M73" s="195">
        <f t="shared" si="23"/>
        <v>17942.932741500001</v>
      </c>
      <c r="N73" s="195">
        <f t="shared" si="23"/>
        <v>18391.5060600375</v>
      </c>
      <c r="O73" s="195">
        <f t="shared" si="23"/>
        <v>18851.293711538437</v>
      </c>
    </row>
    <row r="74" spans="1:16" s="2" customFormat="1" ht="15" customHeight="1" outlineLevel="1">
      <c r="A74" s="17"/>
      <c r="C74" s="18" t="s">
        <v>25</v>
      </c>
      <c r="E74" s="9"/>
      <c r="F74" s="29"/>
      <c r="G74" s="14"/>
      <c r="H74" s="49">
        <v>3651</v>
      </c>
      <c r="I74" s="49">
        <v>3731</v>
      </c>
      <c r="J74" s="49">
        <v>3817</v>
      </c>
      <c r="K74" s="195">
        <f t="shared" ref="K74:O75" si="24">J74*(1+K$50)</f>
        <v>3950.5949999999998</v>
      </c>
      <c r="L74" s="195">
        <f t="shared" si="24"/>
        <v>4069.11285</v>
      </c>
      <c r="M74" s="195">
        <f t="shared" si="24"/>
        <v>4191.1862355000003</v>
      </c>
      <c r="N74" s="195">
        <f t="shared" si="24"/>
        <v>4295.9658913875001</v>
      </c>
      <c r="O74" s="195">
        <f t="shared" si="24"/>
        <v>4403.3650386721874</v>
      </c>
    </row>
    <row r="75" spans="1:16" s="2" customFormat="1" ht="15" customHeight="1" outlineLevel="1">
      <c r="A75" s="17"/>
      <c r="C75" s="18" t="s">
        <v>24</v>
      </c>
      <c r="E75" s="9"/>
      <c r="F75" s="29"/>
      <c r="G75" s="14"/>
      <c r="H75" s="20">
        <v>2463</v>
      </c>
      <c r="I75" s="20">
        <v>2517</v>
      </c>
      <c r="J75" s="20">
        <v>2575</v>
      </c>
      <c r="K75" s="196">
        <f t="shared" si="24"/>
        <v>2665.125</v>
      </c>
      <c r="L75" s="196">
        <f t="shared" si="24"/>
        <v>2745.0787500000001</v>
      </c>
      <c r="M75" s="196">
        <f t="shared" si="24"/>
        <v>2827.4311125000004</v>
      </c>
      <c r="N75" s="196">
        <f t="shared" si="24"/>
        <v>2898.1168903125003</v>
      </c>
      <c r="O75" s="196">
        <f t="shared" si="24"/>
        <v>2970.5698125703125</v>
      </c>
    </row>
    <row r="76" spans="1:16" s="2" customFormat="1" ht="15" customHeight="1" outlineLevel="1">
      <c r="A76" s="17"/>
      <c r="C76" s="18" t="s">
        <v>29</v>
      </c>
      <c r="E76" s="28"/>
      <c r="F76" s="29"/>
      <c r="G76" s="19"/>
      <c r="H76" s="183">
        <f>SUM(H73:H75)</f>
        <v>21744</v>
      </c>
      <c r="I76" s="183">
        <f t="shared" ref="I76:O76" si="25">SUM(I73:I75)</f>
        <v>22221</v>
      </c>
      <c r="J76" s="183">
        <f t="shared" si="25"/>
        <v>22733</v>
      </c>
      <c r="K76" s="183">
        <f t="shared" si="25"/>
        <v>23528.654999999999</v>
      </c>
      <c r="L76" s="183">
        <f t="shared" si="25"/>
        <v>24234.514650000001</v>
      </c>
      <c r="M76" s="183">
        <f t="shared" si="25"/>
        <v>24961.5500895</v>
      </c>
      <c r="N76" s="183">
        <f t="shared" si="25"/>
        <v>25585.588841737499</v>
      </c>
      <c r="O76" s="183">
        <f t="shared" si="25"/>
        <v>26225.22856278094</v>
      </c>
    </row>
    <row r="77" spans="1:16" s="2" customFormat="1" ht="15" customHeight="1" outlineLevel="1">
      <c r="A77" s="17"/>
      <c r="B77" s="18"/>
      <c r="D77" s="28"/>
      <c r="E77" s="28"/>
      <c r="F77" s="29"/>
      <c r="G77" s="19"/>
      <c r="H77" s="26"/>
      <c r="I77" s="169"/>
      <c r="J77" s="169"/>
      <c r="K77" s="26"/>
      <c r="L77" s="26"/>
      <c r="M77" s="26"/>
      <c r="N77" s="26"/>
      <c r="O77" s="26"/>
    </row>
    <row r="78" spans="1:16" s="2" customFormat="1" ht="15" customHeight="1" outlineLevel="1">
      <c r="A78" s="17"/>
      <c r="B78" s="18"/>
      <c r="C78" s="46"/>
      <c r="D78" s="47"/>
      <c r="E78" s="47"/>
      <c r="F78" s="44"/>
      <c r="G78" s="37"/>
      <c r="H78" s="31"/>
      <c r="I78" s="170"/>
      <c r="J78" s="170"/>
      <c r="K78" s="31"/>
      <c r="L78" s="31"/>
      <c r="M78" s="31"/>
      <c r="N78" s="31"/>
      <c r="O78" s="31"/>
    </row>
    <row r="79" spans="1:16" s="2" customFormat="1" ht="15" customHeight="1" outlineLevel="1">
      <c r="A79" s="17"/>
      <c r="B79" s="18"/>
      <c r="D79" s="28"/>
      <c r="E79" s="28"/>
      <c r="F79" s="29"/>
      <c r="G79" s="19"/>
      <c r="H79" s="26"/>
      <c r="I79" s="168"/>
      <c r="J79" s="168"/>
      <c r="K79" s="26"/>
      <c r="L79" s="26"/>
      <c r="M79" s="26"/>
      <c r="N79" s="26"/>
      <c r="O79" s="26"/>
    </row>
    <row r="80" spans="1:16" s="2" customFormat="1" ht="15" customHeight="1" outlineLevel="1">
      <c r="A80" s="17"/>
      <c r="B80" s="21" t="s">
        <v>96</v>
      </c>
      <c r="D80" s="28"/>
      <c r="E80" s="28"/>
      <c r="F80" s="29"/>
      <c r="G80" s="19"/>
      <c r="H80" s="26"/>
      <c r="I80" s="26"/>
      <c r="J80" s="26"/>
      <c r="K80" s="26"/>
    </row>
    <row r="81" spans="1:16" s="2" customFormat="1" ht="15" customHeight="1" outlineLevel="1">
      <c r="A81" s="17"/>
      <c r="B81" s="21"/>
      <c r="D81" s="28"/>
      <c r="E81" s="28"/>
      <c r="F81" s="29"/>
      <c r="G81" s="19"/>
      <c r="H81" s="26"/>
      <c r="I81" s="26"/>
      <c r="J81" s="26"/>
      <c r="K81" s="26"/>
      <c r="L81" s="26"/>
      <c r="M81" s="26"/>
      <c r="N81" s="26"/>
      <c r="O81" s="26"/>
    </row>
    <row r="82" spans="1:16" s="2" customFormat="1" ht="15" customHeight="1" outlineLevel="1">
      <c r="A82" s="17"/>
      <c r="B82" s="21"/>
      <c r="C82" s="18" t="s">
        <v>21</v>
      </c>
      <c r="E82" s="28"/>
      <c r="F82" s="29" t="s">
        <v>16</v>
      </c>
      <c r="G82" s="19"/>
      <c r="H82" s="192">
        <f>H57</f>
        <v>11.870000000000001</v>
      </c>
      <c r="I82" s="192">
        <f t="shared" ref="I82:O82" si="26">I57</f>
        <v>12.14</v>
      </c>
      <c r="J82" s="192">
        <f t="shared" si="26"/>
        <v>12.39</v>
      </c>
      <c r="K82" s="192">
        <f t="shared" si="26"/>
        <v>12.823650000000001</v>
      </c>
      <c r="L82" s="192">
        <f t="shared" si="26"/>
        <v>13.2083595</v>
      </c>
      <c r="M82" s="192">
        <f t="shared" si="26"/>
        <v>13.604610285000001</v>
      </c>
      <c r="N82" s="192">
        <f t="shared" si="26"/>
        <v>13.944725542124999</v>
      </c>
      <c r="O82" s="192">
        <f t="shared" si="26"/>
        <v>14.293343680678124</v>
      </c>
    </row>
    <row r="83" spans="1:16" s="2" customFormat="1" ht="15" customHeight="1" outlineLevel="1">
      <c r="A83" s="17"/>
      <c r="B83" s="21"/>
      <c r="C83" s="18" t="s">
        <v>23</v>
      </c>
      <c r="E83" s="28"/>
      <c r="F83" s="29" t="s">
        <v>16</v>
      </c>
      <c r="G83" s="19"/>
      <c r="H83" s="197">
        <f>H71</f>
        <v>43.357061673745292</v>
      </c>
      <c r="I83" s="197">
        <f t="shared" ref="I83:O83" si="27">I71</f>
        <v>43.454284121909012</v>
      </c>
      <c r="J83" s="197">
        <f t="shared" si="27"/>
        <v>43.553980266309033</v>
      </c>
      <c r="K83" s="197">
        <f t="shared" si="27"/>
        <v>44.194479976107687</v>
      </c>
      <c r="L83" s="197">
        <f t="shared" si="27"/>
        <v>45.069618193456364</v>
      </c>
      <c r="M83" s="197">
        <f t="shared" si="27"/>
        <v>45.962085880455483</v>
      </c>
      <c r="N83" s="197">
        <f t="shared" si="27"/>
        <v>46.876754256185961</v>
      </c>
      <c r="O83" s="197">
        <f t="shared" si="27"/>
        <v>47.809624987652342</v>
      </c>
    </row>
    <row r="84" spans="1:16" s="2" customFormat="1" ht="15" customHeight="1" outlineLevel="1">
      <c r="A84" s="17"/>
      <c r="B84" s="21"/>
      <c r="C84" s="18" t="s">
        <v>30</v>
      </c>
      <c r="E84" s="28"/>
      <c r="F84" s="29" t="s">
        <v>16</v>
      </c>
      <c r="G84" s="19"/>
      <c r="H84" s="192">
        <f>SUM(H82:H83)</f>
        <v>55.227061673745297</v>
      </c>
      <c r="I84" s="192">
        <f t="shared" ref="I84:O84" si="28">SUM(I82:I83)</f>
        <v>55.594284121909013</v>
      </c>
      <c r="J84" s="192">
        <f t="shared" si="28"/>
        <v>55.943980266309033</v>
      </c>
      <c r="K84" s="192">
        <f t="shared" si="28"/>
        <v>57.018129976107687</v>
      </c>
      <c r="L84" s="192">
        <f t="shared" si="28"/>
        <v>58.277977693456364</v>
      </c>
      <c r="M84" s="192">
        <f t="shared" si="28"/>
        <v>59.566696165455483</v>
      </c>
      <c r="N84" s="192">
        <f t="shared" si="28"/>
        <v>60.821479798310961</v>
      </c>
      <c r="O84" s="192">
        <f t="shared" si="28"/>
        <v>62.102968668330462</v>
      </c>
    </row>
    <row r="85" spans="1:16" s="2" customFormat="1" ht="15" customHeight="1" outlineLevel="1">
      <c r="A85" s="17"/>
      <c r="B85" s="21"/>
      <c r="C85" s="18"/>
      <c r="E85" s="28"/>
      <c r="F85" s="29"/>
      <c r="G85" s="19"/>
      <c r="H85" s="42"/>
      <c r="I85" s="42"/>
      <c r="J85" s="42"/>
      <c r="K85" s="42"/>
      <c r="L85" s="42"/>
      <c r="M85" s="42"/>
      <c r="N85" s="42"/>
      <c r="O85" s="42"/>
    </row>
    <row r="86" spans="1:16" s="2" customFormat="1" ht="15" customHeight="1" outlineLevel="1">
      <c r="A86" s="17"/>
      <c r="B86" s="21"/>
      <c r="C86" s="18" t="s">
        <v>21</v>
      </c>
      <c r="E86" s="28"/>
      <c r="F86" s="29"/>
      <c r="G86" s="19"/>
      <c r="H86" s="183">
        <f>H62</f>
        <v>5952.9237000000003</v>
      </c>
      <c r="I86" s="183">
        <f t="shared" ref="I86:O86" si="29">I62</f>
        <v>6207.9711000000007</v>
      </c>
      <c r="J86" s="183">
        <f t="shared" si="29"/>
        <v>6466.9605000000001</v>
      </c>
      <c r="K86" s="183">
        <f t="shared" si="29"/>
        <v>6827.1701998500002</v>
      </c>
      <c r="L86" s="183">
        <f t="shared" si="29"/>
        <v>7102.3051589039551</v>
      </c>
      <c r="M86" s="183">
        <f t="shared" si="29"/>
        <v>7388.5280568077869</v>
      </c>
      <c r="N86" s="183">
        <f t="shared" si="29"/>
        <v>7611.1074645191193</v>
      </c>
      <c r="O86" s="183">
        <f t="shared" si="29"/>
        <v>7840.392076887757</v>
      </c>
    </row>
    <row r="87" spans="1:16" s="2" customFormat="1" ht="15" customHeight="1" outlineLevel="1">
      <c r="A87" s="17"/>
      <c r="B87" s="21"/>
      <c r="C87" s="18" t="s">
        <v>23</v>
      </c>
      <c r="E87" s="28"/>
      <c r="F87" s="29"/>
      <c r="G87" s="19"/>
      <c r="H87" s="183">
        <f>H76</f>
        <v>21744</v>
      </c>
      <c r="I87" s="183">
        <f t="shared" ref="I87:O87" si="30">I76</f>
        <v>22221</v>
      </c>
      <c r="J87" s="183">
        <f t="shared" si="30"/>
        <v>22733</v>
      </c>
      <c r="K87" s="183">
        <f t="shared" si="30"/>
        <v>23528.654999999999</v>
      </c>
      <c r="L87" s="183">
        <f t="shared" si="30"/>
        <v>24234.514650000001</v>
      </c>
      <c r="M87" s="183">
        <f t="shared" si="30"/>
        <v>24961.5500895</v>
      </c>
      <c r="N87" s="183">
        <f t="shared" si="30"/>
        <v>25585.588841737499</v>
      </c>
      <c r="O87" s="183">
        <f t="shared" si="30"/>
        <v>26225.22856278094</v>
      </c>
    </row>
    <row r="88" spans="1:16" s="2" customFormat="1" ht="15" customHeight="1" outlineLevel="1" thickBot="1">
      <c r="A88" s="17"/>
      <c r="B88" s="21"/>
      <c r="C88" s="18" t="s">
        <v>30</v>
      </c>
      <c r="E88" s="28"/>
      <c r="F88" s="29"/>
      <c r="G88" s="19"/>
      <c r="H88" s="198">
        <f>SUM(H86:H87)</f>
        <v>27696.923699999999</v>
      </c>
      <c r="I88" s="198">
        <f t="shared" ref="I88:O88" si="31">SUM(I86:I87)</f>
        <v>28428.971100000002</v>
      </c>
      <c r="J88" s="198">
        <f t="shared" si="31"/>
        <v>29199.960500000001</v>
      </c>
      <c r="K88" s="198">
        <f t="shared" si="31"/>
        <v>30355.825199849998</v>
      </c>
      <c r="L88" s="198">
        <f t="shared" si="31"/>
        <v>31336.819808903958</v>
      </c>
      <c r="M88" s="198">
        <f t="shared" si="31"/>
        <v>32350.078146307787</v>
      </c>
      <c r="N88" s="198">
        <f t="shared" si="31"/>
        <v>33196.696306256621</v>
      </c>
      <c r="O88" s="198">
        <f t="shared" si="31"/>
        <v>34065.620639668698</v>
      </c>
    </row>
    <row r="89" spans="1:16" s="2" customFormat="1" ht="15" customHeight="1" outlineLevel="1">
      <c r="A89" s="17"/>
      <c r="B89" s="21"/>
      <c r="D89" s="28"/>
      <c r="E89" s="28"/>
      <c r="F89" s="29"/>
      <c r="G89" s="19"/>
      <c r="H89" s="26"/>
      <c r="I89" s="26"/>
      <c r="J89" s="26"/>
      <c r="K89" s="26"/>
      <c r="L89" s="26"/>
      <c r="M89" s="26"/>
      <c r="N89" s="26"/>
      <c r="O89" s="26"/>
    </row>
    <row r="90" spans="1:16" s="2" customFormat="1" ht="15" customHeight="1" outlineLevel="1">
      <c r="A90" s="17"/>
      <c r="B90" s="43"/>
      <c r="C90" s="43"/>
      <c r="D90" s="39"/>
      <c r="E90" s="39"/>
      <c r="F90" s="44"/>
      <c r="G90" s="40"/>
      <c r="H90" s="20"/>
      <c r="I90" s="20"/>
      <c r="J90" s="171"/>
      <c r="K90" s="171"/>
      <c r="L90" s="171"/>
      <c r="M90" s="171"/>
      <c r="N90" s="171"/>
      <c r="O90" s="171"/>
      <c r="P90" s="51"/>
    </row>
    <row r="91" spans="1:16" s="2" customFormat="1" ht="15" customHeight="1">
      <c r="A91" s="17"/>
      <c r="B91" s="18"/>
      <c r="C91" s="18"/>
      <c r="D91" s="9"/>
      <c r="E91" s="9"/>
      <c r="F91" s="29"/>
      <c r="G91" s="14"/>
      <c r="H91" s="49"/>
      <c r="I91" s="49"/>
      <c r="J91" s="49"/>
      <c r="K91" s="50"/>
      <c r="L91" s="50"/>
      <c r="M91" s="50"/>
      <c r="N91" s="50"/>
      <c r="O91" s="50"/>
      <c r="P91" s="51"/>
    </row>
    <row r="92" spans="1:16" s="16" customFormat="1" ht="15" customHeight="1">
      <c r="A92" s="17" t="s">
        <v>109</v>
      </c>
      <c r="B92" s="120" t="s">
        <v>35</v>
      </c>
      <c r="C92" s="120"/>
      <c r="D92" s="121"/>
      <c r="E92" s="121"/>
      <c r="F92" s="122"/>
      <c r="G92" s="122"/>
      <c r="H92" s="123"/>
      <c r="I92" s="124"/>
      <c r="J92" s="124"/>
      <c r="K92" s="124"/>
      <c r="L92" s="124"/>
      <c r="M92" s="124"/>
      <c r="N92" s="124"/>
      <c r="O92" s="124"/>
    </row>
    <row r="93" spans="1:16" s="16" customFormat="1" ht="15" customHeight="1" outlineLevel="1">
      <c r="A93" s="7"/>
      <c r="B93" s="8"/>
      <c r="C93" s="8"/>
      <c r="D93" s="9"/>
      <c r="E93" s="9"/>
      <c r="F93" s="10"/>
      <c r="G93" s="10"/>
      <c r="H93" s="11"/>
      <c r="I93" s="12"/>
      <c r="J93" s="12"/>
      <c r="K93" s="12"/>
      <c r="L93" s="12"/>
      <c r="M93" s="12"/>
      <c r="N93" s="12"/>
      <c r="O93" s="12"/>
    </row>
    <row r="94" spans="1:16" s="16" customFormat="1" ht="15" customHeight="1" outlineLevel="1" thickBot="1">
      <c r="A94" s="7"/>
      <c r="B94" s="13" t="s">
        <v>19</v>
      </c>
      <c r="C94" s="13"/>
      <c r="D94" s="9"/>
      <c r="E94" s="9"/>
      <c r="F94" s="14"/>
      <c r="G94" s="14"/>
      <c r="H94" s="134">
        <v>2019</v>
      </c>
      <c r="I94" s="129">
        <f t="shared" ref="I94:O94" si="32">H94+1</f>
        <v>2020</v>
      </c>
      <c r="J94" s="129">
        <f t="shared" si="32"/>
        <v>2021</v>
      </c>
      <c r="K94" s="15">
        <f t="shared" si="32"/>
        <v>2022</v>
      </c>
      <c r="L94" s="15">
        <f t="shared" si="32"/>
        <v>2023</v>
      </c>
      <c r="M94" s="15">
        <f t="shared" si="32"/>
        <v>2024</v>
      </c>
      <c r="N94" s="15">
        <f t="shared" si="32"/>
        <v>2025</v>
      </c>
      <c r="O94" s="15">
        <f t="shared" si="32"/>
        <v>2026</v>
      </c>
    </row>
    <row r="95" spans="1:16" s="16" customFormat="1" ht="15" customHeight="1" outlineLevel="1">
      <c r="A95" s="7"/>
      <c r="B95" s="13"/>
      <c r="C95" s="13"/>
      <c r="D95" s="9"/>
      <c r="E95" s="9"/>
      <c r="F95" s="14"/>
      <c r="G95" s="14"/>
      <c r="H95" s="14"/>
      <c r="I95" s="14"/>
      <c r="J95" s="14"/>
    </row>
    <row r="96" spans="1:16" ht="15" customHeight="1" outlineLevel="1">
      <c r="A96" s="17"/>
      <c r="B96" s="18" t="s">
        <v>27</v>
      </c>
      <c r="C96" s="13"/>
      <c r="D96" s="9"/>
      <c r="E96" s="9"/>
      <c r="F96" s="14"/>
      <c r="G96" s="14"/>
      <c r="H96" s="150">
        <v>2.4E-2</v>
      </c>
      <c r="I96" s="149">
        <v>2.1999999999999999E-2</v>
      </c>
      <c r="J96" s="149">
        <v>2.3E-2</v>
      </c>
      <c r="K96" s="149">
        <v>3.5000000000000003E-2</v>
      </c>
      <c r="L96" s="149">
        <v>0.03</v>
      </c>
      <c r="M96" s="149">
        <v>0.03</v>
      </c>
      <c r="N96" s="149">
        <v>2.5000000000000001E-2</v>
      </c>
      <c r="O96" s="186">
        <v>2.5000000000000001E-2</v>
      </c>
    </row>
    <row r="97" spans="1:15" ht="15" customHeight="1" outlineLevel="1">
      <c r="A97" s="17"/>
      <c r="B97" s="18"/>
      <c r="C97" s="13"/>
      <c r="D97" s="9"/>
      <c r="E97" s="9"/>
      <c r="F97" s="14"/>
      <c r="G97" s="14"/>
      <c r="H97" s="137"/>
      <c r="I97" s="137"/>
      <c r="J97" s="137"/>
      <c r="K97" s="137"/>
      <c r="L97" s="137"/>
      <c r="M97" s="137"/>
      <c r="N97" s="137"/>
      <c r="O97" s="137"/>
    </row>
    <row r="98" spans="1:15" s="16" customFormat="1" ht="15" customHeight="1" outlineLevel="1">
      <c r="A98" s="7"/>
      <c r="B98" s="13"/>
      <c r="C98" s="13"/>
      <c r="D98" s="9"/>
      <c r="E98" s="9"/>
      <c r="F98" s="14"/>
      <c r="G98" s="14"/>
      <c r="H98" s="14"/>
      <c r="I98" s="14"/>
      <c r="J98" s="14"/>
    </row>
    <row r="99" spans="1:15" s="2" customFormat="1" ht="15" customHeight="1" outlineLevel="1">
      <c r="A99" s="17"/>
      <c r="B99" s="18" t="s">
        <v>0</v>
      </c>
      <c r="C99" s="18"/>
      <c r="D99" s="19"/>
      <c r="E99" s="19"/>
      <c r="F99" s="14"/>
      <c r="G99" s="19"/>
      <c r="H99" s="141">
        <v>51585.318599999999</v>
      </c>
      <c r="I99" s="141">
        <v>53493.892650000002</v>
      </c>
      <c r="J99" s="141">
        <v>55749.479500000001</v>
      </c>
      <c r="K99" s="141">
        <v>58570.403162700008</v>
      </c>
      <c r="L99" s="141">
        <v>59747.668266270273</v>
      </c>
      <c r="M99" s="141">
        <v>60948.59639842232</v>
      </c>
      <c r="N99" s="141">
        <v>61865.872774218558</v>
      </c>
      <c r="O99" s="141">
        <v>62486.078148780085</v>
      </c>
    </row>
    <row r="100" spans="1:15" s="2" customFormat="1" ht="15" customHeight="1" outlineLevel="1">
      <c r="A100" s="17"/>
      <c r="B100" s="18" t="s">
        <v>91</v>
      </c>
      <c r="C100" s="18"/>
      <c r="D100" s="19"/>
      <c r="E100" s="19"/>
      <c r="F100" s="19"/>
      <c r="G100" s="19"/>
      <c r="H100" s="142">
        <v>27696.923699999999</v>
      </c>
      <c r="I100" s="142">
        <v>28428.971099999999</v>
      </c>
      <c r="J100" s="142">
        <v>29199.960500000001</v>
      </c>
      <c r="K100" s="142">
        <v>30355.825199849998</v>
      </c>
      <c r="L100" s="142">
        <v>31336.819808903958</v>
      </c>
      <c r="M100" s="142">
        <v>32350.078146307787</v>
      </c>
      <c r="N100" s="142">
        <v>33196.696306256621</v>
      </c>
      <c r="O100" s="142">
        <v>34065.620639668698</v>
      </c>
    </row>
    <row r="101" spans="1:15" s="2" customFormat="1" ht="15" customHeight="1" outlineLevel="1">
      <c r="A101" s="17"/>
      <c r="B101" s="21" t="s">
        <v>36</v>
      </c>
      <c r="C101" s="21"/>
      <c r="D101" s="22"/>
      <c r="E101" s="22"/>
      <c r="F101" s="19"/>
      <c r="G101" s="19"/>
      <c r="H101" s="201">
        <f>H99-H100</f>
        <v>23888.394899999999</v>
      </c>
      <c r="I101" s="201">
        <f t="shared" ref="I101:O101" si="33">I99-I100</f>
        <v>25064.921550000003</v>
      </c>
      <c r="J101" s="201">
        <f t="shared" si="33"/>
        <v>26549.519</v>
      </c>
      <c r="K101" s="201">
        <f t="shared" si="33"/>
        <v>28214.577962850009</v>
      </c>
      <c r="L101" s="201">
        <f t="shared" si="33"/>
        <v>28410.848457366315</v>
      </c>
      <c r="M101" s="201">
        <f t="shared" si="33"/>
        <v>28598.518252114533</v>
      </c>
      <c r="N101" s="201">
        <f t="shared" si="33"/>
        <v>28669.176467961937</v>
      </c>
      <c r="O101" s="201">
        <f t="shared" si="33"/>
        <v>28420.457509111387</v>
      </c>
    </row>
    <row r="102" spans="1:15" s="2" customFormat="1" ht="15" customHeight="1" outlineLevel="1">
      <c r="A102" s="17"/>
      <c r="B102" s="21"/>
      <c r="C102" s="21"/>
      <c r="D102" s="22"/>
      <c r="E102" s="22"/>
      <c r="F102" s="19"/>
      <c r="G102" s="19"/>
      <c r="H102" s="163"/>
      <c r="I102" s="163"/>
      <c r="J102" s="163"/>
      <c r="K102" s="140"/>
      <c r="L102" s="140"/>
      <c r="M102" s="140"/>
      <c r="N102" s="140"/>
      <c r="O102" s="140"/>
    </row>
    <row r="103" spans="1:15" s="2" customFormat="1" ht="15" customHeight="1" outlineLevel="1">
      <c r="A103" s="17"/>
      <c r="B103" s="18"/>
      <c r="C103" s="18"/>
      <c r="D103" s="19"/>
      <c r="E103" s="19"/>
      <c r="F103" s="19"/>
      <c r="G103" s="19"/>
      <c r="H103" s="156"/>
      <c r="I103" s="156"/>
      <c r="J103" s="156"/>
      <c r="K103" s="157"/>
      <c r="L103" s="157"/>
      <c r="M103" s="157"/>
      <c r="N103" s="157"/>
      <c r="O103" s="158"/>
    </row>
    <row r="104" spans="1:15" s="2" customFormat="1" ht="15" customHeight="1" outlineLevel="1">
      <c r="A104" s="17"/>
      <c r="B104" s="18" t="s">
        <v>87</v>
      </c>
      <c r="C104" s="18"/>
      <c r="D104" s="19"/>
      <c r="E104" s="19"/>
      <c r="F104" s="141"/>
      <c r="G104" s="19"/>
      <c r="H104" s="141">
        <v>5877</v>
      </c>
      <c r="I104" s="141">
        <v>6006</v>
      </c>
      <c r="J104" s="141">
        <v>6144</v>
      </c>
      <c r="K104" s="199">
        <f>J104*(1+K$96)</f>
        <v>6359.0399999999991</v>
      </c>
      <c r="L104" s="199">
        <f t="shared" ref="L104:O104" si="34">K104*(1+L$96)</f>
        <v>6549.8111999999992</v>
      </c>
      <c r="M104" s="199">
        <f t="shared" si="34"/>
        <v>6746.3055359999989</v>
      </c>
      <c r="N104" s="199">
        <f t="shared" si="34"/>
        <v>6914.963174399998</v>
      </c>
      <c r="O104" s="199">
        <f t="shared" si="34"/>
        <v>7087.8372537599971</v>
      </c>
    </row>
    <row r="105" spans="1:15" s="2" customFormat="1" ht="15" customHeight="1" outlineLevel="1">
      <c r="A105" s="17"/>
      <c r="B105" s="18" t="s">
        <v>44</v>
      </c>
      <c r="C105" s="18"/>
      <c r="D105" s="19"/>
      <c r="E105" s="19"/>
      <c r="F105" s="19"/>
      <c r="G105" s="19"/>
      <c r="H105" s="142">
        <v>1764</v>
      </c>
      <c r="I105" s="142">
        <v>1931</v>
      </c>
      <c r="J105" s="142">
        <v>2026</v>
      </c>
      <c r="K105" s="200">
        <f>J105*(1+K$96)</f>
        <v>2096.91</v>
      </c>
      <c r="L105" s="200">
        <f t="shared" ref="L105:O105" si="35">K105*(1+L$96)</f>
        <v>2159.8172999999997</v>
      </c>
      <c r="M105" s="200">
        <f t="shared" si="35"/>
        <v>2224.6118189999997</v>
      </c>
      <c r="N105" s="200">
        <f t="shared" si="35"/>
        <v>2280.2271144749993</v>
      </c>
      <c r="O105" s="200">
        <f t="shared" si="35"/>
        <v>2337.2327923368739</v>
      </c>
    </row>
    <row r="106" spans="1:15" s="2" customFormat="1" ht="15" customHeight="1" outlineLevel="1">
      <c r="A106" s="17"/>
      <c r="B106" s="21" t="s">
        <v>37</v>
      </c>
      <c r="C106" s="21"/>
      <c r="D106" s="22"/>
      <c r="E106" s="22"/>
      <c r="F106" s="19"/>
      <c r="G106" s="19"/>
      <c r="H106" s="201">
        <f>H101-H104-H105</f>
        <v>16247.394899999999</v>
      </c>
      <c r="I106" s="201">
        <f t="shared" ref="I106:O106" si="36">I101-I104-I105</f>
        <v>17127.921550000003</v>
      </c>
      <c r="J106" s="201">
        <f t="shared" si="36"/>
        <v>18379.519</v>
      </c>
      <c r="K106" s="201">
        <f t="shared" si="36"/>
        <v>19758.627962850009</v>
      </c>
      <c r="L106" s="201">
        <f t="shared" si="36"/>
        <v>19701.219957366317</v>
      </c>
      <c r="M106" s="201">
        <f t="shared" si="36"/>
        <v>19627.600897114535</v>
      </c>
      <c r="N106" s="201">
        <f t="shared" si="36"/>
        <v>19473.98617908694</v>
      </c>
      <c r="O106" s="201">
        <f t="shared" si="36"/>
        <v>18995.387463014515</v>
      </c>
    </row>
    <row r="107" spans="1:15" s="2" customFormat="1" ht="15" customHeight="1" outlineLevel="1">
      <c r="A107" s="17"/>
      <c r="B107" s="21"/>
      <c r="C107" s="21"/>
      <c r="D107" s="22"/>
      <c r="E107" s="22"/>
      <c r="F107" s="19"/>
      <c r="G107" s="19"/>
      <c r="H107" s="163"/>
      <c r="I107" s="163"/>
      <c r="J107" s="163"/>
      <c r="K107" s="140"/>
      <c r="L107" s="140"/>
      <c r="M107" s="140"/>
      <c r="N107" s="140"/>
      <c r="O107" s="140"/>
    </row>
    <row r="108" spans="1:15" s="2" customFormat="1" ht="15" customHeight="1" outlineLevel="1">
      <c r="A108" s="17"/>
      <c r="B108" s="18"/>
      <c r="C108" s="18"/>
      <c r="D108" s="19"/>
      <c r="E108" s="19"/>
      <c r="F108" s="19"/>
      <c r="G108" s="19"/>
      <c r="H108" s="140"/>
      <c r="I108" s="140"/>
      <c r="J108" s="140"/>
      <c r="K108" s="140"/>
      <c r="L108" s="140"/>
      <c r="M108" s="140"/>
      <c r="N108" s="140"/>
      <c r="O108" s="140"/>
    </row>
    <row r="109" spans="1:15" s="2" customFormat="1" ht="15" customHeight="1" outlineLevel="1">
      <c r="A109" s="17"/>
      <c r="B109" s="18" t="s">
        <v>38</v>
      </c>
      <c r="C109" s="18"/>
      <c r="D109" s="19"/>
      <c r="E109" s="19"/>
      <c r="F109" s="19"/>
      <c r="G109" s="19"/>
      <c r="H109" s="142">
        <v>2960</v>
      </c>
      <c r="I109" s="142">
        <v>3196</v>
      </c>
      <c r="J109" s="142">
        <v>3452</v>
      </c>
      <c r="K109" s="142">
        <v>4177.125</v>
      </c>
      <c r="L109" s="142">
        <v>4408.375</v>
      </c>
      <c r="M109" s="142">
        <v>4647.125</v>
      </c>
      <c r="N109" s="142">
        <v>4893.375</v>
      </c>
      <c r="O109" s="142">
        <v>5146.5</v>
      </c>
    </row>
    <row r="110" spans="1:15" s="2" customFormat="1" ht="15" customHeight="1" outlineLevel="1">
      <c r="A110" s="17"/>
      <c r="B110" s="21" t="s">
        <v>39</v>
      </c>
      <c r="C110" s="21"/>
      <c r="D110" s="22"/>
      <c r="E110" s="22"/>
      <c r="F110" s="19"/>
      <c r="G110" s="19"/>
      <c r="H110" s="201">
        <f>H106-H109</f>
        <v>13287.394899999999</v>
      </c>
      <c r="I110" s="201">
        <f t="shared" ref="I110:O110" si="37">I106-I109</f>
        <v>13931.921550000003</v>
      </c>
      <c r="J110" s="201">
        <f t="shared" si="37"/>
        <v>14927.519</v>
      </c>
      <c r="K110" s="201">
        <f t="shared" si="37"/>
        <v>15581.502962850009</v>
      </c>
      <c r="L110" s="201">
        <f t="shared" si="37"/>
        <v>15292.844957366317</v>
      </c>
      <c r="M110" s="201">
        <f t="shared" si="37"/>
        <v>14980.475897114535</v>
      </c>
      <c r="N110" s="201">
        <f t="shared" si="37"/>
        <v>14580.61117908694</v>
      </c>
      <c r="O110" s="201">
        <f t="shared" si="37"/>
        <v>13848.887463014515</v>
      </c>
    </row>
    <row r="111" spans="1:15" s="2" customFormat="1" ht="15" customHeight="1" outlineLevel="1">
      <c r="A111" s="17"/>
      <c r="B111" s="21"/>
      <c r="C111" s="21"/>
      <c r="D111" s="22"/>
      <c r="E111" s="22"/>
      <c r="F111" s="19"/>
      <c r="G111" s="19"/>
      <c r="H111" s="140"/>
      <c r="I111" s="140"/>
      <c r="J111" s="140"/>
      <c r="K111" s="140"/>
      <c r="L111" s="140"/>
      <c r="M111" s="140"/>
      <c r="N111" s="140"/>
      <c r="O111" s="140"/>
    </row>
    <row r="112" spans="1:15" s="2" customFormat="1" ht="15" customHeight="1" outlineLevel="1">
      <c r="A112" s="17"/>
      <c r="B112" s="18" t="s">
        <v>45</v>
      </c>
      <c r="C112" s="18"/>
      <c r="D112" s="19"/>
      <c r="E112" s="19"/>
      <c r="F112" s="19"/>
      <c r="G112" s="19"/>
      <c r="H112" s="142">
        <v>1488</v>
      </c>
      <c r="I112" s="142">
        <v>2580</v>
      </c>
      <c r="J112" s="142">
        <v>2448</v>
      </c>
      <c r="K112" s="142">
        <v>2520</v>
      </c>
      <c r="L112" s="142">
        <v>2520</v>
      </c>
      <c r="M112" s="142">
        <v>2520</v>
      </c>
      <c r="N112" s="142">
        <v>2520</v>
      </c>
      <c r="O112" s="142">
        <v>2520</v>
      </c>
    </row>
    <row r="113" spans="1:16" s="2" customFormat="1" ht="15" customHeight="1" outlineLevel="1">
      <c r="A113" s="17"/>
      <c r="B113" s="21" t="s">
        <v>31</v>
      </c>
      <c r="C113" s="21"/>
      <c r="D113" s="22"/>
      <c r="E113" s="22"/>
      <c r="F113" s="19"/>
      <c r="G113" s="19"/>
      <c r="H113" s="201">
        <f>H110-H112</f>
        <v>11799.394899999999</v>
      </c>
      <c r="I113" s="201">
        <f t="shared" ref="I113:O113" si="38">I110-I112</f>
        <v>11351.921550000003</v>
      </c>
      <c r="J113" s="201">
        <f t="shared" si="38"/>
        <v>12479.519</v>
      </c>
      <c r="K113" s="201">
        <f t="shared" si="38"/>
        <v>13061.502962850009</v>
      </c>
      <c r="L113" s="201">
        <f t="shared" si="38"/>
        <v>12772.844957366317</v>
      </c>
      <c r="M113" s="201">
        <f t="shared" si="38"/>
        <v>12460.475897114535</v>
      </c>
      <c r="N113" s="201">
        <f t="shared" si="38"/>
        <v>12060.61117908694</v>
      </c>
      <c r="O113" s="201">
        <f t="shared" si="38"/>
        <v>11328.887463014515</v>
      </c>
    </row>
    <row r="114" spans="1:16" s="2" customFormat="1" ht="15" customHeight="1" outlineLevel="1">
      <c r="A114" s="17"/>
      <c r="B114" s="21"/>
      <c r="C114" s="21"/>
      <c r="D114" s="22"/>
      <c r="E114" s="22"/>
      <c r="F114" s="19"/>
      <c r="G114" s="19"/>
      <c r="H114" s="140"/>
      <c r="I114" s="140"/>
      <c r="J114" s="140"/>
      <c r="K114" s="140"/>
      <c r="L114" s="140"/>
      <c r="M114" s="140"/>
      <c r="N114" s="140"/>
      <c r="O114" s="140"/>
    </row>
    <row r="115" spans="1:16" s="2" customFormat="1" ht="15" customHeight="1" outlineLevel="1">
      <c r="A115" s="17"/>
      <c r="B115" s="18" t="s">
        <v>40</v>
      </c>
      <c r="C115" s="18"/>
      <c r="D115" s="19"/>
      <c r="E115" s="19"/>
      <c r="F115" s="19"/>
      <c r="G115" s="19"/>
      <c r="H115" s="141">
        <v>0</v>
      </c>
      <c r="I115" s="141">
        <v>0</v>
      </c>
      <c r="J115" s="141">
        <v>0</v>
      </c>
      <c r="K115" s="141">
        <v>0</v>
      </c>
      <c r="L115" s="141">
        <v>0</v>
      </c>
      <c r="M115" s="141">
        <v>2347.8377668327125</v>
      </c>
      <c r="N115" s="141">
        <v>2820.8877103967352</v>
      </c>
      <c r="O115" s="141">
        <v>2724.0356065348788</v>
      </c>
    </row>
    <row r="116" spans="1:16" s="2" customFormat="1" ht="15" customHeight="1" outlineLevel="1">
      <c r="A116" s="17"/>
      <c r="B116" s="18" t="s">
        <v>41</v>
      </c>
      <c r="C116" s="18"/>
      <c r="D116" s="19"/>
      <c r="E116" s="19"/>
      <c r="F116" s="19"/>
      <c r="G116" s="19"/>
      <c r="H116" s="142">
        <v>3155</v>
      </c>
      <c r="I116" s="142">
        <v>2861</v>
      </c>
      <c r="J116" s="142">
        <v>3012</v>
      </c>
      <c r="K116" s="142">
        <v>3265.3757407124999</v>
      </c>
      <c r="L116" s="142">
        <v>3193.2112393415791</v>
      </c>
      <c r="M116" s="142">
        <v>767.28120744592115</v>
      </c>
      <c r="N116" s="142">
        <v>194.26508437499979</v>
      </c>
      <c r="O116" s="142">
        <v>108.18625921874991</v>
      </c>
    </row>
    <row r="117" spans="1:16" s="2" customFormat="1" ht="15" customHeight="1" outlineLevel="1">
      <c r="A117" s="17"/>
      <c r="B117" s="18" t="s">
        <v>42</v>
      </c>
      <c r="C117" s="18"/>
      <c r="D117" s="19"/>
      <c r="E117" s="19"/>
      <c r="F117" s="19"/>
      <c r="G117" s="19"/>
      <c r="H117" s="202">
        <f>SUM(H115:H116)</f>
        <v>3155</v>
      </c>
      <c r="I117" s="202">
        <f t="shared" ref="I117:O117" si="39">SUM(I115:I116)</f>
        <v>2861</v>
      </c>
      <c r="J117" s="202">
        <f t="shared" si="39"/>
        <v>3012</v>
      </c>
      <c r="K117" s="202">
        <f t="shared" si="39"/>
        <v>3265.3757407124999</v>
      </c>
      <c r="L117" s="202">
        <f t="shared" si="39"/>
        <v>3193.2112393415791</v>
      </c>
      <c r="M117" s="202">
        <f t="shared" si="39"/>
        <v>3115.1189742786337</v>
      </c>
      <c r="N117" s="202">
        <f t="shared" si="39"/>
        <v>3015.152794771735</v>
      </c>
      <c r="O117" s="202">
        <f t="shared" si="39"/>
        <v>2832.2218657536287</v>
      </c>
    </row>
    <row r="118" spans="1:16" s="2" customFormat="1" ht="15" customHeight="1" outlineLevel="1">
      <c r="A118" s="17"/>
      <c r="B118" s="18"/>
      <c r="C118" s="18"/>
      <c r="D118" s="19"/>
      <c r="E118" s="19"/>
      <c r="F118" s="19"/>
      <c r="G118" s="19"/>
      <c r="H118" s="143"/>
      <c r="I118" s="143"/>
      <c r="J118" s="143"/>
      <c r="K118" s="144"/>
      <c r="L118" s="144"/>
      <c r="M118" s="144"/>
      <c r="N118" s="144"/>
      <c r="O118" s="119"/>
    </row>
    <row r="119" spans="1:16" s="2" customFormat="1" ht="15" customHeight="1" outlineLevel="1" thickBot="1">
      <c r="A119" s="17"/>
      <c r="B119" s="21" t="s">
        <v>43</v>
      </c>
      <c r="C119" s="21"/>
      <c r="D119" s="22"/>
      <c r="E119" s="22"/>
      <c r="F119" s="19"/>
      <c r="G119" s="19"/>
      <c r="H119" s="203">
        <f>H113-H117</f>
        <v>8644.3948999999993</v>
      </c>
      <c r="I119" s="203">
        <f t="shared" ref="I119:O119" si="40">I113-I117</f>
        <v>8490.9215500000028</v>
      </c>
      <c r="J119" s="203">
        <f t="shared" si="40"/>
        <v>9467.5190000000002</v>
      </c>
      <c r="K119" s="203">
        <f t="shared" si="40"/>
        <v>9796.1272221375093</v>
      </c>
      <c r="L119" s="203">
        <f t="shared" si="40"/>
        <v>9579.6337180247374</v>
      </c>
      <c r="M119" s="203">
        <f t="shared" si="40"/>
        <v>9345.3569228359011</v>
      </c>
      <c r="N119" s="203">
        <f t="shared" si="40"/>
        <v>9045.458384315205</v>
      </c>
      <c r="O119" s="203">
        <f t="shared" si="40"/>
        <v>8496.665597260886</v>
      </c>
    </row>
    <row r="120" spans="1:16" s="2" customFormat="1" ht="15" customHeight="1" outlineLevel="1">
      <c r="A120" s="17"/>
      <c r="B120" s="22"/>
      <c r="C120" s="22"/>
      <c r="D120" s="22"/>
      <c r="E120" s="22"/>
      <c r="F120" s="19"/>
      <c r="G120" s="19"/>
      <c r="H120" s="23"/>
      <c r="I120" s="23"/>
      <c r="J120" s="23"/>
      <c r="K120" s="23"/>
      <c r="L120" s="23"/>
      <c r="M120" s="23"/>
      <c r="N120" s="23"/>
      <c r="O120" s="23"/>
    </row>
    <row r="121" spans="1:16" s="2" customFormat="1" ht="15" customHeight="1" outlineLevel="1">
      <c r="A121" s="17"/>
      <c r="B121" s="52"/>
      <c r="C121" s="52"/>
      <c r="D121" s="52"/>
      <c r="E121" s="52"/>
      <c r="F121" s="37"/>
      <c r="G121" s="37"/>
      <c r="H121" s="53"/>
      <c r="I121" s="53"/>
      <c r="J121" s="53"/>
      <c r="K121" s="53"/>
      <c r="L121" s="53"/>
      <c r="M121" s="53"/>
      <c r="N121" s="53"/>
      <c r="O121" s="53"/>
    </row>
    <row r="122" spans="1:16" s="2" customFormat="1" ht="15" customHeight="1">
      <c r="A122" s="17"/>
      <c r="B122" s="18"/>
      <c r="D122" s="28"/>
      <c r="E122" s="28"/>
      <c r="F122" s="29"/>
      <c r="G122" s="19"/>
      <c r="H122" s="26"/>
      <c r="I122" s="26"/>
      <c r="J122" s="26"/>
      <c r="K122" s="26"/>
      <c r="L122" s="26"/>
      <c r="M122" s="26"/>
      <c r="N122" s="26"/>
      <c r="O122" s="26"/>
      <c r="P122" s="51"/>
    </row>
    <row r="123" spans="1:16" s="16" customFormat="1" ht="15" customHeight="1">
      <c r="A123" s="7" t="s">
        <v>109</v>
      </c>
      <c r="B123" s="120" t="s">
        <v>102</v>
      </c>
      <c r="C123" s="120"/>
      <c r="D123" s="121"/>
      <c r="E123" s="121"/>
      <c r="F123" s="162"/>
      <c r="G123" s="162"/>
      <c r="H123" s="123"/>
      <c r="I123" s="123"/>
      <c r="J123" s="123"/>
      <c r="K123" s="126"/>
      <c r="L123" s="127"/>
      <c r="M123" s="127"/>
      <c r="N123" s="127"/>
      <c r="O123" s="127"/>
      <c r="P123" s="51"/>
    </row>
    <row r="124" spans="1:16" s="16" customFormat="1" ht="15" customHeight="1" outlineLevel="1">
      <c r="A124" s="7"/>
      <c r="B124" s="8"/>
      <c r="C124" s="8"/>
      <c r="D124" s="9"/>
      <c r="E124" s="9"/>
      <c r="F124" s="10"/>
      <c r="G124" s="10"/>
      <c r="H124" s="11"/>
      <c r="I124" s="12"/>
      <c r="J124" s="12"/>
      <c r="K124" s="12"/>
      <c r="L124" s="12"/>
      <c r="M124" s="12"/>
      <c r="N124" s="12"/>
      <c r="O124" s="12"/>
      <c r="P124" s="54"/>
    </row>
    <row r="125" spans="1:16" s="16" customFormat="1" ht="15" customHeight="1" outlineLevel="1" thickBot="1">
      <c r="A125" s="7"/>
      <c r="B125" s="13" t="s">
        <v>19</v>
      </c>
      <c r="C125" s="13"/>
      <c r="D125" s="9"/>
      <c r="E125" s="9"/>
      <c r="F125" s="14"/>
      <c r="G125" s="14"/>
      <c r="H125" s="134">
        <v>2019</v>
      </c>
      <c r="I125" s="129">
        <f t="shared" ref="I125:O125" si="41">H125+1</f>
        <v>2020</v>
      </c>
      <c r="J125" s="129">
        <f t="shared" si="41"/>
        <v>2021</v>
      </c>
      <c r="K125" s="15">
        <f t="shared" si="41"/>
        <v>2022</v>
      </c>
      <c r="L125" s="15">
        <f t="shared" si="41"/>
        <v>2023</v>
      </c>
      <c r="M125" s="15">
        <f t="shared" si="41"/>
        <v>2024</v>
      </c>
      <c r="N125" s="15">
        <f t="shared" si="41"/>
        <v>2025</v>
      </c>
      <c r="O125" s="15">
        <f t="shared" si="41"/>
        <v>2026</v>
      </c>
    </row>
    <row r="126" spans="1:16" s="16" customFormat="1" ht="15" customHeight="1" outlineLevel="1">
      <c r="A126" s="7"/>
      <c r="B126" s="13"/>
      <c r="C126" s="13"/>
      <c r="D126" s="9"/>
      <c r="E126" s="9"/>
      <c r="F126" s="14"/>
      <c r="G126" s="14"/>
      <c r="H126" s="14"/>
      <c r="I126" s="14"/>
      <c r="J126" s="14"/>
      <c r="P126" s="54"/>
    </row>
    <row r="127" spans="1:16" s="16" customFormat="1" ht="15" customHeight="1" outlineLevel="1">
      <c r="A127" s="7"/>
      <c r="B127" s="13"/>
      <c r="C127" s="13"/>
      <c r="D127" s="9"/>
      <c r="E127" s="9"/>
      <c r="F127" s="14"/>
      <c r="G127" s="14"/>
      <c r="H127" s="14"/>
      <c r="I127" s="14"/>
      <c r="J127" s="14"/>
      <c r="P127" s="54"/>
    </row>
    <row r="128" spans="1:16" s="2" customFormat="1" ht="15" customHeight="1" outlineLevel="1">
      <c r="A128" s="17"/>
      <c r="C128" s="18" t="s">
        <v>1</v>
      </c>
      <c r="D128" s="28"/>
      <c r="E128" s="28"/>
      <c r="F128" s="29"/>
      <c r="G128" s="19"/>
      <c r="H128" s="151">
        <v>365</v>
      </c>
      <c r="I128" s="116">
        <v>365</v>
      </c>
      <c r="J128" s="116">
        <v>365</v>
      </c>
      <c r="K128" s="116">
        <v>365</v>
      </c>
      <c r="L128" s="116">
        <v>365</v>
      </c>
      <c r="M128" s="116">
        <v>365</v>
      </c>
      <c r="N128" s="116">
        <v>365</v>
      </c>
      <c r="O128" s="161">
        <v>365</v>
      </c>
      <c r="P128" s="51"/>
    </row>
    <row r="129" spans="1:16" s="2" customFormat="1" ht="15" customHeight="1" outlineLevel="1">
      <c r="A129" s="17"/>
      <c r="C129" s="18" t="s">
        <v>0</v>
      </c>
      <c r="D129" s="19"/>
      <c r="E129" s="19"/>
      <c r="F129" s="19"/>
      <c r="G129" s="19"/>
      <c r="H129" s="152">
        <v>51585.318599999999</v>
      </c>
      <c r="I129" s="24">
        <v>53493.892650000002</v>
      </c>
      <c r="J129" s="24">
        <v>55749.479500000001</v>
      </c>
      <c r="K129" s="24">
        <v>58570.403162700008</v>
      </c>
      <c r="L129" s="24">
        <v>59747.668266270273</v>
      </c>
      <c r="M129" s="24">
        <v>60948.59639842232</v>
      </c>
      <c r="N129" s="24">
        <v>61865.872774218558</v>
      </c>
      <c r="O129" s="155">
        <v>62486.078148780085</v>
      </c>
      <c r="P129" s="51"/>
    </row>
    <row r="130" spans="1:16" s="2" customFormat="1" ht="15" customHeight="1" outlineLevel="1">
      <c r="A130" s="17"/>
      <c r="C130" s="18" t="s">
        <v>91</v>
      </c>
      <c r="D130" s="19"/>
      <c r="E130" s="19"/>
      <c r="F130" s="19"/>
      <c r="G130" s="19"/>
      <c r="H130" s="132">
        <v>27696.923699999999</v>
      </c>
      <c r="I130" s="204">
        <v>28428.971099999999</v>
      </c>
      <c r="J130" s="204">
        <v>29199.960500000001</v>
      </c>
      <c r="K130" s="204">
        <v>30355.825199849998</v>
      </c>
      <c r="L130" s="204">
        <v>31336.819808903958</v>
      </c>
      <c r="M130" s="204">
        <v>32350.078146307787</v>
      </c>
      <c r="N130" s="204">
        <v>33196.696306256621</v>
      </c>
      <c r="O130" s="205">
        <v>34065.620639668698</v>
      </c>
      <c r="P130" s="51"/>
    </row>
    <row r="131" spans="1:16" s="2" customFormat="1" ht="15" customHeight="1" outlineLevel="1">
      <c r="A131" s="17"/>
      <c r="C131" s="32"/>
      <c r="D131" s="22"/>
      <c r="E131" s="22"/>
      <c r="F131" s="19"/>
      <c r="G131" s="19"/>
      <c r="H131" s="19"/>
      <c r="I131" s="19"/>
      <c r="J131" s="19"/>
      <c r="K131" s="25"/>
      <c r="L131" s="25"/>
      <c r="M131" s="25"/>
      <c r="N131" s="25"/>
      <c r="O131" s="25"/>
      <c r="P131" s="54"/>
    </row>
    <row r="132" spans="1:16" s="2" customFormat="1" ht="15" customHeight="1" outlineLevel="1">
      <c r="A132" s="17"/>
      <c r="C132" s="32"/>
      <c r="D132" s="22"/>
      <c r="E132" s="22"/>
      <c r="F132" s="19"/>
      <c r="G132" s="19"/>
      <c r="H132" s="19"/>
      <c r="I132" s="19"/>
      <c r="J132" s="19"/>
      <c r="K132" s="25"/>
      <c r="L132" s="25"/>
      <c r="M132" s="25"/>
      <c r="N132" s="25"/>
      <c r="O132" s="25"/>
      <c r="P132" s="54"/>
    </row>
    <row r="133" spans="1:16" s="2" customFormat="1" ht="15" customHeight="1" outlineLevel="1">
      <c r="A133" s="17"/>
      <c r="B133" s="21" t="s">
        <v>101</v>
      </c>
      <c r="C133" s="32"/>
      <c r="D133" s="22"/>
      <c r="E133" s="22"/>
      <c r="F133" s="19"/>
      <c r="G133" s="19"/>
      <c r="H133" s="19"/>
      <c r="I133" s="19"/>
      <c r="J133" s="19"/>
      <c r="K133" s="25"/>
      <c r="L133" s="25"/>
      <c r="M133" s="25"/>
      <c r="N133" s="25"/>
      <c r="O133" s="25"/>
      <c r="P133" s="54"/>
    </row>
    <row r="134" spans="1:16" s="2" customFormat="1" ht="15" customHeight="1" outlineLevel="1">
      <c r="A134" s="17"/>
      <c r="C134" s="32" t="s">
        <v>2</v>
      </c>
      <c r="D134" s="19"/>
      <c r="E134" s="19"/>
      <c r="F134" s="29" t="s">
        <v>3</v>
      </c>
      <c r="G134" s="29"/>
      <c r="H134" s="206">
        <f>H140/H129*365</f>
        <v>40.3878478711189</v>
      </c>
      <c r="I134" s="206">
        <f t="shared" ref="I134:J134" si="42">I140/I129*365</f>
        <v>43.211381439821238</v>
      </c>
      <c r="J134" s="206">
        <f t="shared" si="42"/>
        <v>43.36829727710731</v>
      </c>
      <c r="K134" s="24">
        <v>45</v>
      </c>
      <c r="L134" s="24">
        <v>45</v>
      </c>
      <c r="M134" s="24">
        <v>45</v>
      </c>
      <c r="N134" s="24">
        <v>45</v>
      </c>
      <c r="O134" s="24">
        <v>45</v>
      </c>
    </row>
    <row r="135" spans="1:16" s="2" customFormat="1" ht="15" customHeight="1" outlineLevel="1">
      <c r="A135" s="17"/>
      <c r="C135" s="32" t="s">
        <v>4</v>
      </c>
      <c r="D135" s="19"/>
      <c r="E135" s="19"/>
      <c r="F135" s="29" t="s">
        <v>3</v>
      </c>
      <c r="G135" s="29"/>
      <c r="H135" s="206">
        <f>H141/H130*365</f>
        <v>23.61561908768951</v>
      </c>
      <c r="I135" s="206">
        <f t="shared" ref="I135:J135" si="43">I141/I130*365</f>
        <v>24.689426765782603</v>
      </c>
      <c r="J135" s="206">
        <f t="shared" si="43"/>
        <v>25.112533970722321</v>
      </c>
      <c r="K135" s="24">
        <v>25</v>
      </c>
      <c r="L135" s="24">
        <v>25</v>
      </c>
      <c r="M135" s="24">
        <v>25</v>
      </c>
      <c r="N135" s="24">
        <v>25</v>
      </c>
      <c r="O135" s="24">
        <v>25</v>
      </c>
    </row>
    <row r="136" spans="1:16" s="2" customFormat="1" ht="15" customHeight="1" outlineLevel="1">
      <c r="A136" s="17"/>
      <c r="C136" s="32" t="s">
        <v>5</v>
      </c>
      <c r="D136" s="19"/>
      <c r="E136" s="19"/>
      <c r="F136" s="29" t="s">
        <v>3</v>
      </c>
      <c r="G136" s="29"/>
      <c r="H136" s="206">
        <f>H142/H130*365</f>
        <v>39.851357210476053</v>
      </c>
      <c r="I136" s="206">
        <f t="shared" ref="I136:J136" si="44">I142/I130*365</f>
        <v>41.149044609637663</v>
      </c>
      <c r="J136" s="206">
        <f t="shared" si="44"/>
        <v>41.487556121865303</v>
      </c>
      <c r="K136" s="24">
        <v>40</v>
      </c>
      <c r="L136" s="24">
        <v>40</v>
      </c>
      <c r="M136" s="24">
        <v>40</v>
      </c>
      <c r="N136" s="24">
        <v>40</v>
      </c>
      <c r="O136" s="24">
        <v>40</v>
      </c>
    </row>
    <row r="137" spans="1:16" s="2" customFormat="1" ht="15" customHeight="1" outlineLevel="1">
      <c r="A137" s="17"/>
      <c r="C137" s="32"/>
      <c r="D137" s="19"/>
      <c r="E137" s="19"/>
      <c r="F137" s="34"/>
      <c r="G137" s="34"/>
      <c r="H137" s="45"/>
      <c r="I137" s="33"/>
      <c r="J137" s="33"/>
      <c r="K137" s="35"/>
      <c r="L137" s="35"/>
      <c r="M137" s="35"/>
      <c r="N137" s="35"/>
      <c r="O137" s="35"/>
    </row>
    <row r="138" spans="1:16" s="2" customFormat="1" ht="15" customHeight="1" outlineLevel="1">
      <c r="A138" s="17"/>
      <c r="C138" s="32"/>
      <c r="D138" s="19"/>
      <c r="E138" s="19"/>
      <c r="F138" s="34"/>
      <c r="G138" s="34"/>
      <c r="H138" s="45"/>
      <c r="I138" s="33"/>
      <c r="J138" s="33"/>
      <c r="K138" s="35"/>
      <c r="L138" s="35"/>
      <c r="M138" s="35"/>
      <c r="N138" s="35"/>
      <c r="O138" s="35"/>
    </row>
    <row r="139" spans="1:16" s="2" customFormat="1" ht="15" customHeight="1" outlineLevel="1">
      <c r="A139" s="17"/>
      <c r="B139" s="21" t="s">
        <v>90</v>
      </c>
      <c r="C139" s="36"/>
      <c r="D139" s="22"/>
      <c r="E139" s="22"/>
      <c r="F139" s="19"/>
      <c r="G139" s="19"/>
      <c r="H139" s="19"/>
      <c r="I139" s="19"/>
      <c r="J139" s="19"/>
      <c r="K139" s="25"/>
      <c r="L139" s="25"/>
      <c r="M139" s="25"/>
      <c r="N139" s="25"/>
      <c r="O139" s="25"/>
      <c r="P139" s="54"/>
    </row>
    <row r="140" spans="1:16" s="2" customFormat="1" ht="15" customHeight="1" outlineLevel="1">
      <c r="A140" s="17"/>
      <c r="C140" s="32" t="s">
        <v>2</v>
      </c>
      <c r="D140" s="19"/>
      <c r="E140" s="19"/>
      <c r="F140" s="19"/>
      <c r="G140" s="19"/>
      <c r="H140" s="24">
        <v>5708</v>
      </c>
      <c r="I140" s="24">
        <v>6333</v>
      </c>
      <c r="J140" s="24">
        <v>6624</v>
      </c>
      <c r="K140" s="187">
        <f>K134*K129/K128</f>
        <v>7221.0086091000012</v>
      </c>
      <c r="L140" s="187">
        <f t="shared" ref="L140:O140" si="45">L134*L129/L128</f>
        <v>7366.1508821429097</v>
      </c>
      <c r="M140" s="187">
        <f t="shared" si="45"/>
        <v>7514.2105148739847</v>
      </c>
      <c r="N140" s="187">
        <f t="shared" si="45"/>
        <v>7627.2993831228359</v>
      </c>
      <c r="O140" s="187">
        <f t="shared" si="45"/>
        <v>7703.7630594386401</v>
      </c>
      <c r="P140" s="54"/>
    </row>
    <row r="141" spans="1:16" s="2" customFormat="1" ht="15" customHeight="1" outlineLevel="1">
      <c r="A141" s="17"/>
      <c r="C141" s="32" t="s">
        <v>4</v>
      </c>
      <c r="D141" s="19"/>
      <c r="E141" s="19"/>
      <c r="F141" s="19"/>
      <c r="G141" s="19"/>
      <c r="H141" s="24">
        <v>1792</v>
      </c>
      <c r="I141" s="24">
        <v>1923</v>
      </c>
      <c r="J141" s="24">
        <v>2009</v>
      </c>
      <c r="K141" s="187">
        <f>K135*K130/K128</f>
        <v>2079.1661095787667</v>
      </c>
      <c r="L141" s="187">
        <f t="shared" ref="L141:O141" si="46">L135*L130/L128</f>
        <v>2146.3575211578054</v>
      </c>
      <c r="M141" s="187">
        <f t="shared" si="46"/>
        <v>2215.7587771443687</v>
      </c>
      <c r="N141" s="187">
        <f t="shared" si="46"/>
        <v>2273.7463223463437</v>
      </c>
      <c r="O141" s="187">
        <f t="shared" si="46"/>
        <v>2333.2616876485408</v>
      </c>
      <c r="P141" s="54"/>
    </row>
    <row r="142" spans="1:16" s="2" customFormat="1" ht="15" customHeight="1" outlineLevel="1">
      <c r="A142" s="17"/>
      <c r="C142" s="32" t="s">
        <v>5</v>
      </c>
      <c r="D142" s="19"/>
      <c r="E142" s="19"/>
      <c r="F142" s="19"/>
      <c r="G142" s="19"/>
      <c r="H142" s="24">
        <v>3024</v>
      </c>
      <c r="I142" s="24">
        <v>3205</v>
      </c>
      <c r="J142" s="24">
        <v>3319</v>
      </c>
      <c r="K142" s="187">
        <f>K136*K130/K128</f>
        <v>3326.665775326027</v>
      </c>
      <c r="L142" s="187">
        <f t="shared" ref="L142:O142" si="47">L136*L130/L128</f>
        <v>3434.1720338524888</v>
      </c>
      <c r="M142" s="187">
        <f t="shared" si="47"/>
        <v>3545.2140434309904</v>
      </c>
      <c r="N142" s="187">
        <f t="shared" si="47"/>
        <v>3637.9941157541507</v>
      </c>
      <c r="O142" s="187">
        <f t="shared" si="47"/>
        <v>3733.2187002376654</v>
      </c>
      <c r="P142" s="54"/>
    </row>
    <row r="143" spans="1:16" s="2" customFormat="1" ht="15" customHeight="1" outlineLevel="1">
      <c r="A143" s="17"/>
      <c r="C143" s="36"/>
      <c r="D143" s="22"/>
      <c r="E143" s="22"/>
      <c r="F143" s="19"/>
      <c r="G143" s="19"/>
      <c r="H143" s="19"/>
      <c r="I143" s="19"/>
      <c r="J143" s="19"/>
      <c r="K143" s="25"/>
      <c r="L143" s="25"/>
      <c r="M143" s="25"/>
      <c r="N143" s="25"/>
      <c r="O143" s="25"/>
      <c r="P143" s="54"/>
    </row>
    <row r="144" spans="1:16" s="2" customFormat="1" ht="15" customHeight="1" outlineLevel="1">
      <c r="A144" s="17"/>
      <c r="C144" s="36"/>
      <c r="D144" s="22"/>
      <c r="E144" s="22"/>
      <c r="F144" s="19"/>
      <c r="G144" s="19"/>
      <c r="H144" s="19"/>
      <c r="I144" s="19"/>
      <c r="J144" s="19"/>
      <c r="K144" s="25"/>
      <c r="L144" s="25"/>
      <c r="M144" s="25"/>
      <c r="N144" s="25"/>
      <c r="O144" s="25"/>
      <c r="P144" s="54"/>
    </row>
    <row r="145" spans="1:16" s="2" customFormat="1" ht="15" customHeight="1" outlineLevel="1">
      <c r="A145" s="17"/>
      <c r="B145" s="21" t="s">
        <v>100</v>
      </c>
      <c r="C145" s="36"/>
      <c r="D145" s="22"/>
      <c r="E145" s="22"/>
      <c r="F145" s="19"/>
      <c r="G145" s="19"/>
      <c r="H145" s="19"/>
      <c r="I145" s="19"/>
      <c r="J145" s="19"/>
      <c r="K145" s="25"/>
      <c r="L145" s="25"/>
      <c r="M145" s="25"/>
      <c r="N145" s="25"/>
      <c r="O145" s="25"/>
      <c r="P145" s="54"/>
    </row>
    <row r="146" spans="1:16" s="2" customFormat="1" ht="15" customHeight="1" outlineLevel="1">
      <c r="A146" s="17"/>
      <c r="C146" s="32" t="s">
        <v>97</v>
      </c>
      <c r="D146" s="19"/>
      <c r="E146" s="19"/>
      <c r="F146" s="19"/>
      <c r="G146" s="19"/>
      <c r="H146" s="187">
        <f>H140+H141</f>
        <v>7500</v>
      </c>
      <c r="I146" s="187">
        <f t="shared" ref="I146:O146" si="48">I140+I141</f>
        <v>8256</v>
      </c>
      <c r="J146" s="187">
        <f t="shared" si="48"/>
        <v>8633</v>
      </c>
      <c r="K146" s="187">
        <f t="shared" si="48"/>
        <v>9300.1747186787688</v>
      </c>
      <c r="L146" s="187">
        <f t="shared" si="48"/>
        <v>9512.5084033007151</v>
      </c>
      <c r="M146" s="187">
        <f t="shared" si="48"/>
        <v>9729.9692920183534</v>
      </c>
      <c r="N146" s="187">
        <f t="shared" si="48"/>
        <v>9901.0457054691797</v>
      </c>
      <c r="O146" s="187">
        <f t="shared" si="48"/>
        <v>10037.02474708718</v>
      </c>
      <c r="P146" s="54"/>
    </row>
    <row r="147" spans="1:16" s="2" customFormat="1" ht="15" customHeight="1" outlineLevel="1">
      <c r="A147" s="17"/>
      <c r="C147" s="32" t="s">
        <v>98</v>
      </c>
      <c r="D147" s="19"/>
      <c r="E147" s="19"/>
      <c r="F147" s="19"/>
      <c r="G147" s="19"/>
      <c r="H147" s="207">
        <f>H142</f>
        <v>3024</v>
      </c>
      <c r="I147" s="207">
        <f t="shared" ref="I147:O147" si="49">I142</f>
        <v>3205</v>
      </c>
      <c r="J147" s="207">
        <f t="shared" si="49"/>
        <v>3319</v>
      </c>
      <c r="K147" s="207">
        <f t="shared" si="49"/>
        <v>3326.665775326027</v>
      </c>
      <c r="L147" s="207">
        <f t="shared" si="49"/>
        <v>3434.1720338524888</v>
      </c>
      <c r="M147" s="207">
        <f t="shared" si="49"/>
        <v>3545.2140434309904</v>
      </c>
      <c r="N147" s="207">
        <f t="shared" si="49"/>
        <v>3637.9941157541507</v>
      </c>
      <c r="O147" s="207">
        <f t="shared" si="49"/>
        <v>3733.2187002376654</v>
      </c>
      <c r="P147" s="54"/>
    </row>
    <row r="148" spans="1:16" s="2" customFormat="1" ht="15" customHeight="1" outlineLevel="1">
      <c r="A148" s="17"/>
      <c r="C148" s="32" t="s">
        <v>6</v>
      </c>
      <c r="D148" s="19"/>
      <c r="E148" s="19"/>
      <c r="F148" s="19"/>
      <c r="G148" s="19"/>
      <c r="H148" s="187">
        <f>H146-H147</f>
        <v>4476</v>
      </c>
      <c r="I148" s="187">
        <f t="shared" ref="I148:O148" si="50">I146-I147</f>
        <v>5051</v>
      </c>
      <c r="J148" s="187">
        <f t="shared" si="50"/>
        <v>5314</v>
      </c>
      <c r="K148" s="187">
        <f t="shared" si="50"/>
        <v>5973.5089433527419</v>
      </c>
      <c r="L148" s="187">
        <f t="shared" si="50"/>
        <v>6078.3363694482268</v>
      </c>
      <c r="M148" s="187">
        <f t="shared" si="50"/>
        <v>6184.755248587363</v>
      </c>
      <c r="N148" s="187">
        <f t="shared" si="50"/>
        <v>6263.051589715029</v>
      </c>
      <c r="O148" s="187">
        <f t="shared" si="50"/>
        <v>6303.806046849515</v>
      </c>
      <c r="P148" s="54"/>
    </row>
    <row r="149" spans="1:16" s="2" customFormat="1" ht="15" customHeight="1" outlineLevel="1">
      <c r="A149" s="17"/>
      <c r="C149" s="36"/>
      <c r="D149" s="22"/>
      <c r="E149" s="22"/>
      <c r="F149" s="19"/>
      <c r="G149" s="19"/>
      <c r="H149" s="19"/>
      <c r="I149" s="19"/>
      <c r="J149" s="19"/>
      <c r="K149" s="25"/>
      <c r="L149" s="25"/>
      <c r="M149" s="25"/>
      <c r="N149" s="25"/>
      <c r="O149" s="25"/>
      <c r="P149" s="54"/>
    </row>
    <row r="150" spans="1:16" s="2" customFormat="1" ht="15" customHeight="1" outlineLevel="1">
      <c r="A150" s="17"/>
      <c r="C150" s="36"/>
      <c r="D150" s="22"/>
      <c r="E150" s="22"/>
      <c r="F150" s="19"/>
      <c r="G150" s="19"/>
      <c r="H150" s="19"/>
      <c r="I150" s="19"/>
      <c r="J150" s="19"/>
      <c r="K150" s="25"/>
      <c r="L150" s="25"/>
      <c r="M150" s="25"/>
      <c r="N150" s="25"/>
      <c r="O150" s="25"/>
      <c r="P150" s="54"/>
    </row>
    <row r="151" spans="1:16" s="2" customFormat="1" ht="15" customHeight="1" outlineLevel="1" thickBot="1">
      <c r="A151" s="17"/>
      <c r="C151" s="36" t="s">
        <v>99</v>
      </c>
      <c r="D151" s="22"/>
      <c r="E151" s="22"/>
      <c r="F151" s="22"/>
      <c r="G151" s="22"/>
      <c r="H151" s="22"/>
      <c r="I151" s="208">
        <f>H148-I148</f>
        <v>-575</v>
      </c>
      <c r="J151" s="208">
        <f t="shared" ref="J151:O151" si="51">I148-J148</f>
        <v>-263</v>
      </c>
      <c r="K151" s="208">
        <f t="shared" si="51"/>
        <v>-659.50894335274188</v>
      </c>
      <c r="L151" s="208">
        <f t="shared" si="51"/>
        <v>-104.82742609548495</v>
      </c>
      <c r="M151" s="208">
        <f t="shared" si="51"/>
        <v>-106.41887913913615</v>
      </c>
      <c r="N151" s="208">
        <f t="shared" si="51"/>
        <v>-78.296341127665983</v>
      </c>
      <c r="O151" s="208">
        <f t="shared" si="51"/>
        <v>-40.754457134486074</v>
      </c>
      <c r="P151" s="54"/>
    </row>
    <row r="152" spans="1:16" s="2" customFormat="1" ht="15" customHeight="1" outlineLevel="1">
      <c r="A152" s="17"/>
      <c r="B152" s="19"/>
      <c r="C152" s="19"/>
      <c r="D152" s="19"/>
      <c r="E152" s="19"/>
      <c r="F152" s="25"/>
      <c r="G152" s="25"/>
      <c r="H152" s="25"/>
      <c r="I152" s="25"/>
      <c r="J152" s="25"/>
      <c r="K152" s="25"/>
      <c r="L152" s="25"/>
      <c r="M152" s="25"/>
      <c r="N152" s="25"/>
      <c r="O152" s="19"/>
      <c r="P152" s="54"/>
    </row>
    <row r="153" spans="1:16" s="2" customFormat="1" ht="15" customHeight="1" outlineLevel="1">
      <c r="A153" s="1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54"/>
    </row>
    <row r="154" spans="1:16" s="2" customFormat="1" ht="15" customHeight="1">
      <c r="A154" s="17"/>
      <c r="B154" s="18"/>
      <c r="D154" s="28"/>
      <c r="E154" s="28"/>
      <c r="F154" s="29"/>
      <c r="G154" s="19"/>
      <c r="H154" s="26"/>
      <c r="I154" s="26"/>
      <c r="J154" s="26"/>
      <c r="K154" s="26"/>
      <c r="L154" s="26"/>
      <c r="M154" s="26"/>
      <c r="N154" s="26"/>
      <c r="O154" s="26"/>
      <c r="P154" s="51"/>
    </row>
    <row r="155" spans="1:16" s="16" customFormat="1" ht="15" customHeight="1">
      <c r="A155" s="7" t="s">
        <v>109</v>
      </c>
      <c r="B155" s="120" t="s">
        <v>105</v>
      </c>
      <c r="C155" s="120"/>
      <c r="D155" s="121"/>
      <c r="E155" s="121"/>
      <c r="F155" s="125"/>
      <c r="G155" s="125"/>
      <c r="H155" s="123"/>
      <c r="I155" s="123"/>
      <c r="J155" s="123"/>
      <c r="K155" s="126"/>
      <c r="L155" s="127"/>
      <c r="M155" s="127"/>
      <c r="N155" s="127"/>
      <c r="O155" s="127"/>
    </row>
    <row r="156" spans="1:16" s="16" customFormat="1" ht="15" customHeight="1" outlineLevel="1">
      <c r="A156" s="7"/>
      <c r="B156" s="8"/>
      <c r="C156" s="8"/>
      <c r="D156" s="9"/>
      <c r="E156" s="9"/>
      <c r="F156" s="10"/>
      <c r="G156" s="10"/>
      <c r="H156" s="11"/>
      <c r="I156" s="12"/>
      <c r="J156" s="12"/>
      <c r="K156" s="12"/>
      <c r="L156" s="12"/>
      <c r="M156" s="12"/>
      <c r="N156" s="12"/>
      <c r="O156" s="12"/>
    </row>
    <row r="157" spans="1:16" s="16" customFormat="1" ht="15" customHeight="1" outlineLevel="1" thickBot="1">
      <c r="A157" s="7"/>
      <c r="B157" s="13" t="s">
        <v>19</v>
      </c>
      <c r="C157" s="13"/>
      <c r="D157" s="9"/>
      <c r="E157" s="9"/>
      <c r="F157" s="14"/>
      <c r="G157" s="14"/>
      <c r="H157" s="134">
        <v>2019</v>
      </c>
      <c r="I157" s="129">
        <f t="shared" ref="I157:O157" si="52">H157+1</f>
        <v>2020</v>
      </c>
      <c r="J157" s="129">
        <f t="shared" si="52"/>
        <v>2021</v>
      </c>
      <c r="K157" s="15">
        <f t="shared" si="52"/>
        <v>2022</v>
      </c>
      <c r="L157" s="15">
        <f t="shared" si="52"/>
        <v>2023</v>
      </c>
      <c r="M157" s="15">
        <f t="shared" si="52"/>
        <v>2024</v>
      </c>
      <c r="N157" s="15">
        <f t="shared" si="52"/>
        <v>2025</v>
      </c>
      <c r="O157" s="15">
        <f t="shared" si="52"/>
        <v>2026</v>
      </c>
    </row>
    <row r="158" spans="1:16" s="16" customFormat="1" ht="15" customHeight="1" outlineLevel="1">
      <c r="A158" s="7"/>
      <c r="B158" s="13"/>
      <c r="C158" s="13"/>
      <c r="D158" s="9"/>
      <c r="E158" s="9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6" s="16" customFormat="1" ht="15" customHeight="1" outlineLevel="1">
      <c r="A159" s="7"/>
      <c r="B159" s="13"/>
      <c r="C159" s="13"/>
      <c r="D159" s="9"/>
      <c r="E159" s="9"/>
      <c r="F159" s="14"/>
      <c r="G159" s="14"/>
      <c r="H159" s="14"/>
      <c r="I159" s="14"/>
      <c r="J159" s="158"/>
      <c r="K159" s="158"/>
      <c r="L159" s="158"/>
      <c r="M159" s="158"/>
      <c r="N159" s="158"/>
      <c r="O159" s="158"/>
    </row>
    <row r="160" spans="1:16" s="16" customFormat="1" ht="15" customHeight="1" outlineLevel="1">
      <c r="A160" s="7"/>
      <c r="B160" s="57" t="s">
        <v>56</v>
      </c>
      <c r="C160" s="71"/>
      <c r="D160" s="56"/>
      <c r="E160" s="56"/>
      <c r="F160" s="59"/>
      <c r="G160" s="59"/>
      <c r="H160" s="72">
        <v>4982</v>
      </c>
      <c r="I160" s="72">
        <v>5199</v>
      </c>
      <c r="J160" s="72">
        <v>4400</v>
      </c>
      <c r="K160" s="72">
        <v>4550</v>
      </c>
      <c r="L160" s="72">
        <v>4700</v>
      </c>
      <c r="M160" s="72">
        <v>4850</v>
      </c>
      <c r="N160" s="72">
        <v>5000</v>
      </c>
      <c r="O160" s="173">
        <v>5125</v>
      </c>
    </row>
    <row r="161" spans="1:16" s="16" customFormat="1" ht="15" customHeight="1" outlineLevel="1">
      <c r="A161" s="7"/>
      <c r="B161" s="13"/>
      <c r="C161" s="13"/>
      <c r="D161" s="9"/>
      <c r="E161" s="9"/>
      <c r="F161" s="14"/>
      <c r="G161" s="14"/>
      <c r="H161" s="14"/>
      <c r="I161" s="14"/>
      <c r="J161" s="14"/>
      <c r="K161" s="48"/>
      <c r="L161" s="48"/>
      <c r="M161" s="48"/>
      <c r="N161" s="48"/>
      <c r="O161" s="48"/>
    </row>
    <row r="162" spans="1:16" s="16" customFormat="1" ht="15" customHeight="1" outlineLevel="1">
      <c r="A162" s="7"/>
      <c r="B162" s="36" t="s">
        <v>80</v>
      </c>
      <c r="C162" s="13"/>
      <c r="F162" s="79" t="s">
        <v>73</v>
      </c>
      <c r="G162" s="14"/>
      <c r="H162" s="14"/>
      <c r="I162" s="14"/>
      <c r="J162" s="14"/>
      <c r="K162" s="75" t="s">
        <v>77</v>
      </c>
      <c r="L162" s="76"/>
      <c r="M162" s="76"/>
      <c r="N162" s="76"/>
      <c r="O162" s="78"/>
    </row>
    <row r="163" spans="1:16" s="16" customFormat="1" ht="15" customHeight="1" outlineLevel="1">
      <c r="A163" s="7"/>
      <c r="B163" s="63" t="s">
        <v>81</v>
      </c>
      <c r="C163" s="70"/>
      <c r="D163" s="70"/>
      <c r="E163" s="70"/>
      <c r="F163" s="154">
        <v>16</v>
      </c>
      <c r="G163" s="14"/>
      <c r="H163" s="80"/>
      <c r="I163" s="14"/>
      <c r="J163" s="14"/>
      <c r="K163" s="94">
        <v>1</v>
      </c>
      <c r="L163" s="94">
        <f>K163+1</f>
        <v>2</v>
      </c>
      <c r="M163" s="94">
        <f>L163+1</f>
        <v>3</v>
      </c>
      <c r="N163" s="94">
        <f>M163+1</f>
        <v>4</v>
      </c>
      <c r="O163" s="94">
        <f>N163+1</f>
        <v>5</v>
      </c>
    </row>
    <row r="164" spans="1:16" s="16" customFormat="1" ht="15" customHeight="1" outlineLevel="1">
      <c r="A164" s="7"/>
      <c r="B164" s="89" t="str">
        <f>CONCATENATE("PP&amp;E at End of ",J157)</f>
        <v>PP&amp;E at End of 2021</v>
      </c>
      <c r="C164" s="90"/>
      <c r="D164" s="90"/>
      <c r="E164" s="90"/>
      <c r="F164" s="174">
        <v>65014</v>
      </c>
      <c r="G164" s="14"/>
      <c r="H164" s="80"/>
      <c r="I164" s="14"/>
      <c r="J164" s="155"/>
      <c r="K164" s="254">
        <f>MIN($F$163-SUM($J$164:J164),1)</f>
        <v>1</v>
      </c>
      <c r="L164" s="254">
        <f>MIN($F$163-SUM($J$164:K164),1)</f>
        <v>1</v>
      </c>
      <c r="M164" s="254">
        <f>MIN($F$163-SUM($J$164:L164),1)</f>
        <v>1</v>
      </c>
      <c r="N164" s="254">
        <f>MIN($F$163-SUM($J$164:M164),1)</f>
        <v>1</v>
      </c>
      <c r="O164" s="255">
        <f>MIN($F$163-SUM($J$164:N164),1)</f>
        <v>1</v>
      </c>
    </row>
    <row r="165" spans="1:16" s="16" customFormat="1" ht="15" customHeight="1" outlineLevel="1">
      <c r="A165" s="7"/>
      <c r="B165" s="32"/>
      <c r="C165" s="13"/>
      <c r="D165" s="83"/>
      <c r="E165" s="83"/>
      <c r="F165" s="118"/>
      <c r="G165" s="14"/>
      <c r="H165" s="14"/>
      <c r="I165" s="14"/>
      <c r="J165" s="14"/>
      <c r="K165" s="84"/>
      <c r="L165" s="84"/>
      <c r="M165" s="84"/>
      <c r="N165" s="84"/>
      <c r="O165" s="84"/>
    </row>
    <row r="166" spans="1:16" s="16" customFormat="1" ht="15" customHeight="1" outlineLevel="1">
      <c r="A166" s="7"/>
      <c r="B166" s="38"/>
      <c r="C166" s="77"/>
      <c r="D166" s="39"/>
      <c r="E166" s="39"/>
      <c r="F166" s="40"/>
      <c r="G166" s="40"/>
      <c r="H166" s="40"/>
      <c r="I166" s="40"/>
      <c r="J166" s="40"/>
      <c r="K166" s="58"/>
      <c r="L166" s="58"/>
      <c r="M166" s="58"/>
      <c r="N166" s="58"/>
      <c r="O166" s="58"/>
    </row>
    <row r="167" spans="1:16" s="16" customFormat="1" ht="15" customHeight="1" outlineLevel="1">
      <c r="A167" s="7"/>
      <c r="B167" s="13"/>
      <c r="C167" s="13"/>
      <c r="D167" s="9"/>
      <c r="E167" s="9"/>
      <c r="F167" s="14"/>
      <c r="G167" s="14"/>
      <c r="H167" s="14"/>
      <c r="I167" s="14"/>
      <c r="J167" s="14"/>
      <c r="K167" s="48"/>
      <c r="L167" s="48"/>
      <c r="M167" s="48"/>
      <c r="N167" s="48"/>
      <c r="O167" s="48"/>
    </row>
    <row r="168" spans="1:16" s="16" customFormat="1" ht="15" customHeight="1" outlineLevel="1">
      <c r="A168" s="7"/>
      <c r="B168" s="36" t="s">
        <v>79</v>
      </c>
      <c r="C168" s="13"/>
      <c r="F168" s="79" t="s">
        <v>73</v>
      </c>
      <c r="G168" s="14"/>
      <c r="H168" s="14"/>
      <c r="I168" s="14"/>
      <c r="J168" s="14"/>
      <c r="K168" s="75" t="s">
        <v>77</v>
      </c>
      <c r="L168" s="76"/>
      <c r="M168" s="76"/>
      <c r="N168" s="76"/>
      <c r="O168" s="78"/>
    </row>
    <row r="169" spans="1:16" s="16" customFormat="1" ht="15" customHeight="1" outlineLevel="1">
      <c r="A169" s="7"/>
      <c r="B169" s="63" t="s">
        <v>82</v>
      </c>
      <c r="C169" s="60"/>
      <c r="D169" s="70"/>
      <c r="E169" s="70"/>
      <c r="F169" s="85">
        <v>20</v>
      </c>
      <c r="G169" s="14"/>
      <c r="H169" s="14"/>
      <c r="I169" s="14"/>
      <c r="J169" s="14"/>
      <c r="K169" s="82">
        <v>1</v>
      </c>
      <c r="L169" s="82">
        <f>K169+1</f>
        <v>2</v>
      </c>
      <c r="M169" s="82">
        <f>L169+1</f>
        <v>3</v>
      </c>
      <c r="N169" s="82">
        <f>M169+1</f>
        <v>4</v>
      </c>
      <c r="O169" s="82">
        <f>N169+1</f>
        <v>5</v>
      </c>
    </row>
    <row r="170" spans="1:16" s="16" customFormat="1" ht="15" customHeight="1" outlineLevel="1">
      <c r="A170" s="7"/>
      <c r="B170" s="89" t="s">
        <v>75</v>
      </c>
      <c r="C170" s="90"/>
      <c r="D170" s="90"/>
      <c r="E170" s="90"/>
      <c r="F170" s="114">
        <v>0.5</v>
      </c>
      <c r="G170" s="14"/>
      <c r="H170" s="14"/>
      <c r="I170" s="14"/>
      <c r="J170" s="14"/>
      <c r="K170" s="209">
        <f>IF(J170="",$F$170,MIN($F169-SUM($J170:J170),1))</f>
        <v>0.5</v>
      </c>
      <c r="L170" s="210">
        <f>IF(K170="",$F$170,MIN($F169-SUM($J170:K170),1))</f>
        <v>1</v>
      </c>
      <c r="M170" s="210">
        <f>IF(L170="",$F$170,MIN($F169-SUM($J170:L170),1))</f>
        <v>1</v>
      </c>
      <c r="N170" s="210">
        <f>IF(M170="",$F$170,MIN($F169-SUM($J170:M170),1))</f>
        <v>1</v>
      </c>
      <c r="O170" s="211">
        <f>IF(N170="",$F$170,MIN($F169-SUM($J170:N170),1))</f>
        <v>1</v>
      </c>
    </row>
    <row r="171" spans="1:16" s="16" customFormat="1" ht="15" customHeight="1" outlineLevel="1">
      <c r="A171" s="7"/>
      <c r="B171" s="32"/>
      <c r="C171" s="32"/>
      <c r="F171" s="93"/>
      <c r="G171" s="14"/>
      <c r="H171" s="14"/>
      <c r="I171" s="14"/>
      <c r="J171" s="14"/>
      <c r="K171" s="84"/>
      <c r="L171" s="84"/>
      <c r="M171" s="84"/>
      <c r="N171" s="84"/>
      <c r="O171" s="84"/>
    </row>
    <row r="172" spans="1:16" s="16" customFormat="1" ht="15" customHeight="1" outlineLevel="1">
      <c r="A172" s="7"/>
      <c r="B172" s="13"/>
      <c r="C172" s="13"/>
      <c r="D172" s="9"/>
      <c r="E172" s="9"/>
      <c r="F172" s="14"/>
      <c r="G172" s="14"/>
      <c r="H172" s="14"/>
      <c r="I172" s="14"/>
      <c r="J172" s="14"/>
      <c r="K172" s="75" t="s">
        <v>77</v>
      </c>
      <c r="L172" s="76"/>
      <c r="M172" s="76"/>
      <c r="N172" s="76"/>
      <c r="O172" s="78"/>
      <c r="P172" s="86"/>
    </row>
    <row r="173" spans="1:16" s="16" customFormat="1" ht="15" customHeight="1" outlineLevel="1">
      <c r="A173" s="7"/>
      <c r="F173" s="36"/>
      <c r="H173" s="36" t="s">
        <v>67</v>
      </c>
      <c r="I173" s="36" t="s">
        <v>69</v>
      </c>
      <c r="J173" s="14"/>
      <c r="K173" s="81">
        <f>K$157</f>
        <v>2022</v>
      </c>
      <c r="L173" s="81">
        <f>L$157</f>
        <v>2023</v>
      </c>
      <c r="M173" s="81">
        <f>M$157</f>
        <v>2024</v>
      </c>
      <c r="N173" s="81">
        <f>N$157</f>
        <v>2025</v>
      </c>
      <c r="O173" s="81">
        <f>O$157</f>
        <v>2026</v>
      </c>
    </row>
    <row r="174" spans="1:16" s="16" customFormat="1" ht="15" customHeight="1" outlineLevel="1">
      <c r="A174" s="7"/>
      <c r="B174" s="13"/>
      <c r="F174" s="36"/>
      <c r="H174" s="102">
        <f>K157</f>
        <v>2022</v>
      </c>
      <c r="I174" s="107">
        <f>F169</f>
        <v>20</v>
      </c>
      <c r="J174" s="108"/>
      <c r="K174" s="96">
        <f>K170</f>
        <v>0.5</v>
      </c>
      <c r="L174" s="96">
        <f t="shared" ref="L174:O174" si="53">L170</f>
        <v>1</v>
      </c>
      <c r="M174" s="96">
        <f t="shared" si="53"/>
        <v>1</v>
      </c>
      <c r="N174" s="96">
        <f t="shared" si="53"/>
        <v>1</v>
      </c>
      <c r="O174" s="97">
        <f t="shared" si="53"/>
        <v>1</v>
      </c>
    </row>
    <row r="175" spans="1:16" s="16" customFormat="1" ht="15" customHeight="1" outlineLevel="1">
      <c r="A175" s="7"/>
      <c r="B175" s="13"/>
      <c r="F175" s="36"/>
      <c r="H175" s="101">
        <f>H174+1</f>
        <v>2023</v>
      </c>
      <c r="I175" s="95">
        <f>I174</f>
        <v>20</v>
      </c>
      <c r="J175" s="109"/>
      <c r="K175" s="98">
        <f>J174</f>
        <v>0</v>
      </c>
      <c r="L175" s="98">
        <f t="shared" ref="L175:O178" si="54">K174</f>
        <v>0.5</v>
      </c>
      <c r="M175" s="98">
        <f t="shared" si="54"/>
        <v>1</v>
      </c>
      <c r="N175" s="98">
        <f t="shared" si="54"/>
        <v>1</v>
      </c>
      <c r="O175" s="99">
        <f t="shared" si="54"/>
        <v>1</v>
      </c>
    </row>
    <row r="176" spans="1:16" s="16" customFormat="1" ht="15" customHeight="1" outlineLevel="1">
      <c r="A176" s="7"/>
      <c r="B176" s="13"/>
      <c r="F176" s="36"/>
      <c r="H176" s="101">
        <f>H175+1</f>
        <v>2024</v>
      </c>
      <c r="I176" s="95">
        <f>I175</f>
        <v>20</v>
      </c>
      <c r="J176" s="109"/>
      <c r="K176" s="98">
        <f>J175</f>
        <v>0</v>
      </c>
      <c r="L176" s="98">
        <f t="shared" si="54"/>
        <v>0</v>
      </c>
      <c r="M176" s="98">
        <f t="shared" si="54"/>
        <v>0.5</v>
      </c>
      <c r="N176" s="98">
        <f t="shared" si="54"/>
        <v>1</v>
      </c>
      <c r="O176" s="99">
        <f t="shared" si="54"/>
        <v>1</v>
      </c>
    </row>
    <row r="177" spans="1:16" s="16" customFormat="1" ht="15" customHeight="1" outlineLevel="1">
      <c r="A177" s="7"/>
      <c r="B177" s="13"/>
      <c r="F177" s="36"/>
      <c r="H177" s="101">
        <f>H176+1</f>
        <v>2025</v>
      </c>
      <c r="I177" s="95">
        <f>I176</f>
        <v>20</v>
      </c>
      <c r="J177" s="109"/>
      <c r="K177" s="98">
        <f>J176</f>
        <v>0</v>
      </c>
      <c r="L177" s="98">
        <f t="shared" si="54"/>
        <v>0</v>
      </c>
      <c r="M177" s="98">
        <f t="shared" si="54"/>
        <v>0</v>
      </c>
      <c r="N177" s="98">
        <f t="shared" si="54"/>
        <v>0.5</v>
      </c>
      <c r="O177" s="99">
        <f t="shared" si="54"/>
        <v>1</v>
      </c>
    </row>
    <row r="178" spans="1:16" s="16" customFormat="1" ht="15" customHeight="1" outlineLevel="1">
      <c r="A178" s="7"/>
      <c r="B178" s="13"/>
      <c r="F178" s="36"/>
      <c r="H178" s="103">
        <f>H177+1</f>
        <v>2026</v>
      </c>
      <c r="I178" s="110">
        <f>I177</f>
        <v>20</v>
      </c>
      <c r="J178" s="111"/>
      <c r="K178" s="227">
        <f>J177</f>
        <v>0</v>
      </c>
      <c r="L178" s="227">
        <f t="shared" si="54"/>
        <v>0</v>
      </c>
      <c r="M178" s="227">
        <f t="shared" si="54"/>
        <v>0</v>
      </c>
      <c r="N178" s="227">
        <f t="shared" si="54"/>
        <v>0</v>
      </c>
      <c r="O178" s="100">
        <f t="shared" si="54"/>
        <v>0.5</v>
      </c>
    </row>
    <row r="179" spans="1:16" s="16" customFormat="1" ht="15" customHeight="1" outlineLevel="1">
      <c r="A179" s="7"/>
      <c r="B179" s="13"/>
      <c r="C179" s="73"/>
      <c r="D179" s="9"/>
      <c r="E179" s="9"/>
      <c r="F179" s="36"/>
      <c r="G179" s="14"/>
      <c r="H179" s="14"/>
      <c r="I179" s="14"/>
      <c r="J179" s="14"/>
      <c r="K179" s="48"/>
      <c r="L179" s="48"/>
      <c r="M179" s="48"/>
      <c r="N179" s="48"/>
      <c r="O179" s="48"/>
      <c r="P179" s="54"/>
    </row>
    <row r="180" spans="1:16" s="16" customFormat="1" ht="15" customHeight="1" outlineLevel="1">
      <c r="A180" s="7"/>
      <c r="B180" s="13"/>
      <c r="C180" s="73"/>
      <c r="D180" s="9"/>
      <c r="E180" s="9"/>
      <c r="F180" s="14"/>
      <c r="G180" s="14"/>
      <c r="H180" s="14"/>
      <c r="I180" s="14"/>
      <c r="J180" s="14"/>
      <c r="K180" s="75" t="s">
        <v>70</v>
      </c>
      <c r="L180" s="76"/>
      <c r="M180" s="76"/>
      <c r="N180" s="76"/>
      <c r="O180" s="78"/>
      <c r="P180" s="54"/>
    </row>
    <row r="181" spans="1:16" s="16" customFormat="1" ht="15" customHeight="1" outlineLevel="1">
      <c r="A181" s="7"/>
      <c r="G181" s="14"/>
      <c r="H181" s="36" t="s">
        <v>67</v>
      </c>
      <c r="I181" s="36" t="s">
        <v>68</v>
      </c>
      <c r="J181" s="36" t="s">
        <v>72</v>
      </c>
      <c r="K181" s="81">
        <f>K$157</f>
        <v>2022</v>
      </c>
      <c r="L181" s="81">
        <f>L$157</f>
        <v>2023</v>
      </c>
      <c r="M181" s="81">
        <f>M$157</f>
        <v>2024</v>
      </c>
      <c r="N181" s="81">
        <f>N$157</f>
        <v>2025</v>
      </c>
      <c r="O181" s="81">
        <f>O$157</f>
        <v>2026</v>
      </c>
      <c r="P181" s="54"/>
    </row>
    <row r="182" spans="1:16" s="16" customFormat="1" ht="15" customHeight="1" outlineLevel="1">
      <c r="A182" s="7"/>
      <c r="B182" s="13"/>
      <c r="G182" s="14"/>
      <c r="H182" s="102">
        <f>H174</f>
        <v>2022</v>
      </c>
      <c r="I182" s="213">
        <f>SUMIF($K$157:$O$157,H182,$K$160:$O$160)</f>
        <v>4550</v>
      </c>
      <c r="J182" s="216">
        <f>I182/I174</f>
        <v>227.5</v>
      </c>
      <c r="K182" s="104">
        <f t="shared" ref="K182:O186" si="55">$J182*K174</f>
        <v>113.75</v>
      </c>
      <c r="L182" s="104">
        <f t="shared" si="55"/>
        <v>227.5</v>
      </c>
      <c r="M182" s="104">
        <f t="shared" si="55"/>
        <v>227.5</v>
      </c>
      <c r="N182" s="104">
        <f t="shared" si="55"/>
        <v>227.5</v>
      </c>
      <c r="O182" s="112">
        <f t="shared" si="55"/>
        <v>227.5</v>
      </c>
    </row>
    <row r="183" spans="1:16" s="16" customFormat="1" ht="15" customHeight="1" outlineLevel="1">
      <c r="A183" s="7"/>
      <c r="B183" s="13"/>
      <c r="G183" s="14"/>
      <c r="H183" s="101">
        <f>H175</f>
        <v>2023</v>
      </c>
      <c r="I183" s="214">
        <f t="shared" ref="I183:I186" si="56">SUMIF($K$157:$O$157,H183,$K$160:$O$160)</f>
        <v>4700</v>
      </c>
      <c r="J183" s="217">
        <f t="shared" ref="J183:J186" si="57">I183/I175</f>
        <v>235</v>
      </c>
      <c r="K183" s="105">
        <f t="shared" si="55"/>
        <v>0</v>
      </c>
      <c r="L183" s="105">
        <f t="shared" si="55"/>
        <v>117.5</v>
      </c>
      <c r="M183" s="105">
        <f t="shared" si="55"/>
        <v>235</v>
      </c>
      <c r="N183" s="105">
        <f t="shared" si="55"/>
        <v>235</v>
      </c>
      <c r="O183" s="113">
        <f t="shared" si="55"/>
        <v>235</v>
      </c>
    </row>
    <row r="184" spans="1:16" s="16" customFormat="1" ht="15" customHeight="1" outlineLevel="1">
      <c r="A184" s="7"/>
      <c r="B184" s="13"/>
      <c r="G184" s="14"/>
      <c r="H184" s="101">
        <f>H176</f>
        <v>2024</v>
      </c>
      <c r="I184" s="214">
        <f t="shared" si="56"/>
        <v>4850</v>
      </c>
      <c r="J184" s="217">
        <f t="shared" si="57"/>
        <v>242.5</v>
      </c>
      <c r="K184" s="105">
        <f t="shared" si="55"/>
        <v>0</v>
      </c>
      <c r="L184" s="105">
        <f t="shared" si="55"/>
        <v>0</v>
      </c>
      <c r="M184" s="105">
        <f t="shared" si="55"/>
        <v>121.25</v>
      </c>
      <c r="N184" s="105">
        <f t="shared" si="55"/>
        <v>242.5</v>
      </c>
      <c r="O184" s="113">
        <f t="shared" si="55"/>
        <v>242.5</v>
      </c>
    </row>
    <row r="185" spans="1:16" s="16" customFormat="1" ht="15" customHeight="1" outlineLevel="1">
      <c r="A185" s="7"/>
      <c r="B185" s="13"/>
      <c r="G185" s="14"/>
      <c r="H185" s="101">
        <f>H177</f>
        <v>2025</v>
      </c>
      <c r="I185" s="214">
        <f t="shared" si="56"/>
        <v>5000</v>
      </c>
      <c r="J185" s="217">
        <f t="shared" si="57"/>
        <v>250</v>
      </c>
      <c r="K185" s="105">
        <f t="shared" si="55"/>
        <v>0</v>
      </c>
      <c r="L185" s="105">
        <f t="shared" si="55"/>
        <v>0</v>
      </c>
      <c r="M185" s="105">
        <f t="shared" si="55"/>
        <v>0</v>
      </c>
      <c r="N185" s="105">
        <f t="shared" si="55"/>
        <v>125</v>
      </c>
      <c r="O185" s="113">
        <f t="shared" si="55"/>
        <v>250</v>
      </c>
    </row>
    <row r="186" spans="1:16" s="16" customFormat="1" ht="15" customHeight="1" outlineLevel="1">
      <c r="A186" s="7"/>
      <c r="B186" s="13"/>
      <c r="G186" s="14"/>
      <c r="H186" s="103">
        <f>H178</f>
        <v>2026</v>
      </c>
      <c r="I186" s="215">
        <f t="shared" si="56"/>
        <v>5125</v>
      </c>
      <c r="J186" s="218">
        <f t="shared" si="57"/>
        <v>256.25</v>
      </c>
      <c r="K186" s="228">
        <f t="shared" si="55"/>
        <v>0</v>
      </c>
      <c r="L186" s="228">
        <f t="shared" si="55"/>
        <v>0</v>
      </c>
      <c r="M186" s="228">
        <f t="shared" si="55"/>
        <v>0</v>
      </c>
      <c r="N186" s="228">
        <f t="shared" si="55"/>
        <v>0</v>
      </c>
      <c r="O186" s="106">
        <f t="shared" si="55"/>
        <v>128.125</v>
      </c>
    </row>
    <row r="187" spans="1:16" s="16" customFormat="1" ht="15" customHeight="1" outlineLevel="1">
      <c r="A187" s="7"/>
      <c r="B187" s="38"/>
      <c r="C187" s="77"/>
      <c r="D187" s="39"/>
      <c r="E187" s="39"/>
      <c r="F187" s="40"/>
      <c r="G187" s="40"/>
      <c r="H187" s="40"/>
      <c r="I187" s="40"/>
      <c r="J187" s="40"/>
      <c r="K187" s="58"/>
      <c r="L187" s="58"/>
      <c r="M187" s="58"/>
      <c r="N187" s="58"/>
      <c r="O187" s="58"/>
      <c r="P187" s="54"/>
    </row>
    <row r="188" spans="1:16" s="16" customFormat="1" ht="15" customHeight="1" outlineLevel="1">
      <c r="A188" s="7"/>
      <c r="B188" s="13"/>
      <c r="C188" s="13"/>
      <c r="D188" s="9"/>
      <c r="E188" s="9"/>
      <c r="F188" s="14"/>
      <c r="G188" s="14"/>
      <c r="H188" s="14"/>
      <c r="I188" s="14"/>
      <c r="J188" s="14"/>
      <c r="K188" s="48"/>
      <c r="L188" s="48"/>
      <c r="M188" s="48"/>
      <c r="N188" s="48"/>
      <c r="O188" s="48"/>
      <c r="P188" s="54"/>
    </row>
    <row r="189" spans="1:16" s="16" customFormat="1" ht="15" customHeight="1" outlineLevel="1">
      <c r="A189" s="7"/>
      <c r="B189" s="36" t="s">
        <v>78</v>
      </c>
      <c r="C189" s="13"/>
      <c r="D189" s="9"/>
      <c r="E189" s="9"/>
      <c r="F189" s="14"/>
      <c r="G189" s="14"/>
      <c r="H189" s="14"/>
      <c r="I189" s="14"/>
      <c r="J189" s="14"/>
      <c r="K189" s="48"/>
      <c r="L189" s="48"/>
      <c r="M189" s="48"/>
      <c r="N189" s="48"/>
      <c r="O189" s="48"/>
      <c r="P189" s="54"/>
    </row>
    <row r="190" spans="1:16" s="16" customFormat="1" ht="15" customHeight="1" outlineLevel="1">
      <c r="A190" s="7"/>
      <c r="B190" s="13"/>
      <c r="C190" s="32" t="s">
        <v>65</v>
      </c>
      <c r="D190" s="9"/>
      <c r="E190" s="9"/>
      <c r="F190" s="14"/>
      <c r="G190" s="14"/>
      <c r="H190" s="26"/>
      <c r="I190" s="26"/>
      <c r="J190" s="26"/>
      <c r="K190" s="187">
        <f>($F$164/$F$163)*K164</f>
        <v>4063.375</v>
      </c>
      <c r="L190" s="187">
        <f>($F$164/$F$163)*L164</f>
        <v>4063.375</v>
      </c>
      <c r="M190" s="187">
        <f>($F$164/$F$163)*M164</f>
        <v>4063.375</v>
      </c>
      <c r="N190" s="187">
        <f>($F$164/$F$163)*N164</f>
        <v>4063.375</v>
      </c>
      <c r="O190" s="187">
        <f>($F$164/$F$163)*O164</f>
        <v>4063.375</v>
      </c>
      <c r="P190" s="51"/>
    </row>
    <row r="191" spans="1:16" s="16" customFormat="1" ht="15" customHeight="1" outlineLevel="1">
      <c r="A191" s="7"/>
      <c r="B191" s="13"/>
      <c r="C191" s="32" t="s">
        <v>66</v>
      </c>
      <c r="D191" s="9"/>
      <c r="E191" s="9"/>
      <c r="F191" s="14"/>
      <c r="G191" s="14"/>
      <c r="H191" s="14"/>
      <c r="I191" s="14"/>
      <c r="J191" s="14"/>
      <c r="K191" s="187">
        <f>SUM(K182:K186)</f>
        <v>113.75</v>
      </c>
      <c r="L191" s="187">
        <f>SUM(L182:L186)</f>
        <v>345</v>
      </c>
      <c r="M191" s="187">
        <f>SUM(M182:M186)</f>
        <v>583.75</v>
      </c>
      <c r="N191" s="187">
        <f>SUM(N182:N186)</f>
        <v>830</v>
      </c>
      <c r="O191" s="187">
        <f>SUM(O182:O186)</f>
        <v>1083.125</v>
      </c>
      <c r="P191" s="51"/>
    </row>
    <row r="192" spans="1:16" s="16" customFormat="1" ht="15" customHeight="1" outlineLevel="1" thickBot="1">
      <c r="A192" s="7"/>
      <c r="B192" s="13"/>
      <c r="C192" s="32" t="s">
        <v>71</v>
      </c>
      <c r="D192" s="9"/>
      <c r="E192" s="9"/>
      <c r="F192" s="14"/>
      <c r="G192" s="14"/>
      <c r="H192" s="14"/>
      <c r="I192" s="14"/>
      <c r="J192" s="14"/>
      <c r="K192" s="212">
        <f>SUM(K190:K191)</f>
        <v>4177.125</v>
      </c>
      <c r="L192" s="212">
        <f>SUM(L190:L191)</f>
        <v>4408.375</v>
      </c>
      <c r="M192" s="212">
        <f>SUM(M190:M191)</f>
        <v>4647.125</v>
      </c>
      <c r="N192" s="212">
        <f>SUM(N190:N191)</f>
        <v>4893.375</v>
      </c>
      <c r="O192" s="212">
        <f>SUM(O190:O191)</f>
        <v>5146.5</v>
      </c>
      <c r="P192" s="54"/>
    </row>
    <row r="193" spans="1:16" s="16" customFormat="1" ht="15" customHeight="1" outlineLevel="1">
      <c r="A193" s="7"/>
      <c r="B193" s="13"/>
      <c r="C193" s="32"/>
      <c r="D193" s="9"/>
      <c r="E193" s="9"/>
      <c r="F193" s="14"/>
      <c r="G193" s="14"/>
      <c r="H193" s="14"/>
      <c r="I193" s="14"/>
      <c r="J193" s="14"/>
      <c r="K193" s="26"/>
      <c r="L193" s="26"/>
      <c r="M193" s="26"/>
      <c r="N193" s="26"/>
      <c r="O193" s="26"/>
      <c r="P193" s="54"/>
    </row>
    <row r="194" spans="1:16" s="16" customFormat="1" ht="15" customHeight="1" outlineLevel="1">
      <c r="A194" s="7"/>
      <c r="B194" s="13"/>
      <c r="C194" s="32"/>
      <c r="D194" s="9"/>
      <c r="E194" s="9"/>
      <c r="F194" s="14"/>
      <c r="G194" s="14"/>
      <c r="H194" s="14"/>
      <c r="I194" s="14"/>
      <c r="J194" s="14"/>
      <c r="K194" s="26"/>
      <c r="L194" s="26"/>
      <c r="M194" s="26"/>
      <c r="N194" s="26"/>
      <c r="O194" s="26"/>
      <c r="P194" s="54"/>
    </row>
    <row r="195" spans="1:16" s="16" customFormat="1" ht="15" customHeight="1" outlineLevel="1">
      <c r="A195" s="7"/>
      <c r="B195" s="13"/>
      <c r="C195" s="32"/>
      <c r="D195" s="9"/>
      <c r="E195" s="9"/>
      <c r="F195" s="14"/>
      <c r="G195" s="14"/>
      <c r="H195" s="14"/>
      <c r="I195" s="14"/>
      <c r="J195" s="14"/>
      <c r="K195" s="26"/>
      <c r="L195" s="26"/>
      <c r="M195" s="26"/>
      <c r="N195" s="26"/>
      <c r="O195" s="26"/>
      <c r="P195" s="54"/>
    </row>
    <row r="196" spans="1:16" s="16" customFormat="1" ht="15" customHeight="1" outlineLevel="1">
      <c r="A196" s="7"/>
      <c r="B196" s="13"/>
      <c r="C196" s="32"/>
      <c r="D196" s="9"/>
      <c r="E196" s="9"/>
      <c r="F196" s="14"/>
      <c r="G196" s="14"/>
      <c r="H196" s="14"/>
      <c r="I196" s="14"/>
      <c r="J196" s="14"/>
      <c r="K196" s="26"/>
      <c r="L196" s="26"/>
      <c r="M196" s="26"/>
      <c r="N196" s="26"/>
      <c r="O196" s="26"/>
      <c r="P196" s="54"/>
    </row>
    <row r="197" spans="1:16" s="16" customFormat="1" ht="15" customHeight="1" outlineLevel="1">
      <c r="A197" s="7"/>
      <c r="C197" s="178"/>
      <c r="E197" s="9"/>
      <c r="F197" s="14"/>
      <c r="G197" s="14"/>
      <c r="H197" s="14"/>
      <c r="I197" s="14"/>
      <c r="J197" s="14"/>
      <c r="K197" s="48"/>
      <c r="L197" s="48"/>
      <c r="M197" s="48"/>
      <c r="N197" s="48"/>
      <c r="O197" s="180" t="s">
        <v>106</v>
      </c>
      <c r="P197" s="51"/>
    </row>
    <row r="198" spans="1:16" s="16" customFormat="1" ht="15" customHeight="1" outlineLevel="1">
      <c r="A198" s="7"/>
      <c r="C198" s="178"/>
      <c r="E198" s="9"/>
      <c r="F198" s="14"/>
      <c r="G198" s="14"/>
      <c r="H198" s="14"/>
      <c r="I198" s="14"/>
      <c r="J198" s="14"/>
      <c r="K198" s="48"/>
      <c r="L198" s="48"/>
      <c r="M198" s="48"/>
      <c r="N198" s="48"/>
      <c r="O198" s="181" t="s">
        <v>107</v>
      </c>
      <c r="P198" s="51"/>
    </row>
    <row r="199" spans="1:16" s="16" customFormat="1" ht="15" customHeight="1" outlineLevel="1">
      <c r="A199" s="7"/>
      <c r="C199" s="178"/>
      <c r="E199" s="9"/>
      <c r="F199" s="14"/>
      <c r="G199" s="14"/>
      <c r="H199" s="14"/>
      <c r="I199" s="14"/>
      <c r="J199" s="14"/>
      <c r="K199" s="48"/>
      <c r="L199" s="48"/>
      <c r="M199" s="48"/>
      <c r="N199" s="48"/>
      <c r="O199" s="181"/>
      <c r="P199" s="51"/>
    </row>
    <row r="200" spans="1:16" s="16" customFormat="1" ht="15" customHeight="1" outlineLevel="1">
      <c r="A200" s="7"/>
      <c r="B200" s="38"/>
      <c r="C200" s="38"/>
      <c r="D200" s="39"/>
      <c r="E200" s="39"/>
      <c r="F200" s="40"/>
      <c r="G200" s="40"/>
      <c r="H200" s="40"/>
      <c r="I200" s="40"/>
      <c r="J200" s="40"/>
      <c r="K200" s="58"/>
      <c r="L200" s="58"/>
      <c r="M200" s="58"/>
      <c r="N200" s="58"/>
      <c r="O200" s="58"/>
      <c r="P200" s="54"/>
    </row>
    <row r="201" spans="1:16" s="16" customFormat="1" ht="15" customHeight="1">
      <c r="A201" s="7"/>
      <c r="B201" s="13"/>
      <c r="C201" s="13"/>
      <c r="D201" s="9"/>
      <c r="E201" s="9"/>
      <c r="F201" s="14"/>
      <c r="G201" s="14"/>
      <c r="H201" s="14"/>
      <c r="I201" s="14"/>
      <c r="J201" s="14"/>
      <c r="K201" s="48"/>
      <c r="L201" s="48"/>
      <c r="M201" s="48"/>
      <c r="N201" s="48"/>
      <c r="O201" s="48"/>
      <c r="P201" s="54"/>
    </row>
    <row r="202" spans="1:16" s="16" customFormat="1" ht="15" customHeight="1">
      <c r="A202" s="7" t="s">
        <v>109</v>
      </c>
      <c r="B202" s="120" t="s">
        <v>55</v>
      </c>
      <c r="C202" s="120"/>
      <c r="D202" s="121"/>
      <c r="E202" s="121"/>
      <c r="F202" s="125"/>
      <c r="G202" s="125"/>
      <c r="H202" s="123"/>
      <c r="I202" s="123"/>
      <c r="J202" s="123"/>
      <c r="K202" s="126"/>
      <c r="L202" s="127"/>
      <c r="M202" s="127"/>
      <c r="N202" s="127"/>
      <c r="O202" s="127"/>
      <c r="P202" s="54"/>
    </row>
    <row r="203" spans="1:16" s="16" customFormat="1" ht="15" customHeight="1" outlineLevel="1">
      <c r="A203" s="7"/>
      <c r="B203" s="8"/>
      <c r="C203" s="8"/>
      <c r="D203" s="9"/>
      <c r="E203" s="9"/>
      <c r="F203" s="10"/>
      <c r="G203" s="10"/>
      <c r="H203" s="11"/>
      <c r="I203" s="12"/>
      <c r="J203" s="12"/>
      <c r="K203" s="12"/>
      <c r="L203" s="12"/>
      <c r="M203" s="12"/>
      <c r="N203" s="12"/>
      <c r="O203" s="12"/>
      <c r="P203" s="54"/>
    </row>
    <row r="204" spans="1:16" s="16" customFormat="1" ht="15" customHeight="1" outlineLevel="1" thickBot="1">
      <c r="A204" s="7"/>
      <c r="B204" s="13" t="s">
        <v>19</v>
      </c>
      <c r="C204" s="13"/>
      <c r="D204" s="9"/>
      <c r="E204" s="9"/>
      <c r="F204" s="14"/>
      <c r="G204" s="14"/>
      <c r="H204" s="11"/>
      <c r="I204" s="134">
        <v>2020</v>
      </c>
      <c r="J204" s="129">
        <f t="shared" ref="J204:O204" si="58">I204+1</f>
        <v>2021</v>
      </c>
      <c r="K204" s="15">
        <f t="shared" si="58"/>
        <v>2022</v>
      </c>
      <c r="L204" s="15">
        <f t="shared" si="58"/>
        <v>2023</v>
      </c>
      <c r="M204" s="15">
        <f t="shared" si="58"/>
        <v>2024</v>
      </c>
      <c r="N204" s="15">
        <f t="shared" si="58"/>
        <v>2025</v>
      </c>
      <c r="O204" s="15">
        <f t="shared" si="58"/>
        <v>2026</v>
      </c>
      <c r="P204" s="51"/>
    </row>
    <row r="205" spans="1:16" s="16" customFormat="1" ht="15" customHeight="1" outlineLevel="1">
      <c r="A205" s="7"/>
      <c r="B205" s="13"/>
      <c r="C205" s="13"/>
      <c r="D205" s="9"/>
      <c r="E205" s="9"/>
      <c r="F205" s="14"/>
      <c r="G205" s="14"/>
      <c r="H205" s="14"/>
      <c r="I205" s="14"/>
      <c r="J205" s="14"/>
      <c r="K205" s="48"/>
      <c r="L205" s="48"/>
      <c r="M205" s="48"/>
      <c r="N205" s="48"/>
      <c r="O205" s="48"/>
      <c r="P205" s="54"/>
    </row>
    <row r="206" spans="1:16" s="16" customFormat="1" ht="15" customHeight="1" outlineLevel="1">
      <c r="A206" s="7"/>
      <c r="B206" s="63" t="s">
        <v>56</v>
      </c>
      <c r="C206" s="70"/>
      <c r="D206" s="61"/>
      <c r="E206" s="61"/>
      <c r="F206" s="62"/>
      <c r="G206" s="62"/>
      <c r="H206" s="62"/>
      <c r="I206" s="116">
        <v>5199</v>
      </c>
      <c r="J206" s="116">
        <v>4400</v>
      </c>
      <c r="K206" s="116">
        <v>4550</v>
      </c>
      <c r="L206" s="116">
        <v>4700</v>
      </c>
      <c r="M206" s="116">
        <v>4850</v>
      </c>
      <c r="N206" s="116">
        <v>5000</v>
      </c>
      <c r="O206" s="161">
        <v>5125</v>
      </c>
    </row>
    <row r="207" spans="1:16" s="16" customFormat="1" ht="15" customHeight="1" outlineLevel="1">
      <c r="A207" s="7"/>
      <c r="B207" s="64" t="s">
        <v>60</v>
      </c>
      <c r="C207" s="38"/>
      <c r="D207" s="39"/>
      <c r="E207" s="39"/>
      <c r="F207" s="41"/>
      <c r="G207" s="40"/>
      <c r="H207" s="40"/>
      <c r="I207" s="40"/>
      <c r="J207" s="40"/>
      <c r="K207" s="171">
        <v>0.15</v>
      </c>
      <c r="L207" s="171">
        <v>0.15</v>
      </c>
      <c r="M207" s="171">
        <v>0.15</v>
      </c>
      <c r="N207" s="171">
        <v>0.15</v>
      </c>
      <c r="O207" s="175">
        <v>0.15</v>
      </c>
    </row>
    <row r="208" spans="1:16" s="16" customFormat="1" ht="15" customHeight="1" outlineLevel="1">
      <c r="A208" s="7"/>
      <c r="B208" s="13"/>
      <c r="C208" s="13"/>
      <c r="D208" s="9"/>
      <c r="E208" s="9"/>
      <c r="F208" s="14"/>
      <c r="G208" s="14"/>
      <c r="H208" s="14"/>
      <c r="I208" s="14"/>
      <c r="J208" s="14"/>
      <c r="K208" s="48"/>
      <c r="L208" s="48"/>
      <c r="M208" s="48"/>
      <c r="N208" s="48"/>
      <c r="O208" s="48"/>
    </row>
    <row r="209" spans="1:16" s="16" customFormat="1" ht="15" customHeight="1" outlineLevel="1">
      <c r="A209" s="7"/>
      <c r="B209" s="65" t="s">
        <v>76</v>
      </c>
      <c r="C209" s="92"/>
      <c r="D209" s="92"/>
      <c r="E209" s="92"/>
      <c r="F209" s="115">
        <v>0.5</v>
      </c>
      <c r="G209" s="14"/>
      <c r="H209" s="14"/>
      <c r="I209" s="14"/>
      <c r="J209" s="14"/>
      <c r="K209" s="48"/>
      <c r="L209" s="48"/>
      <c r="M209" s="48"/>
      <c r="N209" s="48"/>
      <c r="O209" s="48"/>
    </row>
    <row r="210" spans="1:16" s="16" customFormat="1" ht="15" customHeight="1" outlineLevel="1">
      <c r="A210" s="7"/>
      <c r="B210" s="18"/>
      <c r="C210" s="88"/>
      <c r="D210" s="88"/>
      <c r="E210" s="88"/>
      <c r="F210" s="91"/>
      <c r="G210" s="14"/>
      <c r="H210" s="14"/>
      <c r="I210" s="14"/>
      <c r="J210" s="14"/>
      <c r="K210" s="74"/>
      <c r="L210" s="74"/>
      <c r="M210" s="74"/>
      <c r="N210" s="74"/>
      <c r="O210" s="74"/>
    </row>
    <row r="211" spans="1:16" s="16" customFormat="1" ht="15" customHeight="1" outlineLevel="1">
      <c r="A211" s="7"/>
      <c r="B211" s="18"/>
      <c r="C211" s="88"/>
      <c r="D211" s="88"/>
      <c r="E211" s="88"/>
      <c r="F211" s="91"/>
      <c r="G211" s="14"/>
      <c r="H211" s="14"/>
      <c r="I211" s="14"/>
      <c r="J211" s="14"/>
      <c r="K211" s="74"/>
      <c r="L211" s="74"/>
      <c r="M211" s="74"/>
      <c r="N211" s="74"/>
      <c r="O211" s="74"/>
    </row>
    <row r="212" spans="1:16" s="16" customFormat="1" ht="15" customHeight="1" outlineLevel="1">
      <c r="A212" s="7"/>
      <c r="B212" s="36" t="s">
        <v>88</v>
      </c>
      <c r="D212" s="9"/>
      <c r="E212" s="9"/>
      <c r="F212" s="14"/>
      <c r="G212" s="14"/>
      <c r="H212" s="14"/>
      <c r="I212" s="14"/>
      <c r="J212" s="14"/>
      <c r="K212" s="48"/>
      <c r="L212" s="48"/>
      <c r="M212" s="48"/>
      <c r="N212" s="48"/>
      <c r="O212" s="48"/>
    </row>
    <row r="213" spans="1:16" s="16" customFormat="1" ht="15" customHeight="1" outlineLevel="1">
      <c r="A213" s="7"/>
      <c r="B213" s="32"/>
      <c r="C213" s="32" t="s">
        <v>7</v>
      </c>
      <c r="D213" s="9"/>
      <c r="E213" s="9"/>
      <c r="F213" s="14"/>
      <c r="G213" s="14"/>
      <c r="H213" s="14"/>
      <c r="I213" s="26"/>
      <c r="J213" s="26"/>
      <c r="K213" s="187">
        <f>J216</f>
        <v>65014</v>
      </c>
      <c r="L213" s="187">
        <f>K216</f>
        <v>65386.875</v>
      </c>
      <c r="M213" s="187">
        <f>L216</f>
        <v>65678.5</v>
      </c>
      <c r="N213" s="187">
        <f>M216</f>
        <v>65881.375</v>
      </c>
      <c r="O213" s="187">
        <f>N216</f>
        <v>65988</v>
      </c>
    </row>
    <row r="214" spans="1:16" s="16" customFormat="1" ht="15" customHeight="1" outlineLevel="1">
      <c r="A214" s="7"/>
      <c r="B214" s="32"/>
      <c r="C214" s="32" t="s">
        <v>56</v>
      </c>
      <c r="D214" s="9"/>
      <c r="E214" s="9"/>
      <c r="F214" s="14"/>
      <c r="G214" s="14"/>
      <c r="H214" s="14"/>
      <c r="I214" s="26"/>
      <c r="J214" s="172"/>
      <c r="K214" s="187">
        <f>K206</f>
        <v>4550</v>
      </c>
      <c r="L214" s="187">
        <f>L206</f>
        <v>4700</v>
      </c>
      <c r="M214" s="187">
        <f>M206</f>
        <v>4850</v>
      </c>
      <c r="N214" s="187">
        <f>N206</f>
        <v>5000</v>
      </c>
      <c r="O214" s="187">
        <f>O206</f>
        <v>5125</v>
      </c>
    </row>
    <row r="215" spans="1:16" s="16" customFormat="1" ht="15" customHeight="1" outlineLevel="1">
      <c r="A215" s="7"/>
      <c r="B215" s="32"/>
      <c r="C215" s="32" t="s">
        <v>57</v>
      </c>
      <c r="D215" s="9"/>
      <c r="E215" s="9"/>
      <c r="F215" s="14"/>
      <c r="G215" s="14"/>
      <c r="H215" s="14"/>
      <c r="I215" s="26"/>
      <c r="J215" s="31"/>
      <c r="K215" s="204">
        <v>-4177.125</v>
      </c>
      <c r="L215" s="204">
        <v>-4408.375</v>
      </c>
      <c r="M215" s="204">
        <v>-4647.125</v>
      </c>
      <c r="N215" s="204">
        <v>-4893.375</v>
      </c>
      <c r="O215" s="204">
        <v>-5146.5</v>
      </c>
    </row>
    <row r="216" spans="1:16" s="16" customFormat="1" ht="15" customHeight="1" outlineLevel="1">
      <c r="A216" s="7"/>
      <c r="B216" s="32"/>
      <c r="C216" s="32" t="s">
        <v>8</v>
      </c>
      <c r="D216" s="9"/>
      <c r="E216" s="9"/>
      <c r="F216" s="14"/>
      <c r="G216" s="14"/>
      <c r="H216" s="153"/>
      <c r="I216" s="26"/>
      <c r="J216" s="24">
        <v>65014</v>
      </c>
      <c r="K216" s="187">
        <f>SUM(K213:K215)</f>
        <v>65386.875</v>
      </c>
      <c r="L216" s="187">
        <f>SUM(L213:L215)</f>
        <v>65678.5</v>
      </c>
      <c r="M216" s="187">
        <f>SUM(M213:M215)</f>
        <v>65881.375</v>
      </c>
      <c r="N216" s="187">
        <f>SUM(N213:N215)</f>
        <v>65988</v>
      </c>
      <c r="O216" s="187">
        <f>SUM(O213:O215)</f>
        <v>65966.5</v>
      </c>
    </row>
    <row r="217" spans="1:16" s="16" customFormat="1" ht="15" customHeight="1" outlineLevel="1">
      <c r="A217" s="7"/>
      <c r="B217" s="13"/>
      <c r="C217" s="13"/>
      <c r="D217" s="9"/>
      <c r="E217" s="9"/>
      <c r="F217" s="14"/>
      <c r="G217" s="14"/>
      <c r="H217" s="14"/>
      <c r="I217" s="14"/>
      <c r="J217" s="14"/>
      <c r="K217" s="48"/>
      <c r="L217" s="48"/>
      <c r="M217" s="48"/>
      <c r="N217" s="48"/>
      <c r="O217" s="48"/>
      <c r="P217" s="48"/>
    </row>
    <row r="218" spans="1:16" s="16" customFormat="1" ht="15" customHeight="1" outlineLevel="1">
      <c r="A218" s="7"/>
      <c r="B218" s="36" t="s">
        <v>58</v>
      </c>
      <c r="D218" s="9"/>
      <c r="E218" s="9"/>
      <c r="F218" s="14"/>
      <c r="G218" s="14"/>
      <c r="H218" s="14"/>
      <c r="I218" s="14"/>
      <c r="J218" s="14"/>
      <c r="K218" s="48"/>
      <c r="L218" s="48"/>
      <c r="M218" s="48"/>
      <c r="N218" s="48"/>
      <c r="O218" s="48"/>
      <c r="P218" s="48"/>
    </row>
    <row r="219" spans="1:16" s="16" customFormat="1" ht="15" customHeight="1" outlineLevel="1">
      <c r="A219" s="7"/>
      <c r="B219" s="32"/>
      <c r="C219" s="32" t="s">
        <v>7</v>
      </c>
      <c r="D219" s="9"/>
      <c r="E219" s="9"/>
      <c r="F219" s="14"/>
      <c r="G219" s="14"/>
      <c r="H219" s="14"/>
      <c r="I219" s="26"/>
      <c r="J219" s="26"/>
      <c r="K219" s="187">
        <f>J222</f>
        <v>39211</v>
      </c>
      <c r="L219" s="187">
        <f>K222</f>
        <v>37538.1</v>
      </c>
      <c r="M219" s="187">
        <f>L222</f>
        <v>36254.885000000002</v>
      </c>
      <c r="N219" s="187">
        <f>M222</f>
        <v>35302.902249999999</v>
      </c>
      <c r="O219" s="187">
        <f>N222</f>
        <v>34632.4669125</v>
      </c>
      <c r="P219" s="48"/>
    </row>
    <row r="220" spans="1:16" s="16" customFormat="1" ht="15" customHeight="1" outlineLevel="1">
      <c r="A220" s="7"/>
      <c r="B220" s="32"/>
      <c r="C220" s="32" t="s">
        <v>56</v>
      </c>
      <c r="D220" s="9"/>
      <c r="E220" s="9"/>
      <c r="F220" s="14"/>
      <c r="G220" s="14"/>
      <c r="H220" s="14"/>
      <c r="I220" s="26"/>
      <c r="J220" s="26"/>
      <c r="K220" s="187">
        <f>K214</f>
        <v>4550</v>
      </c>
      <c r="L220" s="187">
        <f>L214</f>
        <v>4700</v>
      </c>
      <c r="M220" s="187">
        <f>M214</f>
        <v>4850</v>
      </c>
      <c r="N220" s="187">
        <f>N214</f>
        <v>5000</v>
      </c>
      <c r="O220" s="187">
        <f>O214</f>
        <v>5125</v>
      </c>
      <c r="P220" s="48"/>
    </row>
    <row r="221" spans="1:16" s="16" customFormat="1" ht="15" customHeight="1" outlineLevel="1">
      <c r="A221" s="7"/>
      <c r="B221" s="32"/>
      <c r="C221" s="32" t="s">
        <v>59</v>
      </c>
      <c r="D221" s="9"/>
      <c r="E221" s="9"/>
      <c r="F221" s="14"/>
      <c r="G221" s="14"/>
      <c r="H221" s="14"/>
      <c r="I221" s="26"/>
      <c r="J221" s="31"/>
      <c r="K221" s="207">
        <f>-(K219+K220*$F$209)*K207</f>
        <v>-6222.9</v>
      </c>
      <c r="L221" s="207">
        <f>-(L219+L220*$F$209)*L207</f>
        <v>-5983.2149999999992</v>
      </c>
      <c r="M221" s="207">
        <f>-(M219+M220*$F$209)*M207</f>
        <v>-5801.9827500000001</v>
      </c>
      <c r="N221" s="207">
        <f>-(N219+N220*$F$209)*N207</f>
        <v>-5670.4353375000001</v>
      </c>
      <c r="O221" s="207">
        <f>-(O219+O220*$F$209)*O207</f>
        <v>-5579.2450368749996</v>
      </c>
      <c r="P221" s="48"/>
    </row>
    <row r="222" spans="1:16" s="16" customFormat="1" ht="15" customHeight="1" outlineLevel="1">
      <c r="A222" s="7"/>
      <c r="B222" s="32"/>
      <c r="C222" s="32" t="s">
        <v>8</v>
      </c>
      <c r="D222" s="9"/>
      <c r="E222" s="9"/>
      <c r="F222" s="14"/>
      <c r="G222" s="14"/>
      <c r="H222" s="24"/>
      <c r="I222" s="26"/>
      <c r="J222" s="24">
        <v>39211</v>
      </c>
      <c r="K222" s="187">
        <f>SUM(K219:K221)</f>
        <v>37538.1</v>
      </c>
      <c r="L222" s="187">
        <f>SUM(L219:L221)</f>
        <v>36254.885000000002</v>
      </c>
      <c r="M222" s="187">
        <f>SUM(M219:M221)</f>
        <v>35302.902249999999</v>
      </c>
      <c r="N222" s="187">
        <f>SUM(N219:N221)</f>
        <v>34632.4669125</v>
      </c>
      <c r="O222" s="187">
        <f>SUM(O219:O221)</f>
        <v>34178.221875625</v>
      </c>
      <c r="P222" s="48"/>
    </row>
    <row r="223" spans="1:16" s="16" customFormat="1" ht="15" customHeight="1" outlineLevel="1">
      <c r="A223" s="7"/>
      <c r="B223" s="13"/>
      <c r="C223" s="13"/>
      <c r="D223" s="9"/>
      <c r="E223" s="9"/>
      <c r="F223" s="14"/>
      <c r="G223" s="14"/>
      <c r="H223" s="14"/>
      <c r="I223" s="14"/>
      <c r="J223" s="14"/>
      <c r="K223" s="48"/>
      <c r="L223" s="48"/>
      <c r="M223" s="48"/>
      <c r="N223" s="48"/>
      <c r="O223" s="48"/>
      <c r="P223" s="54"/>
    </row>
    <row r="224" spans="1:16" s="16" customFormat="1" ht="15" customHeight="1" outlineLevel="1">
      <c r="A224" s="7"/>
      <c r="B224" s="13"/>
      <c r="C224" s="13"/>
      <c r="D224" s="9"/>
      <c r="E224" s="9"/>
      <c r="F224" s="14"/>
      <c r="G224" s="14"/>
      <c r="H224" s="14"/>
      <c r="I224" s="14"/>
      <c r="J224" s="14"/>
      <c r="K224" s="48"/>
      <c r="L224" s="48"/>
      <c r="M224" s="48"/>
      <c r="N224" s="48"/>
      <c r="O224" s="48"/>
      <c r="P224" s="54"/>
    </row>
    <row r="225" spans="1:16" s="16" customFormat="1" ht="15" customHeight="1" outlineLevel="1">
      <c r="A225" s="7"/>
      <c r="B225" s="13"/>
      <c r="C225" s="13"/>
      <c r="D225" s="9"/>
      <c r="E225" s="9"/>
      <c r="F225" s="14"/>
      <c r="G225" s="14"/>
      <c r="H225" s="14"/>
      <c r="I225" s="14"/>
      <c r="J225" s="14"/>
      <c r="K225" s="48"/>
      <c r="L225" s="48"/>
      <c r="M225" s="48"/>
      <c r="N225" s="48"/>
      <c r="O225" s="48"/>
      <c r="P225" s="54"/>
    </row>
    <row r="226" spans="1:16" s="16" customFormat="1" ht="15" customHeight="1" outlineLevel="1">
      <c r="A226" s="7"/>
      <c r="B226" s="13"/>
      <c r="C226" s="13"/>
      <c r="D226" s="9"/>
      <c r="E226" s="9"/>
      <c r="F226" s="14"/>
      <c r="G226" s="14"/>
      <c r="H226" s="14"/>
      <c r="I226" s="14"/>
      <c r="J226" s="14"/>
      <c r="K226" s="48"/>
      <c r="L226" s="48"/>
      <c r="M226" s="48"/>
      <c r="N226" s="48"/>
      <c r="O226" s="48"/>
      <c r="P226" s="54"/>
    </row>
    <row r="227" spans="1:16" s="16" customFormat="1" ht="15" customHeight="1" outlineLevel="1">
      <c r="A227" s="7"/>
      <c r="C227" s="178"/>
      <c r="E227" s="9"/>
      <c r="F227" s="14"/>
      <c r="G227" s="14"/>
      <c r="H227" s="14"/>
      <c r="I227" s="14"/>
      <c r="J227" s="14"/>
      <c r="K227" s="48"/>
      <c r="L227" s="48"/>
      <c r="M227" s="48"/>
      <c r="N227" s="48"/>
      <c r="O227" s="180" t="s">
        <v>108</v>
      </c>
      <c r="P227" s="51"/>
    </row>
    <row r="228" spans="1:16" s="16" customFormat="1" ht="15" customHeight="1" outlineLevel="1">
      <c r="A228" s="7"/>
      <c r="B228" s="13"/>
      <c r="C228" s="13"/>
      <c r="D228" s="9"/>
      <c r="E228" s="9"/>
      <c r="F228" s="14"/>
      <c r="G228" s="14"/>
      <c r="H228" s="14"/>
      <c r="I228" s="14"/>
      <c r="J228" s="14"/>
      <c r="K228" s="48"/>
      <c r="L228" s="48"/>
      <c r="M228" s="48"/>
      <c r="N228" s="48"/>
      <c r="O228" s="48"/>
      <c r="P228" s="51"/>
    </row>
    <row r="229" spans="1:16" s="16" customFormat="1" ht="15" customHeight="1" outlineLevel="1">
      <c r="A229" s="7"/>
      <c r="B229" s="38"/>
      <c r="C229" s="38"/>
      <c r="D229" s="39"/>
      <c r="E229" s="39"/>
      <c r="F229" s="40"/>
      <c r="G229" s="40"/>
      <c r="H229" s="40"/>
      <c r="I229" s="40"/>
      <c r="J229" s="40"/>
      <c r="K229" s="58"/>
      <c r="L229" s="58"/>
      <c r="M229" s="58"/>
      <c r="N229" s="58"/>
      <c r="O229" s="58"/>
      <c r="P229" s="87"/>
    </row>
    <row r="230" spans="1:16" s="16" customFormat="1" ht="15" customHeight="1">
      <c r="A230" s="7"/>
      <c r="B230" s="13"/>
      <c r="C230" s="13"/>
      <c r="D230" s="9"/>
      <c r="E230" s="9"/>
      <c r="F230" s="14"/>
      <c r="G230" s="14"/>
      <c r="H230" s="14"/>
      <c r="I230" s="14"/>
      <c r="J230" s="14"/>
      <c r="K230" s="48"/>
      <c r="L230" s="48"/>
      <c r="M230" s="48"/>
      <c r="N230" s="48"/>
      <c r="O230" s="48"/>
      <c r="P230" s="87"/>
    </row>
    <row r="231" spans="1:16" s="16" customFormat="1" ht="15" customHeight="1">
      <c r="A231" s="7" t="s">
        <v>109</v>
      </c>
      <c r="B231" s="120" t="s">
        <v>74</v>
      </c>
      <c r="C231" s="120"/>
      <c r="D231" s="121"/>
      <c r="E231" s="121"/>
      <c r="F231" s="125"/>
      <c r="G231" s="125"/>
      <c r="H231" s="123"/>
      <c r="I231" s="123"/>
      <c r="J231" s="123"/>
      <c r="K231" s="126"/>
      <c r="L231" s="127"/>
      <c r="M231" s="127"/>
      <c r="N231" s="127"/>
      <c r="O231" s="127"/>
      <c r="P231" s="51"/>
    </row>
    <row r="232" spans="1:16" s="16" customFormat="1" ht="15" customHeight="1" outlineLevel="1">
      <c r="A232" s="7"/>
      <c r="B232" s="8"/>
      <c r="C232" s="8"/>
      <c r="D232" s="9"/>
      <c r="E232" s="9"/>
      <c r="F232" s="10"/>
      <c r="G232" s="10"/>
      <c r="H232" s="11"/>
      <c r="I232" s="12"/>
      <c r="J232" s="12"/>
      <c r="K232" s="12"/>
      <c r="L232" s="12"/>
      <c r="M232" s="12"/>
      <c r="N232" s="12"/>
      <c r="O232" s="12"/>
      <c r="P232" s="87"/>
    </row>
    <row r="233" spans="1:16" s="16" customFormat="1" ht="15" customHeight="1" outlineLevel="1" thickBot="1">
      <c r="A233" s="7"/>
      <c r="B233" s="13" t="s">
        <v>19</v>
      </c>
      <c r="C233" s="13"/>
      <c r="D233" s="9"/>
      <c r="E233" s="9"/>
      <c r="F233" s="14"/>
      <c r="G233" s="14"/>
      <c r="H233" s="14"/>
      <c r="I233" s="14"/>
      <c r="J233" s="134">
        <v>2021</v>
      </c>
      <c r="K233" s="15">
        <f>J233+1</f>
        <v>2022</v>
      </c>
      <c r="L233" s="15">
        <f>K233+1</f>
        <v>2023</v>
      </c>
      <c r="M233" s="15">
        <f>L233+1</f>
        <v>2024</v>
      </c>
      <c r="N233" s="15">
        <f>M233+1</f>
        <v>2025</v>
      </c>
      <c r="O233" s="15">
        <f>N233+1</f>
        <v>2026</v>
      </c>
      <c r="P233" s="54"/>
    </row>
    <row r="234" spans="1:16" s="16" customFormat="1" ht="15" customHeight="1" outlineLevel="1">
      <c r="A234" s="7"/>
      <c r="B234" s="13"/>
      <c r="C234" s="13"/>
      <c r="D234" s="9"/>
      <c r="E234" s="9"/>
      <c r="F234" s="14"/>
      <c r="G234" s="14"/>
      <c r="H234" s="14"/>
      <c r="I234" s="14"/>
      <c r="J234" s="14"/>
      <c r="K234" s="48"/>
      <c r="L234" s="48"/>
      <c r="M234" s="48"/>
      <c r="N234" s="48"/>
      <c r="O234" s="48"/>
      <c r="P234" s="54"/>
    </row>
    <row r="235" spans="1:16" s="16" customFormat="1" ht="15" customHeight="1" outlineLevel="1">
      <c r="A235" s="7"/>
      <c r="B235" s="63" t="s">
        <v>64</v>
      </c>
      <c r="C235" s="60"/>
      <c r="D235" s="61"/>
      <c r="E235" s="61"/>
      <c r="F235" s="62"/>
      <c r="G235" s="62"/>
      <c r="H235" s="30"/>
      <c r="I235" s="30"/>
      <c r="J235" s="30"/>
      <c r="K235" s="116">
        <v>13061.50296285</v>
      </c>
      <c r="L235" s="116">
        <v>12772.844957366317</v>
      </c>
      <c r="M235" s="116">
        <v>12460.475897114535</v>
      </c>
      <c r="N235" s="116">
        <v>12060.61117908694</v>
      </c>
      <c r="O235" s="161">
        <v>11328.887463014515</v>
      </c>
    </row>
    <row r="236" spans="1:16" s="16" customFormat="1" ht="15" customHeight="1" outlineLevel="1">
      <c r="A236" s="7"/>
      <c r="B236" s="64" t="s">
        <v>54</v>
      </c>
      <c r="C236" s="38"/>
      <c r="D236" s="39"/>
      <c r="E236" s="39"/>
      <c r="F236" s="40"/>
      <c r="G236" s="40"/>
      <c r="H236" s="40"/>
      <c r="I236" s="40"/>
      <c r="J236" s="40"/>
      <c r="K236" s="176">
        <f>IF(K246&gt;0,1,0)</f>
        <v>1</v>
      </c>
      <c r="L236" s="176">
        <f t="shared" ref="L236:O236" si="59">IF(L246&gt;0,1,0)</f>
        <v>1</v>
      </c>
      <c r="M236" s="176">
        <f t="shared" si="59"/>
        <v>1</v>
      </c>
      <c r="N236" s="176">
        <f t="shared" si="59"/>
        <v>1</v>
      </c>
      <c r="O236" s="177">
        <f t="shared" si="59"/>
        <v>1</v>
      </c>
    </row>
    <row r="237" spans="1:16" s="16" customFormat="1" ht="15" customHeight="1" outlineLevel="1">
      <c r="A237" s="7"/>
      <c r="B237" s="13"/>
      <c r="C237" s="13"/>
      <c r="D237" s="9"/>
      <c r="E237" s="9"/>
      <c r="F237" s="14"/>
      <c r="G237" s="14"/>
      <c r="H237" s="14"/>
      <c r="I237" s="14"/>
      <c r="O237" s="48"/>
    </row>
    <row r="238" spans="1:16" s="16" customFormat="1" ht="15" customHeight="1" outlineLevel="1">
      <c r="A238" s="7"/>
      <c r="B238" s="224" t="s">
        <v>52</v>
      </c>
      <c r="C238" s="222"/>
      <c r="D238" s="223"/>
      <c r="E238" s="223"/>
      <c r="F238" s="225">
        <v>0.25</v>
      </c>
      <c r="G238" s="14"/>
      <c r="H238" s="14"/>
      <c r="I238" s="14"/>
      <c r="O238" s="48"/>
      <c r="P238" s="51"/>
    </row>
    <row r="239" spans="1:16" ht="15" customHeight="1" outlineLevel="1">
      <c r="A239" s="7"/>
      <c r="B239" s="89" t="str">
        <f>CONCATENATE("Losses Remaining at End of ",O233,"?")</f>
        <v>Losses Remaining at End of 2026?</v>
      </c>
      <c r="C239" s="27"/>
      <c r="D239" s="39"/>
      <c r="E239" s="39"/>
      <c r="F239" s="226">
        <f>IF(O257=0,0,1)</f>
        <v>0</v>
      </c>
      <c r="G239" s="14"/>
      <c r="H239" s="131"/>
      <c r="I239" s="131"/>
      <c r="J239" s="131"/>
      <c r="K239" s="131"/>
      <c r="L239" s="131"/>
      <c r="M239" s="131"/>
      <c r="N239" s="131"/>
    </row>
    <row r="240" spans="1:16" s="16" customFormat="1" ht="15" customHeight="1" outlineLevel="1">
      <c r="A240" s="7"/>
      <c r="B240" s="18"/>
      <c r="C240" s="219"/>
      <c r="D240" s="220"/>
      <c r="E240" s="220"/>
      <c r="F240" s="221"/>
      <c r="G240" s="14"/>
      <c r="H240" s="14"/>
      <c r="I240" s="14"/>
      <c r="O240" s="48"/>
      <c r="P240" s="51"/>
    </row>
    <row r="241" spans="1:16" s="16" customFormat="1" ht="15" customHeight="1" outlineLevel="1">
      <c r="A241" s="7"/>
      <c r="B241" s="13"/>
      <c r="C241" s="13"/>
      <c r="D241" s="9"/>
      <c r="E241" s="9"/>
      <c r="F241" s="55"/>
      <c r="G241" s="14"/>
      <c r="H241" s="14"/>
      <c r="I241" s="14"/>
      <c r="J241" s="14"/>
      <c r="K241" s="48"/>
      <c r="L241" s="48"/>
      <c r="M241" s="48"/>
      <c r="N241" s="48"/>
      <c r="O241" s="48"/>
    </row>
    <row r="242" spans="1:16" s="16" customFormat="1" ht="15" customHeight="1" outlineLevel="1">
      <c r="A242" s="7"/>
      <c r="B242" s="36" t="s">
        <v>47</v>
      </c>
      <c r="C242" s="13"/>
      <c r="D242" s="9"/>
      <c r="E242" s="9"/>
      <c r="F242" s="14"/>
      <c r="G242" s="14"/>
      <c r="H242" s="14"/>
      <c r="I242" s="14"/>
      <c r="J242" s="14"/>
      <c r="K242" s="48"/>
      <c r="L242" s="48"/>
      <c r="M242" s="48"/>
      <c r="N242" s="48"/>
      <c r="O242" s="48"/>
      <c r="P242" s="54"/>
    </row>
    <row r="243" spans="1:16" s="16" customFormat="1" ht="15" customHeight="1" outlineLevel="1">
      <c r="A243" s="7"/>
      <c r="B243" s="13"/>
      <c r="C243" s="32" t="s">
        <v>31</v>
      </c>
      <c r="D243" s="9"/>
      <c r="E243" s="9"/>
      <c r="F243" s="14"/>
      <c r="G243" s="14"/>
      <c r="H243" s="26"/>
      <c r="I243" s="26"/>
      <c r="J243" s="26"/>
      <c r="K243" s="26">
        <f>K235</f>
        <v>13061.50296285</v>
      </c>
      <c r="L243" s="26">
        <f>L235</f>
        <v>12772.844957366317</v>
      </c>
      <c r="M243" s="26">
        <f>M235</f>
        <v>12460.475897114535</v>
      </c>
      <c r="N243" s="26">
        <f>N235</f>
        <v>12060.61117908694</v>
      </c>
      <c r="O243" s="26">
        <f>O235</f>
        <v>11328.887463014515</v>
      </c>
      <c r="P243" s="54"/>
    </row>
    <row r="244" spans="1:16" s="16" customFormat="1" ht="15" customHeight="1" outlineLevel="1">
      <c r="A244" s="7"/>
      <c r="B244" s="13"/>
      <c r="C244" s="32" t="s">
        <v>32</v>
      </c>
      <c r="D244" s="9"/>
      <c r="E244" s="9"/>
      <c r="F244" s="14"/>
      <c r="G244" s="14"/>
      <c r="H244" s="14"/>
      <c r="I244" s="14"/>
      <c r="J244" s="14"/>
      <c r="K244" s="24">
        <v>4177.125</v>
      </c>
      <c r="L244" s="24">
        <v>4408.375</v>
      </c>
      <c r="M244" s="24">
        <v>4647.125</v>
      </c>
      <c r="N244" s="24">
        <v>4893.375</v>
      </c>
      <c r="O244" s="24">
        <v>5146.5</v>
      </c>
      <c r="P244" s="54"/>
    </row>
    <row r="245" spans="1:16" s="16" customFormat="1" ht="15" customHeight="1" outlineLevel="1">
      <c r="A245" s="7"/>
      <c r="B245" s="13"/>
      <c r="C245" s="32" t="s">
        <v>33</v>
      </c>
      <c r="D245" s="9"/>
      <c r="E245" s="9"/>
      <c r="F245" s="14"/>
      <c r="G245" s="14"/>
      <c r="H245" s="14"/>
      <c r="I245" s="14"/>
      <c r="J245" s="14"/>
      <c r="K245" s="204">
        <v>-6222.9</v>
      </c>
      <c r="L245" s="204">
        <v>-5983.2149999999992</v>
      </c>
      <c r="M245" s="204">
        <v>-5801.9827500000001</v>
      </c>
      <c r="N245" s="204">
        <v>-5670.4353375000001</v>
      </c>
      <c r="O245" s="204">
        <v>-5579.2450368749996</v>
      </c>
      <c r="P245" s="51"/>
    </row>
    <row r="246" spans="1:16" s="16" customFormat="1" ht="15" customHeight="1" outlineLevel="1">
      <c r="A246" s="7"/>
      <c r="B246" s="13"/>
      <c r="C246" s="32" t="s">
        <v>62</v>
      </c>
      <c r="D246" s="9"/>
      <c r="E246" s="9"/>
      <c r="F246" s="14"/>
      <c r="G246" s="14"/>
      <c r="H246" s="26"/>
      <c r="I246" s="26"/>
      <c r="J246" s="26"/>
      <c r="K246" s="187">
        <f>SUM(K243:K245)</f>
        <v>11015.727962849998</v>
      </c>
      <c r="L246" s="187">
        <f>SUM(L243:L245)</f>
        <v>11198.004957366316</v>
      </c>
      <c r="M246" s="187">
        <f>SUM(M243:M245)</f>
        <v>11305.618147114536</v>
      </c>
      <c r="N246" s="187">
        <f>SUM(N243:N245)</f>
        <v>11283.550841586941</v>
      </c>
      <c r="O246" s="187">
        <f>SUM(O243:O245)</f>
        <v>10896.142426139515</v>
      </c>
      <c r="P246" s="54"/>
    </row>
    <row r="247" spans="1:16" s="16" customFormat="1" ht="15" customHeight="1" outlineLevel="1">
      <c r="A247" s="7"/>
      <c r="B247" s="13"/>
      <c r="C247" s="32"/>
      <c r="D247" s="9"/>
      <c r="E247" s="9"/>
      <c r="F247" s="14"/>
      <c r="G247" s="14"/>
      <c r="H247" s="14"/>
      <c r="I247" s="14"/>
      <c r="J247" s="14"/>
      <c r="K247" s="26"/>
      <c r="L247" s="26"/>
      <c r="M247" s="26"/>
      <c r="N247" s="26"/>
      <c r="O247" s="26"/>
      <c r="P247" s="51"/>
    </row>
    <row r="248" spans="1:16" s="16" customFormat="1" ht="15" customHeight="1" outlineLevel="1">
      <c r="A248" s="7"/>
      <c r="B248" s="36" t="s">
        <v>48</v>
      </c>
      <c r="C248" s="32"/>
      <c r="D248" s="9"/>
      <c r="E248" s="9"/>
      <c r="F248" s="14"/>
      <c r="G248" s="14"/>
      <c r="H248" s="14"/>
      <c r="I248" s="14"/>
      <c r="J248" s="14"/>
      <c r="K248" s="26"/>
      <c r="L248" s="26"/>
      <c r="M248" s="26"/>
      <c r="N248" s="26"/>
      <c r="O248" s="26"/>
      <c r="P248" s="51"/>
    </row>
    <row r="249" spans="1:16" s="16" customFormat="1" ht="15" customHeight="1" outlineLevel="1">
      <c r="A249" s="7"/>
      <c r="B249" s="13"/>
      <c r="C249" s="32" t="s">
        <v>62</v>
      </c>
      <c r="D249" s="9"/>
      <c r="E249" s="9"/>
      <c r="F249" s="14"/>
      <c r="G249" s="14"/>
      <c r="H249" s="26"/>
      <c r="I249" s="26"/>
      <c r="J249" s="26"/>
      <c r="K249" s="187">
        <f>K246</f>
        <v>11015.727962849998</v>
      </c>
      <c r="L249" s="187">
        <f>L246</f>
        <v>11198.004957366316</v>
      </c>
      <c r="M249" s="187">
        <f>M246</f>
        <v>11305.618147114536</v>
      </c>
      <c r="N249" s="187">
        <f>N246</f>
        <v>11283.550841586941</v>
      </c>
      <c r="O249" s="187">
        <f>O246</f>
        <v>10896.142426139515</v>
      </c>
      <c r="P249" s="51"/>
    </row>
    <row r="250" spans="1:16" s="16" customFormat="1" ht="15" customHeight="1" outlineLevel="1">
      <c r="A250" s="7"/>
      <c r="B250" s="13"/>
      <c r="C250" s="32" t="s">
        <v>63</v>
      </c>
      <c r="D250" s="9"/>
      <c r="E250" s="9"/>
      <c r="F250" s="14"/>
      <c r="G250" s="14"/>
      <c r="H250" s="14"/>
      <c r="I250" s="14"/>
      <c r="J250" s="14"/>
      <c r="K250" s="207">
        <f>K256</f>
        <v>-11015.727962849998</v>
      </c>
      <c r="L250" s="207">
        <f>L256</f>
        <v>-11198.004957366316</v>
      </c>
      <c r="M250" s="207">
        <f>M256</f>
        <v>-1914.2670797836854</v>
      </c>
      <c r="N250" s="207">
        <f>N256</f>
        <v>0</v>
      </c>
      <c r="O250" s="207">
        <f>O256</f>
        <v>0</v>
      </c>
      <c r="P250" s="51"/>
    </row>
    <row r="251" spans="1:16" s="16" customFormat="1" ht="15" customHeight="1" outlineLevel="1">
      <c r="A251" s="7"/>
      <c r="B251" s="13"/>
      <c r="C251" s="32" t="s">
        <v>34</v>
      </c>
      <c r="D251" s="9"/>
      <c r="E251" s="9"/>
      <c r="F251" s="14"/>
      <c r="G251" s="14"/>
      <c r="H251" s="14"/>
      <c r="I251" s="14"/>
      <c r="J251" s="14"/>
      <c r="K251" s="187">
        <f>MAX(SUM(K249:K250),0)</f>
        <v>0</v>
      </c>
      <c r="L251" s="187">
        <f t="shared" ref="L251:O251" si="60">MAX(SUM(L249:L250),0)</f>
        <v>0</v>
      </c>
      <c r="M251" s="187">
        <f t="shared" si="60"/>
        <v>9391.3510673308501</v>
      </c>
      <c r="N251" s="187">
        <f t="shared" si="60"/>
        <v>11283.550841586941</v>
      </c>
      <c r="O251" s="187">
        <f t="shared" si="60"/>
        <v>10896.142426139515</v>
      </c>
      <c r="P251" s="54"/>
    </row>
    <row r="252" spans="1:16" s="16" customFormat="1" ht="15" customHeight="1" outlineLevel="1">
      <c r="A252" s="7"/>
      <c r="B252" s="13"/>
      <c r="C252" s="13"/>
      <c r="D252" s="9"/>
      <c r="E252" s="9"/>
      <c r="F252" s="14"/>
      <c r="G252" s="14"/>
      <c r="H252" s="14"/>
      <c r="I252" s="14"/>
      <c r="J252" s="14"/>
      <c r="K252" s="48"/>
      <c r="L252" s="48"/>
      <c r="M252" s="48"/>
      <c r="N252" s="48"/>
      <c r="O252" s="48"/>
      <c r="P252" s="54"/>
    </row>
    <row r="253" spans="1:16" s="16" customFormat="1" ht="15" customHeight="1" outlineLevel="1">
      <c r="A253" s="7"/>
      <c r="B253" s="36" t="s">
        <v>61</v>
      </c>
      <c r="C253" s="13"/>
      <c r="D253" s="9"/>
      <c r="E253" s="9"/>
      <c r="F253" s="14"/>
      <c r="G253" s="14"/>
      <c r="H253" s="14"/>
      <c r="I253" s="14"/>
      <c r="J253" s="14"/>
      <c r="K253" s="48"/>
      <c r="L253" s="48"/>
      <c r="M253" s="48"/>
      <c r="N253" s="48"/>
      <c r="O253" s="48"/>
      <c r="P253" s="54"/>
    </row>
    <row r="254" spans="1:16" s="16" customFormat="1" ht="15" customHeight="1" outlineLevel="1">
      <c r="A254" s="7"/>
      <c r="B254" s="13"/>
      <c r="C254" s="32" t="s">
        <v>7</v>
      </c>
      <c r="D254" s="9"/>
      <c r="E254" s="9"/>
      <c r="F254" s="14"/>
      <c r="G254" s="14"/>
      <c r="H254" s="14"/>
      <c r="I254" s="14"/>
      <c r="J254" s="14"/>
      <c r="K254" s="187">
        <f>J257</f>
        <v>24128</v>
      </c>
      <c r="L254" s="187">
        <f>K257</f>
        <v>13112.272037150002</v>
      </c>
      <c r="M254" s="187">
        <f>L257</f>
        <v>1914.2670797836854</v>
      </c>
      <c r="N254" s="187">
        <f>M257</f>
        <v>0</v>
      </c>
      <c r="O254" s="187">
        <f>N257</f>
        <v>0</v>
      </c>
      <c r="P254" s="54"/>
    </row>
    <row r="255" spans="1:16" s="16" customFormat="1" ht="15" customHeight="1" outlineLevel="1">
      <c r="A255" s="7"/>
      <c r="B255" s="13"/>
      <c r="C255" s="32" t="s">
        <v>46</v>
      </c>
      <c r="D255" s="9"/>
      <c r="E255" s="9"/>
      <c r="F255" s="14"/>
      <c r="G255" s="14"/>
      <c r="H255" s="14"/>
      <c r="I255" s="14"/>
      <c r="J255" s="14"/>
      <c r="K255" s="187">
        <f>-MIN(K243,0)</f>
        <v>0</v>
      </c>
      <c r="L255" s="187">
        <f>-MIN(L243,0)</f>
        <v>0</v>
      </c>
      <c r="M255" s="187">
        <f>-MIN(M243,0)</f>
        <v>0</v>
      </c>
      <c r="N255" s="187">
        <f>-MIN(N243,0)</f>
        <v>0</v>
      </c>
      <c r="O255" s="187">
        <f>-MIN(O243,0)</f>
        <v>0</v>
      </c>
      <c r="P255" s="54"/>
    </row>
    <row r="256" spans="1:16" s="16" customFormat="1" ht="15" customHeight="1" outlineLevel="1">
      <c r="A256" s="7"/>
      <c r="B256" s="13"/>
      <c r="C256" s="32" t="s">
        <v>63</v>
      </c>
      <c r="D256" s="9"/>
      <c r="E256" s="9"/>
      <c r="F256" s="14"/>
      <c r="G256" s="14"/>
      <c r="H256" s="14"/>
      <c r="I256" s="14"/>
      <c r="J256" s="40"/>
      <c r="K256" s="207">
        <f>-MIN(K254,K249)*K236</f>
        <v>-11015.727962849998</v>
      </c>
      <c r="L256" s="207">
        <f t="shared" ref="L256:O256" si="61">-MIN(L254,L249)*L236</f>
        <v>-11198.004957366316</v>
      </c>
      <c r="M256" s="207">
        <f t="shared" si="61"/>
        <v>-1914.2670797836854</v>
      </c>
      <c r="N256" s="207">
        <f t="shared" si="61"/>
        <v>0</v>
      </c>
      <c r="O256" s="207">
        <f t="shared" si="61"/>
        <v>0</v>
      </c>
      <c r="P256" s="54"/>
    </row>
    <row r="257" spans="1:16" s="16" customFormat="1" ht="15" customHeight="1" outlineLevel="1">
      <c r="A257" s="7"/>
      <c r="B257" s="13"/>
      <c r="C257" s="32" t="s">
        <v>8</v>
      </c>
      <c r="D257" s="9"/>
      <c r="E257" s="9"/>
      <c r="F257" s="14"/>
      <c r="G257" s="14"/>
      <c r="H257" s="14"/>
      <c r="I257" s="14"/>
      <c r="J257" s="24">
        <v>24128</v>
      </c>
      <c r="K257" s="187">
        <f>SUM(K254:K256)</f>
        <v>13112.272037150002</v>
      </c>
      <c r="L257" s="187">
        <f>SUM(L254:L256)</f>
        <v>1914.2670797836854</v>
      </c>
      <c r="M257" s="187">
        <f>SUM(M254:M256)</f>
        <v>0</v>
      </c>
      <c r="N257" s="187">
        <f>SUM(N254:N256)</f>
        <v>0</v>
      </c>
      <c r="O257" s="187">
        <f>SUM(O254:O256)</f>
        <v>0</v>
      </c>
      <c r="P257" s="54"/>
    </row>
    <row r="258" spans="1:16" s="16" customFormat="1" ht="15" customHeight="1" outlineLevel="1">
      <c r="A258" s="7"/>
      <c r="B258" s="13"/>
      <c r="C258" s="13"/>
      <c r="D258" s="9"/>
      <c r="E258" s="9"/>
      <c r="F258" s="14"/>
      <c r="G258" s="14"/>
      <c r="H258" s="14"/>
      <c r="I258" s="14"/>
      <c r="J258" s="14"/>
      <c r="K258" s="48"/>
      <c r="L258" s="48"/>
      <c r="M258" s="48"/>
      <c r="N258" s="48"/>
      <c r="O258" s="48"/>
      <c r="P258" s="54"/>
    </row>
    <row r="259" spans="1:16" s="16" customFormat="1" ht="15" customHeight="1" outlineLevel="1">
      <c r="A259" s="7"/>
      <c r="B259" s="66"/>
      <c r="C259" s="66"/>
      <c r="D259" s="67"/>
      <c r="E259" s="67"/>
      <c r="F259" s="68"/>
      <c r="G259" s="68"/>
      <c r="H259" s="68"/>
      <c r="I259" s="68"/>
      <c r="J259" s="68"/>
      <c r="K259" s="69"/>
      <c r="L259" s="69"/>
      <c r="M259" s="69"/>
      <c r="N259" s="69"/>
      <c r="O259" s="69"/>
      <c r="P259" s="54"/>
    </row>
    <row r="260" spans="1:16" s="16" customFormat="1" ht="15" customHeight="1" outlineLevel="1">
      <c r="A260" s="7"/>
      <c r="B260" s="13"/>
      <c r="C260" s="13"/>
      <c r="D260" s="9"/>
      <c r="E260" s="9"/>
      <c r="F260" s="14"/>
      <c r="G260" s="14"/>
      <c r="H260" s="14"/>
      <c r="I260" s="14"/>
      <c r="J260" s="14"/>
      <c r="K260" s="48"/>
      <c r="L260" s="48"/>
      <c r="M260" s="48"/>
      <c r="N260" s="48"/>
      <c r="O260" s="48"/>
      <c r="P260" s="54"/>
    </row>
    <row r="261" spans="1:16" s="16" customFormat="1" ht="15" customHeight="1" outlineLevel="1">
      <c r="A261" s="7"/>
      <c r="B261" s="36" t="s">
        <v>53</v>
      </c>
      <c r="C261" s="13"/>
      <c r="D261" s="9"/>
      <c r="E261" s="9"/>
      <c r="F261" s="14"/>
      <c r="G261" s="14"/>
      <c r="H261" s="14"/>
      <c r="I261" s="14"/>
      <c r="J261" s="14"/>
      <c r="K261" s="48"/>
      <c r="L261" s="48"/>
      <c r="M261" s="48"/>
      <c r="N261" s="48"/>
      <c r="O261" s="48"/>
      <c r="P261" s="54"/>
    </row>
    <row r="262" spans="1:16" s="16" customFormat="1" ht="15" customHeight="1" outlineLevel="1">
      <c r="A262" s="7"/>
      <c r="B262" s="13"/>
      <c r="C262" s="32" t="s">
        <v>49</v>
      </c>
      <c r="D262" s="9"/>
      <c r="E262" s="9"/>
      <c r="F262" s="14"/>
      <c r="G262" s="14"/>
      <c r="H262" s="26"/>
      <c r="I262" s="26"/>
      <c r="J262" s="26"/>
      <c r="K262" s="187">
        <f>$F$238*K251</f>
        <v>0</v>
      </c>
      <c r="L262" s="187">
        <f>$F$238*L251</f>
        <v>0</v>
      </c>
      <c r="M262" s="187">
        <f>$F$238*M251</f>
        <v>2347.8377668327125</v>
      </c>
      <c r="N262" s="187">
        <f>$F$238*N251</f>
        <v>2820.8877103967352</v>
      </c>
      <c r="O262" s="187">
        <f>$F$238*O251</f>
        <v>2724.0356065348788</v>
      </c>
    </row>
    <row r="263" spans="1:16" s="16" customFormat="1" ht="15" customHeight="1" outlineLevel="1">
      <c r="A263" s="7"/>
      <c r="B263" s="13"/>
      <c r="C263" s="32" t="s">
        <v>50</v>
      </c>
      <c r="D263" s="9"/>
      <c r="E263" s="9"/>
      <c r="F263" s="14"/>
      <c r="G263" s="14"/>
      <c r="H263" s="14"/>
      <c r="I263" s="14"/>
      <c r="J263" s="14"/>
      <c r="K263" s="187">
        <f>K264-K262</f>
        <v>3265.3757407124999</v>
      </c>
      <c r="L263" s="187">
        <f>L264-L262</f>
        <v>3193.2112393415791</v>
      </c>
      <c r="M263" s="187">
        <f>M264-M262</f>
        <v>767.28120744592115</v>
      </c>
      <c r="N263" s="187">
        <f>N264-N262</f>
        <v>194.26508437499979</v>
      </c>
      <c r="O263" s="187">
        <f>O264-O262</f>
        <v>108.18625921874991</v>
      </c>
    </row>
    <row r="264" spans="1:16" s="16" customFormat="1" ht="15" customHeight="1" outlineLevel="1" thickBot="1">
      <c r="A264" s="7"/>
      <c r="B264" s="13"/>
      <c r="C264" s="32" t="s">
        <v>51</v>
      </c>
      <c r="D264" s="9"/>
      <c r="E264" s="9"/>
      <c r="F264" s="14"/>
      <c r="G264" s="14"/>
      <c r="H264" s="14"/>
      <c r="I264" s="14"/>
      <c r="J264" s="14"/>
      <c r="K264" s="212">
        <f>MAX($F$238*K243,0)</f>
        <v>3265.3757407124999</v>
      </c>
      <c r="L264" s="212">
        <f>MAX($F$238*L243,0)</f>
        <v>3193.2112393415791</v>
      </c>
      <c r="M264" s="212">
        <f>MAX($F$238*M243,0)</f>
        <v>3115.1189742786337</v>
      </c>
      <c r="N264" s="212">
        <f>MAX($F$238*N243,0)</f>
        <v>3015.152794771735</v>
      </c>
      <c r="O264" s="212">
        <f>MAX($F$238*O243,0)</f>
        <v>2832.2218657536287</v>
      </c>
    </row>
    <row r="265" spans="1:16" ht="15" customHeight="1" outlineLevel="1">
      <c r="A265" s="7"/>
      <c r="C265" s="18"/>
      <c r="D265" s="9"/>
      <c r="E265" s="9"/>
      <c r="F265" s="29"/>
      <c r="G265" s="14"/>
      <c r="H265" s="131"/>
      <c r="I265" s="131"/>
      <c r="J265" s="131"/>
      <c r="K265" s="131"/>
      <c r="L265" s="131"/>
      <c r="M265" s="131"/>
      <c r="N265" s="131"/>
      <c r="O265" s="131"/>
    </row>
    <row r="266" spans="1:16" ht="15" customHeight="1" outlineLevel="1">
      <c r="A266" s="7"/>
      <c r="C266" s="18"/>
      <c r="D266" s="9"/>
      <c r="E266" s="9"/>
      <c r="F266" s="29"/>
      <c r="G266" s="14"/>
      <c r="H266" s="131"/>
      <c r="I266" s="131"/>
      <c r="J266" s="131"/>
      <c r="K266" s="131"/>
      <c r="L266" s="131"/>
      <c r="M266" s="131"/>
      <c r="N266" s="131"/>
      <c r="O266" s="131"/>
    </row>
    <row r="267" spans="1:16" s="16" customFormat="1" ht="15" customHeight="1" outlineLevel="1">
      <c r="A267" s="7"/>
      <c r="B267" s="13"/>
      <c r="C267" s="13"/>
      <c r="D267" s="9"/>
      <c r="E267" s="9"/>
      <c r="F267" s="14"/>
      <c r="G267" s="14"/>
      <c r="H267" s="14"/>
      <c r="I267" s="14"/>
      <c r="J267" s="14"/>
      <c r="K267" s="48"/>
      <c r="L267" s="48"/>
      <c r="M267" s="48"/>
      <c r="N267" s="48"/>
      <c r="O267" s="48"/>
      <c r="P267" s="51"/>
    </row>
    <row r="268" spans="1:16" s="16" customFormat="1" ht="15" customHeight="1" outlineLevel="1">
      <c r="A268" s="7"/>
      <c r="B268" s="13"/>
      <c r="C268" s="13"/>
      <c r="D268" s="9"/>
      <c r="E268" s="9"/>
      <c r="F268" s="14"/>
      <c r="G268" s="14"/>
      <c r="H268" s="14"/>
      <c r="I268" s="14"/>
      <c r="J268" s="14"/>
      <c r="K268" s="48"/>
      <c r="L268" s="48"/>
      <c r="M268" s="48"/>
      <c r="N268" s="48"/>
      <c r="O268" s="48"/>
      <c r="P268" s="51"/>
    </row>
    <row r="269" spans="1:16" s="16" customFormat="1" ht="15" customHeight="1" outlineLevel="1">
      <c r="A269" s="7"/>
      <c r="C269" s="178"/>
      <c r="E269" s="9"/>
      <c r="F269" s="14"/>
      <c r="G269" s="14"/>
      <c r="H269" s="14"/>
      <c r="I269" s="14"/>
      <c r="J269" s="14"/>
      <c r="K269" s="48"/>
      <c r="L269" s="48"/>
      <c r="M269" s="48"/>
      <c r="N269" s="48"/>
      <c r="O269" s="180" t="s">
        <v>103</v>
      </c>
      <c r="P269" s="51"/>
    </row>
    <row r="270" spans="1:16" s="16" customFormat="1" ht="15" customHeight="1" outlineLevel="1">
      <c r="A270" s="7"/>
      <c r="C270" s="179"/>
      <c r="E270" s="9"/>
      <c r="F270" s="14"/>
      <c r="G270" s="14"/>
      <c r="H270" s="14"/>
      <c r="I270" s="14"/>
      <c r="J270" s="14"/>
      <c r="K270" s="48"/>
      <c r="L270" s="48"/>
      <c r="M270" s="48"/>
      <c r="N270" s="48"/>
      <c r="O270" s="181" t="s">
        <v>104</v>
      </c>
      <c r="P270" s="51"/>
    </row>
    <row r="271" spans="1:16" ht="15" customHeight="1" outlineLevel="1"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 t="s">
        <v>109</v>
      </c>
    </row>
  </sheetData>
  <conditionalFormatting sqref="H41:O41">
    <cfRule type="expression" dxfId="0" priority="1">
      <formula>H41=1</formula>
    </cfRule>
  </conditionalFormatting>
  <printOptions horizontalCentered="1"/>
  <pageMargins left="0.11811023622047245" right="0.11811023622047245" top="0.11811023622047245" bottom="0.11811023622047245" header="0.11811023622047245" footer="0.11811023622047245"/>
  <pageSetup scale="88" orientation="landscape" r:id="rId1"/>
  <headerFooter>
    <oddFooter>&amp;L&amp;"Open Sans,Bold"&amp;K002060Operational Modeling&amp;C&amp;"Open Sans,Bold"&amp;K002060Page &amp;P of &amp;N&amp;R&amp;"Open Sans,Bold"&amp;K002060&amp;G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PresentationFormat/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Cover</vt:lpstr>
      <vt:lpstr>Model</vt:lpstr>
      <vt:lpstr>Cover!Druckbereich</vt:lpstr>
      <vt:lpstr>Model!Druckbereich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Guenther</dc:creator>
  <cp:keywords/>
  <dc:description/>
  <cp:lastModifiedBy>Philipp Guenther</cp:lastModifiedBy>
  <cp:revision/>
  <cp:lastPrinted>1899-12-30T05:00:00Z</cp:lastPrinted>
  <dcterms:created xsi:type="dcterms:W3CDTF">1899-12-30T05:00:00Z</dcterms:created>
  <dcterms:modified xsi:type="dcterms:W3CDTF">2024-11-21T12:56:07Z</dcterms:modified>
  <cp:category/>
  <cp:contentStatus/>
  <dc:language/>
  <cp:version/>
</cp:coreProperties>
</file>