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pefouquet/Documents/Developpement/Electronique/CaptorBoard/"/>
    </mc:Choice>
  </mc:AlternateContent>
  <xr:revisionPtr revIDLastSave="0" documentId="13_ncr:1_{37FA310F-C30E-6540-8E5E-27999B660ECF}" xr6:coauthVersionLast="47" xr6:coauthVersionMax="47" xr10:uidLastSave="{00000000-0000-0000-0000-000000000000}"/>
  <bookViews>
    <workbookView xWindow="240" yWindow="500" windowWidth="32320" windowHeight="19760" xr2:uid="{00000000-000D-0000-FFFF-FFFF00000000}"/>
  </bookViews>
  <sheets>
    <sheet name="CaptorBoard" sheetId="1" r:id="rId1"/>
  </sheets>
  <definedNames>
    <definedName name="BoardQty" localSheetId="0">CaptorBoard!$G$1</definedName>
    <definedName name="EUR_USD" localSheetId="0">CaptorBoard!$C$31</definedName>
    <definedName name="PURCHASE_DESCRIPTION" localSheetId="0">CaptorBoard!$G$31</definedName>
    <definedName name="TotalCost" localSheetId="0">CaptorBoard!$G$3</definedName>
  </definedNames>
  <calcPr calcId="181029"/>
</workbook>
</file>

<file path=xl/calcChain.xml><?xml version="1.0" encoding="utf-8"?>
<calcChain xmlns="http://schemas.openxmlformats.org/spreadsheetml/2006/main">
  <c r="O54" i="1" l="1" a="1"/>
  <c r="O75" i="1" s="1"/>
  <c r="I54" i="1" a="1"/>
  <c r="I66" i="1" s="1"/>
  <c r="R30" i="1"/>
  <c r="O30" i="1"/>
  <c r="L30" i="1"/>
  <c r="G30" i="1" s="1"/>
  <c r="I30" i="1"/>
  <c r="E28" i="1"/>
  <c r="P28" i="1" s="1"/>
  <c r="R28" i="1" s="1"/>
  <c r="E27" i="1"/>
  <c r="E26" i="1"/>
  <c r="E25" i="1"/>
  <c r="P25" i="1" s="1"/>
  <c r="R25" i="1" s="1"/>
  <c r="E24" i="1"/>
  <c r="P24" i="1" s="1"/>
  <c r="R24" i="1" s="1"/>
  <c r="E23" i="1"/>
  <c r="P23" i="1" s="1"/>
  <c r="R23" i="1" s="1"/>
  <c r="E22" i="1"/>
  <c r="P22" i="1" s="1"/>
  <c r="R22" i="1" s="1"/>
  <c r="E21" i="1"/>
  <c r="P21" i="1" s="1"/>
  <c r="R21" i="1" s="1"/>
  <c r="E20" i="1"/>
  <c r="J20" i="1" s="1"/>
  <c r="E19" i="1"/>
  <c r="J19" i="1" s="1"/>
  <c r="E18" i="1"/>
  <c r="J18" i="1" s="1"/>
  <c r="E17" i="1"/>
  <c r="P17" i="1" s="1"/>
  <c r="R17" i="1" s="1"/>
  <c r="E16" i="1"/>
  <c r="J16" i="1" s="1"/>
  <c r="L16" i="1" s="1"/>
  <c r="E15" i="1"/>
  <c r="J15" i="1" s="1"/>
  <c r="E14" i="1"/>
  <c r="P14" i="1" s="1"/>
  <c r="R14" i="1" s="1"/>
  <c r="E13" i="1"/>
  <c r="P13" i="1" s="1"/>
  <c r="E12" i="1"/>
  <c r="P12" i="1" s="1"/>
  <c r="R12" i="1" s="1"/>
  <c r="E11" i="1"/>
  <c r="J11" i="1" s="1"/>
  <c r="E10" i="1"/>
  <c r="J10" i="1" s="1"/>
  <c r="E9" i="1"/>
  <c r="J9" i="1" s="1"/>
  <c r="L9" i="1" s="1"/>
  <c r="E8" i="1"/>
  <c r="P8" i="1" s="1"/>
  <c r="R8" i="1" s="1"/>
  <c r="E7" i="1"/>
  <c r="J7" i="1" s="1"/>
  <c r="P11" i="1" l="1"/>
  <c r="R11" i="1" s="1"/>
  <c r="P16" i="1"/>
  <c r="R16" i="1" s="1"/>
  <c r="L7" i="1"/>
  <c r="J17" i="1"/>
  <c r="L17" i="1" s="1"/>
  <c r="P26" i="1"/>
  <c r="R26" i="1" s="1"/>
  <c r="J26" i="1"/>
  <c r="P18" i="1"/>
  <c r="R18" i="1" s="1"/>
  <c r="P9" i="1"/>
  <c r="R9" i="1" s="1"/>
  <c r="P10" i="1"/>
  <c r="R10" i="1" s="1"/>
  <c r="P19" i="1"/>
  <c r="R19" i="1" s="1"/>
  <c r="P7" i="1"/>
  <c r="R7" i="1" s="1"/>
  <c r="P15" i="1"/>
  <c r="R15" i="1" s="1"/>
  <c r="J24" i="1"/>
  <c r="F24" i="1" s="1"/>
  <c r="G24" i="1" s="1"/>
  <c r="J13" i="1"/>
  <c r="L13" i="1" s="1"/>
  <c r="J8" i="1"/>
  <c r="F8" i="1" s="1"/>
  <c r="G8" i="1" s="1"/>
  <c r="L18" i="1"/>
  <c r="L11" i="1"/>
  <c r="F11" i="1"/>
  <c r="G11" i="1" s="1"/>
  <c r="L19" i="1"/>
  <c r="L20" i="1"/>
  <c r="R13" i="1"/>
  <c r="L10" i="1"/>
  <c r="J27" i="1"/>
  <c r="I67" i="1"/>
  <c r="O60" i="1"/>
  <c r="L15" i="1"/>
  <c r="F16" i="1"/>
  <c r="G16" i="1" s="1"/>
  <c r="P20" i="1"/>
  <c r="R20" i="1" s="1"/>
  <c r="I68" i="1"/>
  <c r="O61" i="1"/>
  <c r="J25" i="1"/>
  <c r="P27" i="1"/>
  <c r="R27" i="1" s="1"/>
  <c r="I54" i="1"/>
  <c r="I69" i="1"/>
  <c r="O62" i="1"/>
  <c r="I70" i="1"/>
  <c r="O63" i="1"/>
  <c r="J23" i="1"/>
  <c r="I55" i="1"/>
  <c r="I71" i="1"/>
  <c r="O64" i="1"/>
  <c r="I56" i="1"/>
  <c r="I72" i="1"/>
  <c r="O65" i="1"/>
  <c r="J21" i="1"/>
  <c r="I57" i="1"/>
  <c r="I73" i="1"/>
  <c r="O66" i="1"/>
  <c r="J14" i="1"/>
  <c r="J12" i="1"/>
  <c r="J28" i="1"/>
  <c r="I58" i="1"/>
  <c r="I74" i="1"/>
  <c r="O67" i="1"/>
  <c r="F17" i="1"/>
  <c r="G17" i="1" s="1"/>
  <c r="I59" i="1"/>
  <c r="I75" i="1"/>
  <c r="O68" i="1"/>
  <c r="I60" i="1"/>
  <c r="O54" i="1"/>
  <c r="O69" i="1"/>
  <c r="O70" i="1"/>
  <c r="I61" i="1"/>
  <c r="I62" i="1"/>
  <c r="O55" i="1"/>
  <c r="O71" i="1"/>
  <c r="I63" i="1"/>
  <c r="O56" i="1"/>
  <c r="O72" i="1"/>
  <c r="J22" i="1"/>
  <c r="I64" i="1"/>
  <c r="O57" i="1"/>
  <c r="O73" i="1"/>
  <c r="I65" i="1"/>
  <c r="O58" i="1"/>
  <c r="O74" i="1"/>
  <c r="O59" i="1"/>
  <c r="F10" i="1" l="1"/>
  <c r="G10" i="1" s="1"/>
  <c r="L8" i="1"/>
  <c r="F13" i="1"/>
  <c r="G13" i="1" s="1"/>
  <c r="F15" i="1"/>
  <c r="G15" i="1" s="1"/>
  <c r="L24" i="1"/>
  <c r="F19" i="1"/>
  <c r="G19" i="1" s="1"/>
  <c r="F7" i="1"/>
  <c r="G7" i="1" s="1"/>
  <c r="S3" i="1"/>
  <c r="F26" i="1"/>
  <c r="G26" i="1" s="1"/>
  <c r="F9" i="1"/>
  <c r="G9" i="1" s="1"/>
  <c r="F18" i="1"/>
  <c r="G18" i="1" s="1"/>
  <c r="L26" i="1"/>
  <c r="L22" i="1"/>
  <c r="F22" i="1"/>
  <c r="G22" i="1" s="1"/>
  <c r="L28" i="1"/>
  <c r="F28" i="1"/>
  <c r="G28" i="1" s="1"/>
  <c r="L12" i="1"/>
  <c r="F12" i="1"/>
  <c r="G12" i="1" s="1"/>
  <c r="L23" i="1"/>
  <c r="F23" i="1"/>
  <c r="G23" i="1" s="1"/>
  <c r="F20" i="1"/>
  <c r="G20" i="1" s="1"/>
  <c r="L14" i="1"/>
  <c r="F14" i="1"/>
  <c r="G14" i="1" s="1"/>
  <c r="L27" i="1"/>
  <c r="F27" i="1"/>
  <c r="G27" i="1" s="1"/>
  <c r="R3" i="1"/>
  <c r="I31" i="1"/>
  <c r="L25" i="1"/>
  <c r="F25" i="1"/>
  <c r="G25" i="1" s="1"/>
  <c r="O31" i="1"/>
  <c r="L21" i="1"/>
  <c r="F21" i="1"/>
  <c r="G21" i="1" s="1"/>
  <c r="G3" i="1" l="1"/>
  <c r="G2" i="1" s="1"/>
  <c r="M3" i="1"/>
  <c r="L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 shapeId="0" xr:uid="{00000000-0006-0000-0000-000003000000}">
      <text>
        <r>
          <rPr>
            <sz val="8"/>
            <color rgb="FF000000"/>
            <rFont val="Tahoma"/>
            <family val="2"/>
          </rPr>
          <t>Number of parts found at this distributor.</t>
        </r>
      </text>
    </comment>
    <comment ref="A6" authorId="0" shapeId="0" xr:uid="{00000000-0006-0000-0000-000004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5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6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7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 shapeId="0" xr:uid="{00000000-0006-0000-0000-000008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 shapeId="0" xr:uid="{00000000-0006-0000-0000-000009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 shapeId="0" xr:uid="{00000000-0006-0000-0000-00000A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 shapeId="0" xr:uid="{00000000-0006-0000-0000-00000B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 shapeId="0" xr:uid="{00000000-0006-0000-0000-00000C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 shapeId="0" xr:uid="{00000000-0006-0000-0000-00000D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 shapeId="0" xr:uid="{00000000-0006-0000-0000-00000E000000}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6" authorId="0" shapeId="0" xr:uid="{00000000-0006-0000-0000-00000F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 shapeId="0" xr:uid="{00000000-0006-0000-0000-000010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 shapeId="0" xr:uid="{00000000-0006-0000-0000-000011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 shapeId="0" xr:uid="{00000000-0006-0000-0000-000012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 shapeId="0" xr:uid="{00000000-0006-0000-0000-000013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 shapeId="0" xr:uid="{00000000-0006-0000-0000-000014000000}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6" authorId="0" shapeId="0" xr:uid="{00000000-0006-0000-0000-000015000000}">
      <text>
        <r>
          <rPr>
            <sz val="8"/>
            <color rgb="FF000000"/>
            <rFont val="Tahoma"/>
            <family val="2"/>
          </rPr>
          <t xml:space="preserve">(Unit Price) x (Purchase Qty) of each part from this distributor.
</t>
        </r>
        <r>
          <rPr>
            <sz val="8"/>
            <color rgb="FF000000"/>
            <rFont val="Tahoma"/>
            <family val="2"/>
          </rPr>
          <t xml:space="preserve">Red -&gt; Next price break is cheaper.
</t>
        </r>
        <r>
          <rPr>
            <sz val="8"/>
            <color rgb="FF000000"/>
            <rFont val="Tahoma"/>
            <family val="2"/>
          </rPr>
          <t>Green -&gt; Cheapest supplier.</t>
        </r>
      </text>
    </comment>
    <comment ref="S6" authorId="0" shapeId="0" xr:uid="{00000000-0006-0000-0000-000016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J7" authorId="0" shapeId="0" xr:uid="{00000000-0006-0000-0000-00001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$0.16      $1.57
    50   $0.10      $5.22
   100   $0.09      $8.88
   500   $0.06     $31.33
  1000   $0.05     $54.83</t>
        </r>
      </text>
    </comment>
    <comment ref="M7" authorId="0" shapeId="0" xr:uid="{00000000-0006-0000-0000-000018000000}">
      <text>
        <r>
          <rPr>
            <sz val="8"/>
            <color rgb="FF000000"/>
            <rFont val="Tahoma"/>
            <family val="2"/>
          </rPr>
          <t xml:space="preserve">Desc: CAP CER 1UF 50V X7R 1210
</t>
        </r>
        <r>
          <rPr>
            <sz val="8"/>
            <color rgb="FF000000"/>
            <rFont val="Tahoma"/>
            <family val="2"/>
          </rPr>
          <t xml:space="preserve">Footprint: 1210 (3225 Metric)
</t>
        </r>
        <r>
          <rPr>
            <sz val="8"/>
            <color rgb="FF000000"/>
            <rFont val="Tahoma"/>
            <family val="2"/>
          </rPr>
          <t xml:space="preserve">Size: 0.126" L x 0.098" W (3.20mm x 2.50mm)
</t>
        </r>
        <r>
          <rPr>
            <sz val="8"/>
            <color rgb="FF000000"/>
            <rFont val="Tahoma"/>
            <family val="2"/>
          </rPr>
          <t xml:space="preserve">Temp_coeff: X7R
</t>
        </r>
        <r>
          <rPr>
            <sz val="8"/>
            <color rgb="FF000000"/>
            <rFont val="Tahoma"/>
            <family val="2"/>
          </rPr>
          <t xml:space="preserve">Tolerance: </t>
        </r>
        <r>
          <rPr>
            <sz val="8"/>
            <color rgb="FF000000"/>
            <rFont val="Tahoma"/>
            <family val="2"/>
          </rPr>
          <t>±</t>
        </r>
        <r>
          <rPr>
            <sz val="8"/>
            <color rgb="FF000000"/>
            <rFont val="Tahoma"/>
            <family val="2"/>
          </rPr>
          <t xml:space="preserve">10%
</t>
        </r>
        <r>
          <rPr>
            <sz val="8"/>
            <color rgb="FF000000"/>
            <rFont val="Tahoma"/>
            <family val="2"/>
          </rPr>
          <t xml:space="preserve">Value: 1 µF 
</t>
        </r>
        <r>
          <rPr>
            <sz val="8"/>
            <color rgb="FF000000"/>
            <rFont val="Tahoma"/>
            <family val="2"/>
          </rPr>
          <t>Voltage: 50V</t>
        </r>
      </text>
    </comment>
    <comment ref="N7" authorId="0" shapeId="0" xr:uid="{00000000-0006-0000-0000-000019000000}">
      <text>
        <r>
          <rPr>
            <sz val="8"/>
            <color indexed="81"/>
            <rFont val="Tahoma"/>
            <family val="2"/>
          </rPr>
          <t>356444 En stock</t>
        </r>
      </text>
    </comment>
    <comment ref="P7" authorId="0" shapeId="0" xr:uid="{00000000-0006-0000-0000-00001A000000}">
      <text>
        <r>
          <rPr>
            <sz val="8"/>
            <color rgb="FF000000"/>
            <rFont val="Tahoma"/>
            <family val="2"/>
          </rPr>
          <t xml:space="preserve">Qty/Price Breaks (EUR):
</t>
        </r>
        <r>
          <rPr>
            <sz val="8"/>
            <color rgb="FF000000"/>
            <rFont val="Tahoma"/>
            <family val="2"/>
          </rPr>
          <t xml:space="preserve">  Qty  -  Unit€  -  Ext€
</t>
        </r>
        <r>
          <rPr>
            <sz val="8"/>
            <color rgb="FF000000"/>
            <rFont val="Tahoma"/>
            <family val="2"/>
          </rPr>
          <t xml:space="preserve">================
</t>
        </r>
        <r>
          <rPr>
            <sz val="8"/>
            <color rgb="FF000000"/>
            <rFont val="Tahoma"/>
            <family val="2"/>
          </rPr>
          <t xml:space="preserve">     1   €0.23      €0.23
</t>
        </r>
        <r>
          <rPr>
            <sz val="8"/>
            <color rgb="FF000000"/>
            <rFont val="Tahoma"/>
            <family val="2"/>
          </rPr>
          <t xml:space="preserve">    10   €0.15      €1.51
</t>
        </r>
        <r>
          <rPr>
            <sz val="8"/>
            <color rgb="FF000000"/>
            <rFont val="Tahoma"/>
            <family val="2"/>
          </rPr>
          <t xml:space="preserve">   100   €0.09      €8.60
</t>
        </r>
        <r>
          <rPr>
            <sz val="8"/>
            <color rgb="FF000000"/>
            <rFont val="Tahoma"/>
            <family val="2"/>
          </rPr>
          <t xml:space="preserve">  1000   €0.05     €53.00
</t>
        </r>
        <r>
          <rPr>
            <sz val="8"/>
            <color rgb="FF000000"/>
            <rFont val="Tahoma"/>
            <family val="2"/>
          </rPr>
          <t xml:space="preserve">  2000   €0.05    €100.00
</t>
        </r>
        <r>
          <rPr>
            <sz val="8"/>
            <color rgb="FF000000"/>
            <rFont val="Tahoma"/>
            <family val="2"/>
          </rPr>
          <t xml:space="preserve"> 10000   €0.04    €410.00
</t>
        </r>
        <r>
          <rPr>
            <sz val="8"/>
            <color rgb="FF000000"/>
            <rFont val="Tahoma"/>
            <family val="2"/>
          </rPr>
          <t xml:space="preserve"> 24000   €0.04    €936.00
</t>
        </r>
        <r>
          <rPr>
            <sz val="8"/>
            <color rgb="FF000000"/>
            <rFont val="Tahoma"/>
            <family val="2"/>
          </rPr>
          <t xml:space="preserve"> 50000   €0.04  €1,900.00</t>
        </r>
      </text>
    </comment>
    <comment ref="S7" authorId="0" shapeId="0" xr:uid="{00000000-0006-0000-0000-00001B000000}">
      <text>
        <r>
          <rPr>
            <sz val="8"/>
            <color indexed="81"/>
            <rFont val="Tahoma"/>
            <family val="2"/>
          </rPr>
          <t>Desc: Condensateurs céramique multicouches MLCC - CMS 1uF+/-10% 50V X7R 32 1210</t>
        </r>
      </text>
    </comment>
    <comment ref="H8" authorId="0" shapeId="0" xr:uid="{00000000-0006-0000-0000-00001C000000}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J8" authorId="0" shapeId="0" xr:uid="{00000000-0006-0000-0000-00001D000000}">
      <text>
        <r>
          <rPr>
            <sz val="8"/>
            <color indexed="81"/>
            <rFont val="Tahoma"/>
            <family val="2"/>
          </rPr>
          <t>Qty/Price Breaks (USD):
  Qty  -  Unit$  -  Ext$
================
  8000   $0.05    $381.44</t>
        </r>
      </text>
    </comment>
    <comment ref="M8" authorId="0" shapeId="0" xr:uid="{00000000-0006-0000-0000-00001E000000}">
      <text>
        <r>
          <rPr>
            <sz val="8"/>
            <color indexed="81"/>
            <rFont val="Tahoma"/>
            <family val="2"/>
          </rPr>
          <t>Desc: CAP CER 12PF 100V X8R 1210
Footprint: 1210 (3225 Metric)
Size: 0.126" L x 0.098" W (3.20mm x 2.50mm)
Temp_coeff: X8R
Tolerance: ±5%
Value: 12 pF 
Voltage: 100V</t>
        </r>
      </text>
    </comment>
    <comment ref="N8" authorId="0" shapeId="0" xr:uid="{00000000-0006-0000-0000-00001F000000}">
      <text>
        <r>
          <rPr>
            <sz val="8"/>
            <color indexed="81"/>
            <rFont val="Tahoma"/>
            <family val="2"/>
          </rPr>
          <t>7370 En stock</t>
        </r>
      </text>
    </comment>
    <comment ref="P8" authorId="0" shapeId="0" xr:uid="{00000000-0006-0000-0000-000020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€0.25      €0.25
    10   €0.17      €1.71
   100   €0.09      €8.60
  1000   €0.05     €53.00
  4000   €0.05    €200.00
  8000   €0.04    €320.00
 24000   €0.04    €936.00
100000   €0.04  €3,500.00</t>
        </r>
      </text>
    </comment>
    <comment ref="S8" authorId="0" shapeId="0" xr:uid="{00000000-0006-0000-0000-000021000000}">
      <text>
        <r>
          <rPr>
            <sz val="8"/>
            <color indexed="81"/>
            <rFont val="Tahoma"/>
            <family val="2"/>
          </rPr>
          <t>Desc: Condensateurs céramique multicouches MLCC - CMS 100V 12pF X8R 1210 5%</t>
        </r>
      </text>
    </comment>
    <comment ref="J9" authorId="0" shapeId="0" xr:uid="{00000000-0006-0000-0000-00002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$2.40
    50   $0.17      $8.41
   100   $0.14     $14.42
   500   $0.11     $54.09</t>
        </r>
      </text>
    </comment>
    <comment ref="M9" authorId="0" shapeId="0" xr:uid="{00000000-0006-0000-0000-000023000000}">
      <text>
        <r>
          <rPr>
            <sz val="8"/>
            <color indexed="81"/>
            <rFont val="Tahoma"/>
            <family val="2"/>
          </rPr>
          <t>Desc: CAP CER 22UF 16V X5R 1210
Footprint: 1210 (3225 Metric)
Size: 0.126" L x 0.098" W (3.20mm x 2.50mm)
Temp_coeff: X5R
Tolerance: ±20%
Value: 22 µF 
Voltage: 16V</t>
        </r>
      </text>
    </comment>
    <comment ref="N9" authorId="0" shapeId="0" xr:uid="{00000000-0006-0000-0000-000024000000}">
      <text>
        <r>
          <rPr>
            <sz val="8"/>
            <color indexed="81"/>
            <rFont val="Tahoma"/>
            <family val="2"/>
          </rPr>
          <t>61293 En stock</t>
        </r>
      </text>
    </comment>
    <comment ref="P9" authorId="0" shapeId="0" xr:uid="{00000000-0006-0000-0000-000025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€0.33      €0.33
    10   €0.23      €2.30
   100   €0.14     €13.80
  1000   €0.09     €87.00
  2000   €0.08    €166.00
 10000   €0.07    €710.00
 25000   €0.07  €1,725.00
 50000   €0.06  €3,200.00
100000   €0.06  €6,000.00</t>
        </r>
      </text>
    </comment>
    <comment ref="S9" authorId="0" shapeId="0" xr:uid="{00000000-0006-0000-0000-000026000000}">
      <text>
        <r>
          <rPr>
            <sz val="8"/>
            <color indexed="81"/>
            <rFont val="Tahoma"/>
            <family val="2"/>
          </rPr>
          <t>Desc: Condensateurs céramique multicouches MLCC - CMS 22uF+/-20% 16V X5R 3225</t>
        </r>
      </text>
    </comment>
    <comment ref="J10" authorId="0" shapeId="0" xr:uid="{00000000-0006-0000-0000-00002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$0.18      $1.78
    50   $0.12      $5.92
   100   $0.10     $10.06
   500   $0.07     $35.51
  1000   $0.06     $62.15</t>
        </r>
      </text>
    </comment>
    <comment ref="M10" authorId="0" shapeId="0" xr:uid="{00000000-0006-0000-0000-000028000000}">
      <text>
        <r>
          <rPr>
            <sz val="8"/>
            <color rgb="FF000000"/>
            <rFont val="Tahoma"/>
            <family val="2"/>
          </rPr>
          <t xml:space="preserve">Desc: CAP CER 0.1UF 100V X7R 1210
</t>
        </r>
        <r>
          <rPr>
            <sz val="8"/>
            <color rgb="FF000000"/>
            <rFont val="Tahoma"/>
            <family val="2"/>
          </rPr>
          <t xml:space="preserve">Footprint: 1210 (3225 Metric)
</t>
        </r>
        <r>
          <rPr>
            <sz val="8"/>
            <color rgb="FF000000"/>
            <rFont val="Tahoma"/>
            <family val="2"/>
          </rPr>
          <t xml:space="preserve">Size: 0.126" L x 0.098" W (3.20mm x 2.50mm)
</t>
        </r>
        <r>
          <rPr>
            <sz val="8"/>
            <color rgb="FF000000"/>
            <rFont val="Tahoma"/>
            <family val="2"/>
          </rPr>
          <t xml:space="preserve">Temp_coeff: X7R
</t>
        </r>
        <r>
          <rPr>
            <sz val="8"/>
            <color rgb="FF000000"/>
            <rFont val="Tahoma"/>
            <family val="2"/>
          </rPr>
          <t xml:space="preserve">Tolerance: </t>
        </r>
        <r>
          <rPr>
            <sz val="8"/>
            <color rgb="FF000000"/>
            <rFont val="Tahoma"/>
            <family val="2"/>
          </rPr>
          <t>±</t>
        </r>
        <r>
          <rPr>
            <sz val="8"/>
            <color rgb="FF000000"/>
            <rFont val="Tahoma"/>
            <family val="2"/>
          </rPr>
          <t xml:space="preserve">10%
</t>
        </r>
        <r>
          <rPr>
            <sz val="8"/>
            <color rgb="FF000000"/>
            <rFont val="Tahoma"/>
            <family val="2"/>
          </rPr>
          <t xml:space="preserve">Value: 0.1 µF 
</t>
        </r>
        <r>
          <rPr>
            <sz val="8"/>
            <color rgb="FF000000"/>
            <rFont val="Tahoma"/>
            <family val="2"/>
          </rPr>
          <t>Voltage: 100V</t>
        </r>
      </text>
    </comment>
    <comment ref="N10" authorId="0" shapeId="0" xr:uid="{00000000-0006-0000-0000-000029000000}">
      <text>
        <r>
          <rPr>
            <sz val="8"/>
            <color indexed="81"/>
            <rFont val="Tahoma"/>
            <family val="2"/>
          </rPr>
          <t>9676 En stock</t>
        </r>
      </text>
    </comment>
    <comment ref="P10" authorId="0" shapeId="0" xr:uid="{00000000-0006-0000-0000-00002A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€0.24      €0.24
    10   €0.11      €1.12
   100   €0.07      €6.70
  1000   €0.06     €59.00
  4000   €0.06    €224.00
  8000   €0.06    €440.00
 24000   €0.05  €1,272.00</t>
        </r>
      </text>
    </comment>
    <comment ref="S10" authorId="0" shapeId="0" xr:uid="{00000000-0006-0000-0000-00002B000000}">
      <text>
        <r>
          <rPr>
            <sz val="8"/>
            <color indexed="81"/>
            <rFont val="Tahoma"/>
            <family val="2"/>
          </rPr>
          <t>Desc: Condensateurs céramique multicouches MLCC - CMS 100V 0.1uF X7R 1210 10% AEC-Q200</t>
        </r>
      </text>
    </comment>
    <comment ref="J11" authorId="0" shapeId="0" xr:uid="{00000000-0006-0000-0000-00002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$0.20      $1.96
   100   $0.09      $9.10
   500   $0.08     $42.00</t>
        </r>
      </text>
    </comment>
    <comment ref="M11" authorId="0" shapeId="0" xr:uid="{00000000-0006-0000-0000-00002D000000}">
      <text>
        <r>
          <rPr>
            <sz val="8"/>
            <color indexed="81"/>
            <rFont val="Tahoma"/>
            <family val="2"/>
          </rPr>
          <t>Desc: LED GREEN CLEAR CHIP SMD
Footprint: 1209 (3224 Metric)
Size: 3.20mm L x 2.40mm W</t>
        </r>
      </text>
    </comment>
    <comment ref="N11" authorId="0" shapeId="0" xr:uid="{00000000-0006-0000-0000-00002E000000}">
      <text>
        <r>
          <rPr>
            <sz val="8"/>
            <color indexed="81"/>
            <rFont val="Tahoma"/>
            <family val="2"/>
          </rPr>
          <t>55904 En stock</t>
        </r>
      </text>
    </comment>
    <comment ref="P11" authorId="0" shapeId="0" xr:uid="{00000000-0006-0000-0000-00002F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€0.34      €0.34
    10   €0.18      €1.85
   100   €0.09      €8.60
   500   €0.08     €39.50
  1000   €0.06     €62.00
  1500   €0.06     €90.00
  9000   €0.05    €423.00
 24000   €0.04    €984.00
 49500   €0.04  €1,881.00</t>
        </r>
      </text>
    </comment>
    <comment ref="S11" authorId="0" shapeId="0" xr:uid="{00000000-0006-0000-0000-000030000000}">
      <text>
        <r>
          <rPr>
            <sz val="8"/>
            <color indexed="81"/>
            <rFont val="Tahoma"/>
            <family val="2"/>
          </rPr>
          <t>Desc: DEL standard - CMS Green Clear 571nm</t>
        </r>
      </text>
    </comment>
    <comment ref="J12" authorId="0" shapeId="0" xr:uid="{00000000-0006-0000-0000-00003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$0.19      $1.88
   100   $0.10      $9.98
   500   $0.07     $32.83
  1000   $0.04     $44.65</t>
        </r>
      </text>
    </comment>
    <comment ref="M12" authorId="0" shapeId="0" xr:uid="{00000000-0006-0000-0000-000032000000}">
      <text>
        <r>
          <rPr>
            <sz val="8"/>
            <color indexed="81"/>
            <rFont val="Tahoma"/>
            <family val="2"/>
          </rPr>
          <t>Desc: DIODE GEN PURP 75V 150MA SOD123
Footprint: SOD-123</t>
        </r>
      </text>
    </comment>
    <comment ref="N12" authorId="0" shapeId="0" xr:uid="{00000000-0006-0000-0000-000033000000}">
      <text>
        <r>
          <rPr>
            <sz val="8"/>
            <color indexed="81"/>
            <rFont val="Tahoma"/>
            <family val="2"/>
          </rPr>
          <t>126371 En stock</t>
        </r>
      </text>
    </comment>
    <comment ref="P12" authorId="0" shapeId="0" xr:uid="{00000000-0006-0000-0000-000034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€0.23      €0.23
    10   €0.17      €1.73
   100   €0.09      €9.40
   500   €0.07     €33.50
  1000   €0.04     €45.00
  2500   €0.04     €97.50
 10000   €0.04    €350.00
 15000   €0.03    €480.00
 45000   €0.03  €1,395.00</t>
        </r>
      </text>
    </comment>
    <comment ref="S12" authorId="0" shapeId="0" xr:uid="{00000000-0006-0000-0000-000035000000}">
      <text>
        <r>
          <rPr>
            <sz val="8"/>
            <color indexed="81"/>
            <rFont val="Tahoma"/>
            <family val="2"/>
          </rPr>
          <t>Desc: Diodes - Usage général, alimentation, commutation 100V Io/150mA</t>
        </r>
      </text>
    </comment>
    <comment ref="J13" authorId="0" shapeId="0" xr:uid="{00000000-0006-0000-0000-000036000000}">
      <text>
        <r>
          <rPr>
            <sz val="8"/>
            <color indexed="81"/>
            <rFont val="Tahoma"/>
            <family val="2"/>
          </rPr>
          <t>Qty/Price Breaks (USD):
  Qty  -  Unit$  -  Ext$
================
  5000   $0.03    $158.70
 10000   $0.03    $269.80
 25000   $0.03    $634.75
 50000   $0.02  $1,190.50
125000   $0.02  $2,578.75</t>
        </r>
      </text>
    </comment>
    <comment ref="M13" authorId="0" shapeId="0" xr:uid="{00000000-0006-0000-0000-000037000000}">
      <text>
        <r>
          <rPr>
            <sz val="8"/>
            <color indexed="81"/>
            <rFont val="Tahoma"/>
            <family val="2"/>
          </rPr>
          <t>Desc: DIODE GEN PURP 400V 1A DO41
Footprint: DO-204AL, DO-41, Axial</t>
        </r>
      </text>
    </comment>
    <comment ref="N13" authorId="0" shapeId="0" xr:uid="{00000000-0006-0000-0000-000038000000}">
      <text>
        <r>
          <rPr>
            <sz val="8"/>
            <color indexed="81"/>
            <rFont val="Tahoma"/>
            <family val="2"/>
          </rPr>
          <t>87826 En stock</t>
        </r>
      </text>
    </comment>
    <comment ref="P13" authorId="0" shapeId="0" xr:uid="{00000000-0006-0000-0000-000039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€0.11      €0.11
    10   €0.10      €1.03
   100   €0.06      €5.70
   500   €0.04     €18.00
  1000   €0.02     €24.00
  2500   €0.02     €52.50
  5000   €0.02     €90.00
 10000   €0.01    €150.00
 25000   €0.01    €350.00</t>
        </r>
      </text>
    </comment>
    <comment ref="S13" authorId="0" shapeId="0" xr:uid="{00000000-0006-0000-0000-00003A000000}">
      <text>
        <r>
          <rPr>
            <sz val="8"/>
            <color indexed="81"/>
            <rFont val="Tahoma"/>
            <family val="2"/>
          </rPr>
          <t>Desc: Redresseurs 1A 400V Rectifier Diode</t>
        </r>
      </text>
    </comment>
    <comment ref="J14" authorId="0" shapeId="0" xr:uid="{00000000-0006-0000-0000-00003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$0.14      $1.41
   100   $0.08      $7.66
   500   $0.05     $23.57
  1000   $0.03     $32.14</t>
        </r>
      </text>
    </comment>
    <comment ref="M14" authorId="0" shapeId="0" xr:uid="{00000000-0006-0000-0000-00003C000000}">
      <text>
        <r>
          <rPr>
            <sz val="8"/>
            <color indexed="81"/>
            <rFont val="Tahoma"/>
            <family val="2"/>
          </rPr>
          <t>Desc: SOD-123, ZENER
Footprint: SOD-123
Tolerance: ±2.12%</t>
        </r>
      </text>
    </comment>
    <comment ref="N14" authorId="0" shapeId="0" xr:uid="{00000000-0006-0000-0000-00003D000000}">
      <text>
        <r>
          <rPr>
            <sz val="8"/>
            <color indexed="81"/>
            <rFont val="Tahoma"/>
            <family val="2"/>
          </rPr>
          <t>7786 En stock</t>
        </r>
      </text>
    </comment>
    <comment ref="P14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€0.14      €0.14
    10   €0.13      €1.33
   100   €0.07      €7.20
   500   €0.04     €22.50
  1000   €0.03     €31.00
  3000   €0.02     €69.00
  9000   €0.02    €180.00
 24000   €0.02    €432.00
 45000   €0.02    €720.00</t>
        </r>
      </text>
    </comment>
    <comment ref="S14" authorId="0" shapeId="0" xr:uid="{00000000-0006-0000-0000-00003F000000}">
      <text>
        <r>
          <rPr>
            <sz val="8"/>
            <color indexed="81"/>
            <rFont val="Tahoma"/>
            <family val="2"/>
          </rPr>
          <t>Desc: Diodes Zener 410mW ZENER 3.3V</t>
        </r>
      </text>
    </comment>
    <comment ref="J15" authorId="0" shapeId="0" xr:uid="{00000000-0006-0000-0000-00004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$1.78      $1.78
     5   $1.69      $8.47
    10   $1.61     $16.09
    50   $1.30     $64.94
   100   $1.10    $110.11
   250   $1.07    $268.23
   500   $0.90    $451.75</t>
        </r>
      </text>
    </comment>
    <comment ref="M15" authorId="0" shapeId="0" xr:uid="{00000000-0006-0000-0000-000041000000}">
      <text>
        <r>
          <rPr>
            <sz val="8"/>
            <color indexed="81"/>
            <rFont val="Tahoma"/>
            <family val="2"/>
          </rPr>
          <t>Desc: FUSE BOARD MOUNT 1A 250VAC 2SMD
Footprint: 2-SMD, Square End Block
Size: 0.398" L x 0.123" W x 0.123" H (10.10mm x 3.12mm x 3.12mm)</t>
        </r>
      </text>
    </comment>
    <comment ref="N15" authorId="0" shapeId="0" xr:uid="{00000000-0006-0000-0000-000042000000}">
      <text>
        <r>
          <rPr>
            <sz val="8"/>
            <color indexed="81"/>
            <rFont val="Tahoma"/>
            <family val="2"/>
          </rPr>
          <t>14614 En stock</t>
        </r>
      </text>
    </comment>
    <comment ref="P15" authorId="0" shapeId="0" xr:uid="{00000000-0006-0000-0000-000043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€1.40      €1.40
    10   €1.05     €10.50
   100   €0.84     €83.60
  1500   €0.84  €1,254.00</t>
        </r>
      </text>
    </comment>
    <comment ref="S15" authorId="0" shapeId="0" xr:uid="{00000000-0006-0000-0000-000044000000}">
      <text>
        <r>
          <rPr>
            <sz val="8"/>
            <color indexed="81"/>
            <rFont val="Tahoma"/>
            <family val="2"/>
          </rPr>
          <t>Desc: Fusibles pour montage en surface 250VAC 1A .18ohms 443 NANO2</t>
        </r>
      </text>
    </comment>
    <comment ref="J16" authorId="0" shapeId="0" xr:uid="{00000000-0006-0000-0000-00004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$0.97      $0.97
    10   $0.61      $6.07
    25   $0.52     $12.99
    50   $0.47     $23.34
   100   $0.46     $45.72
   250   $0.39     $97.27
   500   $0.37    $184.81
  1000   $0.33    $330.71
  5000   $0.26  $1,293.65</t>
        </r>
      </text>
    </comment>
    <comment ref="M16" authorId="0" shapeId="0" xr:uid="{00000000-0006-0000-0000-000046000000}">
      <text>
        <r>
          <rPr>
            <sz val="8"/>
            <color rgb="FF000000"/>
            <rFont val="Tahoma"/>
            <family val="2"/>
          </rPr>
          <t>Desc: TERMINAL BLOCK, SCREW TYPE, 5.08</t>
        </r>
      </text>
    </comment>
    <comment ref="N16" authorId="0" shapeId="0" xr:uid="{00000000-0006-0000-0000-000047000000}">
      <text>
        <r>
          <rPr>
            <sz val="8"/>
            <color indexed="81"/>
            <rFont val="Tahoma"/>
            <family val="2"/>
          </rPr>
          <t>10077 En stock</t>
        </r>
      </text>
    </comment>
    <comment ref="P16" authorId="0" shapeId="0" xr:uid="{00000000-0006-0000-0000-000048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€0.77      €0.77
    10   €0.44      €4.42
   100   €0.38     €38.20
   250   €0.33     €82.25
   500   €0.32    €158.50
  1200   €0.30    €360.00
  2400   €0.29    €696.00
  4800   €0.23  €1,123.20
  9600   €0.23  €2,236.80</t>
        </r>
      </text>
    </comment>
    <comment ref="S16" authorId="0" shapeId="0" xr:uid="{00000000-0006-0000-0000-000049000000}">
      <text>
        <r>
          <rPr>
            <sz val="8"/>
            <color indexed="81"/>
            <rFont val="Tahoma"/>
            <family val="2"/>
          </rPr>
          <t>Desc: Borniers fixes Terminal block, screw type, 5.08 , horizontal, 3 poles, CUI Blue, slotted screw, PCB mount</t>
        </r>
      </text>
    </comment>
    <comment ref="J17" authorId="0" shapeId="0" xr:uid="{00000000-0006-0000-0000-00004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$1.66      $1.66
    10   $1.56     $15.58
    25   $1.39     $34.63
    40   $1.32     $52.64
    80   $1.25     $99.74
   230   $1.11    $254.90
   500   $1.04    $519.49
  1000   $0.97    $969.72
  5000   $0.94  $4,675.45</t>
        </r>
      </text>
    </comment>
    <comment ref="M17" authorId="0" shapeId="0" xr:uid="{00000000-0006-0000-0000-00004B000000}">
      <text>
        <r>
          <rPr>
            <sz val="8"/>
            <color indexed="81"/>
            <rFont val="Tahoma"/>
            <family val="2"/>
          </rPr>
          <t>Desc: RELAY GEN PURPOSE SPDT 10A 5V</t>
        </r>
      </text>
    </comment>
    <comment ref="N17" authorId="0" shapeId="0" xr:uid="{00000000-0006-0000-0000-00004C000000}">
      <text>
        <r>
          <rPr>
            <sz val="8"/>
            <color indexed="81"/>
            <rFont val="Tahoma"/>
            <family val="2"/>
          </rPr>
          <t>3477 En stock</t>
        </r>
      </text>
    </comment>
    <comment ref="P17" authorId="0" shapeId="0" xr:uid="{00000000-0006-0000-0000-00004D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€1.63      €1.63
    10   €1.52     €15.20
    25   €1.29     €32.25
    50   €1.22     €61.00
   100   €1.09    €109.00
   500   €1.02    €510.00
  1000   €0.94    €940.00
  2500   €0.91  €2,285.00</t>
        </r>
      </text>
    </comment>
    <comment ref="S17" authorId="0" shapeId="0" xr:uid="{00000000-0006-0000-0000-00004E000000}">
      <text>
        <r>
          <rPr>
            <sz val="8"/>
            <color indexed="81"/>
            <rFont val="Tahoma"/>
            <family val="2"/>
          </rPr>
          <t>Desc: Relais universels SPDT 5VDC Flux Protected</t>
        </r>
      </text>
    </comment>
    <comment ref="J18" authorId="0" shapeId="0" xr:uid="{00000000-0006-0000-0000-00004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$7.11      $7.11
     5   $7.01     $35.05
    10   $6.91     $69.11
    25   $6.71    $167.84
    60   $6.32    $379.11
   120   $6.12    $734.53
   240   $5.92  $1,421.68
   480   $5.73  $2,748.57</t>
        </r>
      </text>
    </comment>
    <comment ref="M18" authorId="0" shapeId="0" xr:uid="{00000000-0006-0000-0000-000050000000}">
      <text>
        <r>
          <rPr>
            <sz val="8"/>
            <color indexed="81"/>
            <rFont val="Tahoma"/>
            <family val="2"/>
          </rPr>
          <t>Desc: AC/DC CONVERTER 5V 5W
Footprint: 5-DIP Module, 4 Leads
Power: 5 W
Size: 1.00" L x 1.00" W x 0.69" H (25.4mm x 25.4mm x 17.6mm)</t>
        </r>
      </text>
    </comment>
    <comment ref="N18" authorId="0" shapeId="0" xr:uid="{00000000-0006-0000-0000-000051000000}">
      <text>
        <r>
          <rPr>
            <sz val="8"/>
            <color indexed="81"/>
            <rFont val="Tahoma"/>
            <family val="2"/>
          </rPr>
          <t>669 En stock</t>
        </r>
      </text>
    </comment>
    <comment ref="P18" authorId="0" shapeId="0" xr:uid="{00000000-0006-0000-0000-000052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€6.67      €6.67
     5   €6.59     €32.95
    10   €6.50     €65.00
    25   €6.32    €158.00
    60   €5.94    €356.40
   120   €5.75    €690.00
   300   €5.56  €1,668.00
   540   €5.49  €2,964.60
  1020   €5.24  €5,344.80</t>
        </r>
      </text>
    </comment>
    <comment ref="S18" authorId="0" shapeId="0" xr:uid="{00000000-0006-0000-0000-000053000000}">
      <text>
        <r>
          <rPr>
            <sz val="8"/>
            <color rgb="FF000000"/>
            <rFont val="Tahoma"/>
            <family val="2"/>
          </rPr>
          <t>Desc: Modules d'alimentation CA/CC ac-dc, 5 W, 5 Vdc, single output, encapsulated PCB, 85~305 Vac</t>
        </r>
      </text>
    </comment>
    <comment ref="H19" authorId="0" shapeId="0" xr:uid="{00000000-0006-0000-0000-000054000000}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J19" authorId="0" shapeId="0" xr:uid="{00000000-0006-0000-0000-00005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$0.23      $2.26
   100   $0.12     $11.97
   500   $0.08     $39.38
  1000   $0.05     $53.55</t>
        </r>
      </text>
    </comment>
    <comment ref="M19" authorId="0" shapeId="0" xr:uid="{00000000-0006-0000-0000-000056000000}">
      <text>
        <r>
          <rPr>
            <sz val="8"/>
            <color indexed="81"/>
            <rFont val="Tahoma"/>
            <family val="2"/>
          </rPr>
          <t>Desc: MOSFET N-CH 60V 250MA SOT23-3
Footprint: TO-236-3, SC-59, SOT-23-3</t>
        </r>
      </text>
    </comment>
    <comment ref="N19" authorId="0" shapeId="0" xr:uid="{00000000-0006-0000-0000-000057000000}">
      <text>
        <r>
          <rPr>
            <sz val="8"/>
            <color indexed="81"/>
            <rFont val="Tahoma"/>
            <family val="2"/>
          </rPr>
          <t>76876 En stock</t>
        </r>
      </text>
    </comment>
    <comment ref="P19" authorId="0" shapeId="0" xr:uid="{00000000-0006-0000-0000-000058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€0.27      €0.27
    10   €0.22      €2.24
   100   €0.12     €11.80
   500   €0.08     €39.00
  1000   €0.05     €54.00
  3000   €0.05    €141.00
  6000   €0.04    €270.00</t>
        </r>
      </text>
    </comment>
    <comment ref="S19" authorId="0" shapeId="0" xr:uid="{00000000-0006-0000-0000-000059000000}">
      <text>
        <r>
          <rPr>
            <sz val="8"/>
            <color indexed="81"/>
            <rFont val="Tahoma"/>
            <family val="2"/>
          </rPr>
          <t>Desc: MOSFET N-Channel</t>
        </r>
      </text>
    </comment>
    <comment ref="H20" authorId="0" shapeId="0" xr:uid="{00000000-0006-0000-0000-00005A000000}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J20" authorId="0" shapeId="0" xr:uid="{00000000-0006-0000-0000-00005B000000}">
      <text>
        <r>
          <rPr>
            <sz val="8"/>
            <color indexed="81"/>
            <rFont val="Tahoma"/>
            <family val="2"/>
          </rPr>
          <t>Qty/Price Breaks (USD):
  Qty  -  Unit$  -  Ext$
================
  4000   $0.01     $41.92</t>
        </r>
      </text>
    </comment>
    <comment ref="M20" authorId="0" shapeId="0" xr:uid="{00000000-0006-0000-0000-00005C000000}">
      <text>
        <r>
          <rPr>
            <sz val="8"/>
            <color indexed="81"/>
            <rFont val="Tahoma"/>
            <family val="2"/>
          </rPr>
          <t xml:space="preserve">Desc: RES 1K OHM 5% 1/2W 1210
Footprint: 1210 (3225 Metric)
Power: 0.5W, 1/2W
Size: 0.122" L x 0.098" W (3.10mm x 2.50mm)
Temp_coeff: ±200ppm/°C
Tolerance: ±5%
Value: 1 kOhms </t>
        </r>
      </text>
    </comment>
    <comment ref="N20" authorId="0" shapeId="0" xr:uid="{00000000-0006-0000-0000-00005D000000}">
      <text>
        <r>
          <rPr>
            <sz val="8"/>
            <color indexed="81"/>
            <rFont val="Tahoma"/>
            <family val="2"/>
          </rPr>
          <t>7800 En stock</t>
        </r>
      </text>
    </comment>
    <comment ref="P20" authorId="0" shapeId="0" xr:uid="{00000000-0006-0000-0000-00005E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€0.14      €0.14
    10   €0.08      €0.78
   100   €0.03      €3.20
  1000   €0.01     €15.00
  2500   €0.01     €32.50
  4000   €0.01     €40.00</t>
        </r>
      </text>
    </comment>
    <comment ref="S20" authorId="0" shapeId="0" xr:uid="{00000000-0006-0000-0000-00005F000000}">
      <text>
        <r>
          <rPr>
            <sz val="8"/>
            <color indexed="81"/>
            <rFont val="Tahoma"/>
            <family val="2"/>
          </rPr>
          <t>Desc: Résistances à couches épaisses - CMS 1210 1K0 5%</t>
        </r>
      </text>
    </comment>
    <comment ref="J21" authorId="0" shapeId="0" xr:uid="{00000000-0006-0000-0000-00006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$0.69      $0.69
    10   $0.51      $5.07
    50   $0.36     $17.88
   100   $0.29     $29.50
   500   $0.21    $104.28
  1000   $0.17    $165.42</t>
        </r>
      </text>
    </comment>
    <comment ref="M21" authorId="0" shapeId="0" xr:uid="{00000000-0006-0000-0000-000061000000}">
      <text>
        <r>
          <rPr>
            <sz val="8"/>
            <color rgb="FF000000"/>
            <rFont val="Tahoma"/>
            <family val="2"/>
          </rPr>
          <t xml:space="preserve">Desc: CRMA1210 4.99M 1% EF E3
</t>
        </r>
        <r>
          <rPr>
            <sz val="8"/>
            <color rgb="FF000000"/>
            <rFont val="Tahoma"/>
            <family val="2"/>
          </rPr>
          <t xml:space="preserve">Footprint: 1210 (3225 Metric)
</t>
        </r>
        <r>
          <rPr>
            <sz val="8"/>
            <color rgb="FF000000"/>
            <rFont val="Tahoma"/>
            <family val="2"/>
          </rPr>
          <t xml:space="preserve">Power: 0.35W
</t>
        </r>
        <r>
          <rPr>
            <sz val="8"/>
            <color rgb="FF000000"/>
            <rFont val="Tahoma"/>
            <family val="2"/>
          </rPr>
          <t xml:space="preserve">Size: 0.125" L x 0.100" W (3.18mm x 2.54mm)
</t>
        </r>
        <r>
          <rPr>
            <sz val="8"/>
            <color rgb="FF000000"/>
            <rFont val="Tahoma"/>
            <family val="2"/>
          </rPr>
          <t xml:space="preserve">Temp_coeff: </t>
        </r>
        <r>
          <rPr>
            <sz val="8"/>
            <color rgb="FF000000"/>
            <rFont val="Tahoma"/>
            <family val="2"/>
          </rPr>
          <t>±</t>
        </r>
        <r>
          <rPr>
            <sz val="8"/>
            <color rgb="FF000000"/>
            <rFont val="Tahoma"/>
            <family val="2"/>
          </rPr>
          <t>100ppm/</t>
        </r>
        <r>
          <rPr>
            <sz val="8"/>
            <color rgb="FF000000"/>
            <rFont val="Tahoma"/>
            <family val="2"/>
          </rPr>
          <t>°</t>
        </r>
        <r>
          <rPr>
            <sz val="8"/>
            <color rgb="FF000000"/>
            <rFont val="Tahoma"/>
            <family val="2"/>
          </rPr>
          <t xml:space="preserve">C
</t>
        </r>
        <r>
          <rPr>
            <sz val="8"/>
            <color rgb="FF000000"/>
            <rFont val="Tahoma"/>
            <family val="2"/>
          </rPr>
          <t xml:space="preserve">Tolerance: </t>
        </r>
        <r>
          <rPr>
            <sz val="8"/>
            <color rgb="FF000000"/>
            <rFont val="Tahoma"/>
            <family val="2"/>
          </rPr>
          <t>±</t>
        </r>
        <r>
          <rPr>
            <sz val="8"/>
            <color rgb="FF000000"/>
            <rFont val="Tahoma"/>
            <family val="2"/>
          </rPr>
          <t xml:space="preserve">1%
</t>
        </r>
        <r>
          <rPr>
            <sz val="8"/>
            <color rgb="FF000000"/>
            <rFont val="Tahoma"/>
            <family val="2"/>
          </rPr>
          <t xml:space="preserve">Value: 4.99 MOhms </t>
        </r>
      </text>
    </comment>
    <comment ref="N21" authorId="0" shapeId="0" xr:uid="{00000000-0006-0000-0000-000062000000}">
      <text>
        <r>
          <rPr>
            <sz val="8"/>
            <color rgb="FF000000"/>
            <rFont val="Tahoma"/>
            <family val="2"/>
          </rPr>
          <t>7700 En stock</t>
        </r>
      </text>
    </comment>
    <comment ref="P21" authorId="0" shapeId="0" xr:uid="{00000000-0006-0000-0000-000063000000}">
      <text>
        <r>
          <rPr>
            <sz val="8"/>
            <color rgb="FF000000"/>
            <rFont val="Tahoma"/>
            <family val="2"/>
          </rPr>
          <t xml:space="preserve">Qty/Price Breaks (EUR):
</t>
        </r>
        <r>
          <rPr>
            <sz val="8"/>
            <color rgb="FF000000"/>
            <rFont val="Tahoma"/>
            <family val="2"/>
          </rPr>
          <t xml:space="preserve">  Qty  -  Unit€  -  Ext€
</t>
        </r>
        <r>
          <rPr>
            <sz val="8"/>
            <color rgb="FF000000"/>
            <rFont val="Tahoma"/>
            <family val="2"/>
          </rPr>
          <t xml:space="preserve">================
</t>
        </r>
        <r>
          <rPr>
            <sz val="8"/>
            <color rgb="FF000000"/>
            <rFont val="Tahoma"/>
            <family val="2"/>
          </rPr>
          <t xml:space="preserve">     1   €0.72      €0.72
</t>
        </r>
        <r>
          <rPr>
            <sz val="8"/>
            <color rgb="FF000000"/>
            <rFont val="Tahoma"/>
            <family val="2"/>
          </rPr>
          <t xml:space="preserve">    10   €0.54      €5.43
</t>
        </r>
        <r>
          <rPr>
            <sz val="8"/>
            <color rgb="FF000000"/>
            <rFont val="Tahoma"/>
            <family val="2"/>
          </rPr>
          <t xml:space="preserve">   100   €0.32     €31.50
</t>
        </r>
        <r>
          <rPr>
            <sz val="8"/>
            <color rgb="FF000000"/>
            <rFont val="Tahoma"/>
            <family val="2"/>
          </rPr>
          <t xml:space="preserve">  1000   €0.22    €223.00
</t>
        </r>
        <r>
          <rPr>
            <sz val="8"/>
            <color rgb="FF000000"/>
            <rFont val="Tahoma"/>
            <family val="2"/>
          </rPr>
          <t xml:space="preserve">  4000   €0.22    €892.00</t>
        </r>
      </text>
    </comment>
    <comment ref="S21" authorId="0" shapeId="0" xr:uid="{00000000-0006-0000-0000-000064000000}">
      <text>
        <r>
          <rPr>
            <sz val="8"/>
            <color indexed="81"/>
            <rFont val="Tahoma"/>
            <family val="2"/>
          </rPr>
          <t>Desc: Résistances à couches épaisses - CMS 0.35W 4.99Mohm 1% AEC-Q200</t>
        </r>
      </text>
    </comment>
    <comment ref="J22" authorId="0" shapeId="0" xr:uid="{00000000-0006-0000-0000-00006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$0.07      $0.68
    50   $0.05      $2.29
   100   $0.04      $3.91
   500   $0.03     $14.02
  1000   $0.02     $24.67</t>
        </r>
      </text>
    </comment>
    <comment ref="M22" authorId="0" shapeId="0" xr:uid="{00000000-0006-0000-0000-000066000000}">
      <text>
        <r>
          <rPr>
            <sz val="8"/>
            <color indexed="81"/>
            <rFont val="Tahoma"/>
            <family val="2"/>
          </rPr>
          <t xml:space="preserve">Desc: RES 10K OHM 1% 1/2W 1210
Footprint: 1210 (3225 Metric)
Power: 0.5W, 1/2W
Size: 0.126" L x 0.098" W (3.20mm x 2.50mm)
Temp_coeff: ±100ppm/°C
Tolerance: ±1%
Value: 10 kOhms </t>
        </r>
      </text>
    </comment>
    <comment ref="N22" authorId="0" shapeId="0" xr:uid="{00000000-0006-0000-0000-000067000000}">
      <text>
        <r>
          <rPr>
            <sz val="8"/>
            <color indexed="81"/>
            <rFont val="Tahoma"/>
            <family val="2"/>
          </rPr>
          <t>19305 En stock</t>
        </r>
      </text>
    </comment>
    <comment ref="P22" authorId="0" shapeId="0" xr:uid="{00000000-0006-0000-0000-000068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€0.13      €0.13
    10   €0.11      €1.06
   100   €0.04      €4.20
   500   €0.04     €17.50
  1000   €0.02     €18.00
  4000   €0.02     €64.00</t>
        </r>
      </text>
    </comment>
    <comment ref="S22" authorId="0" shapeId="0" xr:uid="{00000000-0006-0000-0000-000069000000}">
      <text>
        <r>
          <rPr>
            <sz val="8"/>
            <color indexed="81"/>
            <rFont val="Tahoma"/>
            <family val="2"/>
          </rPr>
          <t>Desc: Résistances à couches épaisses - CMS 10kOhm 1210 0.5W 1% Std Power</t>
        </r>
      </text>
    </comment>
    <comment ref="J23" authorId="0" shapeId="0" xr:uid="{00000000-0006-0000-0000-00006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$0.12      $1.19
    50   $0.06      $3.13
   100   $0.05      $4.64
   500   $0.03     $14.02
  1000   $0.02     $19.42</t>
        </r>
      </text>
    </comment>
    <comment ref="M23" authorId="0" shapeId="0" xr:uid="{00000000-0006-0000-0000-00006B000000}">
      <text>
        <r>
          <rPr>
            <sz val="8"/>
            <color indexed="81"/>
            <rFont val="Tahoma"/>
            <family val="2"/>
          </rPr>
          <t xml:space="preserve">Desc: RES 560 OHM 5% 1/2W 1210
Footprint: 1210 (3225 Metric)
Power: 0.5W, 1/2W
Size: 0.126" L x 0.102" W (3.20mm x 2.60mm)
Temp_coeff: ±200ppm/°C
Tolerance: ±5%
Value: 560 Ohms </t>
        </r>
      </text>
    </comment>
    <comment ref="N23" authorId="0" shapeId="0" xr:uid="{00000000-0006-0000-0000-00006C000000}">
      <text>
        <r>
          <rPr>
            <sz val="8"/>
            <color indexed="81"/>
            <rFont val="Tahoma"/>
            <family val="2"/>
          </rPr>
          <t>8107 En stock</t>
        </r>
      </text>
    </comment>
    <comment ref="P23" authorId="0" shapeId="0" xr:uid="{00000000-0006-0000-0000-00006D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€0.14      €0.14
    10   €0.06      €0.63
   100   €0.03      €2.80
  1000   €0.02     €20.00
  5000   €0.02     €85.00
 10000   €0.02    €160.00
 25000   €0.01    €375.00
100000   €0.01  €1,300.00</t>
        </r>
      </text>
    </comment>
    <comment ref="S23" authorId="0" shapeId="0" xr:uid="{00000000-0006-0000-0000-00006E000000}">
      <text>
        <r>
          <rPr>
            <sz val="8"/>
            <color indexed="81"/>
            <rFont val="Tahoma"/>
            <family val="2"/>
          </rPr>
          <t>Desc: Résistances à couches épaisses - CMS 1/2watts 560ohms 5%</t>
        </r>
      </text>
    </comment>
    <comment ref="H24" authorId="0" shapeId="0" xr:uid="{00000000-0006-0000-0000-00006F000000}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J24" authorId="0" shapeId="0" xr:uid="{00000000-0006-0000-0000-00007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$0.48      $4.85
    25   $0.47     $11.69
   100   $0.40     $40.45
   250   $0.37     $92.14
   500   $0.34    $170.79
  1000   $0.31    $305.63
  2500   $0.29    $723.60
  5000   $0.27  $1,339.35</t>
        </r>
      </text>
    </comment>
    <comment ref="M24" authorId="0" shapeId="0" xr:uid="{00000000-0006-0000-0000-000071000000}">
      <text>
        <r>
          <rPr>
            <sz val="8"/>
            <color indexed="81"/>
            <rFont val="Tahoma"/>
            <family val="2"/>
          </rPr>
          <t>Desc: SWITCH TACT SPST-NO .05A 12VDC</t>
        </r>
      </text>
    </comment>
    <comment ref="N24" authorId="0" shapeId="0" xr:uid="{00000000-0006-0000-0000-000072000000}">
      <text>
        <r>
          <rPr>
            <sz val="8"/>
            <color indexed="81"/>
            <rFont val="Tahoma"/>
            <family val="2"/>
          </rPr>
          <t>2938 En stock</t>
        </r>
      </text>
    </comment>
    <comment ref="P24" authorId="0" shapeId="0" xr:uid="{00000000-0006-0000-0000-000073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€0.59      €0.59
    10   €0.56      €5.63
    25   €0.54     €13.38
   100   €0.49     €48.60
   250   €0.46    €114.25
   500   €0.42    €209.00
  1000   €0.35    €349.00
  2000   €0.34    €678.00
  5000   €0.32  €1,580.00</t>
        </r>
      </text>
    </comment>
    <comment ref="S24" authorId="0" shapeId="0" xr:uid="{00000000-0006-0000-0000-000074000000}">
      <text>
        <r>
          <rPr>
            <sz val="8"/>
            <color indexed="81"/>
            <rFont val="Tahoma"/>
            <family val="2"/>
          </rPr>
          <t>Desc: Interrupteurs de contact 6.0x6.0x3.85mm 260gf</t>
        </r>
      </text>
    </comment>
    <comment ref="J25" authorId="0" shapeId="0" xr:uid="{00000000-0006-0000-0000-00007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$3.00      $3.00</t>
        </r>
      </text>
    </comment>
    <comment ref="M25" authorId="0" shapeId="0" xr:uid="{00000000-0006-0000-0000-000076000000}">
      <text>
        <r>
          <rPr>
            <sz val="8"/>
            <color rgb="FF000000"/>
            <rFont val="Tahoma"/>
            <family val="2"/>
          </rPr>
          <t xml:space="preserve">Desc: RF TXRX MOD WIFI TRACE ANT SMD
</t>
        </r>
        <r>
          <rPr>
            <sz val="8"/>
            <color rgb="FF000000"/>
            <rFont val="Tahoma"/>
            <family val="2"/>
          </rPr>
          <t xml:space="preserve">Footprint: 38-SMD Module
</t>
        </r>
        <r>
          <rPr>
            <sz val="8"/>
            <color rgb="FF000000"/>
            <rFont val="Tahoma"/>
            <family val="2"/>
          </rPr>
          <t>Frequency: 2.4GHz ~ 2.5GHz</t>
        </r>
      </text>
    </comment>
    <comment ref="N25" authorId="0" shapeId="0" xr:uid="{00000000-0006-0000-0000-000077000000}">
      <text>
        <r>
          <rPr>
            <sz val="8"/>
            <color indexed="81"/>
            <rFont val="Tahoma"/>
            <family val="2"/>
          </rPr>
          <t>18461 En stock</t>
        </r>
      </text>
    </comment>
    <comment ref="P25" authorId="0" shapeId="0" xr:uid="{00000000-0006-0000-0000-000078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€2.82      €2.82
   650   €2.82  €1,833.00</t>
        </r>
      </text>
    </comment>
    <comment ref="S25" authorId="0" shapeId="0" xr:uid="{00000000-0006-0000-0000-000079000000}">
      <text>
        <r>
          <rPr>
            <sz val="8"/>
            <color indexed="81"/>
            <rFont val="Tahoma"/>
            <family val="2"/>
          </rPr>
          <t>Desc: Modules multiprotocoles SMD Module ESP32-WROOM-32E, ESP32-D0WD-V3, 4 MB SPI flash, PCB antenna</t>
        </r>
      </text>
    </comment>
    <comment ref="J26" authorId="0" shapeId="0" xr:uid="{00000000-0006-0000-0000-00007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$0.91      $0.91
    25   $0.77     $19.25
   100   $0.71     $71.00</t>
        </r>
      </text>
    </comment>
    <comment ref="M26" authorId="0" shapeId="0" xr:uid="{00000000-0006-0000-0000-00007B000000}">
      <text>
        <r>
          <rPr>
            <sz val="8"/>
            <color indexed="81"/>
            <rFont val="Tahoma"/>
            <family val="2"/>
          </rPr>
          <t>Desc: IC REG LIN 3.3V 800MA SOT223-3
Footprint: TO-261-4, TO-261AA</t>
        </r>
      </text>
    </comment>
    <comment ref="N26" authorId="0" shapeId="0" xr:uid="{00000000-0006-0000-0000-00007C000000}">
      <text>
        <r>
          <rPr>
            <sz val="8"/>
            <color indexed="81"/>
            <rFont val="Tahoma"/>
            <family val="2"/>
          </rPr>
          <t>955 En stock</t>
        </r>
      </text>
    </comment>
    <comment ref="P26" authorId="0" shapeId="0" xr:uid="{00000000-0006-0000-0000-00007D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€0.85      €0.85
    25   €0.72     €18.10
   100   €0.67     €66.70
  4000   €0.67  €2,668.00</t>
        </r>
      </text>
    </comment>
    <comment ref="S26" authorId="0" shapeId="0" xr:uid="{00000000-0006-0000-0000-00007E000000}">
      <text>
        <r>
          <rPr>
            <sz val="8"/>
            <color indexed="81"/>
            <rFont val="Tahoma"/>
            <family val="2"/>
          </rPr>
          <t>Desc: Régulateurs de tension LDO 800mA Fixed Output</t>
        </r>
      </text>
    </comment>
    <comment ref="J27" authorId="0" shapeId="0" xr:uid="{00000000-0006-0000-0000-00007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$1.07      $1.07
    10   $0.70      $6.97
   100   $0.46     $45.66
  1000   $0.36    $360.48
  2000   $0.34    $672.90
  5000   $0.32  $1,622.15
 10000   $0.32  $3,196.30
 25000   $0.31  $7,810.50</t>
        </r>
      </text>
    </comment>
    <comment ref="M27" authorId="0" shapeId="0" xr:uid="{00000000-0006-0000-0000-000080000000}">
      <text>
        <r>
          <rPr>
            <sz val="8"/>
            <color indexed="81"/>
            <rFont val="Tahoma"/>
            <family val="2"/>
          </rPr>
          <t>Desc: OPTOISOLATOR 4.17KV TRIAC 6DIP
Footprint: 6-DIP (0.300", 7.62mm)</t>
        </r>
      </text>
    </comment>
    <comment ref="N27" authorId="0" shapeId="0" xr:uid="{00000000-0006-0000-0000-000081000000}">
      <text>
        <r>
          <rPr>
            <sz val="8"/>
            <color indexed="81"/>
            <rFont val="Tahoma"/>
            <family val="2"/>
          </rPr>
          <t>13683 En stock</t>
        </r>
      </text>
    </comment>
    <comment ref="P27" authorId="0" shapeId="0" xr:uid="{00000000-0006-0000-0000-000082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€1.00      €1.00
    10   €0.65      €6.47
   100   €0.42     €42.50
   500   €0.41    €207.00
  1000   €0.33    €326.00
  3000   €0.32    €960.00
  5000   €0.31  €1,540.00
 10000   €0.30  €3,040.00
 25000   €0.29  €7,250.00</t>
        </r>
      </text>
    </comment>
    <comment ref="S27" authorId="0" shapeId="0" xr:uid="{00000000-0006-0000-0000-000083000000}">
      <text>
        <r>
          <rPr>
            <sz val="8"/>
            <color indexed="81"/>
            <rFont val="Tahoma"/>
            <family val="2"/>
          </rPr>
          <t>Desc: Optocoupleurs de sortie triac et SCR DIP-6 ZERO TRIAC</t>
        </r>
      </text>
    </comment>
    <comment ref="J28" authorId="0" shapeId="0" xr:uid="{00000000-0006-0000-0000-00008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$0.50      $5.02
    50   $0.45     $22.61
   100   $0.40     $40.20
   500   $0.38    $190.94</t>
        </r>
      </text>
    </comment>
    <comment ref="M28" authorId="0" shapeId="0" xr:uid="{00000000-0006-0000-0000-000085000000}">
      <text>
        <r>
          <rPr>
            <sz val="8"/>
            <color indexed="81"/>
            <rFont val="Tahoma"/>
            <family val="2"/>
          </rPr>
          <t>Desc: CRYSTAL 32.7680KHZ 12.5PF SMD
Footprint: 2-SMD, No Lead
Frequency: 32.768 kHz
Size: 0.079" L x 0.047" W (2.00mm x 1.20mm)</t>
        </r>
      </text>
    </comment>
    <comment ref="N28" authorId="0" shapeId="0" xr:uid="{00000000-0006-0000-0000-000086000000}">
      <text>
        <r>
          <rPr>
            <sz val="8"/>
            <color indexed="81"/>
            <rFont val="Tahoma"/>
            <family val="2"/>
          </rPr>
          <t>25390 En stock</t>
        </r>
      </text>
    </comment>
    <comment ref="P28" authorId="0" shapeId="0" xr:uid="{00000000-0006-0000-0000-000087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€0.58      €0.58
    10   €0.48      €4.84
   100   €0.39     €38.70
   500   €0.37    €184.00
  1000   €0.31    €309.00
  2000   €0.29    €578.00
  5000   €0.28  €1,400.00
 10000   €0.27  €2,700.00
 25000   €0.26  €6,500.00</t>
        </r>
      </text>
    </comment>
    <comment ref="S28" authorId="0" shapeId="0" xr:uid="{00000000-0006-0000-0000-000088000000}">
      <text>
        <r>
          <rPr>
            <sz val="8"/>
            <color indexed="81"/>
            <rFont val="Tahoma"/>
            <family val="2"/>
          </rPr>
          <t>Desc: Quartz 32.768 kHz 12.5 pF +/-20 PPM -40/+85C</t>
        </r>
      </text>
    </comment>
    <comment ref="F30" authorId="0" shapeId="0" xr:uid="{00000000-0006-0000-0000-000089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0" authorId="0" shapeId="0" xr:uid="{00000000-0006-0000-0000-00008A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0" authorId="0" shapeId="0" xr:uid="{00000000-0006-0000-0000-00008B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1" authorId="0" shapeId="0" xr:uid="{00000000-0006-0000-0000-00008C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<sst xmlns="http://schemas.openxmlformats.org/spreadsheetml/2006/main" count="175" uniqueCount="151">
  <si>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</si>
  <si>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</si>
  <si>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</si>
  <si>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</si>
  <si>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</si>
  <si>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</si>
  <si>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</si>
  <si>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</si>
  <si>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C1,C6</t>
  </si>
  <si>
    <t>1µ</t>
  </si>
  <si>
    <t>C_1210_3225Metric_Pad1.33x2.70mm_HandSolder</t>
  </si>
  <si>
    <t>CL32B105KBHNNNE</t>
  </si>
  <si>
    <t>C2,C3</t>
  </si>
  <si>
    <t>12p</t>
  </si>
  <si>
    <t>C1210C120J1HACTU</t>
  </si>
  <si>
    <t>C4</t>
  </si>
  <si>
    <t>22µ</t>
  </si>
  <si>
    <t>CL32A226MOJNNNE</t>
  </si>
  <si>
    <t>C5</t>
  </si>
  <si>
    <t>0.1µ</t>
  </si>
  <si>
    <t>12101C104K4T2A</t>
  </si>
  <si>
    <t>D1,D3-D8</t>
  </si>
  <si>
    <t>LTST-C930KGKT</t>
  </si>
  <si>
    <t>LED_1210_3225Metric_Pad1.42x2.65mm_HandSolder</t>
  </si>
  <si>
    <t>D2,D11</t>
  </si>
  <si>
    <t>1N4148W</t>
  </si>
  <si>
    <t>D_SOD-123</t>
  </si>
  <si>
    <t>1N4148W-E3-08</t>
  </si>
  <si>
    <t>D9,D10</t>
  </si>
  <si>
    <t>1N4004</t>
  </si>
  <si>
    <t>D_DO-41_SOD81_P7.62mm_Horizontal</t>
  </si>
  <si>
    <t>1N4004T-G</t>
  </si>
  <si>
    <t>D12-D14</t>
  </si>
  <si>
    <t>BZT52-C3V3</t>
  </si>
  <si>
    <t>D_SOD-123F</t>
  </si>
  <si>
    <t>BZT52-C3V3_R1_00001</t>
  </si>
  <si>
    <t>F1</t>
  </si>
  <si>
    <t>Fuse_Small-device</t>
  </si>
  <si>
    <t>Fuseholder_Littelfuse_Nano2_157x</t>
  </si>
  <si>
    <t>0443001.DR</t>
  </si>
  <si>
    <t>J2,J3,J6</t>
  </si>
  <si>
    <t>Screw_Terminal_01x03</t>
  </si>
  <si>
    <t>TerminalBlock_Phoenix_MKDS-1,5-3-5.08_1x03_P5.08mm_Horizontal</t>
  </si>
  <si>
    <t>TB007-508-03BE</t>
  </si>
  <si>
    <t>K1,K2</t>
  </si>
  <si>
    <t>G5LE-1-DC5</t>
  </si>
  <si>
    <t>Relay_SPDT_Omron-G5LE-1</t>
  </si>
  <si>
    <t>PS1</t>
  </si>
  <si>
    <t>PSK-5D-5</t>
  </si>
  <si>
    <t>PSK5D5</t>
  </si>
  <si>
    <t>Q1,Q2</t>
  </si>
  <si>
    <t>2N7002E</t>
  </si>
  <si>
    <t>SOT-23</t>
  </si>
  <si>
    <t>2N7002E-7-F</t>
  </si>
  <si>
    <t>R1,R5,R7-R11,R14</t>
  </si>
  <si>
    <t>1k</t>
  </si>
  <si>
    <t>R_1210_3225Metric_Pad1.30x2.65mm_HandSolder</t>
  </si>
  <si>
    <t>RMC1/4-102JTE</t>
  </si>
  <si>
    <t>R2</t>
  </si>
  <si>
    <t>5M</t>
  </si>
  <si>
    <t>CRMA1210AF4M99FKEF</t>
  </si>
  <si>
    <t>R3,R4,R6,R15-R17</t>
  </si>
  <si>
    <t>10k</t>
  </si>
  <si>
    <t>RMCF1210FT10K0</t>
  </si>
  <si>
    <t>R12,R13</t>
  </si>
  <si>
    <t>560R</t>
  </si>
  <si>
    <t>RK73B2ETTD561J</t>
  </si>
  <si>
    <t>SW1,SW2</t>
  </si>
  <si>
    <t>SW_PUSH</t>
  </si>
  <si>
    <t>SW_Tactile_SKHH_Angled</t>
  </si>
  <si>
    <t>SKHHLPA010</t>
  </si>
  <si>
    <t>U1</t>
  </si>
  <si>
    <t>ESP32-WROOM-32E-N4</t>
  </si>
  <si>
    <t>ESP32-WROOM-32E</t>
  </si>
  <si>
    <t>U2</t>
  </si>
  <si>
    <t>TC1264-3.3VDBTR</t>
  </si>
  <si>
    <t>SOT-223-3_TabPin2</t>
  </si>
  <si>
    <t>U3,U4</t>
  </si>
  <si>
    <t>MOC3041M-opto</t>
  </si>
  <si>
    <t>DIP-6_W7.62mm</t>
  </si>
  <si>
    <t>MOC3041M</t>
  </si>
  <si>
    <t>Y1</t>
  </si>
  <si>
    <t>CM8V-T1A-32.768kHz-12.5pF-20PPM-TA-QC</t>
  </si>
  <si>
    <t>Crystal_SMD_MicroCrystal_CC8V-T1A-2Pin_2.0x1.2mm_HandSoldering</t>
  </si>
  <si>
    <t>Digi-Key</t>
  </si>
  <si>
    <t>Avail</t>
  </si>
  <si>
    <t>Purch</t>
  </si>
  <si>
    <t>MOQ</t>
  </si>
  <si>
    <t>Cat#</t>
  </si>
  <si>
    <t>1276-1811-1-ND</t>
  </si>
  <si>
    <t>C1210C120J1HAC7800-ND</t>
  </si>
  <si>
    <t>NonStk</t>
  </si>
  <si>
    <t>1276-1851-1-ND</t>
  </si>
  <si>
    <t>478-KAM32QR72A104KTCT-ND</t>
  </si>
  <si>
    <t>160-1462-1-ND</t>
  </si>
  <si>
    <t>1N4148W-E3-08CT-ND</t>
  </si>
  <si>
    <t>641-1311-3-ND</t>
  </si>
  <si>
    <t>3757-BZT52-C3V3_R1_00001CT-ND</t>
  </si>
  <si>
    <t>F2906CT-ND</t>
  </si>
  <si>
    <t>102-6204-ND</t>
  </si>
  <si>
    <t>Z1014-ND</t>
  </si>
  <si>
    <t>102-PSK-5D-5-ND</t>
  </si>
  <si>
    <t>2N7002E-FDICT-ND</t>
  </si>
  <si>
    <t>2315-RMC1/4-102JTETR-ND</t>
  </si>
  <si>
    <t>3579-CRMA1210AF4M99FKEFCT-ND</t>
  </si>
  <si>
    <t>RMCF1210FT10K0CT-ND</t>
  </si>
  <si>
    <t>2019-RK73B2ETTD561JCT-ND</t>
  </si>
  <si>
    <t>4809-SKHHLPA010-ND</t>
  </si>
  <si>
    <t>1965-ESP32-WROOM-32E-N4CT-ND</t>
  </si>
  <si>
    <t>TC1264-3.3VDBCT-ND</t>
  </si>
  <si>
    <t>MOC3041M-ND</t>
  </si>
  <si>
    <t>2195-CM8V-T1A-32.768KHZ-12.5PF-20PPM-TA-QCCT-ND</t>
  </si>
  <si>
    <t>Buy here</t>
  </si>
  <si>
    <t>Mouser</t>
  </si>
  <si>
    <t>187-CL32B105KBHNNNE</t>
  </si>
  <si>
    <t>80-C1210C120J1HACTU</t>
  </si>
  <si>
    <t>187-CL32A226MOJNNNE</t>
  </si>
  <si>
    <t>581-12101C104K4</t>
  </si>
  <si>
    <t>859-LTST-C930KGKT</t>
  </si>
  <si>
    <t>78-1N4148W-E3-08</t>
  </si>
  <si>
    <t>750-1N4004T-G</t>
  </si>
  <si>
    <t>241-BZT52C3V3R100001</t>
  </si>
  <si>
    <t>576-0443001.DR</t>
  </si>
  <si>
    <t>490-TB007-508-03BE</t>
  </si>
  <si>
    <t>653-G5LE-1-DC5</t>
  </si>
  <si>
    <t>490-PSK-5D-5</t>
  </si>
  <si>
    <t>621-2N7002E-7-F</t>
  </si>
  <si>
    <t>791-RMC1/4-102JTE</t>
  </si>
  <si>
    <t>71-CRMA1210AF4M99FKF</t>
  </si>
  <si>
    <t>708-RMCF1210FT10K0</t>
  </si>
  <si>
    <t>660-RK73B2ETTD561J</t>
  </si>
  <si>
    <t>688-SKHHLP</t>
  </si>
  <si>
    <t>356-ESP32WRM32E132PH</t>
  </si>
  <si>
    <t>579-TC1264-3.3VDBTR</t>
  </si>
  <si>
    <t>512-MOC3041-M</t>
  </si>
  <si>
    <t>428-201494-MC01</t>
  </si>
  <si>
    <t>Total Purchase:</t>
  </si>
  <si>
    <t>Purchase description:</t>
  </si>
  <si>
    <t>Used currency rates:</t>
  </si>
  <si>
    <t>EUR(€)/USD($):</t>
  </si>
  <si>
    <t>Prj:</t>
  </si>
  <si>
    <t>CaptorBoart</t>
  </si>
  <si>
    <t>Co.:</t>
  </si>
  <si>
    <t>Prj date:</t>
  </si>
  <si>
    <t>07/06/2023 16:50:52</t>
  </si>
  <si>
    <t>Board Qty:</t>
  </si>
  <si>
    <t>Total Cost:</t>
  </si>
  <si>
    <t>Unit Cost:</t>
  </si>
  <si>
    <t>$ date:</t>
  </si>
  <si>
    <t>2023-06-24 14:20:02</t>
  </si>
  <si>
    <t>KiCost® v1.1.15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</si>
</sst>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\€#,##0.000"/>
  </numFmts>
  <fonts count="1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1" applyAlignment="1" applyProtection="1"/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/>
    <xf numFmtId="0" fontId="6" fillId="4" borderId="0" xfId="0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276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en/products/detail/littelfuse-inc/0443001-DR/1920189" TargetMode="External"/><Relationship Id="rId21" Type="http://schemas.openxmlformats.org/officeDocument/2006/relationships/hyperlink" Target="https://www.mouser.fr/ProductDetail/Comchip-Technology/1N4004T-G?qs=tw%252BuQ%2FB6PO3qoBZGQQOUiQ%3D%3D" TargetMode="External"/><Relationship Id="rId42" Type="http://schemas.openxmlformats.org/officeDocument/2006/relationships/hyperlink" Target="https://www.mouser.fr/ProductDetail/Kamaya/RMC1-4-102JTE?qs=JZJGM%252BYuqVpm3l6kJyltQw%3D%3D" TargetMode="External"/><Relationship Id="rId47" Type="http://schemas.openxmlformats.org/officeDocument/2006/relationships/hyperlink" Target="https://www.digikey.com/en/products/detail/stackpole-electronics-inc/RMCF1210FT10K0/1758528" TargetMode="External"/><Relationship Id="rId63" Type="http://schemas.openxmlformats.org/officeDocument/2006/relationships/hyperlink" Target="https://www.mouser.fr/ProductDetail/onsemi-Fairchild/MOC3041M?qs=wU4Yabi1dYmXkJxzCoZjyQ%3D%3D" TargetMode="External"/><Relationship Id="rId68" Type="http://schemas.openxmlformats.org/officeDocument/2006/relationships/hyperlink" Target="https://mouser.com/bom/" TargetMode="External"/><Relationship Id="rId7" Type="http://schemas.openxmlformats.org/officeDocument/2006/relationships/hyperlink" Target="https://www.mouser.fr/datasheet/2/585/MLCC-1837944.pdf" TargetMode="External"/><Relationship Id="rId2" Type="http://schemas.openxmlformats.org/officeDocument/2006/relationships/hyperlink" Target="https://www.digikey.com/en/products/detail/samsung-electro-mechanics/CL32B105KBHNNNE/3887469" TargetMode="External"/><Relationship Id="rId16" Type="http://schemas.openxmlformats.org/officeDocument/2006/relationships/hyperlink" Target="https://www.vishay.com/docs/85748/1n4148w.pdf" TargetMode="External"/><Relationship Id="rId29" Type="http://schemas.openxmlformats.org/officeDocument/2006/relationships/hyperlink" Target="https://www.digikey.com/en/products/detail/cui-devices/TB007-508-03BE/10064128" TargetMode="External"/><Relationship Id="rId11" Type="http://schemas.openxmlformats.org/officeDocument/2006/relationships/hyperlink" Target="https://www.digikey.com/en/products/detail/kyocera-avx/KAM32QR72A104KT/6149343" TargetMode="External"/><Relationship Id="rId24" Type="http://schemas.openxmlformats.org/officeDocument/2006/relationships/hyperlink" Target="https://www.mouser.fr/ProductDetail/Panjit/BZT52-C3V3_R1_00001?qs=sPbYRqrBIVlxJ8b%252BOgB%252BYw%3D%3D" TargetMode="External"/><Relationship Id="rId32" Type="http://schemas.openxmlformats.org/officeDocument/2006/relationships/hyperlink" Target="https://www.digikey.com/en/products/detail/omron-electronics-inc-emc-div/G5LE-1-DC5/280368" TargetMode="External"/><Relationship Id="rId37" Type="http://schemas.openxmlformats.org/officeDocument/2006/relationships/hyperlink" Target="http://www.diodes.com/assets/Datasheets/ds30376.pdf" TargetMode="External"/><Relationship Id="rId40" Type="http://schemas.openxmlformats.org/officeDocument/2006/relationships/hyperlink" Target="https://www.mouser.fr/datasheet/2/210/Kamaya_RMC_series_8_2022-3032447.pdf" TargetMode="External"/><Relationship Id="rId45" Type="http://schemas.openxmlformats.org/officeDocument/2006/relationships/hyperlink" Target="https://www.mouser.fr/ProductDetail/Vishay/CRMA1210AF4M99FKEF?qs=QNEnbhJQKvbiFGlBKM2qgw%3D%3D" TargetMode="External"/><Relationship Id="rId53" Type="http://schemas.openxmlformats.org/officeDocument/2006/relationships/hyperlink" Target="https://www.digikey.com/en/products/detail/alps-alpine/SKHHLPA010/19529135" TargetMode="External"/><Relationship Id="rId58" Type="http://schemas.openxmlformats.org/officeDocument/2006/relationships/hyperlink" Target="http://ww1.microchip.com/downloads/en/DeviceDoc/21373C.pdf" TargetMode="External"/><Relationship Id="rId66" Type="http://schemas.openxmlformats.org/officeDocument/2006/relationships/hyperlink" Target="https://www.mouser.fr/ProductDetail/Micro-Crystal/CM8V-T1A-32.768kHz-12.5pF-20PPM-TA-QC?qs=7bTaA%2FLYtSYgtx%252BmOOZAYQ%3D%3D" TargetMode="External"/><Relationship Id="rId5" Type="http://schemas.openxmlformats.org/officeDocument/2006/relationships/hyperlink" Target="https://www.digikey.com/en/products/detail/kemet/C1210C120J1HAC7800/7953388" TargetMode="External"/><Relationship Id="rId61" Type="http://schemas.openxmlformats.org/officeDocument/2006/relationships/hyperlink" Target="https://www.mouser.fr/datasheet/2/308/1/MOC3043M_D-1811826.pdf" TargetMode="External"/><Relationship Id="rId19" Type="http://schemas.openxmlformats.org/officeDocument/2006/relationships/hyperlink" Target="http://www.vishay.com/docs/88503/1n4001.pdf" TargetMode="External"/><Relationship Id="rId14" Type="http://schemas.openxmlformats.org/officeDocument/2006/relationships/hyperlink" Target="https://www.digikey.com/en/products/detail/liteon/LTST-C930KGKT/386865" TargetMode="External"/><Relationship Id="rId22" Type="http://schemas.openxmlformats.org/officeDocument/2006/relationships/hyperlink" Target="https://diotec.com/tl_files/diotec/files/pdf/datasheets/bzt52b2v4.pdf" TargetMode="External"/><Relationship Id="rId27" Type="http://schemas.openxmlformats.org/officeDocument/2006/relationships/hyperlink" Target="https://www.mouser.fr/ProductDetail/Littelfuse/0443001.DR?qs=PalBzRKzfntIMFnMK4x4WA%3D%3D" TargetMode="External"/><Relationship Id="rId30" Type="http://schemas.openxmlformats.org/officeDocument/2006/relationships/hyperlink" Target="https://www.mouser.fr/ProductDetail/CUI-Devices/TB007-508-03BE?qs=vLWxofP3U2zHYiGqNs1vAA%3D%3D" TargetMode="External"/><Relationship Id="rId35" Type="http://schemas.openxmlformats.org/officeDocument/2006/relationships/hyperlink" Target="https://www.digikey.com/en/products/detail/cui-inc/PSK-5D-5/13922509" TargetMode="External"/><Relationship Id="rId43" Type="http://schemas.openxmlformats.org/officeDocument/2006/relationships/hyperlink" Target="https://www.mouser.fr/datasheet/2/427/crma-1765222.pdf" TargetMode="External"/><Relationship Id="rId48" Type="http://schemas.openxmlformats.org/officeDocument/2006/relationships/hyperlink" Target="https://www.mouser.fr/ProductDetail/SEI-Stackpole/RMCF1210FT10K0?qs=FESYatJ8odLSM832du%2FSXw%3D%3D" TargetMode="External"/><Relationship Id="rId56" Type="http://schemas.openxmlformats.org/officeDocument/2006/relationships/hyperlink" Target="https://www.digikey.com/en/products/detail/espressif-systems/ESP32-WROOM-32E-N4/11613125" TargetMode="External"/><Relationship Id="rId64" Type="http://schemas.openxmlformats.org/officeDocument/2006/relationships/hyperlink" Target="https://www.mouser.fr/datasheet/2/530/CM8V_T1A-1510858.pdf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https://www.digikey.com/en/products/detail/samsung-electro-mechanics/CL32A226MOJNNNE/3887509" TargetMode="External"/><Relationship Id="rId51" Type="http://schemas.openxmlformats.org/officeDocument/2006/relationships/hyperlink" Target="https://www.mouser.fr/ProductDetail/KOA-Speer/RK73B2ETTD561J?qs=LcAMIzdsMr2dlAoy6drxEQ%3D%3D" TargetMode="External"/><Relationship Id="rId3" Type="http://schemas.openxmlformats.org/officeDocument/2006/relationships/hyperlink" Target="https://www.mouser.fr/ProductDetail/Samsung-Electro-Mechanics/CL32B105KBHNNNE?qs=349EhDEZ59rXY4nCVEMdbA%3D%3D" TargetMode="External"/><Relationship Id="rId12" Type="http://schemas.openxmlformats.org/officeDocument/2006/relationships/hyperlink" Target="https://www.mouser.fr/ProductDetail/KYOCERA-AVX/12101C104K4T2A?qs=46Fswce4YXnjVHFdHduUPA%3D%3D" TargetMode="External"/><Relationship Id="rId17" Type="http://schemas.openxmlformats.org/officeDocument/2006/relationships/hyperlink" Target="https://www.digikey.com/en/products/detail/vishay-general-semiconductor-diodes-division/1N4148W-E3-08/3104162" TargetMode="External"/><Relationship Id="rId25" Type="http://schemas.openxmlformats.org/officeDocument/2006/relationships/hyperlink" Target="https://www.mouser.fr/datasheet/2/240/Littelfuse_Fuse_443_Datasheet_pdf-1102277.pdf" TargetMode="External"/><Relationship Id="rId33" Type="http://schemas.openxmlformats.org/officeDocument/2006/relationships/hyperlink" Target="https://www.mouser.fr/ProductDetail/Omron-Electronics/G5LE-1-DC5?qs=ImaqFqjHA4nKN7ETIjn3Lg%3D%3D" TargetMode="External"/><Relationship Id="rId38" Type="http://schemas.openxmlformats.org/officeDocument/2006/relationships/hyperlink" Target="https://www.digikey.com/en/products/detail/diodes-incorporated/2N7002E-7-F/1934377" TargetMode="External"/><Relationship Id="rId46" Type="http://schemas.openxmlformats.org/officeDocument/2006/relationships/hyperlink" Target="https://www.mouser.fr/datasheet/2/219/RK73B-1825463.pdf" TargetMode="External"/><Relationship Id="rId59" Type="http://schemas.openxmlformats.org/officeDocument/2006/relationships/hyperlink" Target="https://www.digikey.com/en/products/detail/microchip-technology/TC1264-3-3VDBTR/443075" TargetMode="External"/><Relationship Id="rId67" Type="http://schemas.openxmlformats.org/officeDocument/2006/relationships/hyperlink" Target="https://www.digikey.com/ordering/shoppingcart" TargetMode="External"/><Relationship Id="rId20" Type="http://schemas.openxmlformats.org/officeDocument/2006/relationships/hyperlink" Target="https://www.digikey.com/en/products/detail/comchip-technology/1N4004-G/1979655" TargetMode="External"/><Relationship Id="rId41" Type="http://schemas.openxmlformats.org/officeDocument/2006/relationships/hyperlink" Target="https://www.digikey.com/en/products/detail/kamaya-inc/RMC1-4-102JTE/17805078" TargetMode="External"/><Relationship Id="rId54" Type="http://schemas.openxmlformats.org/officeDocument/2006/relationships/hyperlink" Target="https://www.mouser.fr/ProductDetail/Alps-Alpine/SKHHLPA010?qs=fMKjfF2mFoiwGIDrp5ohgQ%3D%3D" TargetMode="External"/><Relationship Id="rId62" Type="http://schemas.openxmlformats.org/officeDocument/2006/relationships/hyperlink" Target="https://www.digikey.com/en/products/detail/onsemi/MOC3041M/281230" TargetMode="External"/><Relationship Id="rId70" Type="http://schemas.openxmlformats.org/officeDocument/2006/relationships/comments" Target="../comments1.xml"/><Relationship Id="rId1" Type="http://schemas.openxmlformats.org/officeDocument/2006/relationships/hyperlink" Target="https://www.mouser.fr/datasheet/2/585/MLCC-1837944.pdf" TargetMode="External"/><Relationship Id="rId6" Type="http://schemas.openxmlformats.org/officeDocument/2006/relationships/hyperlink" Target="https://www.mouser.fr/ProductDetail/KEMET/C1210C120J1HACTU?qs=W0yvOO0ixfEmRrcetHqPgA%3D%3D" TargetMode="External"/><Relationship Id="rId15" Type="http://schemas.openxmlformats.org/officeDocument/2006/relationships/hyperlink" Target="https://www.mouser.fr/ProductDetail/Lite-On/LTST-C930KGKT?qs=qxhnwC4CwxkfAQj1wZIfSQ%3D%3D" TargetMode="External"/><Relationship Id="rId23" Type="http://schemas.openxmlformats.org/officeDocument/2006/relationships/hyperlink" Target="https://www.digikey.com/en/products/detail/panjit-international-inc/BZT52-C3V3-R1-00001/14660565" TargetMode="External"/><Relationship Id="rId28" Type="http://schemas.openxmlformats.org/officeDocument/2006/relationships/hyperlink" Target="https://www.mouser.fr/datasheet/2/670/tb007_508-2306759.pdf" TargetMode="External"/><Relationship Id="rId36" Type="http://schemas.openxmlformats.org/officeDocument/2006/relationships/hyperlink" Target="https://www.mouser.fr/ProductDetail/CUI-Inc/PSK-5D-5?qs=DRkmTr78QASBDZkT%252BYmSQQ%3D%3D" TargetMode="External"/><Relationship Id="rId49" Type="http://schemas.openxmlformats.org/officeDocument/2006/relationships/hyperlink" Target="https://www.mouser.fr/datasheet/2/219/RK73B-1825463.pdf" TargetMode="External"/><Relationship Id="rId57" Type="http://schemas.openxmlformats.org/officeDocument/2006/relationships/hyperlink" Target="https://www.mouser.fr/ProductDetail/Espressif-Systems/ESP32-WROOM-32E-N4?qs=Li%252BoUPsLEnsPzTWsi%252BRMgQ%3D%3D" TargetMode="External"/><Relationship Id="rId10" Type="http://schemas.openxmlformats.org/officeDocument/2006/relationships/hyperlink" Target="https://www.mouser.fr/datasheet/2/40/AutoMLCC-777028.pdf" TargetMode="External"/><Relationship Id="rId31" Type="http://schemas.openxmlformats.org/officeDocument/2006/relationships/hyperlink" Target="http://www.omron.com/ecb/products/pdf/en-g5le.pdf" TargetMode="External"/><Relationship Id="rId44" Type="http://schemas.openxmlformats.org/officeDocument/2006/relationships/hyperlink" Target="https://www.digikey.com/en/products/detail/vishay-techno/CRMA1210AF4M99FKEF/13998628" TargetMode="External"/><Relationship Id="rId52" Type="http://schemas.openxmlformats.org/officeDocument/2006/relationships/hyperlink" Target="https://www.mouser.fr/datasheet/2/15/SKHH-1370651.pdf" TargetMode="External"/><Relationship Id="rId60" Type="http://schemas.openxmlformats.org/officeDocument/2006/relationships/hyperlink" Target="https://www.mouser.fr/ProductDetail/Microchip-Technology/TC1264-3.3VDBTR?qs=EkZBwCRGcSs72PT5fOeaFg%3D%3D" TargetMode="External"/><Relationship Id="rId65" Type="http://schemas.openxmlformats.org/officeDocument/2006/relationships/hyperlink" Target="https://www.digikey.com/en/products/detail/micro-crystal-ag/CM8V-T1A-32-768KHZ-12-5PF-20PPM-TA-QC/10431068" TargetMode="External"/><Relationship Id="rId4" Type="http://schemas.openxmlformats.org/officeDocument/2006/relationships/hyperlink" Target="https://www.mouser.fr/datasheet/2/212/KEM_C1007_X8R_ULTRA_150C_SMD-1102703.pdf" TargetMode="External"/><Relationship Id="rId9" Type="http://schemas.openxmlformats.org/officeDocument/2006/relationships/hyperlink" Target="https://www.mouser.fr/ProductDetail/Samsung-Electro-Mechanics/CL32A226MOJNNNE?qs=X6jEic%2FHinDrCPX6SLC7PA%3D%3D" TargetMode="External"/><Relationship Id="rId13" Type="http://schemas.openxmlformats.org/officeDocument/2006/relationships/hyperlink" Target="https://www.mouser.fr/datasheet/2/239/LTST-C930KGKT-1144029.pdf" TargetMode="External"/><Relationship Id="rId18" Type="http://schemas.openxmlformats.org/officeDocument/2006/relationships/hyperlink" Target="https://www.mouser.fr/ProductDetail/Vishay-Semiconductors/1N4148W-E3-08?qs=bTzheeSci6TVjpxfjjRVMw%3D%3D" TargetMode="External"/><Relationship Id="rId39" Type="http://schemas.openxmlformats.org/officeDocument/2006/relationships/hyperlink" Target="https://www.mouser.fr/ProductDetail/Diodes-Incorporated/2N7002E-7-F?qs=rGAXPo9uwV0Kv54HLG3Nzg%3D%3D" TargetMode="External"/><Relationship Id="rId34" Type="http://schemas.openxmlformats.org/officeDocument/2006/relationships/hyperlink" Target="https://www.mouser.fr/datasheet/2/670/psk_5d-2474718.pdf" TargetMode="External"/><Relationship Id="rId50" Type="http://schemas.openxmlformats.org/officeDocument/2006/relationships/hyperlink" Target="https://www.digikey.com/en/products/detail/koa-speer-electronics-inc/RK73B2ETTD561J/10314965" TargetMode="External"/><Relationship Id="rId55" Type="http://schemas.openxmlformats.org/officeDocument/2006/relationships/hyperlink" Target="https://www.espressif.com/sites/default/files/documentation/esp32-wroom-32e_esp32-wroom-32ue_datasheet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"/>
  <sheetViews>
    <sheetView tabSelected="1" workbookViewId="0">
      <pane xSplit="7" ySplit="6" topLeftCell="L11" activePane="bottomRight" state="frozen"/>
      <selection pane="topRight" activeCell="H1" sqref="H1"/>
      <selection pane="bottomLeft" activeCell="A7" sqref="A7"/>
      <selection pane="bottomRight" activeCell="G3" sqref="G3"/>
    </sheetView>
  </sheetViews>
  <sheetFormatPr baseColWidth="10" defaultColWidth="8.83203125" defaultRowHeight="15" outlineLevelCol="3" x14ac:dyDescent="0.2"/>
  <cols>
    <col min="1" max="1" width="17.6640625" customWidth="1"/>
    <col min="2" max="2" width="33.6640625" customWidth="1"/>
    <col min="3" max="3" width="33.6640625" customWidth="1" outlineLevel="2"/>
    <col min="4" max="4" width="33.6640625" customWidth="1" outlineLevel="1"/>
    <col min="5" max="5" width="9.1640625" outlineLevel="1"/>
    <col min="6" max="6" width="22.6640625" customWidth="1"/>
    <col min="7" max="7" width="16.6640625" customWidth="1"/>
    <col min="8" max="8" width="9.6640625" customWidth="1" outlineLevel="1"/>
    <col min="9" max="9" width="9.1640625" outlineLevel="2"/>
    <col min="10" max="10" width="10.6640625" customWidth="1" outlineLevel="2"/>
    <col min="11" max="11" width="0" hidden="1" customWidth="1" outlineLevel="3" collapsed="1"/>
    <col min="12" max="12" width="16.6640625" customWidth="1"/>
    <col min="13" max="13" width="33.6640625" customWidth="1" outlineLevel="2"/>
    <col min="14" max="14" width="9.6640625" customWidth="1" outlineLevel="1"/>
    <col min="15" max="15" width="9.1640625" outlineLevel="2"/>
    <col min="16" max="16" width="10.6640625" customWidth="1" outlineLevel="2"/>
    <col min="17" max="17" width="0" hidden="1" customWidth="1" outlineLevel="3" collapsed="1"/>
    <col min="18" max="18" width="16.6640625" customWidth="1"/>
    <col min="19" max="19" width="21.6640625" customWidth="1" outlineLevel="2"/>
  </cols>
  <sheetData>
    <row r="1" spans="1:19" ht="17" x14ac:dyDescent="0.2">
      <c r="A1" s="1" t="s">
        <v>140</v>
      </c>
      <c r="B1" s="2" t="s">
        <v>141</v>
      </c>
      <c r="F1" s="3" t="s">
        <v>145</v>
      </c>
      <c r="G1" s="3">
        <v>20</v>
      </c>
    </row>
    <row r="2" spans="1:19" ht="17" x14ac:dyDescent="0.2">
      <c r="A2" s="1" t="s">
        <v>142</v>
      </c>
      <c r="B2" s="2"/>
      <c r="F2" s="1" t="s">
        <v>147</v>
      </c>
      <c r="G2" s="4">
        <f>TotalCost/BoardQty</f>
        <v>21.666266128274955</v>
      </c>
    </row>
    <row r="3" spans="1:19" ht="17" x14ac:dyDescent="0.2">
      <c r="A3" s="1" t="s">
        <v>143</v>
      </c>
      <c r="B3" s="2" t="s">
        <v>144</v>
      </c>
      <c r="F3" s="1" t="s">
        <v>146</v>
      </c>
      <c r="G3" s="5">
        <f>SUM(G7:G28)</f>
        <v>433.32532256549911</v>
      </c>
      <c r="L3" s="5">
        <f>SUM(L7:L28)</f>
        <v>429.95962062165461</v>
      </c>
      <c r="M3" s="6" t="str">
        <f>(COUNTA(L7:L28)&amp;" of "&amp;ROWS(L7:L28)&amp;" parts found")</f>
        <v>22 of 22 parts found</v>
      </c>
      <c r="R3" s="5">
        <f>SUM(R7:R28)</f>
        <v>442.85999999999996</v>
      </c>
      <c r="S3" s="6" t="str">
        <f>(COUNTA(R7:R28)&amp;" of "&amp;ROWS(R7:R28)&amp;" parts found")</f>
        <v>22 of 22 parts found</v>
      </c>
    </row>
    <row r="4" spans="1:19" ht="17" x14ac:dyDescent="0.2">
      <c r="A4" s="1" t="s">
        <v>148</v>
      </c>
      <c r="B4" s="2" t="s">
        <v>149</v>
      </c>
    </row>
    <row r="5" spans="1:19" ht="19" x14ac:dyDescent="0.2">
      <c r="A5" s="14" t="s">
        <v>0</v>
      </c>
      <c r="B5" s="14"/>
      <c r="C5" s="14"/>
      <c r="D5" s="14"/>
      <c r="E5" s="14"/>
      <c r="F5" s="14"/>
      <c r="G5" s="14"/>
      <c r="H5" s="15" t="s">
        <v>84</v>
      </c>
      <c r="I5" s="15"/>
      <c r="J5" s="15"/>
      <c r="K5" s="15"/>
      <c r="L5" s="15"/>
      <c r="M5" s="15"/>
      <c r="N5" s="18" t="s">
        <v>113</v>
      </c>
      <c r="O5" s="18"/>
      <c r="P5" s="18"/>
      <c r="Q5" s="18"/>
      <c r="R5" s="18"/>
      <c r="S5" s="18"/>
    </row>
    <row r="6" spans="1:19" ht="17" x14ac:dyDescent="0.2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85</v>
      </c>
      <c r="I6" s="7" t="s">
        <v>86</v>
      </c>
      <c r="J6" s="7" t="s">
        <v>6</v>
      </c>
      <c r="K6" s="7" t="s">
        <v>87</v>
      </c>
      <c r="L6" s="7" t="s">
        <v>7</v>
      </c>
      <c r="M6" s="7" t="s">
        <v>88</v>
      </c>
      <c r="N6" s="7" t="s">
        <v>85</v>
      </c>
      <c r="O6" s="7" t="s">
        <v>86</v>
      </c>
      <c r="P6" s="7" t="s">
        <v>6</v>
      </c>
      <c r="Q6" s="7" t="s">
        <v>87</v>
      </c>
      <c r="R6" s="7" t="s">
        <v>7</v>
      </c>
      <c r="S6" s="7" t="s">
        <v>88</v>
      </c>
    </row>
    <row r="7" spans="1:19" ht="30" customHeight="1" x14ac:dyDescent="0.2">
      <c r="A7" s="8" t="s">
        <v>8</v>
      </c>
      <c r="B7" s="8" t="s">
        <v>9</v>
      </c>
      <c r="C7" s="8" t="s">
        <v>10</v>
      </c>
      <c r="D7" s="8" t="s">
        <v>11</v>
      </c>
      <c r="E7" s="8">
        <f>CEILING(BoardQty*2,1)</f>
        <v>40</v>
      </c>
      <c r="F7" s="9">
        <f t="shared" ref="F7:F28" si="0">IF(MIN(J7,P7)&lt;&gt;0,MIN(J7,P7),"")</f>
        <v>0.14743168372617149</v>
      </c>
      <c r="G7" s="10">
        <f t="shared" ref="G7:G28" si="1">IF(AND(ISNUMBER(E7),ISNUMBER(F7)),E7*F7,"")</f>
        <v>5.8972673490468601</v>
      </c>
      <c r="H7" s="8">
        <v>404547</v>
      </c>
      <c r="I7" s="8"/>
      <c r="J7" s="9">
        <f>IFERROR(IF(OR(I7&gt;=K7,E7&gt;=K7),EUR_USD*LOOKUP(IF(I7="",E7,I7),{0,1,10,50,100,500,1000},{0,0.23,0.157,0.1044,0.0888,0.06266,0.05483}),"MOQ="&amp;K7),"")</f>
        <v>0.14743168372617149</v>
      </c>
      <c r="K7" s="8">
        <v>1</v>
      </c>
      <c r="L7" s="10">
        <f t="shared" ref="L7:L28" si="2">IFERROR(IF(I7="",E7,I7)*J7,"")</f>
        <v>5.8972673490468601</v>
      </c>
      <c r="M7" s="8" t="s">
        <v>89</v>
      </c>
      <c r="N7" s="8">
        <v>356444</v>
      </c>
      <c r="O7" s="8"/>
      <c r="P7" s="9">
        <f>IFERROR(IF(OR(O7&gt;=Q7,E7&gt;=Q7),LOOKUP(IF(O7="",E7,O7),{0,1,10,100,1000,2000,10000,24000,50000},{0,0.226,0.151,0.086,0.053,0.05,0.041,0.039,0.038}),"MOQ="&amp;Q7),"")</f>
        <v>0.151</v>
      </c>
      <c r="Q7" s="8">
        <v>1</v>
      </c>
      <c r="R7" s="10">
        <f t="shared" ref="R7:R28" si="3">IFERROR(IF(O7="",E7,O7)*P7,"")</f>
        <v>6.04</v>
      </c>
      <c r="S7" s="8" t="s">
        <v>114</v>
      </c>
    </row>
    <row r="8" spans="1:19" ht="30" customHeight="1" x14ac:dyDescent="0.2">
      <c r="A8" s="8" t="s">
        <v>12</v>
      </c>
      <c r="B8" s="8" t="s">
        <v>13</v>
      </c>
      <c r="C8" s="8" t="s">
        <v>10</v>
      </c>
      <c r="D8" s="8" t="s">
        <v>14</v>
      </c>
      <c r="E8" s="8">
        <f>CEILING(BoardQty*2,1)</f>
        <v>40</v>
      </c>
      <c r="F8" s="9">
        <f t="shared" si="0"/>
        <v>0.17100000000000001</v>
      </c>
      <c r="G8" s="10">
        <f t="shared" si="1"/>
        <v>6.8400000000000007</v>
      </c>
      <c r="H8" s="11" t="s">
        <v>91</v>
      </c>
      <c r="I8" s="8"/>
      <c r="J8" s="9" t="str">
        <f>IFERROR(IF(OR(I8&gt;=K8,E8&gt;=K8),EUR_USD*LOOKUP(IF(I8="",E8,I8),{0,1,8000},{0,0.04768,0.04768}),"MOQ="&amp;K8),"")</f>
        <v>MOQ=8000</v>
      </c>
      <c r="K8" s="8">
        <v>8000</v>
      </c>
      <c r="L8" s="10" t="str">
        <f t="shared" si="2"/>
        <v/>
      </c>
      <c r="M8" s="8" t="s">
        <v>90</v>
      </c>
      <c r="N8" s="8">
        <v>7370</v>
      </c>
      <c r="O8" s="8"/>
      <c r="P8" s="9">
        <f>IFERROR(IF(OR(O8&gt;=Q8,E8&gt;=Q8),LOOKUP(IF(O8="",E8,O8),{0,1,10,100,1000,4000,8000,24000,100000},{0,0.254,0.171,0.086,0.053,0.05,0.04,0.039,0.035}),"MOQ="&amp;Q8),"")</f>
        <v>0.17100000000000001</v>
      </c>
      <c r="Q8" s="8">
        <v>1</v>
      </c>
      <c r="R8" s="10">
        <f t="shared" si="3"/>
        <v>6.8400000000000007</v>
      </c>
      <c r="S8" s="8" t="s">
        <v>115</v>
      </c>
    </row>
    <row r="9" spans="1:19" ht="30" customHeight="1" x14ac:dyDescent="0.2">
      <c r="A9" s="8" t="s">
        <v>15</v>
      </c>
      <c r="B9" s="8" t="s">
        <v>16</v>
      </c>
      <c r="C9" s="8" t="s">
        <v>10</v>
      </c>
      <c r="D9" s="8" t="s">
        <v>17</v>
      </c>
      <c r="E9" s="8">
        <f>CEILING(BoardQty*1,1)</f>
        <v>20</v>
      </c>
      <c r="F9" s="9">
        <f t="shared" si="0"/>
        <v>0.22537327448586722</v>
      </c>
      <c r="G9" s="10">
        <f t="shared" si="1"/>
        <v>4.5074654897173447</v>
      </c>
      <c r="H9" s="8">
        <v>384492</v>
      </c>
      <c r="I9" s="8"/>
      <c r="J9" s="9">
        <f>IFERROR(IF(OR(I9&gt;=K9,E9&gt;=K9),EUR_USD*LOOKUP(IF(I9="",E9,I9),{0,1,10,50,100,500},{0,0.35,0.24,0.1682,0.1442,0.10818}),"MOQ="&amp;K9),"")</f>
        <v>0.22537327448586722</v>
      </c>
      <c r="K9" s="8">
        <v>1</v>
      </c>
      <c r="L9" s="10">
        <f t="shared" si="2"/>
        <v>4.5074654897173447</v>
      </c>
      <c r="M9" s="8" t="s">
        <v>92</v>
      </c>
      <c r="N9" s="8">
        <v>61293</v>
      </c>
      <c r="O9" s="8"/>
      <c r="P9" s="9">
        <f>IFERROR(IF(OR(O9&gt;=Q9,E9&gt;=Q9),LOOKUP(IF(O9="",E9,O9),{0,1,10,100,1000,2000,10000,25000,50000,100000},{0,0.329,0.23,0.138,0.087,0.083,0.071,0.069,0.064,0.06}),"MOQ="&amp;Q9),"")</f>
        <v>0.23</v>
      </c>
      <c r="Q9" s="8">
        <v>1</v>
      </c>
      <c r="R9" s="10">
        <f t="shared" si="3"/>
        <v>4.6000000000000005</v>
      </c>
      <c r="S9" s="8" t="s">
        <v>116</v>
      </c>
    </row>
    <row r="10" spans="1:19" ht="30" customHeight="1" x14ac:dyDescent="0.2">
      <c r="A10" s="8" t="s">
        <v>18</v>
      </c>
      <c r="B10" s="8" t="s">
        <v>19</v>
      </c>
      <c r="C10" s="8" t="s">
        <v>10</v>
      </c>
      <c r="D10" s="8" t="s">
        <v>20</v>
      </c>
      <c r="E10" s="8">
        <f>CEILING(BoardQty*1,1)</f>
        <v>20</v>
      </c>
      <c r="F10" s="9">
        <f t="shared" si="0"/>
        <v>0.112</v>
      </c>
      <c r="G10" s="10">
        <f t="shared" si="1"/>
        <v>2.2400000000000002</v>
      </c>
      <c r="H10" s="8">
        <v>11066</v>
      </c>
      <c r="I10" s="8"/>
      <c r="J10" s="9">
        <f>IFERROR(IF(OR(I10&gt;=K10,E10&gt;=K10),EUR_USD*LOOKUP(IF(I10="",E10,I10),{0,1,10,50,100,500,1000},{0,0.26,0.178,0.1184,0.1006,0.07102,0.06215}),"MOQ="&amp;K10),"")</f>
        <v>0.16715184524368484</v>
      </c>
      <c r="K10" s="8">
        <v>1</v>
      </c>
      <c r="L10" s="10">
        <f t="shared" si="2"/>
        <v>3.343036904873697</v>
      </c>
      <c r="M10" s="8" t="s">
        <v>93</v>
      </c>
      <c r="N10" s="8">
        <v>9676</v>
      </c>
      <c r="O10" s="8"/>
      <c r="P10" s="9">
        <f>IFERROR(IF(OR(O10&gt;=Q10,E10&gt;=Q10),LOOKUP(IF(O10="",E10,O10),{0,1,10,100,1000,4000,8000,24000},{0,0.244,0.112,0.067,0.059,0.056,0.055,0.053}),"MOQ="&amp;Q10),"")</f>
        <v>0.112</v>
      </c>
      <c r="Q10" s="8">
        <v>1</v>
      </c>
      <c r="R10" s="10">
        <f t="shared" si="3"/>
        <v>2.2400000000000002</v>
      </c>
      <c r="S10" s="8" t="s">
        <v>117</v>
      </c>
    </row>
    <row r="11" spans="1:19" ht="30" customHeight="1" x14ac:dyDescent="0.2">
      <c r="A11" s="8" t="s">
        <v>21</v>
      </c>
      <c r="B11" s="8" t="s">
        <v>22</v>
      </c>
      <c r="C11" s="8" t="s">
        <v>23</v>
      </c>
      <c r="D11" s="8" t="s">
        <v>22</v>
      </c>
      <c r="E11" s="8">
        <f>CEILING(BoardQty*7,1)</f>
        <v>140</v>
      </c>
      <c r="F11" s="9">
        <f t="shared" si="0"/>
        <v>8.5454033242557986E-2</v>
      </c>
      <c r="G11" s="10">
        <f t="shared" si="1"/>
        <v>11.963564653958118</v>
      </c>
      <c r="H11" s="8">
        <v>179123</v>
      </c>
      <c r="I11" s="8"/>
      <c r="J11" s="9">
        <f>IFERROR(IF(OR(I11&gt;=K11,E11&gt;=K11),EUR_USD*LOOKUP(IF(I11="",E11,I11),{0,1,10,100,500},{0,0.36,0.196,0.091,0.084}),"MOQ="&amp;K11),"")</f>
        <v>8.5454033242557986E-2</v>
      </c>
      <c r="K11" s="8">
        <v>1</v>
      </c>
      <c r="L11" s="10">
        <f t="shared" si="2"/>
        <v>11.963564653958118</v>
      </c>
      <c r="M11" s="8" t="s">
        <v>94</v>
      </c>
      <c r="N11" s="8">
        <v>55904</v>
      </c>
      <c r="O11" s="8"/>
      <c r="P11" s="9">
        <f>IFERROR(IF(OR(O11&gt;=Q11,E11&gt;=Q11),LOOKUP(IF(O11="",E11,O11),{0,1,10,100,500,1000,1500,9000,24000,49500},{0,0.338,0.185,0.086,0.079,0.062,0.06,0.047,0.041,0.038}),"MOQ="&amp;Q11),"")</f>
        <v>8.5999999999999993E-2</v>
      </c>
      <c r="Q11" s="8">
        <v>1</v>
      </c>
      <c r="R11" s="10">
        <f t="shared" si="3"/>
        <v>12.04</v>
      </c>
      <c r="S11" s="8" t="s">
        <v>118</v>
      </c>
    </row>
    <row r="12" spans="1:19" ht="16" x14ac:dyDescent="0.2">
      <c r="A12" s="8" t="s">
        <v>24</v>
      </c>
      <c r="B12" s="8" t="s">
        <v>25</v>
      </c>
      <c r="C12" s="8" t="s">
        <v>26</v>
      </c>
      <c r="D12" s="8" t="s">
        <v>27</v>
      </c>
      <c r="E12" s="8">
        <f>CEILING(BoardQty*2,1)</f>
        <v>40</v>
      </c>
      <c r="F12" s="9">
        <f t="shared" si="0"/>
        <v>0.17299999999999999</v>
      </c>
      <c r="G12" s="10">
        <f t="shared" si="1"/>
        <v>6.92</v>
      </c>
      <c r="H12" s="8">
        <v>60259</v>
      </c>
      <c r="I12" s="8"/>
      <c r="J12" s="9">
        <f>IFERROR(IF(OR(I12&gt;=K12,E12&gt;=K12),EUR_USD*LOOKUP(IF(I12="",E12,I12),{0,1,10,100,500,1000},{0,0.23,0.188,0.0998,0.06566,0.04465}),"MOQ="&amp;K12),"")</f>
        <v>0.17654239834726265</v>
      </c>
      <c r="K12" s="8">
        <v>1</v>
      </c>
      <c r="L12" s="10">
        <f t="shared" si="2"/>
        <v>7.0616959338905065</v>
      </c>
      <c r="M12" s="8" t="s">
        <v>95</v>
      </c>
      <c r="N12" s="8">
        <v>126371</v>
      </c>
      <c r="O12" s="8"/>
      <c r="P12" s="9">
        <f>IFERROR(IF(OR(O12&gt;=Q12,E12&gt;=Q12),LOOKUP(IF(O12="",E12,O12),{0,1,10,100,500,1000,2500,10000,15000,45000},{0,0.235,0.173,0.094,0.067,0.045,0.039,0.035,0.032,0.031}),"MOQ="&amp;Q12),"")</f>
        <v>0.17299999999999999</v>
      </c>
      <c r="Q12" s="8">
        <v>1</v>
      </c>
      <c r="R12" s="10">
        <f t="shared" si="3"/>
        <v>6.92</v>
      </c>
      <c r="S12" s="8" t="s">
        <v>119</v>
      </c>
    </row>
    <row r="13" spans="1:19" ht="16" x14ac:dyDescent="0.2">
      <c r="A13" s="8" t="s">
        <v>28</v>
      </c>
      <c r="B13" s="8" t="s">
        <v>29</v>
      </c>
      <c r="C13" s="8" t="s">
        <v>30</v>
      </c>
      <c r="D13" s="8" t="s">
        <v>31</v>
      </c>
      <c r="E13" s="8">
        <f>CEILING(BoardQty*2,1)</f>
        <v>40</v>
      </c>
      <c r="F13" s="9">
        <f t="shared" si="0"/>
        <v>0.10299999999999999</v>
      </c>
      <c r="G13" s="10">
        <f t="shared" si="1"/>
        <v>4.12</v>
      </c>
      <c r="H13" s="8">
        <v>575000</v>
      </c>
      <c r="I13" s="8"/>
      <c r="J13" s="9" t="str">
        <f>IFERROR(IF(OR(I13&gt;=K13,E13&gt;=K13),EUR_USD*LOOKUP(IF(I13="",E13,I13),{0,1,5000,10000,25000,50000,125000},{0,0.03174,0.03174,0.02698,0.02539,0.02381,0.02063}),"MOQ="&amp;K13),"")</f>
        <v>MOQ=5000</v>
      </c>
      <c r="K13" s="8">
        <v>5000</v>
      </c>
      <c r="L13" s="10" t="str">
        <f t="shared" si="2"/>
        <v/>
      </c>
      <c r="M13" s="8" t="s">
        <v>96</v>
      </c>
      <c r="N13" s="8">
        <v>87826</v>
      </c>
      <c r="O13" s="8"/>
      <c r="P13" s="9">
        <f>IFERROR(IF(OR(O13&gt;=Q13,E13&gt;=Q13),LOOKUP(IF(O13="",E13,O13),{0,1,10,100,500,1000,2500,5000,10000,25000},{0,0.113,0.103,0.057,0.036,0.024,0.021,0.018,0.015,0.014}),"MOQ="&amp;Q13),"")</f>
        <v>0.10299999999999999</v>
      </c>
      <c r="Q13" s="8">
        <v>1</v>
      </c>
      <c r="R13" s="10">
        <f t="shared" si="3"/>
        <v>4.12</v>
      </c>
      <c r="S13" s="8" t="s">
        <v>120</v>
      </c>
    </row>
    <row r="14" spans="1:19" ht="16" x14ac:dyDescent="0.2">
      <c r="A14" s="8" t="s">
        <v>32</v>
      </c>
      <c r="B14" s="8" t="s">
        <v>33</v>
      </c>
      <c r="C14" s="8" t="s">
        <v>34</v>
      </c>
      <c r="D14" s="8" t="s">
        <v>35</v>
      </c>
      <c r="E14" s="8">
        <f>CEILING(BoardQty*3,1)</f>
        <v>60</v>
      </c>
      <c r="F14" s="9">
        <f t="shared" si="0"/>
        <v>0.13240679876044698</v>
      </c>
      <c r="G14" s="10">
        <f t="shared" si="1"/>
        <v>7.9444079256268187</v>
      </c>
      <c r="H14" s="8">
        <v>12937</v>
      </c>
      <c r="I14" s="8"/>
      <c r="J14" s="9">
        <f>IFERROR(IF(OR(I14&gt;=K14,E14&gt;=K14),EUR_USD*LOOKUP(IF(I14="",E14,I14),{0,1,10,100,500,1000},{0,0.15,0.141,0.0766,0.04714,0.03214}),"MOQ="&amp;K14),"")</f>
        <v>0.13240679876044698</v>
      </c>
      <c r="K14" s="8">
        <v>1</v>
      </c>
      <c r="L14" s="10">
        <f t="shared" si="2"/>
        <v>7.9444079256268187</v>
      </c>
      <c r="M14" s="8" t="s">
        <v>97</v>
      </c>
      <c r="N14" s="8">
        <v>7786</v>
      </c>
      <c r="O14" s="8"/>
      <c r="P14" s="9">
        <f>IFERROR(IF(OR(O14&gt;=Q14,E14&gt;=Q14),LOOKUP(IF(O14="",E14,O14),{0,1,10,100,500,1000,3000,9000,24000,45000},{0,0.141,0.133,0.072,0.045,0.031,0.023,0.02,0.018,0.016}),"MOQ="&amp;Q14),"")</f>
        <v>0.13300000000000001</v>
      </c>
      <c r="Q14" s="8">
        <v>1</v>
      </c>
      <c r="R14" s="10">
        <f t="shared" si="3"/>
        <v>7.98</v>
      </c>
      <c r="S14" s="8" t="s">
        <v>121</v>
      </c>
    </row>
    <row r="15" spans="1:19" ht="16" x14ac:dyDescent="0.2">
      <c r="A15" s="8" t="s">
        <v>36</v>
      </c>
      <c r="B15" s="8" t="s">
        <v>37</v>
      </c>
      <c r="C15" s="8" t="s">
        <v>38</v>
      </c>
      <c r="D15" s="8" t="s">
        <v>39</v>
      </c>
      <c r="E15" s="8">
        <f>CEILING(BoardQty*1,1)</f>
        <v>20</v>
      </c>
      <c r="F15" s="9">
        <f t="shared" si="0"/>
        <v>1.05</v>
      </c>
      <c r="G15" s="10">
        <f t="shared" si="1"/>
        <v>21</v>
      </c>
      <c r="H15" s="8">
        <v>21050</v>
      </c>
      <c r="I15" s="8"/>
      <c r="J15" s="9">
        <f>IFERROR(IF(OR(I15&gt;=K15,E15&gt;=K15),EUR_USD*LOOKUP(IF(I15="",E15,I15),{0,1,5,10,50,100,250,500},{0,1.78,1.694,1.609,1.2988,1.1011,1.07292,0.9035}),"MOQ="&amp;K15),"")</f>
        <v>1.5109399943656683</v>
      </c>
      <c r="K15" s="8">
        <v>1</v>
      </c>
      <c r="L15" s="10">
        <f t="shared" si="2"/>
        <v>30.218799887313367</v>
      </c>
      <c r="M15" s="8" t="s">
        <v>98</v>
      </c>
      <c r="N15" s="8">
        <v>14614</v>
      </c>
      <c r="O15" s="8"/>
      <c r="P15" s="9">
        <f>IFERROR(IF(OR(O15&gt;=Q15,E15&gt;=Q15),LOOKUP(IF(O15="",E15,O15),{0,1,10,100,1500},{0,1.4,1.05,0.836,0.836}),"MOQ="&amp;Q15),"")</f>
        <v>1.05</v>
      </c>
      <c r="Q15" s="8">
        <v>1</v>
      </c>
      <c r="R15" s="10">
        <f t="shared" si="3"/>
        <v>21</v>
      </c>
      <c r="S15" s="8" t="s">
        <v>122</v>
      </c>
    </row>
    <row r="16" spans="1:19" ht="30" customHeight="1" x14ac:dyDescent="0.2">
      <c r="A16" s="8" t="s">
        <v>40</v>
      </c>
      <c r="B16" s="8" t="s">
        <v>41</v>
      </c>
      <c r="C16" s="8" t="s">
        <v>42</v>
      </c>
      <c r="D16" s="8" t="s">
        <v>43</v>
      </c>
      <c r="E16" s="8">
        <f>CEILING(BoardQty*3,1)</f>
        <v>60</v>
      </c>
      <c r="F16" s="9">
        <f t="shared" si="0"/>
        <v>0.43835101887501177</v>
      </c>
      <c r="G16" s="10">
        <f t="shared" si="1"/>
        <v>26.301061132500706</v>
      </c>
      <c r="H16" s="8">
        <v>3970</v>
      </c>
      <c r="I16" s="8"/>
      <c r="J16" s="9">
        <f>IFERROR(IF(OR(I16&gt;=K16,E16&gt;=K16),EUR_USD*LOOKUP(IF(I16="",E16,I16),{0,1,10,25,50,100,250,500,1000,5000},{0,0.97,0.607,0.5196,0.4668,0.4572,0.38908,0.36962,0.33071,0.25873}),"MOQ="&amp;K16),"")</f>
        <v>0.43835101887501177</v>
      </c>
      <c r="K16" s="8">
        <v>1</v>
      </c>
      <c r="L16" s="10">
        <f t="shared" si="2"/>
        <v>26.301061132500706</v>
      </c>
      <c r="M16" s="8" t="s">
        <v>99</v>
      </c>
      <c r="N16" s="8">
        <v>10077</v>
      </c>
      <c r="O16" s="8"/>
      <c r="P16" s="9">
        <f>IFERROR(IF(OR(O16&gt;=Q16,E16&gt;=Q16),LOOKUP(IF(O16="",E16,O16),{0,1,10,100,250,500,1200,2400,4800,9600},{0,0.771,0.442,0.382,0.329,0.317,0.3,0.29,0.234,0.233}),"MOQ="&amp;Q16),"")</f>
        <v>0.442</v>
      </c>
      <c r="Q16" s="8">
        <v>1</v>
      </c>
      <c r="R16" s="10">
        <f t="shared" si="3"/>
        <v>26.52</v>
      </c>
      <c r="S16" s="8" t="s">
        <v>123</v>
      </c>
    </row>
    <row r="17" spans="1:19" ht="16" x14ac:dyDescent="0.2">
      <c r="A17" s="8" t="s">
        <v>44</v>
      </c>
      <c r="B17" s="8" t="s">
        <v>45</v>
      </c>
      <c r="C17" s="8" t="s">
        <v>46</v>
      </c>
      <c r="D17" s="8" t="s">
        <v>45</v>
      </c>
      <c r="E17" s="8">
        <f>CEILING(BoardQty*2,1)</f>
        <v>40</v>
      </c>
      <c r="F17" s="9">
        <f t="shared" si="0"/>
        <v>1.2357967884308387</v>
      </c>
      <c r="G17" s="10">
        <f t="shared" si="1"/>
        <v>49.431871537233548</v>
      </c>
      <c r="H17" s="8">
        <v>6959</v>
      </c>
      <c r="I17" s="8"/>
      <c r="J17" s="9">
        <f>IFERROR(IF(OR(I17&gt;=K17,E17&gt;=K17),EUR_USD*LOOKUP(IF(I17="",E17,I17),{0,1,10,25,40,80,230,500,1000,5000},{0,1.66,1.558,1.3852,1.316,1.24675,1.10826,1.03898,0.96972,0.93509}),"MOQ="&amp;K17),"")</f>
        <v>1.2357967884308387</v>
      </c>
      <c r="K17" s="8">
        <v>1</v>
      </c>
      <c r="L17" s="10">
        <f t="shared" si="2"/>
        <v>49.431871537233548</v>
      </c>
      <c r="M17" s="8" t="s">
        <v>100</v>
      </c>
      <c r="N17" s="8">
        <v>3477</v>
      </c>
      <c r="O17" s="8"/>
      <c r="P17" s="9">
        <f>IFERROR(IF(OR(O17&gt;=Q17,E17&gt;=Q17),LOOKUP(IF(O17="",E17,O17),{0,1,10,25,50,100,500,1000,2500},{0,1.63,1.52,1.29,1.22,1.09,1.02,0.94,0.914}),"MOQ="&amp;Q17),"")</f>
        <v>1.29</v>
      </c>
      <c r="Q17" s="8">
        <v>1</v>
      </c>
      <c r="R17" s="10">
        <f t="shared" si="3"/>
        <v>51.6</v>
      </c>
      <c r="S17" s="8" t="s">
        <v>124</v>
      </c>
    </row>
    <row r="18" spans="1:19" ht="16" x14ac:dyDescent="0.2">
      <c r="A18" s="8" t="s">
        <v>47</v>
      </c>
      <c r="B18" s="8" t="s">
        <v>48</v>
      </c>
      <c r="C18" s="8" t="s">
        <v>49</v>
      </c>
      <c r="D18" s="8" t="s">
        <v>48</v>
      </c>
      <c r="E18" s="8">
        <f>CEILING(BoardQty*1,1)</f>
        <v>20</v>
      </c>
      <c r="F18" s="9">
        <f t="shared" si="0"/>
        <v>6.4898112498826181</v>
      </c>
      <c r="G18" s="10">
        <f t="shared" si="1"/>
        <v>129.79622499765236</v>
      </c>
      <c r="H18" s="8">
        <v>94</v>
      </c>
      <c r="I18" s="8"/>
      <c r="J18" s="9">
        <f>IFERROR(IF(OR(I18&gt;=K18,E18&gt;=K18),EUR_USD*LOOKUP(IF(I18="",E18,I18),{0,1,5,10,25,60,120,240,480},{0,7.11,7.01,6.911,6.7136,6.3185,6.12108,5.92367,5.72619}),"MOQ="&amp;K18),"")</f>
        <v>6.4898112498826181</v>
      </c>
      <c r="K18" s="8">
        <v>1</v>
      </c>
      <c r="L18" s="10">
        <f t="shared" si="2"/>
        <v>129.79622499765236</v>
      </c>
      <c r="M18" s="8" t="s">
        <v>101</v>
      </c>
      <c r="N18" s="8">
        <v>669</v>
      </c>
      <c r="O18" s="8"/>
      <c r="P18" s="9">
        <f>IFERROR(IF(OR(O18&gt;=Q18,E18&gt;=Q18),LOOKUP(IF(O18="",E18,O18),{0,1,5,10,25,60,120,300,540,1020},{0,6.67,6.59,6.5,6.32,5.94,5.75,5.56,5.49,5.24}),"MOQ="&amp;Q18),"")</f>
        <v>6.5</v>
      </c>
      <c r="Q18" s="8">
        <v>1</v>
      </c>
      <c r="R18" s="10">
        <f t="shared" si="3"/>
        <v>130</v>
      </c>
      <c r="S18" s="8" t="s">
        <v>125</v>
      </c>
    </row>
    <row r="19" spans="1:19" ht="16" x14ac:dyDescent="0.2">
      <c r="A19" s="8" t="s">
        <v>50</v>
      </c>
      <c r="B19" s="8" t="s">
        <v>51</v>
      </c>
      <c r="C19" s="8" t="s">
        <v>52</v>
      </c>
      <c r="D19" s="8" t="s">
        <v>53</v>
      </c>
      <c r="E19" s="8">
        <f>CEILING(BoardQty*2,1)</f>
        <v>40</v>
      </c>
      <c r="F19" s="9">
        <f t="shared" si="0"/>
        <v>0.21222650014085831</v>
      </c>
      <c r="G19" s="10">
        <f t="shared" si="1"/>
        <v>8.4890600056343324</v>
      </c>
      <c r="H19" s="11" t="s">
        <v>91</v>
      </c>
      <c r="I19" s="8"/>
      <c r="J19" s="9">
        <f>IFERROR(IF(OR(I19&gt;=K19,E19&gt;=K19),EUR_USD*LOOKUP(IF(I19="",E19,I19),{0,1,10,100,500,1000},{0,0.28,0.226,0.1197,0.07876,0.05355}),"MOQ="&amp;K19),"")</f>
        <v>0.21222650014085831</v>
      </c>
      <c r="K19" s="8">
        <v>1</v>
      </c>
      <c r="L19" s="10">
        <f t="shared" si="2"/>
        <v>8.4890600056343324</v>
      </c>
      <c r="M19" s="8" t="s">
        <v>102</v>
      </c>
      <c r="N19" s="8">
        <v>76876</v>
      </c>
      <c r="O19" s="8"/>
      <c r="P19" s="9">
        <f>IFERROR(IF(OR(O19&gt;=Q19,E19&gt;=Q19),LOOKUP(IF(O19="",E19,O19),{0,1,10,100,500,1000,3000,6000},{0,0.273,0.224,0.118,0.078,0.054,0.047,0.045}),"MOQ="&amp;Q19),"")</f>
        <v>0.224</v>
      </c>
      <c r="Q19" s="8">
        <v>1</v>
      </c>
      <c r="R19" s="10">
        <f t="shared" si="3"/>
        <v>8.9600000000000009</v>
      </c>
      <c r="S19" s="8" t="s">
        <v>126</v>
      </c>
    </row>
    <row r="20" spans="1:19" ht="30" customHeight="1" x14ac:dyDescent="0.2">
      <c r="A20" s="8" t="s">
        <v>54</v>
      </c>
      <c r="B20" s="8" t="s">
        <v>55</v>
      </c>
      <c r="C20" s="8" t="s">
        <v>56</v>
      </c>
      <c r="D20" s="8" t="s">
        <v>57</v>
      </c>
      <c r="E20" s="8">
        <f>CEILING(BoardQty*8,1)</f>
        <v>160</v>
      </c>
      <c r="F20" s="9">
        <f t="shared" si="0"/>
        <v>3.2000000000000001E-2</v>
      </c>
      <c r="G20" s="10">
        <f t="shared" si="1"/>
        <v>5.12</v>
      </c>
      <c r="H20" s="11" t="s">
        <v>91</v>
      </c>
      <c r="I20" s="8"/>
      <c r="J20" s="9" t="str">
        <f>IFERROR(IF(OR(I20&gt;=K20,E20&gt;=K20),EUR_USD*LOOKUP(IF(I20="",E20,I20),{0,1,4000},{0,0.01048,0.01048}),"MOQ="&amp;K20),"")</f>
        <v>MOQ=4000</v>
      </c>
      <c r="K20" s="8">
        <v>4000</v>
      </c>
      <c r="L20" s="10" t="str">
        <f t="shared" si="2"/>
        <v/>
      </c>
      <c r="M20" s="8" t="s">
        <v>103</v>
      </c>
      <c r="N20" s="8">
        <v>7800</v>
      </c>
      <c r="O20" s="8"/>
      <c r="P20" s="9">
        <f>IFERROR(IF(OR(O20&gt;=Q20,E20&gt;=Q20),LOOKUP(IF(O20="",E20,O20),{0,1,10,100,1000,2500,4000},{0,0.14,0.078,0.032,0.015,0.013,0.01}),"MOQ="&amp;Q20),"")</f>
        <v>3.2000000000000001E-2</v>
      </c>
      <c r="Q20" s="8">
        <v>1</v>
      </c>
      <c r="R20" s="10">
        <f t="shared" si="3"/>
        <v>5.12</v>
      </c>
      <c r="S20" s="8" t="s">
        <v>127</v>
      </c>
    </row>
    <row r="21" spans="1:19" ht="30" customHeight="1" x14ac:dyDescent="0.2">
      <c r="A21" s="8" t="s">
        <v>58</v>
      </c>
      <c r="B21" s="8" t="s">
        <v>59</v>
      </c>
      <c r="C21" s="8" t="s">
        <v>56</v>
      </c>
      <c r="D21" s="8" t="s">
        <v>60</v>
      </c>
      <c r="E21" s="8">
        <f>CEILING(BoardQty*1,1)</f>
        <v>20</v>
      </c>
      <c r="F21" s="9">
        <f t="shared" si="0"/>
        <v>0.4761010423513945</v>
      </c>
      <c r="G21" s="10">
        <f t="shared" si="1"/>
        <v>9.5220208470278891</v>
      </c>
      <c r="H21" s="8">
        <v>7720</v>
      </c>
      <c r="I21" s="8"/>
      <c r="J21" s="9">
        <f>IFERROR(IF(OR(I21&gt;=K21,E21&gt;=K21),EUR_USD*LOOKUP(IF(I21="",E21,I21),{0,1,10,50,100,500,1000},{0,0.69,0.507,0.3576,0.295,0.20856,0.16542}),"MOQ="&amp;K21),"")</f>
        <v>0.4761010423513945</v>
      </c>
      <c r="K21" s="8">
        <v>1</v>
      </c>
      <c r="L21" s="10">
        <f t="shared" si="2"/>
        <v>9.5220208470278891</v>
      </c>
      <c r="M21" s="8" t="s">
        <v>104</v>
      </c>
      <c r="N21" s="8">
        <v>7700</v>
      </c>
      <c r="O21" s="8"/>
      <c r="P21" s="9">
        <f>IFERROR(IF(OR(O21&gt;=Q21,E21&gt;=Q21),LOOKUP(IF(O21="",E21,O21),{0,1,10,100,1000,4000},{0,0.724,0.543,0.315,0.223,0.223}),"MOQ="&amp;Q21),"")</f>
        <v>0.54300000000000004</v>
      </c>
      <c r="Q21" s="8">
        <v>1</v>
      </c>
      <c r="R21" s="10">
        <f t="shared" si="3"/>
        <v>10.860000000000001</v>
      </c>
      <c r="S21" s="8" t="s">
        <v>128</v>
      </c>
    </row>
    <row r="22" spans="1:19" ht="30" customHeight="1" x14ac:dyDescent="0.2">
      <c r="A22" s="8" t="s">
        <v>61</v>
      </c>
      <c r="B22" s="8" t="s">
        <v>62</v>
      </c>
      <c r="C22" s="8" t="s">
        <v>56</v>
      </c>
      <c r="D22" s="8" t="s">
        <v>63</v>
      </c>
      <c r="E22" s="8">
        <f>CEILING(BoardQty*6,1)</f>
        <v>120</v>
      </c>
      <c r="F22" s="9">
        <f t="shared" si="0"/>
        <v>3.6717062634989202E-2</v>
      </c>
      <c r="G22" s="10">
        <f t="shared" si="1"/>
        <v>4.4060475161987043</v>
      </c>
      <c r="H22" s="8">
        <v>18065</v>
      </c>
      <c r="I22" s="8"/>
      <c r="J22" s="9">
        <f>IFERROR(IF(OR(I22&gt;=K22,E22&gt;=K22),EUR_USD*LOOKUP(IF(I22="",E22,I22),{0,1,10,50,100,500,1000},{0,0.14,0.068,0.0458,0.0391,0.02804,0.02467}),"MOQ="&amp;K22),"")</f>
        <v>3.6717062634989202E-2</v>
      </c>
      <c r="K22" s="8">
        <v>1</v>
      </c>
      <c r="L22" s="10">
        <f t="shared" si="2"/>
        <v>4.4060475161987043</v>
      </c>
      <c r="M22" s="8" t="s">
        <v>105</v>
      </c>
      <c r="N22" s="8">
        <v>19305</v>
      </c>
      <c r="O22" s="8"/>
      <c r="P22" s="9">
        <f>IFERROR(IF(OR(O22&gt;=Q22,E22&gt;=Q22),LOOKUP(IF(O22="",E22,O22),{0,1,10,100,500,1000,4000},{0,0.132,0.106,0.042,0.035,0.018,0.016}),"MOQ="&amp;Q22),"")</f>
        <v>4.2000000000000003E-2</v>
      </c>
      <c r="Q22" s="8">
        <v>1</v>
      </c>
      <c r="R22" s="10">
        <f t="shared" si="3"/>
        <v>5.04</v>
      </c>
      <c r="S22" s="8" t="s">
        <v>129</v>
      </c>
    </row>
    <row r="23" spans="1:19" ht="30" customHeight="1" x14ac:dyDescent="0.2">
      <c r="A23" s="8" t="s">
        <v>64</v>
      </c>
      <c r="B23" s="8" t="s">
        <v>65</v>
      </c>
      <c r="C23" s="8" t="s">
        <v>56</v>
      </c>
      <c r="D23" s="8" t="s">
        <v>66</v>
      </c>
      <c r="E23" s="8">
        <f>CEILING(BoardQty*2,1)</f>
        <v>40</v>
      </c>
      <c r="F23" s="9">
        <f t="shared" si="0"/>
        <v>6.3E-2</v>
      </c>
      <c r="G23" s="10">
        <f t="shared" si="1"/>
        <v>2.52</v>
      </c>
      <c r="H23" s="8">
        <v>15215</v>
      </c>
      <c r="I23" s="8"/>
      <c r="J23" s="9">
        <f>IFERROR(IF(OR(I23&gt;=K23,E23&gt;=K23),EUR_USD*LOOKUP(IF(I23="",E23,I23),{0,1,10,50,100,500,1000},{0,0.14,0.119,0.0626,0.0464,0.02804,0.01942}),"MOQ="&amp;K23),"")</f>
        <v>0.11174758193257583</v>
      </c>
      <c r="K23" s="8">
        <v>1</v>
      </c>
      <c r="L23" s="10">
        <f t="shared" si="2"/>
        <v>4.4699032773030334</v>
      </c>
      <c r="M23" s="8" t="s">
        <v>106</v>
      </c>
      <c r="N23" s="8">
        <v>8107</v>
      </c>
      <c r="O23" s="8"/>
      <c r="P23" s="9">
        <f>IFERROR(IF(OR(O23&gt;=Q23,E23&gt;=Q23),LOOKUP(IF(O23="",E23,O23),{0,1,10,100,1000,5000,10000,25000,100000},{0,0.141,0.063,0.028,0.02,0.017,0.016,0.015,0.013}),"MOQ="&amp;Q23),"")</f>
        <v>6.3E-2</v>
      </c>
      <c r="Q23" s="8">
        <v>1</v>
      </c>
      <c r="R23" s="10">
        <f t="shared" si="3"/>
        <v>2.52</v>
      </c>
      <c r="S23" s="8" t="s">
        <v>130</v>
      </c>
    </row>
    <row r="24" spans="1:19" ht="16" x14ac:dyDescent="0.2">
      <c r="A24" s="8" t="s">
        <v>67</v>
      </c>
      <c r="B24" s="8" t="s">
        <v>68</v>
      </c>
      <c r="C24" s="8" t="s">
        <v>69</v>
      </c>
      <c r="D24" s="8" t="s">
        <v>70</v>
      </c>
      <c r="E24" s="8">
        <f>CEILING(BoardQty*2,1)</f>
        <v>40</v>
      </c>
      <c r="F24" s="9">
        <f t="shared" si="0"/>
        <v>0.43910226312329798</v>
      </c>
      <c r="G24" s="10">
        <f t="shared" si="1"/>
        <v>17.56409052493192</v>
      </c>
      <c r="H24" s="11" t="s">
        <v>91</v>
      </c>
      <c r="I24" s="8"/>
      <c r="J24" s="9">
        <f>IFERROR(IF(OR(I24&gt;=K24,E24&gt;=K24),EUR_USD*LOOKUP(IF(I24="",E24,I24),{0,1,10,25,100,250,500,1000,2500,5000},{0,0.5,0.485,0.4676,0.4045,0.36856,0.34158,0.30563,0.28944,0.26787}),"MOQ="&amp;K24),"")</f>
        <v>0.43910226312329798</v>
      </c>
      <c r="K24" s="8">
        <v>1</v>
      </c>
      <c r="L24" s="10">
        <f t="shared" si="2"/>
        <v>17.56409052493192</v>
      </c>
      <c r="M24" s="8" t="s">
        <v>107</v>
      </c>
      <c r="N24" s="8">
        <v>2938</v>
      </c>
      <c r="O24" s="8"/>
      <c r="P24" s="9">
        <f>IFERROR(IF(OR(O24&gt;=Q24,E24&gt;=Q24),LOOKUP(IF(O24="",E24,O24),{0,1,10,25,100,250,500,1000,2000,5000},{0,0.594,0.563,0.535,0.486,0.457,0.418,0.349,0.339,0.316}),"MOQ="&amp;Q24),"")</f>
        <v>0.53500000000000003</v>
      </c>
      <c r="Q24" s="8">
        <v>1</v>
      </c>
      <c r="R24" s="10">
        <f t="shared" si="3"/>
        <v>21.400000000000002</v>
      </c>
      <c r="S24" s="8" t="s">
        <v>131</v>
      </c>
    </row>
    <row r="25" spans="1:19" ht="32" x14ac:dyDescent="0.2">
      <c r="A25" s="8" t="s">
        <v>71</v>
      </c>
      <c r="B25" s="8" t="s">
        <v>72</v>
      </c>
      <c r="C25" s="8" t="s">
        <v>73</v>
      </c>
      <c r="D25" s="8" t="s">
        <v>72</v>
      </c>
      <c r="E25" s="8">
        <f>CEILING(BoardQty*1,1)</f>
        <v>20</v>
      </c>
      <c r="F25" s="9">
        <f t="shared" si="0"/>
        <v>2.8171659310733403</v>
      </c>
      <c r="G25" s="10">
        <f t="shared" si="1"/>
        <v>56.343318621466807</v>
      </c>
      <c r="H25" s="8">
        <v>1</v>
      </c>
      <c r="I25" s="8"/>
      <c r="J25" s="9">
        <f>IFERROR(IF(OR(I25&gt;=K25,E25&gt;=K25),EUR_USD*LOOKUP(IF(I25="",E25,I25),{0,1},{0,3}),"MOQ="&amp;K25),"")</f>
        <v>2.8171659310733403</v>
      </c>
      <c r="K25" s="8">
        <v>1</v>
      </c>
      <c r="L25" s="10">
        <f t="shared" si="2"/>
        <v>56.343318621466807</v>
      </c>
      <c r="M25" s="8" t="s">
        <v>108</v>
      </c>
      <c r="N25" s="8">
        <v>18461</v>
      </c>
      <c r="O25" s="8"/>
      <c r="P25" s="9">
        <f>IFERROR(IF(OR(O25&gt;=Q25,E25&gt;=Q25),LOOKUP(IF(O25="",E25,O25),{0,1,650},{0,2.82,2.82}),"MOQ="&amp;Q25),"")</f>
        <v>2.82</v>
      </c>
      <c r="Q25" s="8">
        <v>1</v>
      </c>
      <c r="R25" s="10">
        <f t="shared" si="3"/>
        <v>56.4</v>
      </c>
      <c r="S25" s="8" t="s">
        <v>132</v>
      </c>
    </row>
    <row r="26" spans="1:19" ht="16" x14ac:dyDescent="0.2">
      <c r="A26" s="8" t="s">
        <v>74</v>
      </c>
      <c r="B26" s="8" t="s">
        <v>75</v>
      </c>
      <c r="C26" s="8" t="s">
        <v>76</v>
      </c>
      <c r="D26" s="8" t="s">
        <v>75</v>
      </c>
      <c r="E26" s="8">
        <f>CEILING(BoardQty*1,1)</f>
        <v>20</v>
      </c>
      <c r="F26" s="9">
        <f t="shared" si="0"/>
        <v>0.85454033242557992</v>
      </c>
      <c r="G26" s="10">
        <f t="shared" si="1"/>
        <v>17.090806648511599</v>
      </c>
      <c r="H26" s="8">
        <v>560</v>
      </c>
      <c r="I26" s="8"/>
      <c r="J26" s="9">
        <f>IFERROR(IF(OR(I26&gt;=K26,E26&gt;=K26),EUR_USD*LOOKUP(IF(I26="",E26,I26),{0,1,25,100},{0,0.91,0.77,0.71}),"MOQ="&amp;K26),"")</f>
        <v>0.85454033242557992</v>
      </c>
      <c r="K26" s="8">
        <v>1</v>
      </c>
      <c r="L26" s="10">
        <f t="shared" si="2"/>
        <v>17.090806648511599</v>
      </c>
      <c r="M26" s="8" t="s">
        <v>109</v>
      </c>
      <c r="N26" s="8">
        <v>955</v>
      </c>
      <c r="O26" s="8"/>
      <c r="P26" s="9">
        <f>IFERROR(IF(OR(O26&gt;=Q26,E26&gt;=Q26),LOOKUP(IF(O26="",E26,O26),{0,1,25,100,4000},{0,0.855,0.724,0.667,0.667}),"MOQ="&amp;Q26),"")</f>
        <v>0.85499999999999998</v>
      </c>
      <c r="Q26" s="8">
        <v>1</v>
      </c>
      <c r="R26" s="10">
        <f t="shared" si="3"/>
        <v>17.100000000000001</v>
      </c>
      <c r="S26" s="8" t="s">
        <v>133</v>
      </c>
    </row>
    <row r="27" spans="1:19" ht="16" x14ac:dyDescent="0.2">
      <c r="A27" s="8" t="s">
        <v>77</v>
      </c>
      <c r="B27" s="8" t="s">
        <v>78</v>
      </c>
      <c r="C27" s="8" t="s">
        <v>79</v>
      </c>
      <c r="D27" s="8" t="s">
        <v>80</v>
      </c>
      <c r="E27" s="8">
        <f>CEILING(BoardQty*2,1)</f>
        <v>40</v>
      </c>
      <c r="F27" s="9">
        <f t="shared" si="0"/>
        <v>0.64700000000000002</v>
      </c>
      <c r="G27" s="10">
        <f t="shared" si="1"/>
        <v>25.880000000000003</v>
      </c>
      <c r="H27" s="8">
        <v>4749</v>
      </c>
      <c r="I27" s="8"/>
      <c r="J27" s="9">
        <f>IFERROR(IF(OR(I27&gt;=K27,E27&gt;=K27),EUR_USD*LOOKUP(IF(I27="",E27,I27),{0,1,10,100,1000,2000,5000,10000,25000},{0,1.07,0.697,0.4566,0.36048,0.33645,0.32443,0.31963,0.31242}),"MOQ="&amp;K27),"")</f>
        <v>0.65452155131937273</v>
      </c>
      <c r="K27" s="8">
        <v>1</v>
      </c>
      <c r="L27" s="10">
        <f t="shared" si="2"/>
        <v>26.180862052774909</v>
      </c>
      <c r="M27" s="8" t="s">
        <v>110</v>
      </c>
      <c r="N27" s="8">
        <v>13683</v>
      </c>
      <c r="O27" s="8"/>
      <c r="P27" s="9">
        <f>IFERROR(IF(OR(O27&gt;=Q27,E27&gt;=Q27),LOOKUP(IF(O27="",E27,O27),{0,1,10,100,500,1000,3000,5000,10000,25000},{0,0.996,0.647,0.425,0.414,0.326,0.32,0.308,0.304,0.29}),"MOQ="&amp;Q27),"")</f>
        <v>0.64700000000000002</v>
      </c>
      <c r="Q27" s="8">
        <v>1</v>
      </c>
      <c r="R27" s="10">
        <f t="shared" si="3"/>
        <v>25.880000000000003</v>
      </c>
      <c r="S27" s="8" t="s">
        <v>134</v>
      </c>
    </row>
    <row r="28" spans="1:19" ht="30" customHeight="1" x14ac:dyDescent="0.2">
      <c r="A28" s="8" t="s">
        <v>81</v>
      </c>
      <c r="B28" s="8" t="s">
        <v>82</v>
      </c>
      <c r="C28" s="8" t="s">
        <v>83</v>
      </c>
      <c r="D28" s="8" t="s">
        <v>82</v>
      </c>
      <c r="E28" s="8">
        <f>CEILING(BoardQty*1,1)</f>
        <v>20</v>
      </c>
      <c r="F28" s="9">
        <f t="shared" si="0"/>
        <v>0.47140576579960564</v>
      </c>
      <c r="G28" s="10">
        <f t="shared" si="1"/>
        <v>9.4281153159921125</v>
      </c>
      <c r="H28" s="8">
        <v>93571</v>
      </c>
      <c r="I28" s="8"/>
      <c r="J28" s="9">
        <f>IFERROR(IF(OR(I28&gt;=K28,E28&gt;=K28),EUR_USD*LOOKUP(IF(I28="",E28,I28),{0,1,10,50,100,500},{0,0.6,0.502,0.4522,0.402,0.38188}),"MOQ="&amp;K28),"")</f>
        <v>0.47140576579960564</v>
      </c>
      <c r="K28" s="8">
        <v>1</v>
      </c>
      <c r="L28" s="10">
        <f t="shared" si="2"/>
        <v>9.4281153159921125</v>
      </c>
      <c r="M28" s="8" t="s">
        <v>111</v>
      </c>
      <c r="N28" s="8">
        <v>25390</v>
      </c>
      <c r="O28" s="8"/>
      <c r="P28" s="9">
        <f>IFERROR(IF(OR(O28&gt;=Q28,E28&gt;=Q28),LOOKUP(IF(O28="",E28,O28),{0,1,10,100,500,1000,2000,5000,10000,25000},{0,0.583,0.484,0.387,0.368,0.309,0.289,0.28,0.27,0.26}),"MOQ="&amp;Q28),"")</f>
        <v>0.48399999999999999</v>
      </c>
      <c r="Q28" s="8">
        <v>1</v>
      </c>
      <c r="R28" s="10">
        <f t="shared" si="3"/>
        <v>9.68</v>
      </c>
      <c r="S28" s="8" t="s">
        <v>135</v>
      </c>
    </row>
    <row r="30" spans="1:19" ht="17" x14ac:dyDescent="0.2">
      <c r="B30" s="12" t="s">
        <v>138</v>
      </c>
      <c r="F30" s="1" t="s">
        <v>136</v>
      </c>
      <c r="G30" s="5">
        <f>SUM(L30,R30)</f>
        <v>0</v>
      </c>
      <c r="H30" s="13" t="s">
        <v>112</v>
      </c>
      <c r="I30" s="6" t="str">
        <f>IFERROR(IF(COUNTIF(I7:I28,"&gt;0")&gt;0,COUNTIF(I7:I28,"&gt;0")&amp;" of "&amp;(ROWS(K7:K28)-COUNTBLANK(K7:K28))&amp;" parts purchased",""),"")</f>
        <v/>
      </c>
      <c r="L30" s="5">
        <f>SUMIF(I7:I28,"&gt;0",L7:L28)</f>
        <v>0</v>
      </c>
      <c r="N30" s="13" t="s">
        <v>112</v>
      </c>
      <c r="O30" s="6" t="str">
        <f>IFERROR(IF(COUNTIF(O7:O28,"&gt;0")&gt;0,COUNTIF(O7:O28,"&gt;0")&amp;" of "&amp;(ROWS(Q7:Q28)-COUNTBLANK(Q7:Q28))&amp;" parts purchased",""),"")</f>
        <v/>
      </c>
      <c r="R30" s="5">
        <f>SUMIF(O7:O28,"&gt;0",R7:R28)</f>
        <v>0</v>
      </c>
    </row>
    <row r="31" spans="1:19" x14ac:dyDescent="0.2">
      <c r="B31" s="12" t="s">
        <v>139</v>
      </c>
      <c r="C31">
        <v>0.93905531035778012</v>
      </c>
      <c r="F31" s="12" t="s">
        <v>137</v>
      </c>
      <c r="I31" s="16" t="str">
        <f>CONCATENATE(I54,I55,I56,I57,I58,I59,I60,I61,I62,I63,I64,I65,I66,I67,I68,I69,I70,I71,I72,I73,I74,I75)</f>
        <v/>
      </c>
      <c r="J31" s="17"/>
      <c r="K31" s="17"/>
      <c r="L31" s="17"/>
      <c r="O31" s="16" t="str">
        <f>CONCATENATE(O54,O55,O56,O57,O58,O59,O60,O61,O62,O63,O64,O65,O66,O67,O68,O69,O70,O71,O72,O73,O74,O75)</f>
        <v/>
      </c>
      <c r="P31" s="17"/>
      <c r="Q31" s="17"/>
      <c r="R31" s="17"/>
    </row>
    <row r="32" spans="1:19" x14ac:dyDescent="0.2">
      <c r="I32" s="17"/>
      <c r="J32" s="17"/>
      <c r="K32" s="17"/>
      <c r="L32" s="17"/>
      <c r="O32" s="17"/>
      <c r="P32" s="17"/>
      <c r="Q32" s="17"/>
      <c r="R32" s="17"/>
    </row>
    <row r="33" spans="1:18" ht="16" x14ac:dyDescent="0.2">
      <c r="A33" s="2" t="s">
        <v>150</v>
      </c>
      <c r="I33" s="17"/>
      <c r="J33" s="17"/>
      <c r="K33" s="17"/>
      <c r="L33" s="17"/>
      <c r="O33" s="17"/>
      <c r="P33" s="17"/>
      <c r="Q33" s="17"/>
      <c r="R33" s="17"/>
    </row>
    <row r="34" spans="1:18" x14ac:dyDescent="0.2">
      <c r="I34" s="17"/>
      <c r="J34" s="17"/>
      <c r="K34" s="17"/>
      <c r="L34" s="17"/>
      <c r="O34" s="17"/>
      <c r="P34" s="17"/>
      <c r="Q34" s="17"/>
      <c r="R34" s="17"/>
    </row>
    <row r="35" spans="1:18" x14ac:dyDescent="0.2">
      <c r="I35" s="17"/>
      <c r="J35" s="17"/>
      <c r="K35" s="17"/>
      <c r="L35" s="17"/>
      <c r="O35" s="17"/>
      <c r="P35" s="17"/>
      <c r="Q35" s="17"/>
      <c r="R35" s="17"/>
    </row>
    <row r="36" spans="1:18" x14ac:dyDescent="0.2">
      <c r="I36" s="17"/>
      <c r="J36" s="17"/>
      <c r="K36" s="17"/>
      <c r="L36" s="17"/>
      <c r="O36" s="17"/>
      <c r="P36" s="17"/>
      <c r="Q36" s="17"/>
      <c r="R36" s="17"/>
    </row>
    <row r="37" spans="1:18" x14ac:dyDescent="0.2">
      <c r="I37" s="17"/>
      <c r="J37" s="17"/>
      <c r="K37" s="17"/>
      <c r="L37" s="17"/>
      <c r="O37" s="17"/>
      <c r="P37" s="17"/>
      <c r="Q37" s="17"/>
      <c r="R37" s="17"/>
    </row>
    <row r="38" spans="1:18" x14ac:dyDescent="0.2">
      <c r="I38" s="17"/>
      <c r="J38" s="17"/>
      <c r="K38" s="17"/>
      <c r="L38" s="17"/>
      <c r="O38" s="17"/>
      <c r="P38" s="17"/>
      <c r="Q38" s="17"/>
      <c r="R38" s="17"/>
    </row>
    <row r="39" spans="1:18" x14ac:dyDescent="0.2">
      <c r="I39" s="17"/>
      <c r="J39" s="17"/>
      <c r="K39" s="17"/>
      <c r="L39" s="17"/>
      <c r="O39" s="17"/>
      <c r="P39" s="17"/>
      <c r="Q39" s="17"/>
      <c r="R39" s="17"/>
    </row>
    <row r="40" spans="1:18" x14ac:dyDescent="0.2">
      <c r="I40" s="17"/>
      <c r="J40" s="17"/>
      <c r="K40" s="17"/>
      <c r="L40" s="17"/>
      <c r="O40" s="17"/>
      <c r="P40" s="17"/>
      <c r="Q40" s="17"/>
      <c r="R40" s="17"/>
    </row>
    <row r="41" spans="1:18" x14ac:dyDescent="0.2">
      <c r="I41" s="17"/>
      <c r="J41" s="17"/>
      <c r="K41" s="17"/>
      <c r="L41" s="17"/>
      <c r="O41" s="17"/>
      <c r="P41" s="17"/>
      <c r="Q41" s="17"/>
      <c r="R41" s="17"/>
    </row>
    <row r="42" spans="1:18" x14ac:dyDescent="0.2">
      <c r="I42" s="17"/>
      <c r="J42" s="17"/>
      <c r="K42" s="17"/>
      <c r="L42" s="17"/>
      <c r="O42" s="17"/>
      <c r="P42" s="17"/>
      <c r="Q42" s="17"/>
      <c r="R42" s="17"/>
    </row>
    <row r="43" spans="1:18" x14ac:dyDescent="0.2">
      <c r="I43" s="17"/>
      <c r="J43" s="17"/>
      <c r="K43" s="17"/>
      <c r="L43" s="17"/>
      <c r="O43" s="17"/>
      <c r="P43" s="17"/>
      <c r="Q43" s="17"/>
      <c r="R43" s="17"/>
    </row>
    <row r="44" spans="1:18" x14ac:dyDescent="0.2">
      <c r="I44" s="17"/>
      <c r="J44" s="17"/>
      <c r="K44" s="17"/>
      <c r="L44" s="17"/>
      <c r="O44" s="17"/>
      <c r="P44" s="17"/>
      <c r="Q44" s="17"/>
      <c r="R44" s="17"/>
    </row>
    <row r="45" spans="1:18" x14ac:dyDescent="0.2">
      <c r="I45" s="17"/>
      <c r="J45" s="17"/>
      <c r="K45" s="17"/>
      <c r="L45" s="17"/>
      <c r="O45" s="17"/>
      <c r="P45" s="17"/>
      <c r="Q45" s="17"/>
      <c r="R45" s="17"/>
    </row>
    <row r="46" spans="1:18" x14ac:dyDescent="0.2">
      <c r="I46" s="17"/>
      <c r="J46" s="17"/>
      <c r="K46" s="17"/>
      <c r="L46" s="17"/>
      <c r="O46" s="17"/>
      <c r="P46" s="17"/>
      <c r="Q46" s="17"/>
      <c r="R46" s="17"/>
    </row>
    <row r="47" spans="1:18" x14ac:dyDescent="0.2">
      <c r="I47" s="17"/>
      <c r="J47" s="17"/>
      <c r="K47" s="17"/>
      <c r="L47" s="17"/>
      <c r="O47" s="17"/>
      <c r="P47" s="17"/>
      <c r="Q47" s="17"/>
      <c r="R47" s="17"/>
    </row>
    <row r="48" spans="1:18" x14ac:dyDescent="0.2">
      <c r="I48" s="17"/>
      <c r="J48" s="17"/>
      <c r="K48" s="17"/>
      <c r="L48" s="17"/>
      <c r="O48" s="17"/>
      <c r="P48" s="17"/>
      <c r="Q48" s="17"/>
      <c r="R48" s="17"/>
    </row>
    <row r="49" spans="9:18" x14ac:dyDescent="0.2">
      <c r="I49" s="17"/>
      <c r="J49" s="17"/>
      <c r="K49" s="17"/>
      <c r="L49" s="17"/>
      <c r="O49" s="17"/>
      <c r="P49" s="17"/>
      <c r="Q49" s="17"/>
      <c r="R49" s="17"/>
    </row>
    <row r="50" spans="9:18" x14ac:dyDescent="0.2">
      <c r="I50" s="17"/>
      <c r="J50" s="17"/>
      <c r="K50" s="17"/>
      <c r="L50" s="17"/>
      <c r="O50" s="17"/>
      <c r="P50" s="17"/>
      <c r="Q50" s="17"/>
      <c r="R50" s="17"/>
    </row>
    <row r="51" spans="9:18" x14ac:dyDescent="0.2">
      <c r="I51" s="17"/>
      <c r="J51" s="17"/>
      <c r="K51" s="17"/>
      <c r="L51" s="17"/>
      <c r="O51" s="17"/>
      <c r="P51" s="17"/>
      <c r="Q51" s="17"/>
      <c r="R51" s="17"/>
    </row>
    <row r="52" spans="9:18" x14ac:dyDescent="0.2">
      <c r="I52" s="17"/>
      <c r="J52" s="17"/>
      <c r="K52" s="17"/>
      <c r="L52" s="17"/>
      <c r="O52" s="17"/>
      <c r="P52" s="17"/>
      <c r="Q52" s="17"/>
      <c r="R52" s="17"/>
    </row>
    <row r="53" spans="9:18" x14ac:dyDescent="0.2">
      <c r="I53" s="17"/>
      <c r="J53" s="17"/>
      <c r="K53" s="17"/>
      <c r="L53" s="17"/>
      <c r="O53" s="17"/>
      <c r="P53" s="17"/>
      <c r="Q53" s="17"/>
      <c r="R53" s="17"/>
    </row>
    <row r="54" spans="9:18" ht="30" hidden="1" customHeight="1" x14ac:dyDescent="0.2">
      <c r="I54" t="str">
        <f t="array" ref="I54:I75">IF(ISNUMBER(I7:I28)*(I7:I28&gt;=K7:K28)*(M7:M28&lt;&gt;""),TEXT(ROUNDUP(I7:I28/IF(ISNUMBER(K7:K28),K7:K28,1),0)*K7:K28,"##0")&amp;","&amp;M7:M28&amp;","&amp;SUBSTITUTE(SUBSTITUTE(IF(PURCHASE_DESCRIPTION&lt;&gt;"",PURCHASE_DESCRIPTION&amp;":","")&amp;A7:A28,",",";"),"
"," ")&amp;CHAR(10),"")</f>
        <v/>
      </c>
      <c r="O54" t="str">
        <f t="array" ref="O54:O75">IF(ISNUMBER(O7:O28)*(O7:O28&gt;=Q7:Q28)*(S7:S28&lt;&gt;""),S7:S28&amp;"|"&amp;TEXT(ROUNDUP(O7:O28/IF(ISNUMBER(Q7:Q28),Q7:Q28,1),0)*Q7:Q28,"##0")&amp;"|"&amp;SUBSTITUTE(SUBSTITUTE(SUBSTITUTE(IF(PURCHASE_DESCRIPTION&lt;&gt;"",PURCHASE_DESCRIPTION&amp;":","")&amp;A7:A28,"|",";")," ","_"),"
","_")&amp;CHAR(10),"")</f>
        <v/>
      </c>
    </row>
    <row r="55" spans="9:18" ht="30" hidden="1" customHeight="1" x14ac:dyDescent="0.2">
      <c r="I55" t="str">
        <v/>
      </c>
      <c r="O55" t="str">
        <v/>
      </c>
    </row>
    <row r="56" spans="9:18" ht="30" hidden="1" customHeight="1" x14ac:dyDescent="0.2">
      <c r="I56" t="str">
        <v/>
      </c>
      <c r="O56" t="str">
        <v/>
      </c>
    </row>
    <row r="57" spans="9:18" ht="30" hidden="1" customHeight="1" x14ac:dyDescent="0.2">
      <c r="I57" t="str">
        <v/>
      </c>
      <c r="O57" t="str">
        <v/>
      </c>
    </row>
    <row r="58" spans="9:18" ht="30" hidden="1" customHeight="1" x14ac:dyDescent="0.2">
      <c r="I58" t="str">
        <v/>
      </c>
      <c r="O58" t="str">
        <v/>
      </c>
    </row>
    <row r="59" spans="9:18" ht="30" hidden="1" customHeight="1" x14ac:dyDescent="0.2">
      <c r="I59" t="str">
        <v/>
      </c>
      <c r="O59" t="str">
        <v/>
      </c>
    </row>
    <row r="60" spans="9:18" ht="30" hidden="1" customHeight="1" x14ac:dyDescent="0.2">
      <c r="I60" t="str">
        <v/>
      </c>
      <c r="O60" t="str">
        <v/>
      </c>
    </row>
    <row r="61" spans="9:18" ht="30" hidden="1" customHeight="1" x14ac:dyDescent="0.2">
      <c r="I61" t="str">
        <v/>
      </c>
      <c r="O61" t="str">
        <v/>
      </c>
    </row>
    <row r="62" spans="9:18" ht="30" hidden="1" customHeight="1" x14ac:dyDescent="0.2">
      <c r="I62" t="str">
        <v/>
      </c>
      <c r="O62" t="str">
        <v/>
      </c>
    </row>
    <row r="63" spans="9:18" ht="30" hidden="1" customHeight="1" x14ac:dyDescent="0.2">
      <c r="I63" t="str">
        <v/>
      </c>
      <c r="O63" t="str">
        <v/>
      </c>
    </row>
    <row r="64" spans="9:18" ht="30" hidden="1" customHeight="1" x14ac:dyDescent="0.2">
      <c r="I64" t="str">
        <v/>
      </c>
      <c r="O64" t="str">
        <v/>
      </c>
    </row>
    <row r="65" spans="9:15" ht="30" hidden="1" customHeight="1" x14ac:dyDescent="0.2">
      <c r="I65" t="str">
        <v/>
      </c>
      <c r="O65" t="str">
        <v/>
      </c>
    </row>
    <row r="66" spans="9:15" ht="30" hidden="1" customHeight="1" x14ac:dyDescent="0.2">
      <c r="I66" t="str">
        <v/>
      </c>
      <c r="O66" t="str">
        <v/>
      </c>
    </row>
    <row r="67" spans="9:15" ht="30" hidden="1" customHeight="1" x14ac:dyDescent="0.2">
      <c r="I67" t="str">
        <v/>
      </c>
      <c r="O67" t="str">
        <v/>
      </c>
    </row>
    <row r="68" spans="9:15" ht="30" hidden="1" customHeight="1" x14ac:dyDescent="0.2">
      <c r="I68" t="str">
        <v/>
      </c>
      <c r="O68" t="str">
        <v/>
      </c>
    </row>
    <row r="69" spans="9:15" ht="30" hidden="1" customHeight="1" x14ac:dyDescent="0.2">
      <c r="I69" t="str">
        <v/>
      </c>
      <c r="O69" t="str">
        <v/>
      </c>
    </row>
    <row r="70" spans="9:15" ht="30" hidden="1" customHeight="1" x14ac:dyDescent="0.2">
      <c r="I70" t="str">
        <v/>
      </c>
      <c r="O70" t="str">
        <v/>
      </c>
    </row>
    <row r="71" spans="9:15" ht="30" hidden="1" customHeight="1" x14ac:dyDescent="0.2">
      <c r="I71" t="str">
        <v/>
      </c>
      <c r="O71" t="str">
        <v/>
      </c>
    </row>
    <row r="72" spans="9:15" ht="30" hidden="1" customHeight="1" x14ac:dyDescent="0.2">
      <c r="I72" t="str">
        <v/>
      </c>
      <c r="O72" t="str">
        <v/>
      </c>
    </row>
    <row r="73" spans="9:15" ht="30" hidden="1" customHeight="1" x14ac:dyDescent="0.2">
      <c r="I73" t="str">
        <v/>
      </c>
      <c r="O73" t="str">
        <v/>
      </c>
    </row>
    <row r="74" spans="9:15" ht="30" hidden="1" customHeight="1" x14ac:dyDescent="0.2">
      <c r="I74" t="str">
        <v/>
      </c>
      <c r="O74" t="str">
        <v/>
      </c>
    </row>
    <row r="75" spans="9:15" ht="30" hidden="1" customHeight="1" x14ac:dyDescent="0.2">
      <c r="I75" t="str">
        <v/>
      </c>
      <c r="O75" t="str">
        <v/>
      </c>
    </row>
  </sheetData>
  <mergeCells count="5">
    <mergeCell ref="A5:G5"/>
    <mergeCell ref="H5:M5"/>
    <mergeCell ref="I31:L53"/>
    <mergeCell ref="N5:S5"/>
    <mergeCell ref="O31:R53"/>
  </mergeCells>
  <conditionalFormatting sqref="E10">
    <cfRule type="expression" dxfId="275" priority="201">
      <formula>AND(ISBLANK(D10),ISBLANK(L10),ISBLANK(R10))</formula>
    </cfRule>
    <cfRule type="expression" dxfId="274" priority="202">
      <formula>IF(SUM(H10,N10)=0,1,0)</formula>
    </cfRule>
    <cfRule type="cellIs" dxfId="273" priority="203" operator="greaterThan">
      <formula>SUM(H10,N10)</formula>
    </cfRule>
    <cfRule type="cellIs" dxfId="272" priority="204" operator="greaterThan">
      <formula>SUM(IF(ISNUMBER(J10),I10,0),IF(ISNUMBER(P10),O10,0))</formula>
    </cfRule>
  </conditionalFormatting>
  <conditionalFormatting sqref="E11">
    <cfRule type="expression" dxfId="271" priority="205">
      <formula>AND(ISBLANK(D11),ISBLANK(L11),ISBLANK(R11))</formula>
    </cfRule>
    <cfRule type="expression" dxfId="270" priority="206">
      <formula>IF(SUM(H11,N11)=0,1,0)</formula>
    </cfRule>
    <cfRule type="cellIs" dxfId="269" priority="207" operator="greaterThan">
      <formula>SUM(H11,N11)</formula>
    </cfRule>
    <cfRule type="cellIs" dxfId="268" priority="208" operator="greaterThan">
      <formula>SUM(IF(ISNUMBER(J11),I11,0),IF(ISNUMBER(P11),O11,0))</formula>
    </cfRule>
  </conditionalFormatting>
  <conditionalFormatting sqref="E12">
    <cfRule type="expression" dxfId="267" priority="209">
      <formula>AND(ISBLANK(D12),ISBLANK(L12),ISBLANK(R12))</formula>
    </cfRule>
    <cfRule type="expression" dxfId="266" priority="210">
      <formula>IF(SUM(H12,N12)=0,1,0)</formula>
    </cfRule>
    <cfRule type="cellIs" dxfId="265" priority="211" operator="greaterThan">
      <formula>SUM(H12,N12)</formula>
    </cfRule>
    <cfRule type="cellIs" dxfId="264" priority="212" operator="greaterThan">
      <formula>SUM(IF(ISNUMBER(J12),I12,0),IF(ISNUMBER(P12),O12,0))</formula>
    </cfRule>
  </conditionalFormatting>
  <conditionalFormatting sqref="E13">
    <cfRule type="expression" dxfId="263" priority="213">
      <formula>AND(ISBLANK(D13),ISBLANK(L13),ISBLANK(R13))</formula>
    </cfRule>
    <cfRule type="expression" dxfId="262" priority="214">
      <formula>IF(SUM(H13,N13)=0,1,0)</formula>
    </cfRule>
    <cfRule type="cellIs" dxfId="261" priority="215" operator="greaterThan">
      <formula>SUM(H13,N13)</formula>
    </cfRule>
    <cfRule type="cellIs" dxfId="260" priority="216" operator="greaterThan">
      <formula>SUM(IF(ISNUMBER(J13),I13,0),IF(ISNUMBER(P13),O13,0))</formula>
    </cfRule>
  </conditionalFormatting>
  <conditionalFormatting sqref="E14">
    <cfRule type="expression" dxfId="259" priority="217">
      <formula>AND(ISBLANK(D14),ISBLANK(L14),ISBLANK(R14))</formula>
    </cfRule>
    <cfRule type="expression" dxfId="258" priority="218">
      <formula>IF(SUM(H14,N14)=0,1,0)</formula>
    </cfRule>
    <cfRule type="cellIs" dxfId="257" priority="219" operator="greaterThan">
      <formula>SUM(H14,N14)</formula>
    </cfRule>
    <cfRule type="cellIs" dxfId="256" priority="220" operator="greaterThan">
      <formula>SUM(IF(ISNUMBER(J14),I14,0),IF(ISNUMBER(P14),O14,0))</formula>
    </cfRule>
  </conditionalFormatting>
  <conditionalFormatting sqref="E15">
    <cfRule type="expression" dxfId="255" priority="221">
      <formula>AND(ISBLANK(D15),ISBLANK(L15),ISBLANK(R15))</formula>
    </cfRule>
    <cfRule type="expression" dxfId="254" priority="222">
      <formula>IF(SUM(H15,N15)=0,1,0)</formula>
    </cfRule>
    <cfRule type="cellIs" dxfId="253" priority="223" operator="greaterThan">
      <formula>SUM(H15,N15)</formula>
    </cfRule>
    <cfRule type="cellIs" dxfId="252" priority="224" operator="greaterThan">
      <formula>SUM(IF(ISNUMBER(J15),I15,0),IF(ISNUMBER(P15),O15,0))</formula>
    </cfRule>
  </conditionalFormatting>
  <conditionalFormatting sqref="E16">
    <cfRule type="expression" dxfId="251" priority="225">
      <formula>AND(ISBLANK(D16),ISBLANK(L16),ISBLANK(R16))</formula>
    </cfRule>
    <cfRule type="expression" dxfId="250" priority="226">
      <formula>IF(SUM(H16,N16)=0,1,0)</formula>
    </cfRule>
    <cfRule type="cellIs" dxfId="249" priority="227" operator="greaterThan">
      <formula>SUM(H16,N16)</formula>
    </cfRule>
    <cfRule type="cellIs" dxfId="248" priority="228" operator="greaterThan">
      <formula>SUM(IF(ISNUMBER(J16),I16,0),IF(ISNUMBER(P16),O16,0))</formula>
    </cfRule>
  </conditionalFormatting>
  <conditionalFormatting sqref="E17">
    <cfRule type="expression" dxfId="247" priority="229">
      <formula>AND(ISBLANK(D17),ISBLANK(L17),ISBLANK(R17))</formula>
    </cfRule>
    <cfRule type="expression" dxfId="246" priority="230">
      <formula>IF(SUM(H17,N17)=0,1,0)</formula>
    </cfRule>
    <cfRule type="cellIs" dxfId="245" priority="231" operator="greaterThan">
      <formula>SUM(H17,N17)</formula>
    </cfRule>
    <cfRule type="cellIs" dxfId="244" priority="232" operator="greaterThan">
      <formula>SUM(IF(ISNUMBER(J17),I17,0),IF(ISNUMBER(P17),O17,0))</formula>
    </cfRule>
  </conditionalFormatting>
  <conditionalFormatting sqref="E18">
    <cfRule type="expression" dxfId="243" priority="233">
      <formula>AND(ISBLANK(D18),ISBLANK(L18),ISBLANK(R18))</formula>
    </cfRule>
    <cfRule type="expression" dxfId="242" priority="234">
      <formula>IF(SUM(H18,N18)=0,1,0)</formula>
    </cfRule>
    <cfRule type="cellIs" dxfId="241" priority="235" operator="greaterThan">
      <formula>SUM(H18,N18)</formula>
    </cfRule>
    <cfRule type="cellIs" dxfId="240" priority="236" operator="greaterThan">
      <formula>SUM(IF(ISNUMBER(J18),I18,0),IF(ISNUMBER(P18),O18,0))</formula>
    </cfRule>
  </conditionalFormatting>
  <conditionalFormatting sqref="E19">
    <cfRule type="expression" dxfId="239" priority="237">
      <formula>AND(ISBLANK(D19),ISBLANK(L19),ISBLANK(R19))</formula>
    </cfRule>
    <cfRule type="expression" dxfId="238" priority="238">
      <formula>IF(SUM(H19,N19)=0,1,0)</formula>
    </cfRule>
    <cfRule type="cellIs" dxfId="237" priority="239" operator="greaterThan">
      <formula>SUM(H19,N19)</formula>
    </cfRule>
    <cfRule type="cellIs" dxfId="236" priority="240" operator="greaterThan">
      <formula>SUM(IF(ISNUMBER(J19),I19,0),IF(ISNUMBER(P19),O19,0))</formula>
    </cfRule>
  </conditionalFormatting>
  <conditionalFormatting sqref="E20">
    <cfRule type="expression" dxfId="235" priority="241">
      <formula>AND(ISBLANK(D20),ISBLANK(L20),ISBLANK(R20))</formula>
    </cfRule>
    <cfRule type="expression" dxfId="234" priority="242">
      <formula>IF(SUM(H20,N20)=0,1,0)</formula>
    </cfRule>
    <cfRule type="cellIs" dxfId="233" priority="243" operator="greaterThan">
      <formula>SUM(H20,N20)</formula>
    </cfRule>
    <cfRule type="cellIs" dxfId="232" priority="244" operator="greaterThan">
      <formula>SUM(IF(ISNUMBER(J20),I20,0),IF(ISNUMBER(P20),O20,0))</formula>
    </cfRule>
  </conditionalFormatting>
  <conditionalFormatting sqref="E21">
    <cfRule type="expression" dxfId="231" priority="245">
      <formula>AND(ISBLANK(D21),ISBLANK(L21),ISBLANK(R21))</formula>
    </cfRule>
    <cfRule type="expression" dxfId="230" priority="246">
      <formula>IF(SUM(H21,N21)=0,1,0)</formula>
    </cfRule>
    <cfRule type="cellIs" dxfId="229" priority="247" operator="greaterThan">
      <formula>SUM(H21,N21)</formula>
    </cfRule>
    <cfRule type="cellIs" dxfId="228" priority="248" operator="greaterThan">
      <formula>SUM(IF(ISNUMBER(J21),I21,0),IF(ISNUMBER(P21),O21,0))</formula>
    </cfRule>
  </conditionalFormatting>
  <conditionalFormatting sqref="E22">
    <cfRule type="expression" dxfId="227" priority="249">
      <formula>AND(ISBLANK(D22),ISBLANK(L22),ISBLANK(R22))</formula>
    </cfRule>
    <cfRule type="expression" dxfId="226" priority="250">
      <formula>IF(SUM(H22,N22)=0,1,0)</formula>
    </cfRule>
    <cfRule type="cellIs" dxfId="225" priority="251" operator="greaterThan">
      <formula>SUM(H22,N22)</formula>
    </cfRule>
    <cfRule type="cellIs" dxfId="224" priority="252" operator="greaterThan">
      <formula>SUM(IF(ISNUMBER(J22),I22,0),IF(ISNUMBER(P22),O22,0))</formula>
    </cfRule>
  </conditionalFormatting>
  <conditionalFormatting sqref="E23">
    <cfRule type="expression" dxfId="223" priority="253">
      <formula>AND(ISBLANK(D23),ISBLANK(L23),ISBLANK(R23))</formula>
    </cfRule>
    <cfRule type="expression" dxfId="222" priority="254">
      <formula>IF(SUM(H23,N23)=0,1,0)</formula>
    </cfRule>
    <cfRule type="cellIs" dxfId="221" priority="255" operator="greaterThan">
      <formula>SUM(H23,N23)</formula>
    </cfRule>
    <cfRule type="cellIs" dxfId="220" priority="256" operator="greaterThan">
      <formula>SUM(IF(ISNUMBER(J23),I23,0),IF(ISNUMBER(P23),O23,0))</formula>
    </cfRule>
  </conditionalFormatting>
  <conditionalFormatting sqref="E24">
    <cfRule type="expression" dxfId="219" priority="257">
      <formula>AND(ISBLANK(D24),ISBLANK(L24),ISBLANK(R24))</formula>
    </cfRule>
    <cfRule type="expression" dxfId="218" priority="258">
      <formula>IF(SUM(H24,N24)=0,1,0)</formula>
    </cfRule>
    <cfRule type="cellIs" dxfId="217" priority="259" operator="greaterThan">
      <formula>SUM(H24,N24)</formula>
    </cfRule>
    <cfRule type="cellIs" dxfId="216" priority="260" operator="greaterThan">
      <formula>SUM(IF(ISNUMBER(J24),I24,0),IF(ISNUMBER(P24),O24,0))</formula>
    </cfRule>
  </conditionalFormatting>
  <conditionalFormatting sqref="E25">
    <cfRule type="expression" dxfId="215" priority="261">
      <formula>AND(ISBLANK(D25),ISBLANK(L25),ISBLANK(R25))</formula>
    </cfRule>
    <cfRule type="expression" dxfId="214" priority="262">
      <formula>IF(SUM(H25,N25)=0,1,0)</formula>
    </cfRule>
    <cfRule type="cellIs" dxfId="213" priority="263" operator="greaterThan">
      <formula>SUM(H25,N25)</formula>
    </cfRule>
    <cfRule type="cellIs" dxfId="212" priority="264" operator="greaterThan">
      <formula>SUM(IF(ISNUMBER(J25),I25,0),IF(ISNUMBER(P25),O25,0))</formula>
    </cfRule>
  </conditionalFormatting>
  <conditionalFormatting sqref="E26">
    <cfRule type="expression" dxfId="211" priority="265">
      <formula>AND(ISBLANK(D26),ISBLANK(L26),ISBLANK(R26))</formula>
    </cfRule>
    <cfRule type="expression" dxfId="210" priority="266">
      <formula>IF(SUM(H26,N26)=0,1,0)</formula>
    </cfRule>
    <cfRule type="cellIs" dxfId="209" priority="267" operator="greaterThan">
      <formula>SUM(H26,N26)</formula>
    </cfRule>
    <cfRule type="cellIs" dxfId="208" priority="268" operator="greaterThan">
      <formula>SUM(IF(ISNUMBER(J26),I26,0),IF(ISNUMBER(P26),O26,0))</formula>
    </cfRule>
  </conditionalFormatting>
  <conditionalFormatting sqref="E27">
    <cfRule type="expression" dxfId="207" priority="269">
      <formula>AND(ISBLANK(D27),ISBLANK(L27),ISBLANK(R27))</formula>
    </cfRule>
    <cfRule type="expression" dxfId="206" priority="270">
      <formula>IF(SUM(H27,N27)=0,1,0)</formula>
    </cfRule>
    <cfRule type="cellIs" dxfId="205" priority="271" operator="greaterThan">
      <formula>SUM(H27,N27)</formula>
    </cfRule>
    <cfRule type="cellIs" dxfId="204" priority="272" operator="greaterThan">
      <formula>SUM(IF(ISNUMBER(J27),I27,0),IF(ISNUMBER(P27),O27,0))</formula>
    </cfRule>
  </conditionalFormatting>
  <conditionalFormatting sqref="E28">
    <cfRule type="expression" dxfId="203" priority="273">
      <formula>AND(ISBLANK(D28),ISBLANK(L28),ISBLANK(R28))</formula>
    </cfRule>
    <cfRule type="expression" dxfId="202" priority="274">
      <formula>IF(SUM(H28,N28)=0,1,0)</formula>
    </cfRule>
    <cfRule type="cellIs" dxfId="201" priority="275" operator="greaterThan">
      <formula>SUM(H28,N28)</formula>
    </cfRule>
    <cfRule type="cellIs" dxfId="200" priority="276" operator="greaterThan">
      <formula>SUM(IF(ISNUMBER(J28),I28,0),IF(ISNUMBER(P28),O28,0))</formula>
    </cfRule>
  </conditionalFormatting>
  <conditionalFormatting sqref="E7">
    <cfRule type="expression" dxfId="199" priority="189">
      <formula>AND(ISBLANK(D7),ISBLANK(L7),ISBLANK(R7))</formula>
    </cfRule>
    <cfRule type="expression" dxfId="198" priority="190">
      <formula>IF(SUM(H7,N7)=0,1,0)</formula>
    </cfRule>
    <cfRule type="cellIs" dxfId="197" priority="191" operator="greaterThan">
      <formula>SUM(H7,N7)</formula>
    </cfRule>
    <cfRule type="cellIs" dxfId="196" priority="192" operator="greaterThan">
      <formula>SUM(IF(ISNUMBER(J7),I7,0),IF(ISNUMBER(P7),O7,0))</formula>
    </cfRule>
  </conditionalFormatting>
  <conditionalFormatting sqref="E8">
    <cfRule type="expression" dxfId="195" priority="193">
      <formula>AND(ISBLANK(D8),ISBLANK(L8),ISBLANK(R8))</formula>
    </cfRule>
    <cfRule type="expression" dxfId="194" priority="194">
      <formula>IF(SUM(H8,N8)=0,1,0)</formula>
    </cfRule>
    <cfRule type="cellIs" dxfId="193" priority="195" operator="greaterThan">
      <formula>SUM(H8,N8)</formula>
    </cfRule>
    <cfRule type="cellIs" dxfId="192" priority="196" operator="greaterThan">
      <formula>SUM(IF(ISNUMBER(J8),I8,0),IF(ISNUMBER(P8),O8,0))</formula>
    </cfRule>
  </conditionalFormatting>
  <conditionalFormatting sqref="E9">
    <cfRule type="expression" dxfId="191" priority="197">
      <formula>AND(ISBLANK(D9),ISBLANK(L9),ISBLANK(R9))</formula>
    </cfRule>
    <cfRule type="expression" dxfId="190" priority="198">
      <formula>IF(SUM(H9,N9)=0,1,0)</formula>
    </cfRule>
    <cfRule type="cellIs" dxfId="189" priority="199" operator="greaterThan">
      <formula>SUM(H9,N9)</formula>
    </cfRule>
    <cfRule type="cellIs" dxfId="188" priority="200" operator="greaterThan">
      <formula>SUM(IF(ISNUMBER(J9),I9,0),IF(ISNUMBER(P9),O9,0))</formula>
    </cfRule>
  </conditionalFormatting>
  <conditionalFormatting sqref="H10">
    <cfRule type="cellIs" dxfId="187" priority="17" operator="lessThan">
      <formula>E10</formula>
    </cfRule>
  </conditionalFormatting>
  <conditionalFormatting sqref="H11">
    <cfRule type="cellIs" dxfId="186" priority="21" operator="lessThan">
      <formula>E11</formula>
    </cfRule>
  </conditionalFormatting>
  <conditionalFormatting sqref="H12">
    <cfRule type="cellIs" dxfId="185" priority="25" operator="lessThan">
      <formula>E12</formula>
    </cfRule>
  </conditionalFormatting>
  <conditionalFormatting sqref="H13">
    <cfRule type="cellIs" dxfId="184" priority="29" operator="lessThan">
      <formula>E13</formula>
    </cfRule>
  </conditionalFormatting>
  <conditionalFormatting sqref="H14">
    <cfRule type="cellIs" dxfId="183" priority="37" operator="lessThan">
      <formula>E14</formula>
    </cfRule>
  </conditionalFormatting>
  <conditionalFormatting sqref="H15">
    <cfRule type="cellIs" dxfId="182" priority="41" operator="lessThan">
      <formula>E15</formula>
    </cfRule>
  </conditionalFormatting>
  <conditionalFormatting sqref="H16">
    <cfRule type="cellIs" dxfId="181" priority="45" operator="lessThan">
      <formula>E16</formula>
    </cfRule>
  </conditionalFormatting>
  <conditionalFormatting sqref="H17">
    <cfRule type="cellIs" dxfId="180" priority="49" operator="lessThan">
      <formula>E17</formula>
    </cfRule>
  </conditionalFormatting>
  <conditionalFormatting sqref="H18">
    <cfRule type="cellIs" dxfId="179" priority="53" operator="lessThan">
      <formula>E18</formula>
    </cfRule>
  </conditionalFormatting>
  <conditionalFormatting sqref="H19">
    <cfRule type="cellIs" dxfId="178" priority="57" operator="lessThan">
      <formula>E19</formula>
    </cfRule>
  </conditionalFormatting>
  <conditionalFormatting sqref="H20">
    <cfRule type="cellIs" dxfId="177" priority="61" operator="lessThan">
      <formula>E20</formula>
    </cfRule>
  </conditionalFormatting>
  <conditionalFormatting sqref="H21">
    <cfRule type="cellIs" dxfId="176" priority="69" operator="lessThan">
      <formula>E21</formula>
    </cfRule>
  </conditionalFormatting>
  <conditionalFormatting sqref="H22">
    <cfRule type="cellIs" dxfId="175" priority="73" operator="lessThan">
      <formula>E22</formula>
    </cfRule>
  </conditionalFormatting>
  <conditionalFormatting sqref="H23">
    <cfRule type="cellIs" dxfId="174" priority="77" operator="lessThan">
      <formula>E23</formula>
    </cfRule>
  </conditionalFormatting>
  <conditionalFormatting sqref="H24">
    <cfRule type="cellIs" dxfId="173" priority="81" operator="lessThan">
      <formula>E24</formula>
    </cfRule>
  </conditionalFormatting>
  <conditionalFormatting sqref="H25">
    <cfRule type="cellIs" dxfId="172" priority="85" operator="lessThan">
      <formula>E25</formula>
    </cfRule>
  </conditionalFormatting>
  <conditionalFormatting sqref="H26">
    <cfRule type="cellIs" dxfId="171" priority="89" operator="lessThan">
      <formula>E26</formula>
    </cfRule>
  </conditionalFormatting>
  <conditionalFormatting sqref="H27">
    <cfRule type="cellIs" dxfId="170" priority="93" operator="lessThan">
      <formula>E27</formula>
    </cfRule>
  </conditionalFormatting>
  <conditionalFormatting sqref="H28">
    <cfRule type="cellIs" dxfId="169" priority="97" operator="lessThan">
      <formula>E28</formula>
    </cfRule>
  </conditionalFormatting>
  <conditionalFormatting sqref="H7">
    <cfRule type="cellIs" dxfId="168" priority="1" operator="lessThan">
      <formula>E7</formula>
    </cfRule>
  </conditionalFormatting>
  <conditionalFormatting sqref="H8">
    <cfRule type="cellIs" dxfId="167" priority="5" operator="lessThan">
      <formula>E8</formula>
    </cfRule>
  </conditionalFormatting>
  <conditionalFormatting sqref="H9">
    <cfRule type="cellIs" dxfId="166" priority="13" operator="lessThan">
      <formula>E9</formula>
    </cfRule>
  </conditionalFormatting>
  <conditionalFormatting sqref="I10">
    <cfRule type="expression" dxfId="165" priority="18">
      <formula>AND(NOT(ISBLANK(I10)),OR(H10="NonStk",I10&gt;H10))</formula>
    </cfRule>
  </conditionalFormatting>
  <conditionalFormatting sqref="I11">
    <cfRule type="expression" dxfId="164" priority="22">
      <formula>AND(NOT(ISBLANK(I11)),OR(H11="NonStk",I11&gt;H11))</formula>
    </cfRule>
  </conditionalFormatting>
  <conditionalFormatting sqref="I12">
    <cfRule type="expression" dxfId="163" priority="26">
      <formula>AND(NOT(ISBLANK(I12)),OR(H12="NonStk",I12&gt;H12))</formula>
    </cfRule>
  </conditionalFormatting>
  <conditionalFormatting sqref="I13">
    <cfRule type="expression" dxfId="162" priority="30">
      <formula>AND(I13&gt;0,MOD(I13,K13)&lt;&gt;0)</formula>
    </cfRule>
    <cfRule type="expression" dxfId="161" priority="31">
      <formula>AND(NOT(ISBLANK(I13)),OR(H13="NonStk",I13&gt;H13))</formula>
    </cfRule>
  </conditionalFormatting>
  <conditionalFormatting sqref="I14">
    <cfRule type="expression" dxfId="160" priority="38">
      <formula>AND(NOT(ISBLANK(I14)),OR(H14="NonStk",I14&gt;H14))</formula>
    </cfRule>
  </conditionalFormatting>
  <conditionalFormatting sqref="I15">
    <cfRule type="expression" dxfId="159" priority="42">
      <formula>AND(NOT(ISBLANK(I15)),OR(H15="NonStk",I15&gt;H15))</formula>
    </cfRule>
  </conditionalFormatting>
  <conditionalFormatting sqref="I16">
    <cfRule type="expression" dxfId="158" priority="46">
      <formula>AND(NOT(ISBLANK(I16)),OR(H16="NonStk",I16&gt;H16))</formula>
    </cfRule>
  </conditionalFormatting>
  <conditionalFormatting sqref="I17">
    <cfRule type="expression" dxfId="157" priority="50">
      <formula>AND(NOT(ISBLANK(I17)),OR(H17="NonStk",I17&gt;H17))</formula>
    </cfRule>
  </conditionalFormatting>
  <conditionalFormatting sqref="I18">
    <cfRule type="expression" dxfId="156" priority="54">
      <formula>AND(NOT(ISBLANK(I18)),OR(H18="NonStk",I18&gt;H18))</formula>
    </cfRule>
  </conditionalFormatting>
  <conditionalFormatting sqref="I19">
    <cfRule type="expression" dxfId="155" priority="58">
      <formula>AND(NOT(ISBLANK(I19)),OR(H19="NonStk",I19&gt;H19))</formula>
    </cfRule>
  </conditionalFormatting>
  <conditionalFormatting sqref="I20">
    <cfRule type="expression" dxfId="154" priority="62">
      <formula>AND(I20&gt;0,MOD(I20,K20)&lt;&gt;0)</formula>
    </cfRule>
    <cfRule type="expression" dxfId="153" priority="63">
      <formula>AND(NOT(ISBLANK(I20)),OR(H20="NonStk",I20&gt;H20))</formula>
    </cfRule>
  </conditionalFormatting>
  <conditionalFormatting sqref="I21">
    <cfRule type="expression" dxfId="152" priority="70">
      <formula>AND(NOT(ISBLANK(I21)),OR(H21="NonStk",I21&gt;H21))</formula>
    </cfRule>
  </conditionalFormatting>
  <conditionalFormatting sqref="I22">
    <cfRule type="expression" dxfId="151" priority="74">
      <formula>AND(NOT(ISBLANK(I22)),OR(H22="NonStk",I22&gt;H22))</formula>
    </cfRule>
  </conditionalFormatting>
  <conditionalFormatting sqref="I23">
    <cfRule type="expression" dxfId="150" priority="78">
      <formula>AND(NOT(ISBLANK(I23)),OR(H23="NonStk",I23&gt;H23))</formula>
    </cfRule>
  </conditionalFormatting>
  <conditionalFormatting sqref="I24">
    <cfRule type="expression" dxfId="149" priority="82">
      <formula>AND(NOT(ISBLANK(I24)),OR(H24="NonStk",I24&gt;H24))</formula>
    </cfRule>
  </conditionalFormatting>
  <conditionalFormatting sqref="I25">
    <cfRule type="expression" dxfId="148" priority="86">
      <formula>AND(NOT(ISBLANK(I25)),OR(H25="NonStk",I25&gt;H25))</formula>
    </cfRule>
  </conditionalFormatting>
  <conditionalFormatting sqref="I26">
    <cfRule type="expression" dxfId="147" priority="90">
      <formula>AND(NOT(ISBLANK(I26)),OR(H26="NonStk",I26&gt;H26))</formula>
    </cfRule>
  </conditionalFormatting>
  <conditionalFormatting sqref="I27">
    <cfRule type="expression" dxfId="146" priority="94">
      <formula>AND(NOT(ISBLANK(I27)),OR(H27="NonStk",I27&gt;H27))</formula>
    </cfRule>
  </conditionalFormatting>
  <conditionalFormatting sqref="I28">
    <cfRule type="expression" dxfId="145" priority="98">
      <formula>AND(NOT(ISBLANK(I28)),OR(H28="NonStk",I28&gt;H28))</formula>
    </cfRule>
  </conditionalFormatting>
  <conditionalFormatting sqref="I7">
    <cfRule type="expression" dxfId="144" priority="2">
      <formula>AND(NOT(ISBLANK(I7)),OR(H7="NonStk",I7&gt;H7))</formula>
    </cfRule>
  </conditionalFormatting>
  <conditionalFormatting sqref="I8">
    <cfRule type="expression" dxfId="143" priority="6">
      <formula>AND(I8&gt;0,MOD(I8,K8)&lt;&gt;0)</formula>
    </cfRule>
    <cfRule type="expression" dxfId="142" priority="7">
      <formula>AND(NOT(ISBLANK(I8)),OR(H8="NonStk",I8&gt;H8))</formula>
    </cfRule>
  </conditionalFormatting>
  <conditionalFormatting sqref="I9">
    <cfRule type="expression" dxfId="141" priority="14">
      <formula>AND(NOT(ISBLANK(I9)),OR(H9="NonStk",I9&gt;H9))</formula>
    </cfRule>
  </conditionalFormatting>
  <conditionalFormatting sqref="J10">
    <cfRule type="cellIs" dxfId="140" priority="20" operator="lessThanOrEqual">
      <formula>F10</formula>
    </cfRule>
  </conditionalFormatting>
  <conditionalFormatting sqref="J11">
    <cfRule type="cellIs" dxfId="139" priority="24" operator="lessThanOrEqual">
      <formula>F11</formula>
    </cfRule>
  </conditionalFormatting>
  <conditionalFormatting sqref="J12">
    <cfRule type="cellIs" dxfId="138" priority="28" operator="lessThanOrEqual">
      <formula>F12</formula>
    </cfRule>
  </conditionalFormatting>
  <conditionalFormatting sqref="J13">
    <cfRule type="cellIs" dxfId="137" priority="33" operator="lessThanOrEqual">
      <formula>F13</formula>
    </cfRule>
    <cfRule type="expression" dxfId="136" priority="34">
      <formula>AND(E13&lt;5000,I13&lt;5000)</formula>
    </cfRule>
  </conditionalFormatting>
  <conditionalFormatting sqref="J14">
    <cfRule type="cellIs" dxfId="135" priority="40" operator="lessThanOrEqual">
      <formula>F14</formula>
    </cfRule>
  </conditionalFormatting>
  <conditionalFormatting sqref="J15">
    <cfRule type="cellIs" dxfId="134" priority="44" operator="lessThanOrEqual">
      <formula>F15</formula>
    </cfRule>
  </conditionalFormatting>
  <conditionalFormatting sqref="J16">
    <cfRule type="cellIs" dxfId="133" priority="48" operator="lessThanOrEqual">
      <formula>F16</formula>
    </cfRule>
  </conditionalFormatting>
  <conditionalFormatting sqref="J17">
    <cfRule type="cellIs" dxfId="132" priority="52" operator="lessThanOrEqual">
      <formula>F17</formula>
    </cfRule>
  </conditionalFormatting>
  <conditionalFormatting sqref="J18">
    <cfRule type="cellIs" dxfId="131" priority="56" operator="lessThanOrEqual">
      <formula>F18</formula>
    </cfRule>
  </conditionalFormatting>
  <conditionalFormatting sqref="J19">
    <cfRule type="cellIs" dxfId="130" priority="60" operator="lessThanOrEqual">
      <formula>F19</formula>
    </cfRule>
  </conditionalFormatting>
  <conditionalFormatting sqref="J20">
    <cfRule type="cellIs" dxfId="129" priority="65" operator="lessThanOrEqual">
      <formula>F20</formula>
    </cfRule>
    <cfRule type="expression" dxfId="128" priority="66">
      <formula>AND(E20&lt;4000,I20&lt;4000)</formula>
    </cfRule>
  </conditionalFormatting>
  <conditionalFormatting sqref="J21">
    <cfRule type="cellIs" dxfId="127" priority="72" operator="lessThanOrEqual">
      <formula>F21</formula>
    </cfRule>
  </conditionalFormatting>
  <conditionalFormatting sqref="J22">
    <cfRule type="cellIs" dxfId="126" priority="76" operator="lessThanOrEqual">
      <formula>F22</formula>
    </cfRule>
  </conditionalFormatting>
  <conditionalFormatting sqref="J23">
    <cfRule type="cellIs" dxfId="125" priority="80" operator="lessThanOrEqual">
      <formula>F23</formula>
    </cfRule>
  </conditionalFormatting>
  <conditionalFormatting sqref="J24">
    <cfRule type="cellIs" dxfId="124" priority="84" operator="lessThanOrEqual">
      <formula>F24</formula>
    </cfRule>
  </conditionalFormatting>
  <conditionalFormatting sqref="J25">
    <cfRule type="cellIs" dxfId="123" priority="88" operator="lessThanOrEqual">
      <formula>F25</formula>
    </cfRule>
  </conditionalFormatting>
  <conditionalFormatting sqref="J26">
    <cfRule type="cellIs" dxfId="122" priority="92" operator="lessThanOrEqual">
      <formula>F26</formula>
    </cfRule>
  </conditionalFormatting>
  <conditionalFormatting sqref="J27">
    <cfRule type="cellIs" dxfId="121" priority="96" operator="lessThanOrEqual">
      <formula>F27</formula>
    </cfRule>
  </conditionalFormatting>
  <conditionalFormatting sqref="J28">
    <cfRule type="cellIs" dxfId="120" priority="100" operator="lessThanOrEqual">
      <formula>F28</formula>
    </cfRule>
  </conditionalFormatting>
  <conditionalFormatting sqref="J7">
    <cfRule type="cellIs" dxfId="119" priority="4" operator="lessThanOrEqual">
      <formula>F7</formula>
    </cfRule>
  </conditionalFormatting>
  <conditionalFormatting sqref="J8">
    <cfRule type="cellIs" dxfId="118" priority="9" operator="lessThanOrEqual">
      <formula>F8</formula>
    </cfRule>
    <cfRule type="expression" dxfId="117" priority="10">
      <formula>AND(E8&lt;8000,I8&lt;8000)</formula>
    </cfRule>
  </conditionalFormatting>
  <conditionalFormatting sqref="J9">
    <cfRule type="cellIs" dxfId="116" priority="16" operator="lessThanOrEqual">
      <formula>F9</formula>
    </cfRule>
  </conditionalFormatting>
  <conditionalFormatting sqref="K13">
    <cfRule type="expression" dxfId="115" priority="35">
      <formula>AND(E13&lt;5000,I13&lt;5000)</formula>
    </cfRule>
  </conditionalFormatting>
  <conditionalFormatting sqref="K20">
    <cfRule type="expression" dxfId="114" priority="67">
      <formula>AND(E20&lt;4000,I20&lt;4000)</formula>
    </cfRule>
  </conditionalFormatting>
  <conditionalFormatting sqref="K8">
    <cfRule type="expression" dxfId="113" priority="11">
      <formula>AND(E8&lt;8000,I8&lt;8000)</formula>
    </cfRule>
  </conditionalFormatting>
  <conditionalFormatting sqref="L10">
    <cfRule type="cellIs" dxfId="112" priority="19" operator="lessThanOrEqual">
      <formula>G10</formula>
    </cfRule>
  </conditionalFormatting>
  <conditionalFormatting sqref="L11">
    <cfRule type="cellIs" dxfId="111" priority="23" operator="lessThanOrEqual">
      <formula>G11</formula>
    </cfRule>
  </conditionalFormatting>
  <conditionalFormatting sqref="L12">
    <cfRule type="cellIs" dxfId="110" priority="27" operator="lessThanOrEqual">
      <formula>G12</formula>
    </cfRule>
  </conditionalFormatting>
  <conditionalFormatting sqref="L13">
    <cfRule type="cellIs" dxfId="109" priority="32" operator="lessThanOrEqual">
      <formula>G13</formula>
    </cfRule>
    <cfRule type="expression" dxfId="108" priority="36">
      <formula>AND(E13&lt;5000,I13&lt;5000)</formula>
    </cfRule>
  </conditionalFormatting>
  <conditionalFormatting sqref="L14">
    <cfRule type="cellIs" dxfId="107" priority="39" operator="lessThanOrEqual">
      <formula>G14</formula>
    </cfRule>
  </conditionalFormatting>
  <conditionalFormatting sqref="L15">
    <cfRule type="cellIs" dxfId="106" priority="43" operator="lessThanOrEqual">
      <formula>G15</formula>
    </cfRule>
  </conditionalFormatting>
  <conditionalFormatting sqref="L16">
    <cfRule type="cellIs" dxfId="105" priority="47" operator="lessThanOrEqual">
      <formula>G16</formula>
    </cfRule>
  </conditionalFormatting>
  <conditionalFormatting sqref="L17">
    <cfRule type="cellIs" dxfId="104" priority="51" operator="lessThanOrEqual">
      <formula>G17</formula>
    </cfRule>
  </conditionalFormatting>
  <conditionalFormatting sqref="L18">
    <cfRule type="cellIs" dxfId="103" priority="55" operator="lessThanOrEqual">
      <formula>G18</formula>
    </cfRule>
  </conditionalFormatting>
  <conditionalFormatting sqref="L19">
    <cfRule type="cellIs" dxfId="102" priority="59" operator="lessThanOrEqual">
      <formula>G19</formula>
    </cfRule>
  </conditionalFormatting>
  <conditionalFormatting sqref="L20">
    <cfRule type="cellIs" dxfId="101" priority="64" operator="lessThanOrEqual">
      <formula>G20</formula>
    </cfRule>
    <cfRule type="expression" dxfId="100" priority="68">
      <formula>AND(E20&lt;4000,I20&lt;4000)</formula>
    </cfRule>
  </conditionalFormatting>
  <conditionalFormatting sqref="L21">
    <cfRule type="cellIs" dxfId="99" priority="71" operator="lessThanOrEqual">
      <formula>G21</formula>
    </cfRule>
  </conditionalFormatting>
  <conditionalFormatting sqref="L22">
    <cfRule type="cellIs" dxfId="98" priority="75" operator="lessThanOrEqual">
      <formula>G22</formula>
    </cfRule>
  </conditionalFormatting>
  <conditionalFormatting sqref="L23">
    <cfRule type="cellIs" dxfId="97" priority="79" operator="lessThanOrEqual">
      <formula>G23</formula>
    </cfRule>
  </conditionalFormatting>
  <conditionalFormatting sqref="L24">
    <cfRule type="cellIs" dxfId="96" priority="83" operator="lessThanOrEqual">
      <formula>G24</formula>
    </cfRule>
  </conditionalFormatting>
  <conditionalFormatting sqref="L25">
    <cfRule type="cellIs" dxfId="95" priority="87" operator="lessThanOrEqual">
      <formula>G25</formula>
    </cfRule>
  </conditionalFormatting>
  <conditionalFormatting sqref="L26">
    <cfRule type="cellIs" dxfId="94" priority="91" operator="lessThanOrEqual">
      <formula>G26</formula>
    </cfRule>
  </conditionalFormatting>
  <conditionalFormatting sqref="L27">
    <cfRule type="cellIs" dxfId="93" priority="95" operator="lessThanOrEqual">
      <formula>G27</formula>
    </cfRule>
  </conditionalFormatting>
  <conditionalFormatting sqref="L28">
    <cfRule type="cellIs" dxfId="92" priority="99" operator="lessThanOrEqual">
      <formula>G28</formula>
    </cfRule>
  </conditionalFormatting>
  <conditionalFormatting sqref="L7">
    <cfRule type="cellIs" dxfId="91" priority="3" operator="lessThanOrEqual">
      <formula>G7</formula>
    </cfRule>
  </conditionalFormatting>
  <conditionalFormatting sqref="L8">
    <cfRule type="cellIs" dxfId="90" priority="8" operator="lessThanOrEqual">
      <formula>G8</formula>
    </cfRule>
    <cfRule type="expression" dxfId="89" priority="12">
      <formula>AND(E8&lt;8000,I8&lt;8000)</formula>
    </cfRule>
  </conditionalFormatting>
  <conditionalFormatting sqref="L9">
    <cfRule type="cellIs" dxfId="88" priority="15" operator="lessThanOrEqual">
      <formula>G9</formula>
    </cfRule>
  </conditionalFormatting>
  <conditionalFormatting sqref="N10">
    <cfRule type="cellIs" dxfId="87" priority="113" operator="lessThan">
      <formula>E10</formula>
    </cfRule>
  </conditionalFormatting>
  <conditionalFormatting sqref="N11">
    <cfRule type="cellIs" dxfId="86" priority="117" operator="lessThan">
      <formula>E11</formula>
    </cfRule>
  </conditionalFormatting>
  <conditionalFormatting sqref="N12">
    <cfRule type="cellIs" dxfId="85" priority="121" operator="lessThan">
      <formula>E12</formula>
    </cfRule>
  </conditionalFormatting>
  <conditionalFormatting sqref="N13">
    <cfRule type="cellIs" dxfId="84" priority="125" operator="lessThan">
      <formula>E13</formula>
    </cfRule>
  </conditionalFormatting>
  <conditionalFormatting sqref="N14">
    <cfRule type="cellIs" dxfId="83" priority="129" operator="lessThan">
      <formula>E14</formula>
    </cfRule>
  </conditionalFormatting>
  <conditionalFormatting sqref="N15">
    <cfRule type="cellIs" dxfId="82" priority="133" operator="lessThan">
      <formula>E15</formula>
    </cfRule>
  </conditionalFormatting>
  <conditionalFormatting sqref="N16">
    <cfRule type="cellIs" dxfId="81" priority="137" operator="lessThan">
      <formula>E16</formula>
    </cfRule>
  </conditionalFormatting>
  <conditionalFormatting sqref="N17">
    <cfRule type="cellIs" dxfId="80" priority="141" operator="lessThan">
      <formula>E17</formula>
    </cfRule>
  </conditionalFormatting>
  <conditionalFormatting sqref="N18">
    <cfRule type="cellIs" dxfId="79" priority="145" operator="lessThan">
      <formula>E18</formula>
    </cfRule>
  </conditionalFormatting>
  <conditionalFormatting sqref="N19">
    <cfRule type="cellIs" dxfId="78" priority="149" operator="lessThan">
      <formula>E19</formula>
    </cfRule>
  </conditionalFormatting>
  <conditionalFormatting sqref="N20">
    <cfRule type="cellIs" dxfId="77" priority="153" operator="lessThan">
      <formula>E20</formula>
    </cfRule>
  </conditionalFormatting>
  <conditionalFormatting sqref="N21">
    <cfRule type="cellIs" dxfId="76" priority="157" operator="lessThan">
      <formula>E21</formula>
    </cfRule>
  </conditionalFormatting>
  <conditionalFormatting sqref="N22">
    <cfRule type="cellIs" dxfId="75" priority="161" operator="lessThan">
      <formula>E22</formula>
    </cfRule>
  </conditionalFormatting>
  <conditionalFormatting sqref="N23">
    <cfRule type="cellIs" dxfId="74" priority="165" operator="lessThan">
      <formula>E23</formula>
    </cfRule>
  </conditionalFormatting>
  <conditionalFormatting sqref="N24">
    <cfRule type="cellIs" dxfId="73" priority="169" operator="lessThan">
      <formula>E24</formula>
    </cfRule>
  </conditionalFormatting>
  <conditionalFormatting sqref="N25">
    <cfRule type="cellIs" dxfId="72" priority="173" operator="lessThan">
      <formula>E25</formula>
    </cfRule>
  </conditionalFormatting>
  <conditionalFormatting sqref="N26">
    <cfRule type="cellIs" dxfId="71" priority="177" operator="lessThan">
      <formula>E26</formula>
    </cfRule>
  </conditionalFormatting>
  <conditionalFormatting sqref="N27">
    <cfRule type="cellIs" dxfId="70" priority="181" operator="lessThan">
      <formula>E27</formula>
    </cfRule>
  </conditionalFormatting>
  <conditionalFormatting sqref="N28">
    <cfRule type="cellIs" dxfId="69" priority="185" operator="lessThan">
      <formula>E28</formula>
    </cfRule>
  </conditionalFormatting>
  <conditionalFormatting sqref="N7">
    <cfRule type="cellIs" dxfId="68" priority="101" operator="lessThan">
      <formula>E7</formula>
    </cfRule>
  </conditionalFormatting>
  <conditionalFormatting sqref="N8">
    <cfRule type="cellIs" dxfId="67" priority="105" operator="lessThan">
      <formula>E8</formula>
    </cfRule>
  </conditionalFormatting>
  <conditionalFormatting sqref="N9">
    <cfRule type="cellIs" dxfId="66" priority="109" operator="lessThan">
      <formula>E9</formula>
    </cfRule>
  </conditionalFormatting>
  <conditionalFormatting sqref="O10">
    <cfRule type="expression" dxfId="65" priority="114">
      <formula>AND(NOT(ISBLANK(O10)),OR(N10="NonStk",O10&gt;N10))</formula>
    </cfRule>
  </conditionalFormatting>
  <conditionalFormatting sqref="O11">
    <cfRule type="expression" dxfId="64" priority="118">
      <formula>AND(NOT(ISBLANK(O11)),OR(N11="NonStk",O11&gt;N11))</formula>
    </cfRule>
  </conditionalFormatting>
  <conditionalFormatting sqref="O12">
    <cfRule type="expression" dxfId="63" priority="122">
      <formula>AND(NOT(ISBLANK(O12)),OR(N12="NonStk",O12&gt;N12))</formula>
    </cfRule>
  </conditionalFormatting>
  <conditionalFormatting sqref="O13">
    <cfRule type="expression" dxfId="62" priority="126">
      <formula>AND(NOT(ISBLANK(O13)),OR(N13="NonStk",O13&gt;N13))</formula>
    </cfRule>
  </conditionalFormatting>
  <conditionalFormatting sqref="O14">
    <cfRule type="expression" dxfId="61" priority="130">
      <formula>AND(NOT(ISBLANK(O14)),OR(N14="NonStk",O14&gt;N14))</formula>
    </cfRule>
  </conditionalFormatting>
  <conditionalFormatting sqref="O15">
    <cfRule type="expression" dxfId="60" priority="134">
      <formula>AND(NOT(ISBLANK(O15)),OR(N15="NonStk",O15&gt;N15))</formula>
    </cfRule>
  </conditionalFormatting>
  <conditionalFormatting sqref="O16">
    <cfRule type="expression" dxfId="59" priority="138">
      <formula>AND(NOT(ISBLANK(O16)),OR(N16="NonStk",O16&gt;N16))</formula>
    </cfRule>
  </conditionalFormatting>
  <conditionalFormatting sqref="O17">
    <cfRule type="expression" dxfId="58" priority="142">
      <formula>AND(NOT(ISBLANK(O17)),OR(N17="NonStk",O17&gt;N17))</formula>
    </cfRule>
  </conditionalFormatting>
  <conditionalFormatting sqref="O18">
    <cfRule type="expression" dxfId="57" priority="146">
      <formula>AND(NOT(ISBLANK(O18)),OR(N18="NonStk",O18&gt;N18))</formula>
    </cfRule>
  </conditionalFormatting>
  <conditionalFormatting sqref="O19">
    <cfRule type="expression" dxfId="56" priority="150">
      <formula>AND(NOT(ISBLANK(O19)),OR(N19="NonStk",O19&gt;N19))</formula>
    </cfRule>
  </conditionalFormatting>
  <conditionalFormatting sqref="O20">
    <cfRule type="expression" dxfId="55" priority="154">
      <formula>AND(NOT(ISBLANK(O20)),OR(N20="NonStk",O20&gt;N20))</formula>
    </cfRule>
  </conditionalFormatting>
  <conditionalFormatting sqref="O21">
    <cfRule type="expression" dxfId="54" priority="158">
      <formula>AND(NOT(ISBLANK(O21)),OR(N21="NonStk",O21&gt;N21))</formula>
    </cfRule>
  </conditionalFormatting>
  <conditionalFormatting sqref="O22">
    <cfRule type="expression" dxfId="53" priority="162">
      <formula>AND(NOT(ISBLANK(O22)),OR(N22="NonStk",O22&gt;N22))</formula>
    </cfRule>
  </conditionalFormatting>
  <conditionalFormatting sqref="O23">
    <cfRule type="expression" dxfId="52" priority="166">
      <formula>AND(NOT(ISBLANK(O23)),OR(N23="NonStk",O23&gt;N23))</formula>
    </cfRule>
  </conditionalFormatting>
  <conditionalFormatting sqref="O24">
    <cfRule type="expression" dxfId="51" priority="170">
      <formula>AND(NOT(ISBLANK(O24)),OR(N24="NonStk",O24&gt;N24))</formula>
    </cfRule>
  </conditionalFormatting>
  <conditionalFormatting sqref="O25">
    <cfRule type="expression" dxfId="50" priority="174">
      <formula>AND(NOT(ISBLANK(O25)),OR(N25="NonStk",O25&gt;N25))</formula>
    </cfRule>
  </conditionalFormatting>
  <conditionalFormatting sqref="O26">
    <cfRule type="expression" dxfId="49" priority="178">
      <formula>AND(NOT(ISBLANK(O26)),OR(N26="NonStk",O26&gt;N26))</formula>
    </cfRule>
  </conditionalFormatting>
  <conditionalFormatting sqref="O27">
    <cfRule type="expression" dxfId="48" priority="182">
      <formula>AND(NOT(ISBLANK(O27)),OR(N27="NonStk",O27&gt;N27))</formula>
    </cfRule>
  </conditionalFormatting>
  <conditionalFormatting sqref="O28">
    <cfRule type="expression" dxfId="47" priority="186">
      <formula>AND(NOT(ISBLANK(O28)),OR(N28="NonStk",O28&gt;N28))</formula>
    </cfRule>
  </conditionalFormatting>
  <conditionalFormatting sqref="O7">
    <cfRule type="expression" dxfId="46" priority="102">
      <formula>AND(NOT(ISBLANK(O7)),OR(N7="NonStk",O7&gt;N7))</formula>
    </cfRule>
  </conditionalFormatting>
  <conditionalFormatting sqref="O8">
    <cfRule type="expression" dxfId="45" priority="106">
      <formula>AND(NOT(ISBLANK(O8)),OR(N8="NonStk",O8&gt;N8))</formula>
    </cfRule>
  </conditionalFormatting>
  <conditionalFormatting sqref="O9">
    <cfRule type="expression" dxfId="44" priority="110">
      <formula>AND(NOT(ISBLANK(O9)),OR(N9="NonStk",O9&gt;N9))</formula>
    </cfRule>
  </conditionalFormatting>
  <conditionalFormatting sqref="P10">
    <cfRule type="cellIs" dxfId="43" priority="116" operator="lessThanOrEqual">
      <formula>F10</formula>
    </cfRule>
  </conditionalFormatting>
  <conditionalFormatting sqref="P11">
    <cfRule type="cellIs" dxfId="42" priority="120" operator="lessThanOrEqual">
      <formula>F11</formula>
    </cfRule>
  </conditionalFormatting>
  <conditionalFormatting sqref="P12">
    <cfRule type="cellIs" dxfId="41" priority="124" operator="lessThanOrEqual">
      <formula>F12</formula>
    </cfRule>
  </conditionalFormatting>
  <conditionalFormatting sqref="P13">
    <cfRule type="cellIs" dxfId="40" priority="128" operator="lessThanOrEqual">
      <formula>F13</formula>
    </cfRule>
  </conditionalFormatting>
  <conditionalFormatting sqref="P14">
    <cfRule type="cellIs" dxfId="39" priority="132" operator="lessThanOrEqual">
      <formula>F14</formula>
    </cfRule>
  </conditionalFormatting>
  <conditionalFormatting sqref="P15">
    <cfRule type="cellIs" dxfId="38" priority="136" operator="lessThanOrEqual">
      <formula>F15</formula>
    </cfRule>
  </conditionalFormatting>
  <conditionalFormatting sqref="P16">
    <cfRule type="cellIs" dxfId="37" priority="140" operator="lessThanOrEqual">
      <formula>F16</formula>
    </cfRule>
  </conditionalFormatting>
  <conditionalFormatting sqref="P17">
    <cfRule type="cellIs" dxfId="36" priority="144" operator="lessThanOrEqual">
      <formula>F17</formula>
    </cfRule>
  </conditionalFormatting>
  <conditionalFormatting sqref="P18">
    <cfRule type="cellIs" dxfId="35" priority="148" operator="lessThanOrEqual">
      <formula>F18</formula>
    </cfRule>
  </conditionalFormatting>
  <conditionalFormatting sqref="P19">
    <cfRule type="cellIs" dxfId="34" priority="152" operator="lessThanOrEqual">
      <formula>F19</formula>
    </cfRule>
  </conditionalFormatting>
  <conditionalFormatting sqref="P20">
    <cfRule type="cellIs" dxfId="33" priority="156" operator="lessThanOrEqual">
      <formula>F20</formula>
    </cfRule>
  </conditionalFormatting>
  <conditionalFormatting sqref="P21">
    <cfRule type="cellIs" dxfId="32" priority="160" operator="lessThanOrEqual">
      <formula>F21</formula>
    </cfRule>
  </conditionalFormatting>
  <conditionalFormatting sqref="P22">
    <cfRule type="cellIs" dxfId="31" priority="164" operator="lessThanOrEqual">
      <formula>F22</formula>
    </cfRule>
  </conditionalFormatting>
  <conditionalFormatting sqref="P23">
    <cfRule type="cellIs" dxfId="30" priority="168" operator="lessThanOrEqual">
      <formula>F23</formula>
    </cfRule>
  </conditionalFormatting>
  <conditionalFormatting sqref="P24">
    <cfRule type="cellIs" dxfId="29" priority="172" operator="lessThanOrEqual">
      <formula>F24</formula>
    </cfRule>
  </conditionalFormatting>
  <conditionalFormatting sqref="P25">
    <cfRule type="cellIs" dxfId="28" priority="176" operator="lessThanOrEqual">
      <formula>F25</formula>
    </cfRule>
  </conditionalFormatting>
  <conditionalFormatting sqref="P26">
    <cfRule type="cellIs" dxfId="27" priority="180" operator="lessThanOrEqual">
      <formula>F26</formula>
    </cfRule>
  </conditionalFormatting>
  <conditionalFormatting sqref="P27">
    <cfRule type="cellIs" dxfId="26" priority="184" operator="lessThanOrEqual">
      <formula>F27</formula>
    </cfRule>
  </conditionalFormatting>
  <conditionalFormatting sqref="P28">
    <cfRule type="cellIs" dxfId="25" priority="188" operator="lessThanOrEqual">
      <formula>F28</formula>
    </cfRule>
  </conditionalFormatting>
  <conditionalFormatting sqref="P7">
    <cfRule type="cellIs" dxfId="24" priority="104" operator="lessThanOrEqual">
      <formula>F7</formula>
    </cfRule>
  </conditionalFormatting>
  <conditionalFormatting sqref="P8">
    <cfRule type="cellIs" dxfId="23" priority="108" operator="lessThanOrEqual">
      <formula>F8</formula>
    </cfRule>
  </conditionalFormatting>
  <conditionalFormatting sqref="P9">
    <cfRule type="cellIs" dxfId="22" priority="112" operator="lessThanOrEqual">
      <formula>F9</formula>
    </cfRule>
  </conditionalFormatting>
  <conditionalFormatting sqref="R10">
    <cfRule type="cellIs" dxfId="21" priority="115" operator="lessThanOrEqual">
      <formula>G10</formula>
    </cfRule>
  </conditionalFormatting>
  <conditionalFormatting sqref="R11">
    <cfRule type="cellIs" dxfId="20" priority="119" operator="lessThanOrEqual">
      <formula>G11</formula>
    </cfRule>
  </conditionalFormatting>
  <conditionalFormatting sqref="R12">
    <cfRule type="cellIs" dxfId="19" priority="123" operator="lessThanOrEqual">
      <formula>G12</formula>
    </cfRule>
  </conditionalFormatting>
  <conditionalFormatting sqref="R13">
    <cfRule type="cellIs" dxfId="18" priority="127" operator="lessThanOrEqual">
      <formula>G13</formula>
    </cfRule>
  </conditionalFormatting>
  <conditionalFormatting sqref="R14">
    <cfRule type="cellIs" dxfId="17" priority="131" operator="lessThanOrEqual">
      <formula>G14</formula>
    </cfRule>
  </conditionalFormatting>
  <conditionalFormatting sqref="R15">
    <cfRule type="cellIs" dxfId="16" priority="135" operator="lessThanOrEqual">
      <formula>G15</formula>
    </cfRule>
  </conditionalFormatting>
  <conditionalFormatting sqref="R16">
    <cfRule type="cellIs" dxfId="15" priority="139" operator="lessThanOrEqual">
      <formula>G16</formula>
    </cfRule>
  </conditionalFormatting>
  <conditionalFormatting sqref="R17">
    <cfRule type="cellIs" dxfId="14" priority="143" operator="lessThanOrEqual">
      <formula>G17</formula>
    </cfRule>
  </conditionalFormatting>
  <conditionalFormatting sqref="R18">
    <cfRule type="cellIs" dxfId="13" priority="147" operator="lessThanOrEqual">
      <formula>G18</formula>
    </cfRule>
  </conditionalFormatting>
  <conditionalFormatting sqref="R19">
    <cfRule type="cellIs" dxfId="12" priority="151" operator="lessThanOrEqual">
      <formula>G19</formula>
    </cfRule>
  </conditionalFormatting>
  <conditionalFormatting sqref="R20">
    <cfRule type="cellIs" dxfId="11" priority="155" operator="lessThanOrEqual">
      <formula>G20</formula>
    </cfRule>
  </conditionalFormatting>
  <conditionalFormatting sqref="R21">
    <cfRule type="cellIs" dxfId="10" priority="159" operator="lessThanOrEqual">
      <formula>G21</formula>
    </cfRule>
  </conditionalFormatting>
  <conditionalFormatting sqref="R22">
    <cfRule type="cellIs" dxfId="9" priority="163" operator="lessThanOrEqual">
      <formula>G22</formula>
    </cfRule>
  </conditionalFormatting>
  <conditionalFormatting sqref="R23">
    <cfRule type="cellIs" dxfId="8" priority="167" operator="lessThanOrEqual">
      <formula>G23</formula>
    </cfRule>
  </conditionalFormatting>
  <conditionalFormatting sqref="R24">
    <cfRule type="cellIs" dxfId="7" priority="171" operator="lessThanOrEqual">
      <formula>G24</formula>
    </cfRule>
  </conditionalFormatting>
  <conditionalFormatting sqref="R25">
    <cfRule type="cellIs" dxfId="6" priority="175" operator="lessThanOrEqual">
      <formula>G25</formula>
    </cfRule>
  </conditionalFormatting>
  <conditionalFormatting sqref="R26">
    <cfRule type="cellIs" dxfId="5" priority="179" operator="lessThanOrEqual">
      <formula>G26</formula>
    </cfRule>
  </conditionalFormatting>
  <conditionalFormatting sqref="R27">
    <cfRule type="cellIs" dxfId="4" priority="183" operator="lessThanOrEqual">
      <formula>G27</formula>
    </cfRule>
  </conditionalFormatting>
  <conditionalFormatting sqref="R28">
    <cfRule type="cellIs" dxfId="3" priority="187" operator="lessThanOrEqual">
      <formula>G28</formula>
    </cfRule>
  </conditionalFormatting>
  <conditionalFormatting sqref="R7">
    <cfRule type="cellIs" dxfId="2" priority="103" operator="lessThanOrEqual">
      <formula>G7</formula>
    </cfRule>
  </conditionalFormatting>
  <conditionalFormatting sqref="R8">
    <cfRule type="cellIs" dxfId="1" priority="107" operator="lessThanOrEqual">
      <formula>G8</formula>
    </cfRule>
  </conditionalFormatting>
  <conditionalFormatting sqref="R9">
    <cfRule type="cellIs" dxfId="0" priority="111" operator="lessThanOrEqual">
      <formula>G9</formula>
    </cfRule>
  </conditionalFormatting>
  <hyperlinks>
    <hyperlink ref="D7" r:id="rId1" xr:uid="{00000000-0004-0000-0000-000000000000}"/>
    <hyperlink ref="M7" r:id="rId2" xr:uid="{00000000-0004-0000-0000-000001000000}"/>
    <hyperlink ref="S7" r:id="rId3" xr:uid="{00000000-0004-0000-0000-000002000000}"/>
    <hyperlink ref="D8" r:id="rId4" xr:uid="{00000000-0004-0000-0000-000003000000}"/>
    <hyperlink ref="M8" r:id="rId5" xr:uid="{00000000-0004-0000-0000-000004000000}"/>
    <hyperlink ref="S8" r:id="rId6" xr:uid="{00000000-0004-0000-0000-000005000000}"/>
    <hyperlink ref="D9" r:id="rId7" xr:uid="{00000000-0004-0000-0000-000006000000}"/>
    <hyperlink ref="M9" r:id="rId8" xr:uid="{00000000-0004-0000-0000-000007000000}"/>
    <hyperlink ref="S9" r:id="rId9" xr:uid="{00000000-0004-0000-0000-000008000000}"/>
    <hyperlink ref="D10" r:id="rId10" xr:uid="{00000000-0004-0000-0000-000009000000}"/>
    <hyperlink ref="M10" r:id="rId11" xr:uid="{00000000-0004-0000-0000-00000A000000}"/>
    <hyperlink ref="S10" r:id="rId12" xr:uid="{00000000-0004-0000-0000-00000B000000}"/>
    <hyperlink ref="D11" r:id="rId13" xr:uid="{00000000-0004-0000-0000-00000C000000}"/>
    <hyperlink ref="M11" r:id="rId14" xr:uid="{00000000-0004-0000-0000-00000D000000}"/>
    <hyperlink ref="S11" r:id="rId15" xr:uid="{00000000-0004-0000-0000-00000E000000}"/>
    <hyperlink ref="D12" r:id="rId16" xr:uid="{00000000-0004-0000-0000-00000F000000}"/>
    <hyperlink ref="M12" r:id="rId17" xr:uid="{00000000-0004-0000-0000-000010000000}"/>
    <hyperlink ref="S12" r:id="rId18" xr:uid="{00000000-0004-0000-0000-000011000000}"/>
    <hyperlink ref="D13" r:id="rId19" xr:uid="{00000000-0004-0000-0000-000012000000}"/>
    <hyperlink ref="M13" r:id="rId20" xr:uid="{00000000-0004-0000-0000-000013000000}"/>
    <hyperlink ref="S13" r:id="rId21" xr:uid="{00000000-0004-0000-0000-000014000000}"/>
    <hyperlink ref="D14" r:id="rId22" xr:uid="{00000000-0004-0000-0000-000015000000}"/>
    <hyperlink ref="M14" r:id="rId23" xr:uid="{00000000-0004-0000-0000-000016000000}"/>
    <hyperlink ref="S14" r:id="rId24" xr:uid="{00000000-0004-0000-0000-000017000000}"/>
    <hyperlink ref="D15" r:id="rId25" xr:uid="{00000000-0004-0000-0000-000018000000}"/>
    <hyperlink ref="M15" r:id="rId26" xr:uid="{00000000-0004-0000-0000-000019000000}"/>
    <hyperlink ref="S15" r:id="rId27" xr:uid="{00000000-0004-0000-0000-00001A000000}"/>
    <hyperlink ref="D16" r:id="rId28" xr:uid="{00000000-0004-0000-0000-00001B000000}"/>
    <hyperlink ref="M16" r:id="rId29" xr:uid="{00000000-0004-0000-0000-00001C000000}"/>
    <hyperlink ref="S16" r:id="rId30" xr:uid="{00000000-0004-0000-0000-00001D000000}"/>
    <hyperlink ref="D17" r:id="rId31" xr:uid="{00000000-0004-0000-0000-00001E000000}"/>
    <hyperlink ref="M17" r:id="rId32" xr:uid="{00000000-0004-0000-0000-00001F000000}"/>
    <hyperlink ref="S17" r:id="rId33" xr:uid="{00000000-0004-0000-0000-000020000000}"/>
    <hyperlink ref="D18" r:id="rId34" xr:uid="{00000000-0004-0000-0000-000021000000}"/>
    <hyperlink ref="M18" r:id="rId35" xr:uid="{00000000-0004-0000-0000-000022000000}"/>
    <hyperlink ref="S18" r:id="rId36" xr:uid="{00000000-0004-0000-0000-000023000000}"/>
    <hyperlink ref="D19" r:id="rId37" xr:uid="{00000000-0004-0000-0000-000024000000}"/>
    <hyperlink ref="M19" r:id="rId38" xr:uid="{00000000-0004-0000-0000-000025000000}"/>
    <hyperlink ref="S19" r:id="rId39" xr:uid="{00000000-0004-0000-0000-000026000000}"/>
    <hyperlink ref="D20" r:id="rId40" xr:uid="{00000000-0004-0000-0000-000027000000}"/>
    <hyperlink ref="M20" r:id="rId41" xr:uid="{00000000-0004-0000-0000-000028000000}"/>
    <hyperlink ref="S20" r:id="rId42" xr:uid="{00000000-0004-0000-0000-000029000000}"/>
    <hyperlink ref="D21" r:id="rId43" xr:uid="{00000000-0004-0000-0000-00002A000000}"/>
    <hyperlink ref="M21" r:id="rId44" xr:uid="{00000000-0004-0000-0000-00002B000000}"/>
    <hyperlink ref="S21" r:id="rId45" xr:uid="{00000000-0004-0000-0000-00002C000000}"/>
    <hyperlink ref="D22" r:id="rId46" xr:uid="{00000000-0004-0000-0000-00002D000000}"/>
    <hyperlink ref="M22" r:id="rId47" xr:uid="{00000000-0004-0000-0000-00002E000000}"/>
    <hyperlink ref="S22" r:id="rId48" xr:uid="{00000000-0004-0000-0000-00002F000000}"/>
    <hyperlink ref="D23" r:id="rId49" xr:uid="{00000000-0004-0000-0000-000030000000}"/>
    <hyperlink ref="M23" r:id="rId50" xr:uid="{00000000-0004-0000-0000-000031000000}"/>
    <hyperlink ref="S23" r:id="rId51" xr:uid="{00000000-0004-0000-0000-000032000000}"/>
    <hyperlink ref="D24" r:id="rId52" xr:uid="{00000000-0004-0000-0000-000033000000}"/>
    <hyperlink ref="M24" r:id="rId53" xr:uid="{00000000-0004-0000-0000-000034000000}"/>
    <hyperlink ref="S24" r:id="rId54" xr:uid="{00000000-0004-0000-0000-000035000000}"/>
    <hyperlink ref="D25" r:id="rId55" xr:uid="{00000000-0004-0000-0000-000036000000}"/>
    <hyperlink ref="M25" r:id="rId56" xr:uid="{00000000-0004-0000-0000-000037000000}"/>
    <hyperlink ref="S25" r:id="rId57" xr:uid="{00000000-0004-0000-0000-000038000000}"/>
    <hyperlink ref="D26" r:id="rId58" xr:uid="{00000000-0004-0000-0000-000039000000}"/>
    <hyperlink ref="M26" r:id="rId59" xr:uid="{00000000-0004-0000-0000-00003A000000}"/>
    <hyperlink ref="S26" r:id="rId60" xr:uid="{00000000-0004-0000-0000-00003B000000}"/>
    <hyperlink ref="D27" r:id="rId61" xr:uid="{00000000-0004-0000-0000-00003C000000}"/>
    <hyperlink ref="M27" r:id="rId62" xr:uid="{00000000-0004-0000-0000-00003D000000}"/>
    <hyperlink ref="S27" r:id="rId63" xr:uid="{00000000-0004-0000-0000-00003E000000}"/>
    <hyperlink ref="D28" r:id="rId64" xr:uid="{00000000-0004-0000-0000-00003F000000}"/>
    <hyperlink ref="M28" r:id="rId65" xr:uid="{00000000-0004-0000-0000-000040000000}"/>
    <hyperlink ref="S28" r:id="rId66" xr:uid="{00000000-0004-0000-0000-000041000000}"/>
    <hyperlink ref="H30" r:id="rId67" xr:uid="{00000000-0004-0000-0000-000042000000}"/>
    <hyperlink ref="N30" r:id="rId68" xr:uid="{00000000-0004-0000-0000-000043000000}"/>
  </hyperlinks>
  <pageMargins left="0.7" right="0.7" top="0.75" bottom="0.75" header="0.3" footer="0.3"/>
  <legacy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4</vt:i4>
      </vt:variant>
    </vt:vector>
  </HeadingPairs>
  <TitlesOfParts>
    <vt:vector size="5" baseType="lpstr">
      <vt:lpstr>CaptorBoard</vt:lpstr>
      <vt:lpstr>CaptorBoard!BoardQty</vt:lpstr>
      <vt:lpstr>CaptorBoard!EUR_USD</vt:lpstr>
      <vt:lpstr>CaptorBoard!PURCHASE_DESCRIPTION</vt:lpstr>
      <vt:lpstr>CaptorBoard!TotalCost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Fouquet</cp:lastModifiedBy>
  <dcterms:created xsi:type="dcterms:W3CDTF">2023-06-24T12:20:02Z</dcterms:created>
  <dcterms:modified xsi:type="dcterms:W3CDTF">2023-06-24T12:41:07Z</dcterms:modified>
</cp:coreProperties>
</file>