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torBoard" sheetId="1" r:id="rId1"/>
  </sheets>
  <definedNames>
    <definedName name="BoardQty" localSheetId="0">'CaptorBoard'!$G$1</definedName>
    <definedName name="EUR_USD" localSheetId="0">'CaptorBoard'!$C$32</definedName>
    <definedName name="PURCHASE_DESCRIPTION" localSheetId="0">'CaptorBoard'!$G$33</definedName>
    <definedName name="TotalCost" localSheetId="0">'CaptorBoard'!$G$3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$1.57
    50   $0.10      $5.22
   100   $0.09      $8.88
   500   $0.06     $31.33
  1000   $0.05     $54.83</t>
        </r>
      </text>
    </comment>
    <comment ref="M7" authorId="0">
      <text>
        <r>
          <rPr>
            <sz val="8"/>
            <color indexed="81"/>
            <rFont val="Tahoma"/>
            <family val="2"/>
          </rPr>
          <t>Desc: CAP CER 1UF 50V X7R 1210
Footprint: 1210 (3225 Metric)
Size: 0.126" L x 0.098" W (3.20mm x 2.50mm)
Temp_coeff: X7R
Tolerance: ±10%
Value: 1 µF 
Voltage: 50V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$0.15      $1.47
    50   $0.09      $4.41
   100   $0.07      $7.45
   500   $0.05     $25.47
  1000   $0.05     $45.07</t>
        </r>
      </text>
    </comment>
    <comment ref="M8" authorId="0">
      <text>
        <r>
          <rPr>
            <sz val="8"/>
            <color indexed="81"/>
            <rFont val="Tahoma"/>
            <family val="2"/>
          </rPr>
          <t>Desc: CAP CER 12PF 50V C0G/NP0 1206
Footprint: 1206 (3216 Metric)
Size: 0.126" L x 0.063" W (3.20mm x 1.60mm)
Temp_coeff: C0G, NP0
Tolerance: ±5%
Value: 12 pF 
Voltage: 50V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$2.40
    50   $0.17      $8.41
   100   $0.14     $14.42
   500   $0.11     $54.09</t>
        </r>
      </text>
    </comment>
    <comment ref="M9" authorId="0">
      <text>
        <r>
          <rPr>
            <sz val="8"/>
            <color indexed="81"/>
            <rFont val="Tahoma"/>
            <family val="2"/>
          </rPr>
          <t>Desc: CAP CER 22UF 16V X5R 1210
Footprint: 1210 (3225 Metric)
Size: 0.126" L x 0.098" W (3.20mm x 2.50mm)
Temp_coeff: X5R
Tolerance: ±20%
Value: 22 µF 
Voltage: 16V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 50   $0.12      $5.92
   100   $0.10     $10.06
   500   $0.07     $35.51
  1000   $0.06     $62.15</t>
        </r>
      </text>
    </comment>
    <comment ref="M10" authorId="0">
      <text>
        <r>
          <rPr>
            <sz val="8"/>
            <color indexed="81"/>
            <rFont val="Tahoma"/>
            <family val="2"/>
          </rPr>
          <t>Desc: CAP CER 0.1UF 100V X7R 1210
Footprint: 1210 (3225 Metric)
Size: 0.126" L x 0.098" W (3.20mm x 2.50mm)
Temp_coeff: X7R
Tolerance: ±10%
Value: 0.1 µF 
Voltage: 100V</t>
        </r>
      </text>
    </comment>
    <comment ref="J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$0.36      $0.36
    10   $0.20      $1.96
   100   $0.09      $9.10
   500   $0.08     $42.00</t>
        </r>
      </text>
    </comment>
    <comment ref="M11" authorId="0">
      <text>
        <r>
          <rPr>
            <sz val="8"/>
            <color indexed="81"/>
            <rFont val="Tahoma"/>
            <family val="2"/>
          </rPr>
          <t>Desc: LED GREEN CLEAR CHIP SMD
Footprint: 1209 (3224 Metric)
Size: 3.20mm L x 2.40mm W</t>
        </r>
      </text>
    </comment>
    <comment ref="J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$0.19      $1.88
   100   $0.10      $9.98
   500   $0.07     $32.83
  1000   $0.04     $44.65</t>
        </r>
      </text>
    </comment>
    <comment ref="M12" authorId="0">
      <text>
        <r>
          <rPr>
            <sz val="8"/>
            <color indexed="81"/>
            <rFont val="Tahoma"/>
            <family val="2"/>
          </rPr>
          <t>Desc: DIODE GEN PURP 75V 150MA SOD123
Footprint: SOD-123</t>
        </r>
      </text>
    </comment>
    <comment ref="J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$0.22      $2.17
   100   $0.12     $11.53
   500   $0.08     $37.92
  1000   $0.05     $51.57
  2000   $0.05     $93.04</t>
        </r>
      </text>
    </comment>
    <comment ref="M13" authorId="0">
      <text>
        <r>
          <rPr>
            <sz val="8"/>
            <color indexed="81"/>
            <rFont val="Tahoma"/>
            <family val="2"/>
          </rPr>
          <t>Desc: DIODE GEN PURP 400V 1A AXIAL
Footprint: DO-204AL, DO-41, Axial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$0.14      $1.41
   100   $0.08      $7.66
   500   $0.05     $23.57
  1000   $0.03     $32.14</t>
        </r>
      </text>
    </comment>
    <comment ref="M14" authorId="0">
      <text>
        <r>
          <rPr>
            <sz val="8"/>
            <color indexed="81"/>
            <rFont val="Tahoma"/>
            <family val="2"/>
          </rPr>
          <t>Desc: SOD-123, ZENER
Footprint: SOD-123
Tolerance: ±2.12%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50   $0.57     $28.30
   100   $0.52     $51.60
   500   $0.50    $249.60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Desc: FUSE BRD MT 1A 250VAC 125VDC SMD
Footprint: 2-SMD, Square End Block
Size: 0.398" L x 0.118" W x 0.118" H (10.10mm x 3.00mm x 3.00mm)</t>
        </r>
      </text>
    </comment>
    <comment ref="J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$0.97      $0.97
    10   $0.61      $6.07
    25   $0.52     $12.99
    50   $0.47     $23.34
   100   $0.46     $45.72
   250   $0.39     $97.27
   500   $0.37    $184.81
  1000   $0.33    $330.71
  5000   $0.26  $1,293.65</t>
        </r>
      </text>
    </comment>
    <comment ref="M16" authorId="0">
      <text>
        <r>
          <rPr>
            <sz val="8"/>
            <color indexed="81"/>
            <rFont val="Tahoma"/>
            <family val="2"/>
          </rPr>
          <t>Desc: TERMINAL BLOCK, SCREW TYPE, 5.08</t>
        </r>
      </text>
    </comment>
    <comment ref="J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$1.66      $1.66
    10   $1.56     $15.58
    25   $1.39     $34.63
    40   $1.32     $52.64
    80   $1.25     $99.74
   230   $1.11    $254.90
   500   $1.04    $519.49
  1000   $0.97    $969.72
  5000   $0.94  $4,675.45</t>
        </r>
      </text>
    </comment>
    <comment ref="M17" authorId="0">
      <text>
        <r>
          <rPr>
            <sz val="8"/>
            <color indexed="81"/>
            <rFont val="Tahoma"/>
            <family val="2"/>
          </rPr>
          <t>Desc: RELAY GEN PURPOSE SPDT 10A 5V</t>
        </r>
      </text>
    </comment>
    <comment ref="J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$5.33      $5.33
     5   $5.25     $26.27
    10   $5.17     $51.75
    25   $5.02    $125.44
    50   $4.87    $243.56
   100   $4.74    $473.63
   250   $4.60  $1,150.32
   500   $4.26  $2,131.89</t>
        </r>
      </text>
    </comment>
    <comment ref="M18" authorId="0">
      <text>
        <r>
          <rPr>
            <sz val="8"/>
            <color indexed="81"/>
            <rFont val="Tahoma"/>
            <family val="2"/>
          </rPr>
          <t>Desc: AC/DC CONVERTER 5V 3W
Footprint: 5-DIP Module, 4 Leads
Power: 3 W
Size: 1.00" L x 1.00" W x 0.69" H (25.4mm x 25.4mm x 17.6mm)</t>
        </r>
      </text>
    </comment>
    <comment ref="J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$0.15      $1.53
   100   $0.08      $8.34
   500   $0.05     $25.65
  1000   $0.03     $34.98</t>
        </r>
      </text>
    </comment>
    <comment ref="M19" authorId="0">
      <text>
        <r>
          <rPr>
            <sz val="8"/>
            <color indexed="81"/>
            <rFont val="Tahoma"/>
            <family val="2"/>
          </rPr>
          <t>Desc: MOSFET N-CH 60V 400MA SOT23-3
Footprint: TO-236-3, SC-59, SOT-23-3</t>
        </r>
      </text>
    </comment>
    <comment ref="J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$0.57
    50   $0.04      $1.87
   100   $0.03      $3.18
   500   $0.02     $11.19
  1000   $0.02     $19.49</t>
        </r>
      </text>
    </comment>
    <comment ref="M20" authorId="0">
      <text>
        <r>
          <rPr>
            <sz val="8"/>
            <color indexed="81"/>
            <rFont val="Tahoma"/>
            <family val="2"/>
          </rPr>
          <t xml:space="preserve">Desc: RES 1K OHM 5% 1/2W 1210
Footprint: 1210 (3225 Metric)
Power: 0.5W, 1/2W
Size: 0.126" L x 0.098" W (3.20mm x 2.50mm)
Temp_coeff: ±200ppm/°C
Tolerance: ±5%
Value: 1 kOhms 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$0.69      $0.69
    10   $0.51      $5.07
    50   $0.36     $17.88
   100   $0.29     $29.50
   500   $0.21    $104.28
  1000   $0.17    $165.42</t>
        </r>
      </text>
    </comment>
    <comment ref="M21" authorId="0">
      <text>
        <r>
          <rPr>
            <sz val="8"/>
            <color indexed="81"/>
            <rFont val="Tahoma"/>
            <family val="2"/>
          </rPr>
          <t xml:space="preserve">Desc: CRMA1210 4.99M 1% EF E3
Footprint: 1210 (3225 Metric)
Power: 0.35W
Size: 0.125" L x 0.100" W (3.18mm x 2.54mm)
Temp_coeff: ±100ppm/°C
Tolerance: ±1%
Value: 4.99 MOhms </t>
        </r>
      </text>
    </comment>
    <comment ref="J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$0.07      $0.68
    50   $0.05      $2.29
   100   $0.04      $3.91
   500   $0.03     $14.02
  1000   $0.02     $24.67</t>
        </r>
      </text>
    </comment>
    <comment ref="M22" authorId="0">
      <text>
        <r>
          <rPr>
            <sz val="8"/>
            <color indexed="81"/>
            <rFont val="Tahoma"/>
            <family val="2"/>
          </rPr>
          <t xml:space="preserve">Desc: RES 10K OHM 1% 1/2W 1210
Footprint: 1210 (3225 Metric)
Power: 0.5W, 1/2W
Size: 0.126" L x 0.098" W (3.20mm x 2.50mm)
Temp_coeff: ±100ppm/°C
Tolerance: ±1%
Value: 10 kOhms </t>
        </r>
      </text>
    </comment>
    <comment ref="J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$0.12      $1.19
    50   $0.06      $3.13
   100   $0.05      $4.64
   500   $0.03     $14.02
  1000   $0.02     $19.42</t>
        </r>
      </text>
    </comment>
    <comment ref="M23" authorId="0">
      <text>
        <r>
          <rPr>
            <sz val="8"/>
            <color indexed="81"/>
            <rFont val="Tahoma"/>
            <family val="2"/>
          </rPr>
          <t xml:space="preserve">Desc: RES 560 OHM 5% 1/2W 1210
Footprint: 1210 (3225 Metric)
Power: 0.5W, 1/2W
Size: 0.126" L x 0.102" W (3.20mm x 2.60mm)
Temp_coeff: ±200ppm/°C
Tolerance: ±5%
Value: 560 Ohms 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$0.57      $5.66
    50   $0.44     $21.83
   100   $0.38     $37.99
   500   $0.27    $137.42
  1000   $0.22    $222.30</t>
        </r>
      </text>
    </comment>
    <comment ref="M24" authorId="0">
      <text>
        <r>
          <rPr>
            <sz val="8"/>
            <color indexed="81"/>
            <rFont val="Tahoma"/>
            <family val="2"/>
          </rPr>
          <t xml:space="preserve">Desc: RES SMD 12 OHM 5% 3W 2512
Footprint: 2512 (6432 Metric)
Power: 3W
Size: 0.250" L x 0.126" W (6.35mm x 3.20mm)
Temp_coeff: ±200ppm/°C
Tolerance: ±5%
Value: 12 Ohms 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$0.51      $0.51
    10   $0.41      $4.14
    25   $0.38      $9.47
   100   $0.28     $28.18
   250   $0.26     $63.85
   500   $0.21    $105.69
  1000   $0.16    $158.53
  2500   $0.15    $363.30
  5000   $0.14    $682.55</t>
        </r>
      </text>
    </comment>
    <comment ref="M25" authorId="0">
      <text>
        <r>
          <rPr>
            <sz val="8"/>
            <color indexed="81"/>
            <rFont val="Tahoma"/>
            <family val="2"/>
          </rPr>
          <t>Desc: VARISTOR DISC 10MM
Footprint: Disc 10mm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10   $0.36      $3.60
    25   $0.34      $8.48
   100   $0.29     $29.44
   250   $0.27     $66.77
   500   $0.25    $124.23
  1000   $0.22    $223.61
  2500   $0.21    $524.88
  5000   $0.20    $975.20</t>
        </r>
      </text>
    </comment>
    <comment ref="M26" authorId="0">
      <text>
        <r>
          <rPr>
            <sz val="8"/>
            <color indexed="81"/>
            <rFont val="Tahoma"/>
            <family val="2"/>
          </rPr>
          <t>Desc: SWITCH TACTILE SPST-NO 0.05A 12V</t>
        </r>
      </text>
    </comment>
    <comment ref="J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$3.15      $3.15</t>
        </r>
      </text>
    </comment>
    <comment ref="M27" authorId="0">
      <text>
        <r>
          <rPr>
            <sz val="8"/>
            <color indexed="81"/>
            <rFont val="Tahoma"/>
            <family val="2"/>
          </rPr>
          <t>Desc: RF TXRX MOD WIFI TRACE ANT SMD
Footprint: 38-SMD Module
Frequency: 2.4GHz ~ 2.5GHz</t>
        </r>
      </text>
    </comment>
    <comment ref="J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$0.91      $0.91
    25   $0.77     $19.25
   100   $0.71     $71.00</t>
        </r>
      </text>
    </comment>
    <comment ref="M28" authorId="0">
      <text>
        <r>
          <rPr>
            <sz val="8"/>
            <color indexed="81"/>
            <rFont val="Tahoma"/>
            <family val="2"/>
          </rPr>
          <t>Desc: IC REG LIN 3.3V 800MA SOT223-3
Footprint: TO-261-4, TO-261AA</t>
        </r>
      </text>
    </comment>
    <comment ref="J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$1.07      $1.07
    10   $0.70      $6.97
   100   $0.46     $45.66
  1000   $0.36    $360.48
  2000   $0.34    $672.90
  5000   $0.32  $1,622.15
 10000   $0.32  $3,196.30
 25000   $0.31  $7,810.50</t>
        </r>
      </text>
    </comment>
    <comment ref="M29" authorId="0">
      <text>
        <r>
          <rPr>
            <sz val="8"/>
            <color indexed="81"/>
            <rFont val="Tahoma"/>
            <family val="2"/>
          </rPr>
          <t>Desc: OPTOISOLATOR 4.17KV TRIAC 6DIP
Footprint: 6-DIP (0.300", 7.62mm)</t>
        </r>
      </text>
    </comment>
    <comment ref="J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$0.50      $5.02
    50   $0.45     $22.61
   100   $0.40     $40.20
   500   $0.38    $190.94</t>
        </r>
      </text>
    </comment>
    <comment ref="M30" authorId="0">
      <text>
        <r>
          <rPr>
            <sz val="8"/>
            <color indexed="81"/>
            <rFont val="Tahoma"/>
            <family val="2"/>
          </rPr>
          <t>Desc: CRYSTAL 32.7680KHZ 12.5PF SMD
Footprint: 2-SMD, No Lead
Frequency: 32.768 kHz
Size: 0.079" L x 0.047" W (2.00mm x 1.20mm)</t>
        </r>
      </text>
    </comment>
    <comment ref="F32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3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<sst xmlns="http://schemas.openxmlformats.org/spreadsheetml/2006/main" count="174" uniqueCount="136">
  <si>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</si>
  <si>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</si>
  <si>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</si>
  <si>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</si>
  <si>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</si>
  <si>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</si>
  <si>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</si>
  <si>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</si>
  <si>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C1,C6</t>
  </si>
  <si>
    <t>1µ</t>
  </si>
  <si>
    <t>C_1210_3225Metric_Pad1.33x2.70mm_HandSolder</t>
  </si>
  <si>
    <t>CL32B105KBHNNNE</t>
  </si>
  <si>
    <t>C2,C3</t>
  </si>
  <si>
    <t>12p</t>
  </si>
  <si>
    <t>C_1206_3216Metric_Pad1.33x1.80mm_HandSolder</t>
  </si>
  <si>
    <t>C1206C120J5GAC7800</t>
  </si>
  <si>
    <t>C4</t>
  </si>
  <si>
    <t>22µ</t>
  </si>
  <si>
    <t>CL32A226MOJNNNE</t>
  </si>
  <si>
    <t>C5</t>
  </si>
  <si>
    <t>0.1µ</t>
  </si>
  <si>
    <t>12101C104K4T2A</t>
  </si>
  <si>
    <t>D1,D3-D8</t>
  </si>
  <si>
    <t>LTST-C930KGKT</t>
  </si>
  <si>
    <t>LED_1210_3225Metric_Pad1.42x2.65mm_HandSolder</t>
  </si>
  <si>
    <t>D2,D11</t>
  </si>
  <si>
    <t>1N4148W</t>
  </si>
  <si>
    <t>D_SOD-123</t>
  </si>
  <si>
    <t>1N4148W-E3-08</t>
  </si>
  <si>
    <t>D9,D10</t>
  </si>
  <si>
    <t>1N4004</t>
  </si>
  <si>
    <t>D_DO-41_SOD81_P7.62mm_Horizontal</t>
  </si>
  <si>
    <t>1N4004RLG</t>
  </si>
  <si>
    <t>D12-D14</t>
  </si>
  <si>
    <t>BZT52-C3V3</t>
  </si>
  <si>
    <t>D_SOD-123F</t>
  </si>
  <si>
    <t>BZT52-C3V3_R1_00001</t>
  </si>
  <si>
    <t>F1</t>
  </si>
  <si>
    <t>Fuse_Small-device</t>
  </si>
  <si>
    <t>Fuseholder_Littelfuse_Nano2_157x</t>
  </si>
  <si>
    <t>3405.0166.11</t>
  </si>
  <si>
    <t>J2,J3,J6</t>
  </si>
  <si>
    <t>Screw_Terminal_01x03</t>
  </si>
  <si>
    <t>TerminalBlock_Phoenix_MKDS-1,5-3-5.08_1x03_P5.08mm_Horizontal</t>
  </si>
  <si>
    <t>TB007-508-03BE</t>
  </si>
  <si>
    <t>K1,K2</t>
  </si>
  <si>
    <t>G5LE-1-DC5</t>
  </si>
  <si>
    <t>Relay_SPDT_Omron-G5LE-1</t>
  </si>
  <si>
    <t>PS1</t>
  </si>
  <si>
    <t>LD03-23B05R2</t>
  </si>
  <si>
    <t>PSK5D5</t>
  </si>
  <si>
    <t>Q1,Q2</t>
  </si>
  <si>
    <t>2N7002E</t>
  </si>
  <si>
    <t>SOT-23</t>
  </si>
  <si>
    <t>T2N7002BK,LM</t>
  </si>
  <si>
    <t>R1,R5,R7-R11,R14</t>
  </si>
  <si>
    <t>1k</t>
  </si>
  <si>
    <t>R_1210_3225Metric_Pad1.30x2.65mm_HandSolder</t>
  </si>
  <si>
    <t>RMCF1210JT1K00</t>
  </si>
  <si>
    <t>R2</t>
  </si>
  <si>
    <t>5M</t>
  </si>
  <si>
    <t>CRMA1210AF4M99FKEF</t>
  </si>
  <si>
    <t>R3,R4,R6,R15-R17</t>
  </si>
  <si>
    <t>10k</t>
  </si>
  <si>
    <t>RMCF1210FT10K0</t>
  </si>
  <si>
    <t>R12,R13</t>
  </si>
  <si>
    <t>560R</t>
  </si>
  <si>
    <t>RK73B2ETTD561J</t>
  </si>
  <si>
    <t>R18</t>
  </si>
  <si>
    <t>12</t>
  </si>
  <si>
    <t>R_2512_6332Metric_Pad1.40x3.35mm_HandSolder</t>
  </si>
  <si>
    <t>352212RJT</t>
  </si>
  <si>
    <t>RV1</t>
  </si>
  <si>
    <t>B72210S0351K101</t>
  </si>
  <si>
    <t>RV_Disc_D12mm_W5.1mm_P7.5mm</t>
  </si>
  <si>
    <t>SW1,SW2</t>
  </si>
  <si>
    <t>SW_PUSH</t>
  </si>
  <si>
    <t>SW_Tactile_SKHH_Angled</t>
  </si>
  <si>
    <t>TL1105VF100Q</t>
  </si>
  <si>
    <t>U1</t>
  </si>
  <si>
    <t>ESP32-WROOM-32E-H4</t>
  </si>
  <si>
    <t>ESP32-WROOM-32E</t>
  </si>
  <si>
    <t>U2</t>
  </si>
  <si>
    <t>TC1264-3.3VDBTR</t>
  </si>
  <si>
    <t>SOT-223-3_TabPin2</t>
  </si>
  <si>
    <t>U3,U4</t>
  </si>
  <si>
    <t>MOC3041M-opto</t>
  </si>
  <si>
    <t>DIP-6_W7.62mm</t>
  </si>
  <si>
    <t>MOC3041M</t>
  </si>
  <si>
    <t>Y1</t>
  </si>
  <si>
    <t>CM8V-T1A-32.768kHz-12.5pF-20PPM-TA-QC</t>
  </si>
  <si>
    <t>Crystal_SMD_MicroCrystal_CC8V-T1A-2Pin_2.0x1.2mm_HandSoldering</t>
  </si>
  <si>
    <t>Digi-Key</t>
  </si>
  <si>
    <t>Avail</t>
  </si>
  <si>
    <t>Purch</t>
  </si>
  <si>
    <t>MOQ</t>
  </si>
  <si>
    <t>Cat#</t>
  </si>
  <si>
    <t>1276-1811-1-ND</t>
  </si>
  <si>
    <t>399-C1206C120J5GAC7800CT-ND</t>
  </si>
  <si>
    <t>1276-1851-1-ND</t>
  </si>
  <si>
    <t>478-KAM32QR72A104KTCT-ND</t>
  </si>
  <si>
    <t>160-1462-1-ND</t>
  </si>
  <si>
    <t>1N4148W-E3-08CT-ND</t>
  </si>
  <si>
    <t>1N4004RLGOSCT-ND</t>
  </si>
  <si>
    <t>3757-BZT52-C3V3_R1_00001CT-ND</t>
  </si>
  <si>
    <t>486-4956-ND</t>
  </si>
  <si>
    <t>102-6204-ND</t>
  </si>
  <si>
    <t>Z1014-ND</t>
  </si>
  <si>
    <t>2725-LD03-23B05R2-ND</t>
  </si>
  <si>
    <t>T2N7002BKLMCT-ND</t>
  </si>
  <si>
    <t>RMCF1210JT1K00CT-ND</t>
  </si>
  <si>
    <t>3579-CRMA1210AF4M99FKEFCT-ND</t>
  </si>
  <si>
    <t>RMCF1210FT10K0CT-ND</t>
  </si>
  <si>
    <t>2019-RK73B2ETTD561JCT-ND</t>
  </si>
  <si>
    <t>A121136CT-ND</t>
  </si>
  <si>
    <t>495-6461-ND</t>
  </si>
  <si>
    <t>EG2507-ND</t>
  </si>
  <si>
    <t>1965-ESP32-WROOM-32E-H4CT-ND</t>
  </si>
  <si>
    <t>TC1264-3.3VDBCT-ND</t>
  </si>
  <si>
    <t>MOC3041M-ND</t>
  </si>
  <si>
    <t>2195-CM8V-T1A-32.768KHZ-12.5PF-20PPM-TA-QCCT-ND</t>
  </si>
  <si>
    <t>Buy here</t>
  </si>
  <si>
    <t>Total Purchase:</t>
  </si>
  <si>
    <t>Purchase description:</t>
  </si>
  <si>
    <t>EUR(€)/USD($):</t>
  </si>
  <si>
    <t>Prj:</t>
  </si>
  <si>
    <t>CaptorBoart</t>
  </si>
  <si>
    <t>Co.:</t>
  </si>
  <si>
    <t>Prj date:</t>
  </si>
  <si>
    <t>28/06/2023 17:16:08</t>
  </si>
  <si>
    <t>Board Qty:</t>
  </si>
  <si>
    <t>Total Cost:</t>
  </si>
  <si>
    <t>Unit Cost:</t>
  </si>
  <si>
    <t>$ date:</t>
  </si>
  <si>
    <t>2023-06-28 17:16:14</t>
  </si>
  <si>
    <t>KiCost® v1.1.18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</si>
</sst>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€#,##0.000"/>
  </numFmts>
  <fonts count="10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/>
    </xf>
    <xf numFmtId="0" fontId="8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4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fr/datasheet/2/585/MLCC-1837944.pdf" TargetMode="External"/><Relationship Id="rId2" Type="http://schemas.openxmlformats.org/officeDocument/2006/relationships/hyperlink" Target="https://www.digikey.com/en/products/detail/samsung-electro-mechanics/CL32B105KBHNNNE/3887469" TargetMode="External"/><Relationship Id="rId3" Type="http://schemas.openxmlformats.org/officeDocument/2006/relationships/hyperlink" Target="https://www.mouser.fr/datasheet/2/212/KEM_C1007_X8R_ULTRA_150C_SMD-1102703.pdf" TargetMode="External"/><Relationship Id="rId4" Type="http://schemas.openxmlformats.org/officeDocument/2006/relationships/hyperlink" Target="https://www.digikey.com/en/products/detail/kemet/C1206C120J5GAC7800/411192" TargetMode="External"/><Relationship Id="rId5" Type="http://schemas.openxmlformats.org/officeDocument/2006/relationships/hyperlink" Target="https://www.mouser.fr/datasheet/2/585/MLCC-1837944.pdf" TargetMode="External"/><Relationship Id="rId6" Type="http://schemas.openxmlformats.org/officeDocument/2006/relationships/hyperlink" Target="https://www.digikey.com/en/products/detail/samsung-electro-mechanics/CL32A226MOJNNNE/3887509" TargetMode="External"/><Relationship Id="rId7" Type="http://schemas.openxmlformats.org/officeDocument/2006/relationships/hyperlink" Target="https://www.mouser.fr/datasheet/2/40/AutoMLCC-777028.pdf" TargetMode="External"/><Relationship Id="rId8" Type="http://schemas.openxmlformats.org/officeDocument/2006/relationships/hyperlink" Target="https://www.digikey.com/en/products/detail/kyocera-avx/KAM32QR72A104KT/6149343" TargetMode="External"/><Relationship Id="rId9" Type="http://schemas.openxmlformats.org/officeDocument/2006/relationships/hyperlink" Target="https://www.mouser.fr/datasheet/2/239/LTST-C930KGKT-1144029.pdf" TargetMode="External"/><Relationship Id="rId10" Type="http://schemas.openxmlformats.org/officeDocument/2006/relationships/hyperlink" Target="https://www.digikey.com/en/products/detail/liteon/LTST-C930KGKT/386865" TargetMode="External"/><Relationship Id="rId11" Type="http://schemas.openxmlformats.org/officeDocument/2006/relationships/hyperlink" Target="https://www.vishay.com/docs/85748/1n4148w.pdf" TargetMode="External"/><Relationship Id="rId12" Type="http://schemas.openxmlformats.org/officeDocument/2006/relationships/hyperlink" Target="https://www.digikey.com/en/products/detail/vishay-general-semiconductor-diodes-division/1N4148W-E3-08/3104162" TargetMode="External"/><Relationship Id="rId13" Type="http://schemas.openxmlformats.org/officeDocument/2006/relationships/hyperlink" Target="http://www.vishay.com/docs/88503/1n4001.pdf" TargetMode="External"/><Relationship Id="rId14" Type="http://schemas.openxmlformats.org/officeDocument/2006/relationships/hyperlink" Target="https://www.digikey.com/en/products/detail/onsemi/1N4004RLG/822782" TargetMode="External"/><Relationship Id="rId15" Type="http://schemas.openxmlformats.org/officeDocument/2006/relationships/hyperlink" Target="https://diotec.com/tl_files/diotec/files/pdf/datasheets/bzt52b2v4.pdf" TargetMode="External"/><Relationship Id="rId16" Type="http://schemas.openxmlformats.org/officeDocument/2006/relationships/hyperlink" Target="https://www.digikey.com/en/products/detail/panjit-international-inc/BZT52-C3V3-R1-00001/14660565" TargetMode="External"/><Relationship Id="rId17" Type="http://schemas.openxmlformats.org/officeDocument/2006/relationships/hyperlink" Target="https://www.mouser.fr/datasheet/2/240/Littelfuse_Fuse_443_Datasheet_pdf-1102277.pdf" TargetMode="External"/><Relationship Id="rId18" Type="http://schemas.openxmlformats.org/officeDocument/2006/relationships/hyperlink" Target="https://www.digikey.com/en/products/detail/schurter-inc/3405-0166-11/9094749" TargetMode="External"/><Relationship Id="rId19" Type="http://schemas.openxmlformats.org/officeDocument/2006/relationships/hyperlink" Target="https://www.mouser.fr/datasheet/2/670/tb007_508-2306759.pdf" TargetMode="External"/><Relationship Id="rId20" Type="http://schemas.openxmlformats.org/officeDocument/2006/relationships/hyperlink" Target="https://www.digikey.com/en/products/detail/cui-devices/TB007-508-03BE/10064128" TargetMode="External"/><Relationship Id="rId21" Type="http://schemas.openxmlformats.org/officeDocument/2006/relationships/hyperlink" Target="http://www.omron.com/ecb/products/pdf/en-g5le.pdf" TargetMode="External"/><Relationship Id="rId22" Type="http://schemas.openxmlformats.org/officeDocument/2006/relationships/hyperlink" Target="https://www.digikey.com/en/products/detail/omron-electronics-inc-emc-div/G5LE-1-DC5/280368" TargetMode="External"/><Relationship Id="rId23" Type="http://schemas.openxmlformats.org/officeDocument/2006/relationships/hyperlink" Target="https://www.mouser.fr/datasheet/2/670/psk_5d-2474718.pdf" TargetMode="External"/><Relationship Id="rId24" Type="http://schemas.openxmlformats.org/officeDocument/2006/relationships/hyperlink" Target="https://www.digikey.com/en/products/detail/mornsun-america-llc/LD03-23B05R2/13531047" TargetMode="External"/><Relationship Id="rId25" Type="http://schemas.openxmlformats.org/officeDocument/2006/relationships/hyperlink" Target="http://www.diodes.com/assets/Datasheets/ds30376.pdf" TargetMode="External"/><Relationship Id="rId26" Type="http://schemas.openxmlformats.org/officeDocument/2006/relationships/hyperlink" Target="https://www.digikey.com/en/products/detail/toshiba-semiconductor-and-storage/T2N7002BK-LM/5409245" TargetMode="External"/><Relationship Id="rId27" Type="http://schemas.openxmlformats.org/officeDocument/2006/relationships/hyperlink" Target="https://www.mouser.fr/datasheet/2/210/Kamaya_RMC_series_8_2022-3032447.pdf" TargetMode="External"/><Relationship Id="rId28" Type="http://schemas.openxmlformats.org/officeDocument/2006/relationships/hyperlink" Target="https://www.digikey.com/en/products/detail/stackpole-electronics-inc/RMCF1210JT1K00/1757278" TargetMode="External"/><Relationship Id="rId29" Type="http://schemas.openxmlformats.org/officeDocument/2006/relationships/hyperlink" Target="https://www.mouser.fr/datasheet/2/427/crma-1765222.pdf" TargetMode="External"/><Relationship Id="rId30" Type="http://schemas.openxmlformats.org/officeDocument/2006/relationships/hyperlink" Target="https://www.digikey.com/en/products/detail/vishay-techno/CRMA1210AF4M99FKEF/13998628" TargetMode="External"/><Relationship Id="rId31" Type="http://schemas.openxmlformats.org/officeDocument/2006/relationships/hyperlink" Target="https://www.mouser.fr/datasheet/2/219/RK73B-1825463.pdf" TargetMode="External"/><Relationship Id="rId32" Type="http://schemas.openxmlformats.org/officeDocument/2006/relationships/hyperlink" Target="https://www.digikey.com/en/products/detail/stackpole-electronics-inc/RMCF1210FT10K0/1758528" TargetMode="External"/><Relationship Id="rId33" Type="http://schemas.openxmlformats.org/officeDocument/2006/relationships/hyperlink" Target="https://www.mouser.fr/datasheet/2/219/RK73B-1825463.pdf" TargetMode="External"/><Relationship Id="rId34" Type="http://schemas.openxmlformats.org/officeDocument/2006/relationships/hyperlink" Target="https://www.digikey.com/en/products/detail/koa-speer-electronics-inc/RK73B2ETTD561J/10314965" TargetMode="External"/><Relationship Id="rId35" Type="http://schemas.openxmlformats.org/officeDocument/2006/relationships/hyperlink" Target="https://www.digikey.com/en/products/detail/te-connectivity-passive-product/352212RJT/5244987" TargetMode="External"/><Relationship Id="rId36" Type="http://schemas.openxmlformats.org/officeDocument/2006/relationships/hyperlink" Target="https://www.digikey.com/en/products/detail/epcos-tdk-electronics/B72210S0351K101/3500863" TargetMode="External"/><Relationship Id="rId37" Type="http://schemas.openxmlformats.org/officeDocument/2006/relationships/hyperlink" Target="https://www.mouser.fr/datasheet/2/15/SKHH-1370651.pdf" TargetMode="External"/><Relationship Id="rId38" Type="http://schemas.openxmlformats.org/officeDocument/2006/relationships/hyperlink" Target="https://www.digikey.com/en/products/detail/e-switch/TL1105VF100Q/378973" TargetMode="External"/><Relationship Id="rId39" Type="http://schemas.openxmlformats.org/officeDocument/2006/relationships/hyperlink" Target="https://www.espressif.com/sites/default/files/documentation/esp32-wroom-32e_esp32-wroom-32ue_datasheet_en.pdf" TargetMode="External"/><Relationship Id="rId40" Type="http://schemas.openxmlformats.org/officeDocument/2006/relationships/hyperlink" Target="https://www.digikey.com/en/products/detail/espressif-systems/ESP32-WROOM-32E-H4/12696413" TargetMode="External"/><Relationship Id="rId41" Type="http://schemas.openxmlformats.org/officeDocument/2006/relationships/hyperlink" Target="http://ww1.microchip.com/downloads/en/DeviceDoc/21373C.pdf" TargetMode="External"/><Relationship Id="rId42" Type="http://schemas.openxmlformats.org/officeDocument/2006/relationships/hyperlink" Target="https://www.digikey.com/en/products/detail/microchip-technology/TC1264-3-3VDBTR/443075" TargetMode="External"/><Relationship Id="rId43" Type="http://schemas.openxmlformats.org/officeDocument/2006/relationships/hyperlink" Target="https://www.mouser.fr/datasheet/2/308/1/MOC3043M_D-1811826.pdf" TargetMode="External"/><Relationship Id="rId44" Type="http://schemas.openxmlformats.org/officeDocument/2006/relationships/hyperlink" Target="https://www.digikey.com/en/products/detail/onsemi/MOC3041M/281230" TargetMode="External"/><Relationship Id="rId45" Type="http://schemas.openxmlformats.org/officeDocument/2006/relationships/hyperlink" Target="https://www.mouser.fr/datasheet/2/530/CM8V_T1A-1510858.pdf" TargetMode="External"/><Relationship Id="rId46" Type="http://schemas.openxmlformats.org/officeDocument/2006/relationships/hyperlink" Target="https://www.digikey.com/en/products/detail/micro-crystal-ag/CM8V-T1A-32-768KHZ-12-5PF-20PPM-TA-QC/10431068" TargetMode="External"/><Relationship Id="rId47" Type="http://schemas.openxmlformats.org/officeDocument/2006/relationships/hyperlink" Target="https://www.digikey.com/ordering/shoppingcart" TargetMode="External"/><Relationship Id="rId48" Type="http://schemas.openxmlformats.org/officeDocument/2006/relationships/vmlDrawing" Target="../drawings/vmlDrawing1.vml"/><Relationship Id="rId4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3"/>
  <cols>
    <col min="1" max="1" width="17.7109375" customWidth="1"/>
    <col min="2" max="2" width="33.7109375" customWidth="1"/>
    <col min="3" max="3" width="33.7109375" customWidth="1" outlineLevel="2"/>
    <col min="4" max="4" width="33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33.7109375" customWidth="1" outlineLevel="2"/>
  </cols>
  <sheetData>
    <row r="1" spans="1:13">
      <c r="A1" s="1" t="s">
        <v>125</v>
      </c>
      <c r="B1" s="2" t="s">
        <v>126</v>
      </c>
      <c r="F1" s="3" t="s">
        <v>130</v>
      </c>
      <c r="G1" s="3">
        <v>20</v>
      </c>
    </row>
    <row r="2" spans="1:13">
      <c r="A2" s="1" t="s">
        <v>127</v>
      </c>
      <c r="B2" s="2"/>
      <c r="F2" s="1" t="s">
        <v>132</v>
      </c>
      <c r="G2" s="4">
        <f>TotalCost/BoardQty</f>
        <v>20.0016</v>
      </c>
    </row>
    <row r="3" spans="1:13">
      <c r="A3" s="1" t="s">
        <v>128</v>
      </c>
      <c r="B3" s="2" t="s">
        <v>129</v>
      </c>
      <c r="F3" s="1" t="s">
        <v>131</v>
      </c>
      <c r="G3" s="5">
        <f>SUM(G7:G30)</f>
        <v>400.0329</v>
      </c>
      <c r="L3" s="5">
        <f>SUM(L7:L30)</f>
        <v>400.0329</v>
      </c>
      <c r="M3" s="6" t="str">
        <f>(COUNTA(L7:L30)&amp;" of "&amp;ROWS(L7:L30)&amp;" parts found")</f>
        <v>24 of 24 parts found</v>
      </c>
    </row>
    <row r="4" spans="1:13">
      <c r="A4" s="1" t="s">
        <v>133</v>
      </c>
      <c r="B4" s="2" t="s">
        <v>134</v>
      </c>
    </row>
    <row r="5" spans="1:13">
      <c r="A5" s="7" t="s">
        <v>0</v>
      </c>
      <c r="B5" s="7"/>
      <c r="C5" s="7"/>
      <c r="D5" s="7"/>
      <c r="E5" s="7"/>
      <c r="F5" s="7"/>
      <c r="G5" s="7"/>
      <c r="H5" s="8" t="s">
        <v>92</v>
      </c>
      <c r="I5" s="8"/>
      <c r="J5" s="8"/>
      <c r="K5" s="8"/>
      <c r="L5" s="8"/>
      <c r="M5" s="8"/>
    </row>
    <row r="6" spans="1:13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93</v>
      </c>
      <c r="I6" s="9" t="s">
        <v>94</v>
      </c>
      <c r="J6" s="9" t="s">
        <v>6</v>
      </c>
      <c r="K6" s="9" t="s">
        <v>95</v>
      </c>
      <c r="L6" s="9" t="s">
        <v>7</v>
      </c>
      <c r="M6" s="9" t="s">
        <v>96</v>
      </c>
    </row>
    <row r="7" spans="1:13" ht="30" customHeight="1">
      <c r="A7" s="10" t="s">
        <v>8</v>
      </c>
      <c r="B7" s="10" t="s">
        <v>9</v>
      </c>
      <c r="C7" s="10" t="s">
        <v>10</v>
      </c>
      <c r="D7" s="10" t="s">
        <v>11</v>
      </c>
      <c r="E7" s="10">
        <f>CEILING(BoardQty*2.0,1)</f>
        <v>40</v>
      </c>
      <c r="F7" s="11">
        <f>IF(MIN(J7)&lt;&gt;0,MIN(J7),"")</f>
        <v>0.14353629548363503</v>
      </c>
      <c r="G7" s="12">
        <f>IF(AND(ISNUMBER(E7),ISNUMBER(F7)),E7*F7,"")</f>
        <v>5.7415</v>
      </c>
      <c r="H7" s="10">
        <v>404544</v>
      </c>
      <c r="I7" s="10"/>
      <c r="J7" s="11">
        <f>IFERROR(IF(OR(I7&gt;=K7,E7&gt;=K7),EUR_USD*LOOKUP(IF(I7="",E7,I7),{0,1,10,50,100,500,1000},{0.0,0.23,0.157,0.1044,0.0888,0.06266,0.05483}),"MOQ="&amp;K7),"")</f>
        <v>0.14353629548363503</v>
      </c>
      <c r="K7" s="10">
        <v>1</v>
      </c>
      <c r="L7" s="12">
        <f>IFERROR(IF(I7="",E7,I7)*J7,"")</f>
        <v>5.7415</v>
      </c>
      <c r="M7" s="10" t="s">
        <v>97</v>
      </c>
    </row>
    <row r="8" spans="1:13" ht="30" customHeight="1">
      <c r="A8" s="10" t="s">
        <v>12</v>
      </c>
      <c r="B8" s="10" t="s">
        <v>13</v>
      </c>
      <c r="C8" s="10" t="s">
        <v>14</v>
      </c>
      <c r="D8" s="10" t="s">
        <v>15</v>
      </c>
      <c r="E8" s="10">
        <f>CEILING(BoardQty*2.0,1)</f>
        <v>40</v>
      </c>
      <c r="F8" s="11">
        <f>IF(MIN(J8)&lt;&gt;0,MIN(J8),"")</f>
        <v>0.1343938562808557</v>
      </c>
      <c r="G8" s="12">
        <f>IF(AND(ISNUMBER(E8),ISNUMBER(F8)),E8*F8,"")</f>
        <v>5.3758</v>
      </c>
      <c r="H8" s="10">
        <v>17043</v>
      </c>
      <c r="I8" s="10"/>
      <c r="J8" s="11">
        <f>IFERROR(IF(OR(I8&gt;=K8,E8&gt;=K8),EUR_USD*LOOKUP(IF(I8="",E8,I8),{0,1,10,50,100,500,1000},{0.0,0.22,0.147,0.0882,0.0745,0.05094,0.04507}),"MOQ="&amp;K8),"")</f>
        <v>0.1343938562808557</v>
      </c>
      <c r="K8" s="10">
        <v>1</v>
      </c>
      <c r="L8" s="12">
        <f>IFERROR(IF(I8="",E8,I8)*J8,"")</f>
        <v>5.3758</v>
      </c>
      <c r="M8" s="10" t="s">
        <v>98</v>
      </c>
    </row>
    <row r="9" spans="1:13" ht="30" customHeight="1">
      <c r="A9" s="10" t="s">
        <v>16</v>
      </c>
      <c r="B9" s="10" t="s">
        <v>17</v>
      </c>
      <c r="C9" s="10" t="s">
        <v>10</v>
      </c>
      <c r="D9" s="10" t="s">
        <v>18</v>
      </c>
      <c r="E9" s="10">
        <f>CEILING(BoardQty*1.0,1)</f>
        <v>20</v>
      </c>
      <c r="F9" s="11">
        <f>IF(MIN(J9)&lt;&gt;0,MIN(J9),"")</f>
        <v>0.21941854086670323</v>
      </c>
      <c r="G9" s="12">
        <f>IF(AND(ISNUMBER(E9),ISNUMBER(F9)),E9*F9,"")</f>
        <v>4.3884</v>
      </c>
      <c r="H9" s="10">
        <v>384377</v>
      </c>
      <c r="I9" s="10"/>
      <c r="J9" s="11">
        <f>IFERROR(IF(OR(I9&gt;=K9,E9&gt;=K9),EUR_USD*LOOKUP(IF(I9="",E9,I9),{0,1,10,50,100,500},{0.0,0.35,0.24,0.1682,0.1442,0.10818}),"MOQ="&amp;K9),"")</f>
        <v>0.21941854086670323</v>
      </c>
      <c r="K9" s="10">
        <v>1</v>
      </c>
      <c r="L9" s="12">
        <f>IFERROR(IF(I9="",E9,I9)*J9,"")</f>
        <v>4.3884</v>
      </c>
      <c r="M9" s="10" t="s">
        <v>99</v>
      </c>
    </row>
    <row r="10" spans="1:13" ht="30" customHeight="1">
      <c r="A10" s="10" t="s">
        <v>19</v>
      </c>
      <c r="B10" s="10" t="s">
        <v>20</v>
      </c>
      <c r="C10" s="10" t="s">
        <v>10</v>
      </c>
      <c r="D10" s="10" t="s">
        <v>21</v>
      </c>
      <c r="E10" s="10">
        <f>CEILING(BoardQty*1.0,1)</f>
        <v>20</v>
      </c>
      <c r="F10" s="11">
        <f>IF(MIN(J10)&lt;&gt;0,MIN(J10),"")</f>
        <v>0.16273541780947154</v>
      </c>
      <c r="G10" s="12">
        <f>IF(AND(ISNUMBER(E10),ISNUMBER(F10)),E10*F10,"")</f>
        <v>3.2547</v>
      </c>
      <c r="H10" s="10">
        <v>11066</v>
      </c>
      <c r="I10" s="10"/>
      <c r="J10" s="11">
        <f>IFERROR(IF(OR(I10&gt;=K10,E10&gt;=K10),EUR_USD*LOOKUP(IF(I10="",E10,I10),{0,1,10,50,100,500,1000},{0.0,0.26,0.178,0.1184,0.1006,0.07102,0.06215}),"MOQ="&amp;K10),"")</f>
        <v>0.16273541780947154</v>
      </c>
      <c r="K10" s="10">
        <v>1</v>
      </c>
      <c r="L10" s="12">
        <f>IFERROR(IF(I10="",E10,I10)*J10,"")</f>
        <v>3.2547</v>
      </c>
      <c r="M10" s="10" t="s">
        <v>100</v>
      </c>
    </row>
    <row r="11" spans="1:13" ht="30" customHeight="1">
      <c r="A11" s="10" t="s">
        <v>22</v>
      </c>
      <c r="B11" s="10" t="s">
        <v>23</v>
      </c>
      <c r="C11" s="10" t="s">
        <v>24</v>
      </c>
      <c r="D11" s="10" t="s">
        <v>23</v>
      </c>
      <c r="E11" s="10">
        <f>CEILING(BoardQty*7.0,1)</f>
        <v>140</v>
      </c>
      <c r="F11" s="11">
        <f>IF(MIN(J11)&lt;&gt;0,MIN(J11),"")</f>
        <v>0.08319619674529163</v>
      </c>
      <c r="G11" s="12">
        <f>IF(AND(ISNUMBER(E11),ISNUMBER(F11)),E11*F11,"")</f>
        <v>11.6475</v>
      </c>
      <c r="H11" s="10">
        <v>177523</v>
      </c>
      <c r="I11" s="10"/>
      <c r="J11" s="11">
        <f>IFERROR(IF(OR(I11&gt;=K11,E11&gt;=K11),EUR_USD*LOOKUP(IF(I11="",E11,I11),{0,1,10,100,500},{0.0,0.36,0.196,0.091,0.084}),"MOQ="&amp;K11),"")</f>
        <v>0.08319619674529163</v>
      </c>
      <c r="K11" s="10">
        <v>1</v>
      </c>
      <c r="L11" s="12">
        <f>IFERROR(IF(I11="",E11,I11)*J11,"")</f>
        <v>11.6475</v>
      </c>
      <c r="M11" s="10" t="s">
        <v>101</v>
      </c>
    </row>
    <row r="12" spans="1:13">
      <c r="A12" s="10" t="s">
        <v>25</v>
      </c>
      <c r="B12" s="10" t="s">
        <v>26</v>
      </c>
      <c r="C12" s="10" t="s">
        <v>27</v>
      </c>
      <c r="D12" s="10" t="s">
        <v>28</v>
      </c>
      <c r="E12" s="10">
        <f>CEILING(BoardQty*2.0,1)</f>
        <v>40</v>
      </c>
      <c r="F12" s="11">
        <f>IF(MIN(J12)&lt;&gt;0,MIN(J12),"")</f>
        <v>0.17187785701225086</v>
      </c>
      <c r="G12" s="12">
        <f>IF(AND(ISNUMBER(E12),ISNUMBER(F12)),E12*F12,"")</f>
        <v>6.8751</v>
      </c>
      <c r="H12" s="10">
        <v>52054</v>
      </c>
      <c r="I12" s="10"/>
      <c r="J12" s="11">
        <f>IFERROR(IF(OR(I12&gt;=K12,E12&gt;=K12),EUR_USD*LOOKUP(IF(I12="",E12,I12),{0,1,10,100,500,1000},{0.0,0.23,0.188,0.0998,0.06566,0.04465}),"MOQ="&amp;K12),"")</f>
        <v>0.17187785701225086</v>
      </c>
      <c r="K12" s="10">
        <v>1</v>
      </c>
      <c r="L12" s="12">
        <f>IFERROR(IF(I12="",E12,I12)*J12,"")</f>
        <v>6.8751</v>
      </c>
      <c r="M12" s="10" t="s">
        <v>102</v>
      </c>
    </row>
    <row r="13" spans="1:13">
      <c r="A13" s="10" t="s">
        <v>29</v>
      </c>
      <c r="B13" s="10" t="s">
        <v>30</v>
      </c>
      <c r="C13" s="10" t="s">
        <v>31</v>
      </c>
      <c r="D13" s="10" t="s">
        <v>32</v>
      </c>
      <c r="E13" s="10">
        <f>CEILING(BoardQty*2.0,1)</f>
        <v>40</v>
      </c>
      <c r="F13" s="11">
        <f>IF(MIN(J13)&lt;&gt;0,MIN(J13),"")</f>
        <v>0.19839093070031083</v>
      </c>
      <c r="G13" s="12">
        <f>IF(AND(ISNUMBER(E13),ISNUMBER(F13)),E13*F13,"")</f>
        <v>7.9356</v>
      </c>
      <c r="H13" s="10">
        <v>57339</v>
      </c>
      <c r="I13" s="10"/>
      <c r="J13" s="11">
        <f>IFERROR(IF(OR(I13&gt;=K13,E13&gt;=K13),EUR_USD*LOOKUP(IF(I13="",E13,I13),{0,1,10,100,500,1000,2000},{0.0,0.27,0.217,0.1153,0.07584,0.05157,0.04652}),"MOQ="&amp;K13),"")</f>
        <v>0.19839093070031083</v>
      </c>
      <c r="K13" s="10">
        <v>1</v>
      </c>
      <c r="L13" s="12">
        <f>IFERROR(IF(I13="",E13,I13)*J13,"")</f>
        <v>7.9356</v>
      </c>
      <c r="M13" s="10" t="s">
        <v>103</v>
      </c>
    </row>
    <row r="14" spans="1:13">
      <c r="A14" s="10" t="s">
        <v>33</v>
      </c>
      <c r="B14" s="10" t="s">
        <v>34</v>
      </c>
      <c r="C14" s="10" t="s">
        <v>35</v>
      </c>
      <c r="D14" s="10" t="s">
        <v>36</v>
      </c>
      <c r="E14" s="10">
        <f>CEILING(BoardQty*3.0,1)</f>
        <v>60</v>
      </c>
      <c r="F14" s="11">
        <f>IF(MIN(J14)&lt;&gt;0,MIN(J14),"")</f>
        <v>0.12890839275918814</v>
      </c>
      <c r="G14" s="12">
        <f>IF(AND(ISNUMBER(E14),ISNUMBER(F14)),E14*F14,"")</f>
        <v>7.7345</v>
      </c>
      <c r="H14" s="10">
        <v>12932</v>
      </c>
      <c r="I14" s="10"/>
      <c r="J14" s="11">
        <f>IFERROR(IF(OR(I14&gt;=K14,E14&gt;=K14),EUR_USD*LOOKUP(IF(I14="",E14,I14),{0,1,10,100,500,1000},{0.0,0.15,0.141,0.0766,0.04714,0.03214}),"MOQ="&amp;K14),"")</f>
        <v>0.12890839275918814</v>
      </c>
      <c r="K14" s="10">
        <v>1</v>
      </c>
      <c r="L14" s="12">
        <f>IFERROR(IF(I14="",E14,I14)*J14,"")</f>
        <v>7.7345</v>
      </c>
      <c r="M14" s="10" t="s">
        <v>104</v>
      </c>
    </row>
    <row r="15" spans="1:13">
      <c r="A15" s="10" t="s">
        <v>37</v>
      </c>
      <c r="B15" s="10" t="s">
        <v>38</v>
      </c>
      <c r="C15" s="10" t="s">
        <v>39</v>
      </c>
      <c r="D15" s="10" t="s">
        <v>40</v>
      </c>
      <c r="E15" s="10">
        <f>CEILING(BoardQty*1.0,1)</f>
        <v>20</v>
      </c>
      <c r="F15" s="11">
        <f>IF(MIN(J15)&lt;&gt;0,MIN(J15),"")</f>
        <v>0.5668312305723167</v>
      </c>
      <c r="G15" s="12">
        <f>IF(AND(ISNUMBER(E15),ISNUMBER(F15)),E15*F15,"")</f>
        <v>11.3366</v>
      </c>
      <c r="H15" s="10">
        <v>235</v>
      </c>
      <c r="I15" s="10"/>
      <c r="J15" s="11">
        <f>IFERROR(IF(OR(I15&gt;=K15,E15&gt;=K15),EUR_USD*LOOKUP(IF(I15="",E15,I15),{0,1,50,100,500},{0.0,0.62,0.566,0.516,0.4992}),"MOQ="&amp;K15),"")</f>
        <v>0.5668312305723167</v>
      </c>
      <c r="K15" s="10">
        <v>1</v>
      </c>
      <c r="L15" s="12">
        <f>IFERROR(IF(I15="",E15,I15)*J15,"")</f>
        <v>11.3366</v>
      </c>
      <c r="M15" s="10" t="s">
        <v>105</v>
      </c>
    </row>
    <row r="16" spans="1:13" ht="30" customHeight="1">
      <c r="A16" s="10" t="s">
        <v>41</v>
      </c>
      <c r="B16" s="10" t="s">
        <v>42</v>
      </c>
      <c r="C16" s="10" t="s">
        <v>43</v>
      </c>
      <c r="D16" s="10" t="s">
        <v>44</v>
      </c>
      <c r="E16" s="10">
        <f>CEILING(BoardQty*3.0,1)</f>
        <v>60</v>
      </c>
      <c r="F16" s="11">
        <f>IF(MIN(J16)&lt;&gt;0,MIN(J16),"")</f>
        <v>0.4267690619857378</v>
      </c>
      <c r="G16" s="12">
        <f>IF(AND(ISNUMBER(E16),ISNUMBER(F16)),E16*F16,"")</f>
        <v>25.6061</v>
      </c>
      <c r="H16" s="10">
        <v>3935</v>
      </c>
      <c r="I16" s="10"/>
      <c r="J16" s="11">
        <f>IFERROR(IF(OR(I16&gt;=K16,E16&gt;=K16),EUR_USD*LOOKUP(IF(I16="",E16,I16),{0,1,10,25,50,100,250,500,1000,5000},{0.0,0.97,0.607,0.5196,0.4668,0.4572,0.38908,0.36962,0.33071,0.25873}),"MOQ="&amp;K16),"")</f>
        <v>0.4267690619857378</v>
      </c>
      <c r="K16" s="10">
        <v>1</v>
      </c>
      <c r="L16" s="12">
        <f>IFERROR(IF(I16="",E16,I16)*J16,"")</f>
        <v>25.6061</v>
      </c>
      <c r="M16" s="10" t="s">
        <v>106</v>
      </c>
    </row>
    <row r="17" spans="1:13">
      <c r="A17" s="10" t="s">
        <v>45</v>
      </c>
      <c r="B17" s="10" t="s">
        <v>46</v>
      </c>
      <c r="C17" s="10" t="s">
        <v>47</v>
      </c>
      <c r="D17" s="10" t="s">
        <v>46</v>
      </c>
      <c r="E17" s="10">
        <f>CEILING(BoardQty*2.0,1)</f>
        <v>40</v>
      </c>
      <c r="F17" s="11">
        <f>IF(MIN(J17)&lt;&gt;0,MIN(J17),"")</f>
        <v>1.2031449990857561</v>
      </c>
      <c r="G17" s="12">
        <f>IF(AND(ISNUMBER(E17),ISNUMBER(F17)),E17*F17,"")</f>
        <v>48.1258</v>
      </c>
      <c r="H17" s="10">
        <v>6959</v>
      </c>
      <c r="I17" s="10"/>
      <c r="J17" s="11">
        <f>IFERROR(IF(OR(I17&gt;=K17,E17&gt;=K17),EUR_USD*LOOKUP(IF(I17="",E17,I17),{0,1,10,25,40,80,230,500,1000,5000},{0.0,1.66,1.558,1.3852,1.316,1.24675,1.10826,1.03898,0.96972,0.93509}),"MOQ="&amp;K17),"")</f>
        <v>1.2031449990857561</v>
      </c>
      <c r="K17" s="10">
        <v>1</v>
      </c>
      <c r="L17" s="12">
        <f>IFERROR(IF(I17="",E17,I17)*J17,"")</f>
        <v>48.1258</v>
      </c>
      <c r="M17" s="10" t="s">
        <v>107</v>
      </c>
    </row>
    <row r="18" spans="1:13">
      <c r="A18" s="10" t="s">
        <v>48</v>
      </c>
      <c r="B18" s="10" t="s">
        <v>49</v>
      </c>
      <c r="C18" s="10" t="s">
        <v>50</v>
      </c>
      <c r="D18" s="10" t="s">
        <v>49</v>
      </c>
      <c r="E18" s="10">
        <f>CEILING(BoardQty*1.0,1)</f>
        <v>20</v>
      </c>
      <c r="F18" s="11">
        <f>IF(MIN(J18)&lt;&gt;0,MIN(J18),"")</f>
        <v>4.7312122874382885</v>
      </c>
      <c r="G18" s="12">
        <f>IF(AND(ISNUMBER(E18),ISNUMBER(F18)),E18*F18,"")</f>
        <v>94.6242</v>
      </c>
      <c r="H18" s="10">
        <v>10414</v>
      </c>
      <c r="I18" s="10"/>
      <c r="J18" s="11">
        <f>IFERROR(IF(OR(I18&gt;=K18,E18&gt;=K18),EUR_USD*LOOKUP(IF(I18="",E18,I18),{0,1,5,10,25,50,100,250,500},{0.0,5.33,5.254,5.175,5.0176,4.8712,4.7363,4.60128,4.26378}),"MOQ="&amp;K18),"")</f>
        <v>4.7312122874382885</v>
      </c>
      <c r="K18" s="10">
        <v>1</v>
      </c>
      <c r="L18" s="12">
        <f>IFERROR(IF(I18="",E18,I18)*J18,"")</f>
        <v>94.6242</v>
      </c>
      <c r="M18" s="10" t="s">
        <v>108</v>
      </c>
    </row>
    <row r="19" spans="1:13">
      <c r="A19" s="10" t="s">
        <v>51</v>
      </c>
      <c r="B19" s="10" t="s">
        <v>52</v>
      </c>
      <c r="C19" s="10" t="s">
        <v>53</v>
      </c>
      <c r="D19" s="10" t="s">
        <v>54</v>
      </c>
      <c r="E19" s="10">
        <f>CEILING(BoardQty*2.0,1)</f>
        <v>40</v>
      </c>
      <c r="F19" s="11">
        <f>IF(MIN(J19)&lt;&gt;0,MIN(J19),"")</f>
        <v>0.1398793198025233</v>
      </c>
      <c r="G19" s="12">
        <f>IF(AND(ISNUMBER(E19),ISNUMBER(F19)),E19*F19,"")</f>
        <v>5.5952</v>
      </c>
      <c r="H19" s="10">
        <v>266755</v>
      </c>
      <c r="I19" s="10"/>
      <c r="J19" s="11">
        <f>IFERROR(IF(OR(I19&gt;=K19,E19&gt;=K19),EUR_USD*LOOKUP(IF(I19="",E19,I19),{0,1,10,100,500,1000},{0.0,0.17,0.153,0.0834,0.0513,0.03498}),"MOQ="&amp;K19),"")</f>
        <v>0.1398793198025233</v>
      </c>
      <c r="K19" s="10">
        <v>1</v>
      </c>
      <c r="L19" s="12">
        <f>IFERROR(IF(I19="",E19,I19)*J19,"")</f>
        <v>5.5952</v>
      </c>
      <c r="M19" s="10" t="s">
        <v>109</v>
      </c>
    </row>
    <row r="20" spans="1:13" ht="30" customHeight="1">
      <c r="A20" s="10" t="s">
        <v>55</v>
      </c>
      <c r="B20" s="10" t="s">
        <v>56</v>
      </c>
      <c r="C20" s="10" t="s">
        <v>57</v>
      </c>
      <c r="D20" s="10" t="s">
        <v>58</v>
      </c>
      <c r="E20" s="10">
        <f>CEILING(BoardQty*8.0,1)</f>
        <v>160</v>
      </c>
      <c r="F20" s="11">
        <f>IF(MIN(J20)&lt;&gt;0,MIN(J20),"")</f>
        <v>0.029072956664838178</v>
      </c>
      <c r="G20" s="12">
        <f>IF(AND(ISNUMBER(E20),ISNUMBER(F20)),E20*F20,"")</f>
        <v>4.6517</v>
      </c>
      <c r="H20" s="10">
        <v>207265</v>
      </c>
      <c r="I20" s="10"/>
      <c r="J20" s="11">
        <f>IFERROR(IF(OR(I20&gt;=K20,E20&gt;=K20),EUR_USD*LOOKUP(IF(I20="",E20,I20),{0,1,10,50,100,500,1000},{0.0,0.12,0.057,0.0374,0.0318,0.02238,0.01949}),"MOQ="&amp;K20),"")</f>
        <v>0.029072956664838178</v>
      </c>
      <c r="K20" s="10">
        <v>1</v>
      </c>
      <c r="L20" s="12">
        <f>IFERROR(IF(I20="",E20,I20)*J20,"")</f>
        <v>4.6517</v>
      </c>
      <c r="M20" s="10" t="s">
        <v>110</v>
      </c>
    </row>
    <row r="21" spans="1:13" ht="30" customHeight="1">
      <c r="A21" s="10" t="s">
        <v>59</v>
      </c>
      <c r="B21" s="10" t="s">
        <v>60</v>
      </c>
      <c r="C21" s="10" t="s">
        <v>57</v>
      </c>
      <c r="D21" s="10" t="s">
        <v>61</v>
      </c>
      <c r="E21" s="10">
        <f>CEILING(BoardQty*1.0,1)</f>
        <v>20</v>
      </c>
      <c r="F21" s="11">
        <f>IF(MIN(J21)&lt;&gt;0,MIN(J21),"")</f>
        <v>0.46352166758091057</v>
      </c>
      <c r="G21" s="12">
        <f>IF(AND(ISNUMBER(E21),ISNUMBER(F21)),E21*F21,"")</f>
        <v>9.2704</v>
      </c>
      <c r="H21" s="10">
        <v>7720</v>
      </c>
      <c r="I21" s="10"/>
      <c r="J21" s="11">
        <f>IFERROR(IF(OR(I21&gt;=K21,E21&gt;=K21),EUR_USD*LOOKUP(IF(I21="",E21,I21),{0,1,10,50,100,500,1000},{0.0,0.69,0.507,0.3576,0.295,0.20856,0.16542}),"MOQ="&amp;K21),"")</f>
        <v>0.46352166758091057</v>
      </c>
      <c r="K21" s="10">
        <v>1</v>
      </c>
      <c r="L21" s="12">
        <f>IFERROR(IF(I21="",E21,I21)*J21,"")</f>
        <v>9.2704</v>
      </c>
      <c r="M21" s="10" t="s">
        <v>111</v>
      </c>
    </row>
    <row r="22" spans="1:13" ht="30" customHeight="1">
      <c r="A22" s="10" t="s">
        <v>62</v>
      </c>
      <c r="B22" s="10" t="s">
        <v>63</v>
      </c>
      <c r="C22" s="10" t="s">
        <v>57</v>
      </c>
      <c r="D22" s="10" t="s">
        <v>64</v>
      </c>
      <c r="E22" s="10">
        <f>CEILING(BoardQty*6.0,1)</f>
        <v>120</v>
      </c>
      <c r="F22" s="11">
        <f>IF(MIN(J22)&lt;&gt;0,MIN(J22),"")</f>
        <v>0.03574693728286707</v>
      </c>
      <c r="G22" s="12">
        <f>IF(AND(ISNUMBER(E22),ISNUMBER(F22)),E22*F22,"")</f>
        <v>4.2896</v>
      </c>
      <c r="H22" s="10">
        <v>17980</v>
      </c>
      <c r="I22" s="10"/>
      <c r="J22" s="11">
        <f>IFERROR(IF(OR(I22&gt;=K22,E22&gt;=K22),EUR_USD*LOOKUP(IF(I22="",E22,I22),{0,1,10,50,100,500,1000},{0.0,0.14,0.068,0.0458,0.0391,0.02804,0.02467}),"MOQ="&amp;K22),"")</f>
        <v>0.03574693728286707</v>
      </c>
      <c r="K22" s="10">
        <v>1</v>
      </c>
      <c r="L22" s="12">
        <f>IFERROR(IF(I22="",E22,I22)*J22,"")</f>
        <v>4.2896</v>
      </c>
      <c r="M22" s="10" t="s">
        <v>112</v>
      </c>
    </row>
    <row r="23" spans="1:13" ht="30" customHeight="1">
      <c r="A23" s="10" t="s">
        <v>65</v>
      </c>
      <c r="B23" s="10" t="s">
        <v>66</v>
      </c>
      <c r="C23" s="10" t="s">
        <v>57</v>
      </c>
      <c r="D23" s="10" t="s">
        <v>67</v>
      </c>
      <c r="E23" s="10">
        <f>CEILING(BoardQty*2.0,1)</f>
        <v>40</v>
      </c>
      <c r="F23" s="11">
        <f>IF(MIN(J23)&lt;&gt;0,MIN(J23),"")</f>
        <v>0.10879502651307368</v>
      </c>
      <c r="G23" s="12">
        <f>IF(AND(ISNUMBER(E23),ISNUMBER(F23)),E23*F23,"")</f>
        <v>4.3518</v>
      </c>
      <c r="H23" s="10">
        <v>15215</v>
      </c>
      <c r="I23" s="10"/>
      <c r="J23" s="11">
        <f>IFERROR(IF(OR(I23&gt;=K23,E23&gt;=K23),EUR_USD*LOOKUP(IF(I23="",E23,I23),{0,1,10,50,100,500,1000},{0.0,0.14,0.119,0.0626,0.0464,0.02804,0.01942}),"MOQ="&amp;K23),"")</f>
        <v>0.10879502651307368</v>
      </c>
      <c r="K23" s="10">
        <v>1</v>
      </c>
      <c r="L23" s="12">
        <f>IFERROR(IF(I23="",E23,I23)*J23,"")</f>
        <v>4.3518</v>
      </c>
      <c r="M23" s="10" t="s">
        <v>113</v>
      </c>
    </row>
    <row r="24" spans="1:13" ht="30" customHeight="1">
      <c r="A24" s="10" t="s">
        <v>68</v>
      </c>
      <c r="B24" s="10" t="s">
        <v>69</v>
      </c>
      <c r="C24" s="10" t="s">
        <v>70</v>
      </c>
      <c r="D24" s="10" t="s">
        <v>71</v>
      </c>
      <c r="E24" s="10">
        <f>CEILING(BoardQty*1.0,1)</f>
        <v>20</v>
      </c>
      <c r="F24" s="11">
        <f>IF(MIN(J24)&lt;&gt;0,MIN(J24),"")</f>
        <v>0.5174620588773083</v>
      </c>
      <c r="G24" s="12">
        <f>IF(AND(ISNUMBER(E24),ISNUMBER(F24)),E24*F24,"")</f>
        <v>10.3492</v>
      </c>
      <c r="H24" s="10">
        <v>113856</v>
      </c>
      <c r="I24" s="10"/>
      <c r="J24" s="11">
        <f>IFERROR(IF(OR(I24&gt;=K24,E24&gt;=K24),EUR_USD*LOOKUP(IF(I24="",E24,I24),{0,1,10,50,100,500,1000},{0.0,0.68,0.566,0.4366,0.3799,0.27484,0.2223}),"MOQ="&amp;K24),"")</f>
        <v>0.5174620588773083</v>
      </c>
      <c r="K24" s="10">
        <v>1</v>
      </c>
      <c r="L24" s="12">
        <f>IFERROR(IF(I24="",E24,I24)*J24,"")</f>
        <v>10.3492</v>
      </c>
      <c r="M24" s="10" t="s">
        <v>114</v>
      </c>
    </row>
    <row r="25" spans="1:13">
      <c r="A25" s="10" t="s">
        <v>72</v>
      </c>
      <c r="B25" s="10" t="s">
        <v>73</v>
      </c>
      <c r="C25" s="10" t="s">
        <v>74</v>
      </c>
      <c r="D25" s="10" t="s">
        <v>73</v>
      </c>
      <c r="E25" s="10">
        <f>CEILING(BoardQty*1.0,1)</f>
        <v>20</v>
      </c>
      <c r="F25" s="11">
        <f>IF(MIN(J25)&lt;&gt;0,MIN(J25),"")</f>
        <v>0.37849698299506307</v>
      </c>
      <c r="G25" s="12">
        <f>IF(AND(ISNUMBER(E25),ISNUMBER(F25)),E25*F25,"")</f>
        <v>7.5699</v>
      </c>
      <c r="H25" s="10">
        <v>6900</v>
      </c>
      <c r="I25" s="10"/>
      <c r="J25" s="11">
        <f>IFERROR(IF(OR(I25&gt;=K25,E25&gt;=K25),EUR_USD*LOOKUP(IF(I25="",E25,I25),{0,1,10,25,100,250,500,1000,2500,5000},{0.0,0.51,0.414,0.3788,0.2818,0.2554,0.21138,0.15853,0.14532,0.13651}),"MOQ="&amp;K25),"")</f>
        <v>0.37849698299506307</v>
      </c>
      <c r="K25" s="10">
        <v>1</v>
      </c>
      <c r="L25" s="12">
        <f>IFERROR(IF(I25="",E25,I25)*J25,"")</f>
        <v>7.5699</v>
      </c>
      <c r="M25" s="10" t="s">
        <v>115</v>
      </c>
    </row>
    <row r="26" spans="1:13">
      <c r="A26" s="10" t="s">
        <v>75</v>
      </c>
      <c r="B26" s="10" t="s">
        <v>76</v>
      </c>
      <c r="C26" s="10" t="s">
        <v>77</v>
      </c>
      <c r="D26" s="10" t="s">
        <v>78</v>
      </c>
      <c r="E26" s="10">
        <f>CEILING(BoardQty*2.0,1)</f>
        <v>40</v>
      </c>
      <c r="F26" s="11">
        <f>IF(MIN(J26)&lt;&gt;0,MIN(J26),"")</f>
        <v>0.3101115377582739</v>
      </c>
      <c r="G26" s="12">
        <f>IF(AND(ISNUMBER(E26),ISNUMBER(F26)),E26*F26,"")</f>
        <v>12.4045</v>
      </c>
      <c r="H26" s="10">
        <v>66274</v>
      </c>
      <c r="I26" s="10"/>
      <c r="J26" s="11">
        <f>IFERROR(IF(OR(I26&gt;=K26,E26&gt;=K26),EUR_USD*LOOKUP(IF(I26="",E26,I26),{0,1,10,25,100,250,500,1000,2500,5000},{0.0,0.37,0.36,0.3392,0.2944,0.26708,0.24846,0.22361,0.20995,0.19504}),"MOQ="&amp;K26),"")</f>
        <v>0.3101115377582739</v>
      </c>
      <c r="K26" s="10">
        <v>1</v>
      </c>
      <c r="L26" s="12">
        <f>IFERROR(IF(I26="",E26,I26)*J26,"")</f>
        <v>12.4045</v>
      </c>
      <c r="M26" s="10" t="s">
        <v>116</v>
      </c>
    </row>
    <row r="27" spans="1:13">
      <c r="A27" s="10" t="s">
        <v>79</v>
      </c>
      <c r="B27" s="10" t="s">
        <v>80</v>
      </c>
      <c r="C27" s="10" t="s">
        <v>81</v>
      </c>
      <c r="D27" s="10" t="s">
        <v>80</v>
      </c>
      <c r="E27" s="10">
        <f>CEILING(BoardQty*1.0,1)</f>
        <v>20</v>
      </c>
      <c r="F27" s="11">
        <f>IF(MIN(J27)&lt;&gt;0,MIN(J27),"")</f>
        <v>2.8798683488754797</v>
      </c>
      <c r="G27" s="12">
        <f>IF(AND(ISNUMBER(E27),ISNUMBER(F27)),E27*F27,"")</f>
        <v>57.5974</v>
      </c>
      <c r="H27" s="10">
        <v>9799</v>
      </c>
      <c r="I27" s="10"/>
      <c r="J27" s="11">
        <f>IFERROR(IF(OR(I27&gt;=K27,E27&gt;=K27),EUR_USD*LOOKUP(IF(I27="",E27,I27),{0,1},{0.0,3.15}),"MOQ="&amp;K27),"")</f>
        <v>2.8798683488754797</v>
      </c>
      <c r="K27" s="10">
        <v>1</v>
      </c>
      <c r="L27" s="12">
        <f>IFERROR(IF(I27="",E27,I27)*J27,"")</f>
        <v>57.5974</v>
      </c>
      <c r="M27" s="10" t="s">
        <v>117</v>
      </c>
    </row>
    <row r="28" spans="1:13">
      <c r="A28" s="10" t="s">
        <v>82</v>
      </c>
      <c r="B28" s="10" t="s">
        <v>83</v>
      </c>
      <c r="C28" s="10" t="s">
        <v>84</v>
      </c>
      <c r="D28" s="10" t="s">
        <v>83</v>
      </c>
      <c r="E28" s="10">
        <f>CEILING(BoardQty*1.0,1)</f>
        <v>20</v>
      </c>
      <c r="F28" s="11">
        <f>IF(MIN(J28)&lt;&gt;0,MIN(J28),"")</f>
        <v>0.8319619674529164</v>
      </c>
      <c r="G28" s="12">
        <f>IF(AND(ISNUMBER(E28),ISNUMBER(F28)),E28*F28,"")</f>
        <v>16.6392</v>
      </c>
      <c r="H28" s="10">
        <v>545</v>
      </c>
      <c r="I28" s="10"/>
      <c r="J28" s="11">
        <f>IFERROR(IF(OR(I28&gt;=K28,E28&gt;=K28),EUR_USD*LOOKUP(IF(I28="",E28,I28),{0,1,25,100},{0.0,0.91,0.77,0.71}),"MOQ="&amp;K28),"")</f>
        <v>0.8319619674529164</v>
      </c>
      <c r="K28" s="10">
        <v>1</v>
      </c>
      <c r="L28" s="12">
        <f>IFERROR(IF(I28="",E28,I28)*J28,"")</f>
        <v>16.6392</v>
      </c>
      <c r="M28" s="10" t="s">
        <v>118</v>
      </c>
    </row>
    <row r="29" spans="1:13">
      <c r="A29" s="10" t="s">
        <v>85</v>
      </c>
      <c r="B29" s="10" t="s">
        <v>86</v>
      </c>
      <c r="C29" s="10" t="s">
        <v>87</v>
      </c>
      <c r="D29" s="10" t="s">
        <v>88</v>
      </c>
      <c r="E29" s="10">
        <f>CEILING(BoardQty*2.0,1)</f>
        <v>40</v>
      </c>
      <c r="F29" s="11">
        <f>IF(MIN(J29)&lt;&gt;0,MIN(J29),"")</f>
        <v>0.6372280124337173</v>
      </c>
      <c r="G29" s="12">
        <f>IF(AND(ISNUMBER(E29),ISNUMBER(F29)),E29*F29,"")</f>
        <v>25.4891</v>
      </c>
      <c r="H29" s="10">
        <v>4749</v>
      </c>
      <c r="I29" s="10"/>
      <c r="J29" s="11">
        <f>IFERROR(IF(OR(I29&gt;=K29,E29&gt;=K29),EUR_USD*LOOKUP(IF(I29="",E29,I29),{0,1,10,100,1000,2000,5000,10000,25000},{0.0,1.07,0.697,0.4566,0.36048,0.33645,0.32443,0.31963,0.31242}),"MOQ="&amp;K29),"")</f>
        <v>0.6372280124337173</v>
      </c>
      <c r="K29" s="10">
        <v>1</v>
      </c>
      <c r="L29" s="12">
        <f>IFERROR(IF(I29="",E29,I29)*J29,"")</f>
        <v>25.4891</v>
      </c>
      <c r="M29" s="10" t="s">
        <v>119</v>
      </c>
    </row>
    <row r="30" spans="1:13" ht="30" customHeight="1">
      <c r="A30" s="10" t="s">
        <v>89</v>
      </c>
      <c r="B30" s="10" t="s">
        <v>90</v>
      </c>
      <c r="C30" s="10" t="s">
        <v>91</v>
      </c>
      <c r="D30" s="10" t="s">
        <v>90</v>
      </c>
      <c r="E30" s="10">
        <f>CEILING(BoardQty*1.0,1)</f>
        <v>20</v>
      </c>
      <c r="F30" s="11">
        <f>IF(MIN(J30)&lt;&gt;0,MIN(J30),"")</f>
        <v>0.4589504479795209</v>
      </c>
      <c r="G30" s="12">
        <f>IF(AND(ISNUMBER(E30),ISNUMBER(F30)),E30*F30,"")</f>
        <v>9.179</v>
      </c>
      <c r="H30" s="10">
        <v>93569</v>
      </c>
      <c r="I30" s="10"/>
      <c r="J30" s="11">
        <f>IFERROR(IF(OR(I30&gt;=K30,E30&gt;=K30),EUR_USD*LOOKUP(IF(I30="",E30,I30),{0,1,10,50,100,500},{0.0,0.6,0.502,0.4522,0.402,0.38188}),"MOQ="&amp;K30),"")</f>
        <v>0.4589504479795209</v>
      </c>
      <c r="K30" s="10">
        <v>1</v>
      </c>
      <c r="L30" s="12">
        <f>IFERROR(IF(I30="",E30,I30)*J30,"")</f>
        <v>9.179</v>
      </c>
      <c r="M30" s="10" t="s">
        <v>120</v>
      </c>
    </row>
    <row r="32" spans="1:13">
      <c r="B32" s="13" t="s">
        <v>124</v>
      </c>
      <c r="C32">
        <v>0.9142439202779301</v>
      </c>
      <c r="F32" s="1" t="s">
        <v>122</v>
      </c>
      <c r="G32" s="5">
        <f>SUM(L32)</f>
        <v>0</v>
      </c>
      <c r="H32" s="14" t="s">
        <v>121</v>
      </c>
      <c r="I32" s="6">
        <f>IFERROR(IF(COUNTIF(I7:I30,"&gt;0")&gt;0,COUNTIF(I7:I30,"&gt;0")&amp;" of "&amp;(ROWS(K7:K30)-COUNTBLANK(K7:K30))&amp;" parts purchased",""),"")</f>
        <v/>
      </c>
      <c r="L32" s="5">
        <f>SUMIF(I7:I30,"&gt;0",L7:L30)</f>
        <v>0</v>
      </c>
    </row>
    <row r="33" spans="1:9">
      <c r="F33" s="13" t="s">
        <v>123</v>
      </c>
      <c r="I33" s="15">
        <f>CONCATENATE(I58,I59,I60,I61,I62,I63,I64,I65,I66,I67,I68,I69,I70,I71,I72,I73,I74,I75,I76,I77,I78,I79,I80,I81)</f>
        <v/>
      </c>
    </row>
    <row r="34" spans="1:9">
      <c r="A34" s="2" t="s">
        <v>135</v>
      </c>
    </row>
    <row r="58" spans="9:9" ht="30" hidden="1" customHeight="1">
      <c r="I58" t="str">
        <f t="array" ref="I58:I81">IF(ISNUMBER(I7:I30)*(I7:I30&gt;=K7:K30)*(M7:M30&lt;&gt;""),TEXT(ROUNDUP(I7:I30/IF(ISNUMBER(K7:K30),K7:K30,1),0)*K7:K30,"##0")&amp;","&amp;M7:M30&amp;","&amp;SUBSTITUTE(SUBSTITUTE(IF(PURCHASE_DESCRIPTION&lt;&gt;"",PURCHASE_DESCRIPTION&amp;":","")&amp;A7:A30,",",";"),"
"," ")&amp;CHAR(10),"")</f>
        <v/>
      </c>
    </row>
    <row r="59" spans="9:9" ht="30" hidden="1" customHeight="1">
      <c r="I59">
        <v>0</v>
      </c>
    </row>
    <row r="60" spans="9:9" ht="30" hidden="1" customHeight="1">
      <c r="I60">
        <v>0</v>
      </c>
    </row>
    <row r="61" spans="9:9" ht="30" hidden="1" customHeight="1">
      <c r="I61">
        <v>0</v>
      </c>
    </row>
    <row r="62" spans="9:9" ht="30" hidden="1" customHeight="1">
      <c r="I62">
        <v>0</v>
      </c>
    </row>
    <row r="63" spans="9:9" ht="30" hidden="1" customHeight="1">
      <c r="I63">
        <v>0</v>
      </c>
    </row>
    <row r="64" spans="9:9" ht="30" hidden="1" customHeight="1">
      <c r="I64">
        <v>0</v>
      </c>
    </row>
    <row r="65" spans="9:9" ht="30" hidden="1" customHeight="1">
      <c r="I65">
        <v>0</v>
      </c>
    </row>
    <row r="66" spans="9:9" ht="30" hidden="1" customHeight="1">
      <c r="I66">
        <v>0</v>
      </c>
    </row>
    <row r="67" spans="9:9" ht="30" hidden="1" customHeight="1">
      <c r="I67">
        <v>0</v>
      </c>
    </row>
    <row r="68" spans="9:9" ht="30" hidden="1" customHeight="1">
      <c r="I68">
        <v>0</v>
      </c>
    </row>
    <row r="69" spans="9:9" ht="30" hidden="1" customHeight="1">
      <c r="I69">
        <v>0</v>
      </c>
    </row>
    <row r="70" spans="9:9" ht="30" hidden="1" customHeight="1">
      <c r="I70">
        <v>0</v>
      </c>
    </row>
    <row r="71" spans="9:9" ht="30" hidden="1" customHeight="1">
      <c r="I71">
        <v>0</v>
      </c>
    </row>
    <row r="72" spans="9:9" ht="30" hidden="1" customHeight="1">
      <c r="I72">
        <v>0</v>
      </c>
    </row>
    <row r="73" spans="9:9" ht="30" hidden="1" customHeight="1">
      <c r="I73">
        <v>0</v>
      </c>
    </row>
    <row r="74" spans="9:9" ht="30" hidden="1" customHeight="1">
      <c r="I74">
        <v>0</v>
      </c>
    </row>
    <row r="75" spans="9:9" ht="30" hidden="1" customHeight="1">
      <c r="I75">
        <v>0</v>
      </c>
    </row>
    <row r="76" spans="9:9" ht="30" hidden="1" customHeight="1">
      <c r="I76">
        <v>0</v>
      </c>
    </row>
    <row r="77" spans="9:9" ht="30" hidden="1" customHeight="1">
      <c r="I77">
        <v>0</v>
      </c>
    </row>
    <row r="78" spans="9:9" ht="30" hidden="1" customHeight="1">
      <c r="I78">
        <v>0</v>
      </c>
    </row>
    <row r="79" spans="9:9" ht="30" hidden="1" customHeight="1">
      <c r="I79">
        <v>0</v>
      </c>
    </row>
    <row r="80" spans="9:9" ht="30" hidden="1" customHeight="1">
      <c r="I80">
        <v>0</v>
      </c>
    </row>
    <row r="81" spans="9:9" ht="30" hidden="1" customHeight="1">
      <c r="I81">
        <v>0</v>
      </c>
    </row>
  </sheetData>
  <mergeCells count="3">
    <mergeCell ref="A5:G5"/>
    <mergeCell ref="H5:M5"/>
    <mergeCell ref="I33:L57"/>
  </mergeCells>
  <conditionalFormatting sqref="E10">
    <cfRule type="expression" dxfId="2" priority="61">
      <formula>AND(ISBLANK(D10),ISBLANK(L10))</formula>
    </cfRule>
    <cfRule type="expression" dxfId="1" priority="62">
      <formula>IF(SUM(H10)=0,1,0)</formula>
    </cfRule>
    <cfRule type="cellIs" dxfId="0" priority="63" operator="greaterThan">
      <formula>SUM(H10)</formula>
    </cfRule>
    <cfRule type="cellIs" dxfId="3" priority="64" operator="greaterThan">
      <formula>SUM(IF(ISNUMBER(J10),I10,0))</formula>
    </cfRule>
  </conditionalFormatting>
  <conditionalFormatting sqref="E11">
    <cfRule type="expression" dxfId="2" priority="65">
      <formula>AND(ISBLANK(D11),ISBLANK(L11))</formula>
    </cfRule>
    <cfRule type="expression" dxfId="1" priority="66">
      <formula>IF(SUM(H11)=0,1,0)</formula>
    </cfRule>
    <cfRule type="cellIs" dxfId="0" priority="67" operator="greaterThan">
      <formula>SUM(H11)</formula>
    </cfRule>
    <cfRule type="cellIs" dxfId="3" priority="68" operator="greaterThan">
      <formula>SUM(IF(ISNUMBER(J11),I11,0))</formula>
    </cfRule>
  </conditionalFormatting>
  <conditionalFormatting sqref="E12">
    <cfRule type="expression" dxfId="2" priority="69">
      <formula>AND(ISBLANK(D12),ISBLANK(L12))</formula>
    </cfRule>
    <cfRule type="expression" dxfId="1" priority="70">
      <formula>IF(SUM(H12)=0,1,0)</formula>
    </cfRule>
    <cfRule type="cellIs" dxfId="0" priority="71" operator="greaterThan">
      <formula>SUM(H12)</formula>
    </cfRule>
    <cfRule type="cellIs" dxfId="3" priority="72" operator="greaterThan">
      <formula>SUM(IF(ISNUMBER(J12),I12,0))</formula>
    </cfRule>
  </conditionalFormatting>
  <conditionalFormatting sqref="E13">
    <cfRule type="expression" dxfId="2" priority="73">
      <formula>AND(ISBLANK(D13),ISBLANK(L13))</formula>
    </cfRule>
    <cfRule type="expression" dxfId="1" priority="74">
      <formula>IF(SUM(H13)=0,1,0)</formula>
    </cfRule>
    <cfRule type="cellIs" dxfId="0" priority="75" operator="greaterThan">
      <formula>SUM(H13)</formula>
    </cfRule>
    <cfRule type="cellIs" dxfId="3" priority="76" operator="greaterThan">
      <formula>SUM(IF(ISNUMBER(J13),I13,0))</formula>
    </cfRule>
  </conditionalFormatting>
  <conditionalFormatting sqref="E14">
    <cfRule type="expression" dxfId="2" priority="77">
      <formula>AND(ISBLANK(D14),ISBLANK(L14))</formula>
    </cfRule>
    <cfRule type="expression" dxfId="1" priority="78">
      <formula>IF(SUM(H14)=0,1,0)</formula>
    </cfRule>
    <cfRule type="cellIs" dxfId="0" priority="79" operator="greaterThan">
      <formula>SUM(H14)</formula>
    </cfRule>
    <cfRule type="cellIs" dxfId="3" priority="80" operator="greaterThan">
      <formula>SUM(IF(ISNUMBER(J14),I14,0))</formula>
    </cfRule>
  </conditionalFormatting>
  <conditionalFormatting sqref="E15">
    <cfRule type="expression" dxfId="2" priority="81">
      <formula>AND(ISBLANK(D15),ISBLANK(L15))</formula>
    </cfRule>
    <cfRule type="expression" dxfId="1" priority="82">
      <formula>IF(SUM(H15)=0,1,0)</formula>
    </cfRule>
    <cfRule type="cellIs" dxfId="0" priority="83" operator="greaterThan">
      <formula>SUM(H15)</formula>
    </cfRule>
    <cfRule type="cellIs" dxfId="3" priority="84" operator="greaterThan">
      <formula>SUM(IF(ISNUMBER(J15),I15,0))</formula>
    </cfRule>
  </conditionalFormatting>
  <conditionalFormatting sqref="E16">
    <cfRule type="expression" dxfId="2" priority="85">
      <formula>AND(ISBLANK(D16),ISBLANK(L16))</formula>
    </cfRule>
    <cfRule type="expression" dxfId="1" priority="86">
      <formula>IF(SUM(H16)=0,1,0)</formula>
    </cfRule>
    <cfRule type="cellIs" dxfId="0" priority="87" operator="greaterThan">
      <formula>SUM(H16)</formula>
    </cfRule>
    <cfRule type="cellIs" dxfId="3" priority="88" operator="greaterThan">
      <formula>SUM(IF(ISNUMBER(J16),I16,0))</formula>
    </cfRule>
  </conditionalFormatting>
  <conditionalFormatting sqref="E17">
    <cfRule type="expression" dxfId="2" priority="89">
      <formula>AND(ISBLANK(D17),ISBLANK(L17))</formula>
    </cfRule>
    <cfRule type="expression" dxfId="1" priority="90">
      <formula>IF(SUM(H17)=0,1,0)</formula>
    </cfRule>
    <cfRule type="cellIs" dxfId="0" priority="91" operator="greaterThan">
      <formula>SUM(H17)</formula>
    </cfRule>
    <cfRule type="cellIs" dxfId="3" priority="92" operator="greaterThan">
      <formula>SUM(IF(ISNUMBER(J17),I17,0))</formula>
    </cfRule>
  </conditionalFormatting>
  <conditionalFormatting sqref="E18">
    <cfRule type="expression" dxfId="2" priority="93">
      <formula>AND(ISBLANK(D18),ISBLANK(L18))</formula>
    </cfRule>
    <cfRule type="expression" dxfId="1" priority="94">
      <formula>IF(SUM(H18)=0,1,0)</formula>
    </cfRule>
    <cfRule type="cellIs" dxfId="0" priority="95" operator="greaterThan">
      <formula>SUM(H18)</formula>
    </cfRule>
    <cfRule type="cellIs" dxfId="3" priority="96" operator="greaterThan">
      <formula>SUM(IF(ISNUMBER(J18),I18,0))</formula>
    </cfRule>
  </conditionalFormatting>
  <conditionalFormatting sqref="E19">
    <cfRule type="expression" dxfId="2" priority="97">
      <formula>AND(ISBLANK(D19),ISBLANK(L19))</formula>
    </cfRule>
    <cfRule type="expression" dxfId="1" priority="98">
      <formula>IF(SUM(H19)=0,1,0)</formula>
    </cfRule>
    <cfRule type="cellIs" dxfId="0" priority="99" operator="greaterThan">
      <formula>SUM(H19)</formula>
    </cfRule>
    <cfRule type="cellIs" dxfId="3" priority="100" operator="greaterThan">
      <formula>SUM(IF(ISNUMBER(J19),I19,0))</formula>
    </cfRule>
  </conditionalFormatting>
  <conditionalFormatting sqref="E20">
    <cfRule type="expression" dxfId="2" priority="101">
      <formula>AND(ISBLANK(D20),ISBLANK(L20))</formula>
    </cfRule>
    <cfRule type="expression" dxfId="1" priority="102">
      <formula>IF(SUM(H20)=0,1,0)</formula>
    </cfRule>
    <cfRule type="cellIs" dxfId="0" priority="103" operator="greaterThan">
      <formula>SUM(H20)</formula>
    </cfRule>
    <cfRule type="cellIs" dxfId="3" priority="104" operator="greaterThan">
      <formula>SUM(IF(ISNUMBER(J20),I20,0))</formula>
    </cfRule>
  </conditionalFormatting>
  <conditionalFormatting sqref="E21">
    <cfRule type="expression" dxfId="2" priority="105">
      <formula>AND(ISBLANK(D21),ISBLANK(L21))</formula>
    </cfRule>
    <cfRule type="expression" dxfId="1" priority="106">
      <formula>IF(SUM(H21)=0,1,0)</formula>
    </cfRule>
    <cfRule type="cellIs" dxfId="0" priority="107" operator="greaterThan">
      <formula>SUM(H21)</formula>
    </cfRule>
    <cfRule type="cellIs" dxfId="3" priority="108" operator="greaterThan">
      <formula>SUM(IF(ISNUMBER(J21),I21,0))</formula>
    </cfRule>
  </conditionalFormatting>
  <conditionalFormatting sqref="E22">
    <cfRule type="expression" dxfId="2" priority="109">
      <formula>AND(ISBLANK(D22),ISBLANK(L22))</formula>
    </cfRule>
    <cfRule type="expression" dxfId="1" priority="110">
      <formula>IF(SUM(H22)=0,1,0)</formula>
    </cfRule>
    <cfRule type="cellIs" dxfId="0" priority="111" operator="greaterThan">
      <formula>SUM(H22)</formula>
    </cfRule>
    <cfRule type="cellIs" dxfId="3" priority="112" operator="greaterThan">
      <formula>SUM(IF(ISNUMBER(J22),I22,0))</formula>
    </cfRule>
  </conditionalFormatting>
  <conditionalFormatting sqref="E23">
    <cfRule type="expression" dxfId="2" priority="113">
      <formula>AND(ISBLANK(D23),ISBLANK(L23))</formula>
    </cfRule>
    <cfRule type="expression" dxfId="1" priority="114">
      <formula>IF(SUM(H23)=0,1,0)</formula>
    </cfRule>
    <cfRule type="cellIs" dxfId="0" priority="115" operator="greaterThan">
      <formula>SUM(H23)</formula>
    </cfRule>
    <cfRule type="cellIs" dxfId="3" priority="116" operator="greaterThan">
      <formula>SUM(IF(ISNUMBER(J23),I23,0))</formula>
    </cfRule>
  </conditionalFormatting>
  <conditionalFormatting sqref="E24">
    <cfRule type="expression" dxfId="2" priority="117">
      <formula>AND(ISBLANK(D24),ISBLANK(L24))</formula>
    </cfRule>
    <cfRule type="expression" dxfId="1" priority="118">
      <formula>IF(SUM(H24)=0,1,0)</formula>
    </cfRule>
    <cfRule type="cellIs" dxfId="0" priority="119" operator="greaterThan">
      <formula>SUM(H24)</formula>
    </cfRule>
    <cfRule type="cellIs" dxfId="3" priority="120" operator="greaterThan">
      <formula>SUM(IF(ISNUMBER(J24),I24,0))</formula>
    </cfRule>
  </conditionalFormatting>
  <conditionalFormatting sqref="E25">
    <cfRule type="expression" dxfId="2" priority="121">
      <formula>AND(ISBLANK(D25),ISBLANK(L25))</formula>
    </cfRule>
    <cfRule type="expression" dxfId="1" priority="122">
      <formula>IF(SUM(H25)=0,1,0)</formula>
    </cfRule>
    <cfRule type="cellIs" dxfId="0" priority="123" operator="greaterThan">
      <formula>SUM(H25)</formula>
    </cfRule>
    <cfRule type="cellIs" dxfId="3" priority="124" operator="greaterThan">
      <formula>SUM(IF(ISNUMBER(J25),I25,0))</formula>
    </cfRule>
  </conditionalFormatting>
  <conditionalFormatting sqref="E26">
    <cfRule type="expression" dxfId="2" priority="125">
      <formula>AND(ISBLANK(D26),ISBLANK(L26))</formula>
    </cfRule>
    <cfRule type="expression" dxfId="1" priority="126">
      <formula>IF(SUM(H26)=0,1,0)</formula>
    </cfRule>
    <cfRule type="cellIs" dxfId="0" priority="127" operator="greaterThan">
      <formula>SUM(H26)</formula>
    </cfRule>
    <cfRule type="cellIs" dxfId="3" priority="128" operator="greaterThan">
      <formula>SUM(IF(ISNUMBER(J26),I26,0))</formula>
    </cfRule>
  </conditionalFormatting>
  <conditionalFormatting sqref="E27">
    <cfRule type="expression" dxfId="2" priority="129">
      <formula>AND(ISBLANK(D27),ISBLANK(L27))</formula>
    </cfRule>
    <cfRule type="expression" dxfId="1" priority="130">
      <formula>IF(SUM(H27)=0,1,0)</formula>
    </cfRule>
    <cfRule type="cellIs" dxfId="0" priority="131" operator="greaterThan">
      <formula>SUM(H27)</formula>
    </cfRule>
    <cfRule type="cellIs" dxfId="3" priority="132" operator="greaterThan">
      <formula>SUM(IF(ISNUMBER(J27),I27,0))</formula>
    </cfRule>
  </conditionalFormatting>
  <conditionalFormatting sqref="E28">
    <cfRule type="expression" dxfId="2" priority="133">
      <formula>AND(ISBLANK(D28),ISBLANK(L28))</formula>
    </cfRule>
    <cfRule type="expression" dxfId="1" priority="134">
      <formula>IF(SUM(H28)=0,1,0)</formula>
    </cfRule>
    <cfRule type="cellIs" dxfId="0" priority="135" operator="greaterThan">
      <formula>SUM(H28)</formula>
    </cfRule>
    <cfRule type="cellIs" dxfId="3" priority="136" operator="greaterThan">
      <formula>SUM(IF(ISNUMBER(J28),I28,0))</formula>
    </cfRule>
  </conditionalFormatting>
  <conditionalFormatting sqref="E29">
    <cfRule type="expression" dxfId="2" priority="137">
      <formula>AND(ISBLANK(D29),ISBLANK(L29))</formula>
    </cfRule>
    <cfRule type="expression" dxfId="1" priority="138">
      <formula>IF(SUM(H29)=0,1,0)</formula>
    </cfRule>
    <cfRule type="cellIs" dxfId="0" priority="139" operator="greaterThan">
      <formula>SUM(H29)</formula>
    </cfRule>
    <cfRule type="cellIs" dxfId="3" priority="140" operator="greaterThan">
      <formula>SUM(IF(ISNUMBER(J29),I29,0))</formula>
    </cfRule>
  </conditionalFormatting>
  <conditionalFormatting sqref="E30">
    <cfRule type="expression" dxfId="2" priority="141">
      <formula>AND(ISBLANK(D30),ISBLANK(L30))</formula>
    </cfRule>
    <cfRule type="expression" dxfId="1" priority="142">
      <formula>IF(SUM(H30)=0,1,0)</formula>
    </cfRule>
    <cfRule type="cellIs" dxfId="0" priority="143" operator="greaterThan">
      <formula>SUM(H30)</formula>
    </cfRule>
    <cfRule type="cellIs" dxfId="3" priority="144" operator="greaterThan">
      <formula>SUM(IF(ISNUMBER(J30),I30,0))</formula>
    </cfRule>
  </conditionalFormatting>
  <conditionalFormatting sqref="E7">
    <cfRule type="expression" dxfId="2" priority="49">
      <formula>AND(ISBLANK(D7),ISBLANK(L7))</formula>
    </cfRule>
    <cfRule type="expression" dxfId="1" priority="50">
      <formula>IF(SUM(H7)=0,1,0)</formula>
    </cfRule>
    <cfRule type="cellIs" dxfId="0" priority="51" operator="greaterThan">
      <formula>SUM(H7)</formula>
    </cfRule>
    <cfRule type="cellIs" dxfId="3" priority="52" operator="greaterThan">
      <formula>SUM(IF(ISNUMBER(J7),I7,0))</formula>
    </cfRule>
  </conditionalFormatting>
  <conditionalFormatting sqref="E8">
    <cfRule type="expression" dxfId="2" priority="53">
      <formula>AND(ISBLANK(D8),ISBLANK(L8))</formula>
    </cfRule>
    <cfRule type="expression" dxfId="1" priority="54">
      <formula>IF(SUM(H8)=0,1,0)</formula>
    </cfRule>
    <cfRule type="cellIs" dxfId="0" priority="55" operator="greaterThan">
      <formula>SUM(H8)</formula>
    </cfRule>
    <cfRule type="cellIs" dxfId="3" priority="56" operator="greaterThan">
      <formula>SUM(IF(ISNUMBER(J8),I8,0))</formula>
    </cfRule>
  </conditionalFormatting>
  <conditionalFormatting sqref="E9">
    <cfRule type="expression" dxfId="2" priority="57">
      <formula>AND(ISBLANK(D9),ISBLANK(L9))</formula>
    </cfRule>
    <cfRule type="expression" dxfId="1" priority="58">
      <formula>IF(SUM(H9)=0,1,0)</formula>
    </cfRule>
    <cfRule type="cellIs" dxfId="0" priority="59" operator="greaterThan">
      <formula>SUM(H9)</formula>
    </cfRule>
    <cfRule type="cellIs" dxfId="3" priority="60" operator="greaterThan">
      <formula>SUM(IF(ISNUMBER(J9),I9,0))</formula>
    </cfRule>
  </conditionalFormatting>
  <conditionalFormatting sqref="H10">
    <cfRule type="cellIs" dxfId="0" priority="7" operator="lessThan">
      <formula>E10</formula>
    </cfRule>
  </conditionalFormatting>
  <conditionalFormatting sqref="H11">
    <cfRule type="cellIs" dxfId="0" priority="9" operator="lessThan">
      <formula>E11</formula>
    </cfRule>
  </conditionalFormatting>
  <conditionalFormatting sqref="H12">
    <cfRule type="cellIs" dxfId="0" priority="11" operator="lessThan">
      <formula>E12</formula>
    </cfRule>
  </conditionalFormatting>
  <conditionalFormatting sqref="H13">
    <cfRule type="cellIs" dxfId="0" priority="13" operator="lessThan">
      <formula>E13</formula>
    </cfRule>
  </conditionalFormatting>
  <conditionalFormatting sqref="H14">
    <cfRule type="cellIs" dxfId="0" priority="15" operator="lessThan">
      <formula>E14</formula>
    </cfRule>
  </conditionalFormatting>
  <conditionalFormatting sqref="H15">
    <cfRule type="cellIs" dxfId="0" priority="17" operator="lessThan">
      <formula>E15</formula>
    </cfRule>
  </conditionalFormatting>
  <conditionalFormatting sqref="H16">
    <cfRule type="cellIs" dxfId="0" priority="19" operator="lessThan">
      <formula>E16</formula>
    </cfRule>
  </conditionalFormatting>
  <conditionalFormatting sqref="H17">
    <cfRule type="cellIs" dxfId="0" priority="21" operator="lessThan">
      <formula>E17</formula>
    </cfRule>
  </conditionalFormatting>
  <conditionalFormatting sqref="H18">
    <cfRule type="cellIs" dxfId="0" priority="23" operator="lessThan">
      <formula>E18</formula>
    </cfRule>
  </conditionalFormatting>
  <conditionalFormatting sqref="H19">
    <cfRule type="cellIs" dxfId="0" priority="25" operator="lessThan">
      <formula>E19</formula>
    </cfRule>
  </conditionalFormatting>
  <conditionalFormatting sqref="H20">
    <cfRule type="cellIs" dxfId="0" priority="27" operator="lessThan">
      <formula>E20</formula>
    </cfRule>
  </conditionalFormatting>
  <conditionalFormatting sqref="H21">
    <cfRule type="cellIs" dxfId="0" priority="29" operator="lessThan">
      <formula>E21</formula>
    </cfRule>
  </conditionalFormatting>
  <conditionalFormatting sqref="H22">
    <cfRule type="cellIs" dxfId="0" priority="31" operator="lessThan">
      <formula>E22</formula>
    </cfRule>
  </conditionalFormatting>
  <conditionalFormatting sqref="H23">
    <cfRule type="cellIs" dxfId="0" priority="33" operator="lessThan">
      <formula>E23</formula>
    </cfRule>
  </conditionalFormatting>
  <conditionalFormatting sqref="H24">
    <cfRule type="cellIs" dxfId="0" priority="35" operator="lessThan">
      <formula>E24</formula>
    </cfRule>
  </conditionalFormatting>
  <conditionalFormatting sqref="H25">
    <cfRule type="cellIs" dxfId="0" priority="37" operator="lessThan">
      <formula>E25</formula>
    </cfRule>
  </conditionalFormatting>
  <conditionalFormatting sqref="H26">
    <cfRule type="cellIs" dxfId="0" priority="39" operator="lessThan">
      <formula>E26</formula>
    </cfRule>
  </conditionalFormatting>
  <conditionalFormatting sqref="H27">
    <cfRule type="cellIs" dxfId="0" priority="41" operator="lessThan">
      <formula>E27</formula>
    </cfRule>
  </conditionalFormatting>
  <conditionalFormatting sqref="H28">
    <cfRule type="cellIs" dxfId="0" priority="43" operator="lessThan">
      <formula>E28</formula>
    </cfRule>
  </conditionalFormatting>
  <conditionalFormatting sqref="H29">
    <cfRule type="cellIs" dxfId="0" priority="45" operator="lessThan">
      <formula>E29</formula>
    </cfRule>
  </conditionalFormatting>
  <conditionalFormatting sqref="H30">
    <cfRule type="cellIs" dxfId="0" priority="47" operator="lessThan">
      <formula>E30</formula>
    </cfRule>
  </conditionalFormatting>
  <conditionalFormatting sqref="H7">
    <cfRule type="cellIs" dxfId="0" priority="1" operator="lessThan">
      <formula>E7</formula>
    </cfRule>
  </conditionalFormatting>
  <conditionalFormatting sqref="H8">
    <cfRule type="cellIs" dxfId="0" priority="3" operator="lessThan">
      <formula>E8</formula>
    </cfRule>
  </conditionalFormatting>
  <conditionalFormatting sqref="H9">
    <cfRule type="cellIs" dxfId="0" priority="5" operator="lessThan">
      <formula>E9</formula>
    </cfRule>
  </conditionalFormatting>
  <conditionalFormatting sqref="I10">
    <cfRule type="expression" dxfId="1" priority="8">
      <formula>AND(NOT(ISBLANK(I10)),OR(H10="NonStk",I10&gt;H10))</formula>
    </cfRule>
  </conditionalFormatting>
  <conditionalFormatting sqref="I11">
    <cfRule type="expression" dxfId="1" priority="10">
      <formula>AND(NOT(ISBLANK(I11)),OR(H11="NonStk",I11&gt;H11))</formula>
    </cfRule>
  </conditionalFormatting>
  <conditionalFormatting sqref="I12">
    <cfRule type="expression" dxfId="1" priority="12">
      <formula>AND(NOT(ISBLANK(I12)),OR(H12="NonStk",I12&gt;H12))</formula>
    </cfRule>
  </conditionalFormatting>
  <conditionalFormatting sqref="I13">
    <cfRule type="expression" dxfId="1" priority="14">
      <formula>AND(NOT(ISBLANK(I13)),OR(H13="NonStk",I13&gt;H13))</formula>
    </cfRule>
  </conditionalFormatting>
  <conditionalFormatting sqref="I14">
    <cfRule type="expression" dxfId="1" priority="16">
      <formula>AND(NOT(ISBLANK(I14)),OR(H14="NonStk",I14&gt;H14))</formula>
    </cfRule>
  </conditionalFormatting>
  <conditionalFormatting sqref="I15">
    <cfRule type="expression" dxfId="1" priority="18">
      <formula>AND(NOT(ISBLANK(I15)),OR(H15="NonStk",I15&gt;H15))</formula>
    </cfRule>
  </conditionalFormatting>
  <conditionalFormatting sqref="I16">
    <cfRule type="expression" dxfId="1" priority="20">
      <formula>AND(NOT(ISBLANK(I16)),OR(H16="NonStk",I16&gt;H16))</formula>
    </cfRule>
  </conditionalFormatting>
  <conditionalFormatting sqref="I17">
    <cfRule type="expression" dxfId="1" priority="22">
      <formula>AND(NOT(ISBLANK(I17)),OR(H17="NonStk",I17&gt;H17))</formula>
    </cfRule>
  </conditionalFormatting>
  <conditionalFormatting sqref="I18">
    <cfRule type="expression" dxfId="1" priority="24">
      <formula>AND(NOT(ISBLANK(I18)),OR(H18="NonStk",I18&gt;H18))</formula>
    </cfRule>
  </conditionalFormatting>
  <conditionalFormatting sqref="I19">
    <cfRule type="expression" dxfId="1" priority="26">
      <formula>AND(NOT(ISBLANK(I19)),OR(H19="NonStk",I19&gt;H19))</formula>
    </cfRule>
  </conditionalFormatting>
  <conditionalFormatting sqref="I20">
    <cfRule type="expression" dxfId="1" priority="28">
      <formula>AND(NOT(ISBLANK(I20)),OR(H20="NonStk",I20&gt;H20))</formula>
    </cfRule>
  </conditionalFormatting>
  <conditionalFormatting sqref="I21">
    <cfRule type="expression" dxfId="1" priority="30">
      <formula>AND(NOT(ISBLANK(I21)),OR(H21="NonStk",I21&gt;H21))</formula>
    </cfRule>
  </conditionalFormatting>
  <conditionalFormatting sqref="I22">
    <cfRule type="expression" dxfId="1" priority="32">
      <formula>AND(NOT(ISBLANK(I22)),OR(H22="NonStk",I22&gt;H22))</formula>
    </cfRule>
  </conditionalFormatting>
  <conditionalFormatting sqref="I23">
    <cfRule type="expression" dxfId="1" priority="34">
      <formula>AND(NOT(ISBLANK(I23)),OR(H23="NonStk",I23&gt;H23))</formula>
    </cfRule>
  </conditionalFormatting>
  <conditionalFormatting sqref="I24">
    <cfRule type="expression" dxfId="1" priority="36">
      <formula>AND(NOT(ISBLANK(I24)),OR(H24="NonStk",I24&gt;H24))</formula>
    </cfRule>
  </conditionalFormatting>
  <conditionalFormatting sqref="I25">
    <cfRule type="expression" dxfId="1" priority="38">
      <formula>AND(NOT(ISBLANK(I25)),OR(H25="NonStk",I25&gt;H25))</formula>
    </cfRule>
  </conditionalFormatting>
  <conditionalFormatting sqref="I26">
    <cfRule type="expression" dxfId="1" priority="40">
      <formula>AND(NOT(ISBLANK(I26)),OR(H26="NonStk",I26&gt;H26))</formula>
    </cfRule>
  </conditionalFormatting>
  <conditionalFormatting sqref="I27">
    <cfRule type="expression" dxfId="1" priority="42">
      <formula>AND(NOT(ISBLANK(I27)),OR(H27="NonStk",I27&gt;H27))</formula>
    </cfRule>
  </conditionalFormatting>
  <conditionalFormatting sqref="I28">
    <cfRule type="expression" dxfId="1" priority="44">
      <formula>AND(NOT(ISBLANK(I28)),OR(H28="NonStk",I28&gt;H28))</formula>
    </cfRule>
  </conditionalFormatting>
  <conditionalFormatting sqref="I29">
    <cfRule type="expression" dxfId="1" priority="46">
      <formula>AND(NOT(ISBLANK(I29)),OR(H29="NonStk",I29&gt;H29))</formula>
    </cfRule>
  </conditionalFormatting>
  <conditionalFormatting sqref="I30">
    <cfRule type="expression" dxfId="1" priority="48">
      <formula>AND(NOT(ISBLANK(I30)),OR(H30="NonStk",I30&gt;H30))</formula>
    </cfRule>
  </conditionalFormatting>
  <conditionalFormatting sqref="I7">
    <cfRule type="expression" dxfId="1" priority="2">
      <formula>AND(NOT(ISBLANK(I7)),OR(H7="NonStk",I7&gt;H7))</formula>
    </cfRule>
  </conditionalFormatting>
  <conditionalFormatting sqref="I8">
    <cfRule type="expression" dxfId="1" priority="4">
      <formula>AND(NOT(ISBLANK(I8)),OR(H8="NonStk",I8&gt;H8))</formula>
    </cfRule>
  </conditionalFormatting>
  <conditionalFormatting sqref="I9">
    <cfRule type="expression" dxfId="1" priority="6">
      <formula>AND(NOT(ISBLANK(I9)),OR(H9="NonStk",I9&gt;H9))</formula>
    </cfRule>
  </conditionalFormatting>
  <hyperlinks>
    <hyperlink ref="D7" r:id="rId1"/>
    <hyperlink ref="M7" r:id="rId2"/>
    <hyperlink ref="D8" r:id="rId3"/>
    <hyperlink ref="M8" r:id="rId4"/>
    <hyperlink ref="D9" r:id="rId5"/>
    <hyperlink ref="M9" r:id="rId6"/>
    <hyperlink ref="D10" r:id="rId7"/>
    <hyperlink ref="M10" r:id="rId8"/>
    <hyperlink ref="D11" r:id="rId9"/>
    <hyperlink ref="M11" r:id="rId10"/>
    <hyperlink ref="D12" r:id="rId11"/>
    <hyperlink ref="M12" r:id="rId12"/>
    <hyperlink ref="D13" r:id="rId13"/>
    <hyperlink ref="M13" r:id="rId14"/>
    <hyperlink ref="D14" r:id="rId15"/>
    <hyperlink ref="M14" r:id="rId16"/>
    <hyperlink ref="D15" r:id="rId17"/>
    <hyperlink ref="M15" r:id="rId18"/>
    <hyperlink ref="D16" r:id="rId19"/>
    <hyperlink ref="M16" r:id="rId20"/>
    <hyperlink ref="D17" r:id="rId21"/>
    <hyperlink ref="M17" r:id="rId22"/>
    <hyperlink ref="D18" r:id="rId23"/>
    <hyperlink ref="M18" r:id="rId24"/>
    <hyperlink ref="D19" r:id="rId25"/>
    <hyperlink ref="M19" r:id="rId26"/>
    <hyperlink ref="D20" r:id="rId27"/>
    <hyperlink ref="M20" r:id="rId28"/>
    <hyperlink ref="D21" r:id="rId29"/>
    <hyperlink ref="M21" r:id="rId30"/>
    <hyperlink ref="D22" r:id="rId31"/>
    <hyperlink ref="M22" r:id="rId32"/>
    <hyperlink ref="D23" r:id="rId33"/>
    <hyperlink ref="M23" r:id="rId34"/>
    <hyperlink ref="M24" r:id="rId35"/>
    <hyperlink ref="M25" r:id="rId36"/>
    <hyperlink ref="D26" r:id="rId37"/>
    <hyperlink ref="M26" r:id="rId38"/>
    <hyperlink ref="D27" r:id="rId39"/>
    <hyperlink ref="M27" r:id="rId40"/>
    <hyperlink ref="D28" r:id="rId41"/>
    <hyperlink ref="M28" r:id="rId42"/>
    <hyperlink ref="D29" r:id="rId43"/>
    <hyperlink ref="M29" r:id="rId44"/>
    <hyperlink ref="D30" r:id="rId45"/>
    <hyperlink ref="M30" r:id="rId46"/>
    <hyperlink ref="H32" r:id="rId47"/>
  </hyperlinks>
  <pageMargins left="0.7" right="0.7" top="0.75" bottom="0.75" header="0.3" footer="0.3"/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CaptorBoard</vt:lpstr>
      <vt:lpstr>'CaptorBoard'!BoardQty</vt:lpstr>
      <vt:lpstr>'CaptorBoard'!EUR_USD</vt:lpstr>
      <vt:lpstr>'CaptorBoard'!PURCHASE_DESCRIPTION</vt:lpstr>
      <vt:lpstr>'CaptorBoard'!TotalCost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2023-06-28T15:16:15Z</dcterms:created>
  <dcterms:modified xsi:type="dcterms:W3CDTF">2023-06-28T15:16:15Z</dcterms:modified>
</cp:coreProperties>
</file>