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ppe.fouquet\Documents\sources\perso\CaptorBoard\"/>
    </mc:Choice>
  </mc:AlternateContent>
  <xr:revisionPtr revIDLastSave="0" documentId="13_ncr:1_{68101616-52AD-4601-9E10-87C12E0D9F75}" xr6:coauthVersionLast="47" xr6:coauthVersionMax="47" xr10:uidLastSave="{00000000-0000-0000-0000-000000000000}"/>
  <bookViews>
    <workbookView xWindow="34620" yWindow="435" windowWidth="21600" windowHeight="14835" xr2:uid="{00000000-000D-0000-FFFF-FFFF00000000}"/>
  </bookViews>
  <sheets>
    <sheet name="CaptorBoard" sheetId="1" r:id="rId1"/>
  </sheets>
  <definedNames>
    <definedName name="BoardQty" localSheetId="0">CaptorBoard!$G$1</definedName>
    <definedName name="PURCHASE_DESCRIPTION" localSheetId="0">CaptorBoard!$G$31</definedName>
    <definedName name="TotalCost" localSheetId="0">CaptorBoard!$G$3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4" i="1" l="1" a="1"/>
  <c r="I75" i="1" s="1"/>
  <c r="L30" i="1"/>
  <c r="G30" i="1" s="1"/>
  <c r="I30" i="1"/>
  <c r="E28" i="1"/>
  <c r="J28" i="1" s="1"/>
  <c r="E27" i="1"/>
  <c r="J27" i="1" s="1"/>
  <c r="L27" i="1" s="1"/>
  <c r="E26" i="1"/>
  <c r="J26" i="1" s="1"/>
  <c r="E25" i="1"/>
  <c r="J25" i="1" s="1"/>
  <c r="E24" i="1"/>
  <c r="J24" i="1" s="1"/>
  <c r="F24" i="1" s="1"/>
  <c r="G24" i="1" s="1"/>
  <c r="E23" i="1"/>
  <c r="J23" i="1" s="1"/>
  <c r="E22" i="1"/>
  <c r="J22" i="1" s="1"/>
  <c r="E21" i="1"/>
  <c r="J21" i="1" s="1"/>
  <c r="E20" i="1"/>
  <c r="J20" i="1" s="1"/>
  <c r="E19" i="1"/>
  <c r="J19" i="1" s="1"/>
  <c r="F19" i="1" s="1"/>
  <c r="E18" i="1"/>
  <c r="E17" i="1"/>
  <c r="J17" i="1" s="1"/>
  <c r="E16" i="1"/>
  <c r="J16" i="1" s="1"/>
  <c r="F16" i="1" s="1"/>
  <c r="G16" i="1" s="1"/>
  <c r="E15" i="1"/>
  <c r="J15" i="1" s="1"/>
  <c r="E14" i="1"/>
  <c r="J14" i="1" s="1"/>
  <c r="E13" i="1"/>
  <c r="J13" i="1" s="1"/>
  <c r="L13" i="1" s="1"/>
  <c r="E12" i="1"/>
  <c r="E11" i="1"/>
  <c r="J11" i="1" s="1"/>
  <c r="F11" i="1" s="1"/>
  <c r="E10" i="1"/>
  <c r="E9" i="1"/>
  <c r="J9" i="1" s="1"/>
  <c r="E8" i="1"/>
  <c r="J8" i="1" s="1"/>
  <c r="F8" i="1" s="1"/>
  <c r="G8" i="1" s="1"/>
  <c r="E7" i="1"/>
  <c r="J7" i="1" s="1"/>
  <c r="F13" i="1" l="1"/>
  <c r="G13" i="1" s="1"/>
  <c r="L21" i="1"/>
  <c r="F21" i="1"/>
  <c r="G21" i="1" s="1"/>
  <c r="L24" i="1"/>
  <c r="L14" i="1"/>
  <c r="F14" i="1"/>
  <c r="G14" i="1" s="1"/>
  <c r="L25" i="1"/>
  <c r="F25" i="1"/>
  <c r="G25" i="1" s="1"/>
  <c r="G11" i="1"/>
  <c r="F26" i="1"/>
  <c r="G26" i="1" s="1"/>
  <c r="L26" i="1"/>
  <c r="F15" i="1"/>
  <c r="G15" i="1" s="1"/>
  <c r="L15" i="1"/>
  <c r="L22" i="1"/>
  <c r="F22" i="1"/>
  <c r="L28" i="1"/>
  <c r="F28" i="1"/>
  <c r="G28" i="1" s="1"/>
  <c r="L20" i="1"/>
  <c r="F20" i="1"/>
  <c r="G20" i="1" s="1"/>
  <c r="F7" i="1"/>
  <c r="G7" i="1" s="1"/>
  <c r="L7" i="1"/>
  <c r="F23" i="1"/>
  <c r="G23" i="1" s="1"/>
  <c r="L23" i="1"/>
  <c r="G19" i="1"/>
  <c r="L9" i="1"/>
  <c r="F9" i="1"/>
  <c r="G9" i="1" s="1"/>
  <c r="L17" i="1"/>
  <c r="F17" i="1"/>
  <c r="G17" i="1" s="1"/>
  <c r="I60" i="1"/>
  <c r="J10" i="1"/>
  <c r="J18" i="1"/>
  <c r="I54" i="1"/>
  <c r="I61" i="1"/>
  <c r="I69" i="1"/>
  <c r="L11" i="1"/>
  <c r="I62" i="1"/>
  <c r="J12" i="1"/>
  <c r="I55" i="1"/>
  <c r="I63" i="1"/>
  <c r="I71" i="1"/>
  <c r="L19" i="1"/>
  <c r="L16" i="1"/>
  <c r="I68" i="1"/>
  <c r="I70" i="1"/>
  <c r="G22" i="1"/>
  <c r="F27" i="1"/>
  <c r="G27" i="1" s="1"/>
  <c r="I56" i="1"/>
  <c r="I64" i="1"/>
  <c r="I72" i="1"/>
  <c r="L8" i="1"/>
  <c r="I57" i="1"/>
  <c r="I65" i="1"/>
  <c r="I73" i="1"/>
  <c r="I58" i="1"/>
  <c r="I66" i="1"/>
  <c r="I74" i="1"/>
  <c r="I59" i="1"/>
  <c r="I67" i="1"/>
  <c r="L12" i="1" l="1"/>
  <c r="F12" i="1"/>
  <c r="G12" i="1" s="1"/>
  <c r="I31" i="1"/>
  <c r="L10" i="1"/>
  <c r="F10" i="1"/>
  <c r="G10" i="1" s="1"/>
  <c r="L18" i="1"/>
  <c r="F18" i="1"/>
  <c r="G18" i="1" s="1"/>
  <c r="G3" i="1" l="1"/>
  <c r="G2" i="1" s="1"/>
  <c r="M3" i="1"/>
  <c r="L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000-000001000000}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 shapeId="0" xr:uid="{00000000-0006-0000-0000-000002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 shapeId="0" xr:uid="{00000000-0006-0000-0000-000003000000}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 xr:uid="{00000000-0006-0000-0000-000004000000}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 xr:uid="{00000000-0006-0000-0000-000005000000}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 shapeId="0" xr:uid="{00000000-0006-0000-0000-000006000000}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 shapeId="0" xr:uid="{00000000-0006-0000-0000-000007000000}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 shapeId="0" xr:uid="{00000000-0006-0000-0000-000008000000}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 shapeId="0" xr:uid="{00000000-0006-0000-0000-000009000000}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 shapeId="0" xr:uid="{00000000-0006-0000-0000-00000A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 shapeId="0" xr:uid="{00000000-0006-0000-0000-00000B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 shapeId="0" xr:uid="{00000000-0006-0000-0000-00000C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 shapeId="0" xr:uid="{00000000-0006-0000-0000-00000D000000}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6" authorId="0" shapeId="0" xr:uid="{00000000-0006-0000-0000-00000E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 shapeId="0" xr:uid="{00000000-0006-0000-0000-00000F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H7" authorId="0" shapeId="0" xr:uid="{00000000-0006-0000-0000-000010000000}">
      <text>
        <r>
          <rPr>
            <sz val="8"/>
            <color indexed="81"/>
            <rFont val="Tahoma"/>
            <family val="2"/>
          </rPr>
          <t>361684 En stock</t>
        </r>
      </text>
    </comment>
    <comment ref="J7" authorId="0" shapeId="0" xr:uid="{00000000-0006-0000-0000-000011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€0.23      €0.23
    10   €0.15      €1.51
   100   €0.09      €8.60
  1000   €0.05     €53.00
  2000   €0.05    €100.00
 10000   €0.04    €410.00
 24000   €0.04    €936.00
 50000   €0.04  €1,900.00</t>
        </r>
      </text>
    </comment>
    <comment ref="M7" authorId="0" shapeId="0" xr:uid="{00000000-0006-0000-0000-000012000000}">
      <text>
        <r>
          <rPr>
            <sz val="8"/>
            <color indexed="81"/>
            <rFont val="Tahoma"/>
            <family val="2"/>
          </rPr>
          <t>Desc: Condensateurs céramique multicouches MLCC - CMS 1uF+/-10% 50V X7R 32 1210</t>
        </r>
      </text>
    </comment>
    <comment ref="H8" authorId="0" shapeId="0" xr:uid="{00000000-0006-0000-0000-000013000000}">
      <text>
        <r>
          <rPr>
            <sz val="8"/>
            <color indexed="81"/>
            <rFont val="Tahoma"/>
            <family val="2"/>
          </rPr>
          <t>7370 En stock</t>
        </r>
      </text>
    </comment>
    <comment ref="J8" authorId="0" shapeId="0" xr:uid="{00000000-0006-0000-0000-000014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€0.25      €0.25
    10   €0.17      €1.71
   100   €0.09      €8.60
  1000   €0.05     €53.00
  4000   €0.05    €200.00
  8000   €0.04    €320.00
 24000   €0.04    €936.00
100000   €0.04  €3,500.00</t>
        </r>
      </text>
    </comment>
    <comment ref="M8" authorId="0" shapeId="0" xr:uid="{00000000-0006-0000-0000-000015000000}">
      <text>
        <r>
          <rPr>
            <sz val="8"/>
            <color indexed="81"/>
            <rFont val="Tahoma"/>
            <family val="2"/>
          </rPr>
          <t>Desc: Condensateurs céramique multicouches MLCC - CMS 100V 12pF X8R 1210 5%</t>
        </r>
      </text>
    </comment>
    <comment ref="H9" authorId="0" shapeId="0" xr:uid="{00000000-0006-0000-0000-000016000000}">
      <text>
        <r>
          <rPr>
            <sz val="8"/>
            <color indexed="81"/>
            <rFont val="Tahoma"/>
            <family val="2"/>
          </rPr>
          <t>61525 En stock</t>
        </r>
      </text>
    </comment>
    <comment ref="J9" authorId="0" shapeId="0" xr:uid="{00000000-0006-0000-0000-000017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€0.33      €0.33
    10   €0.23      €2.30
   100   €0.14     €13.80
  1000   €0.09     €87.00
  2000   €0.08    €166.00
 10000   €0.07    €710.00
 25000   €0.07  €1,725.00
 50000   €0.06  €3,200.00
100000   €0.06  €6,000.00</t>
        </r>
      </text>
    </comment>
    <comment ref="M9" authorId="0" shapeId="0" xr:uid="{00000000-0006-0000-0000-000018000000}">
      <text>
        <r>
          <rPr>
            <sz val="8"/>
            <color indexed="81"/>
            <rFont val="Tahoma"/>
            <family val="2"/>
          </rPr>
          <t>Desc: Condensateurs céramique multicouches MLCC - CMS 22uF+/-20% 16V X5R 3225</t>
        </r>
      </text>
    </comment>
    <comment ref="H10" authorId="0" shapeId="0" xr:uid="{00000000-0006-0000-0000-000019000000}">
      <text>
        <r>
          <rPr>
            <sz val="8"/>
            <color indexed="81"/>
            <rFont val="Tahoma"/>
            <family val="2"/>
          </rPr>
          <t>29976 En stock</t>
        </r>
      </text>
    </comment>
    <comment ref="J10" authorId="0" shapeId="0" xr:uid="{00000000-0006-0000-0000-00001A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€0.24      €0.24
    10   €0.17      €1.67
   100   €0.10      €9.50
  1000   €0.06     €59.00
  4000   €0.06    €224.00
  8000   €0.06    €440.00
 24000   €0.05  €1,272.00</t>
        </r>
      </text>
    </comment>
    <comment ref="M10" authorId="0" shapeId="0" xr:uid="{00000000-0006-0000-0000-00001B000000}">
      <text>
        <r>
          <rPr>
            <sz val="8"/>
            <color indexed="81"/>
            <rFont val="Tahoma"/>
            <family val="2"/>
          </rPr>
          <t>Desc: Condensateurs céramique multicouches MLCC - CMS 100V 0.1uF X7R 1210 10% AEC-Q200</t>
        </r>
      </text>
    </comment>
    <comment ref="H11" authorId="0" shapeId="0" xr:uid="{00000000-0006-0000-0000-00001C000000}">
      <text>
        <r>
          <rPr>
            <sz val="8"/>
            <color indexed="81"/>
            <rFont val="Tahoma"/>
            <family val="2"/>
          </rPr>
          <t>65374 En stock</t>
        </r>
      </text>
    </comment>
    <comment ref="J11" authorId="0" shapeId="0" xr:uid="{00000000-0006-0000-0000-00001D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€0.34      €0.34
    10   €0.18      €1.85
   100   €0.09      €8.60
   500   €0.08     €39.50
  1000   €0.06     €62.00
  1500   €0.06     €90.00
  9000   €0.05    €423.00
 24000   €0.04    €984.00
 49500   €0.04  €1,881.00</t>
        </r>
      </text>
    </comment>
    <comment ref="M11" authorId="0" shapeId="0" xr:uid="{00000000-0006-0000-0000-00001E000000}">
      <text>
        <r>
          <rPr>
            <sz val="8"/>
            <color indexed="81"/>
            <rFont val="Tahoma"/>
            <family val="2"/>
          </rPr>
          <t>Desc: DEL standard - CMS Green Clear 571nm</t>
        </r>
      </text>
    </comment>
    <comment ref="H12" authorId="0" shapeId="0" xr:uid="{00000000-0006-0000-0000-00001F000000}">
      <text>
        <r>
          <rPr>
            <sz val="8"/>
            <color indexed="81"/>
            <rFont val="Tahoma"/>
            <family val="2"/>
          </rPr>
          <t>128290 En stock</t>
        </r>
      </text>
    </comment>
    <comment ref="J12" authorId="0" shapeId="0" xr:uid="{00000000-0006-0000-0000-000020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€0.23      €0.23
    10   €0.17      €1.73
   100   €0.09      €9.40
   500   €0.07     €33.50
  1000   €0.04     €45.00
  2500   €0.04     €97.50
 10000   €0.04    €350.00
 15000   €0.03    €480.00
 45000   €0.03  €1,395.00</t>
        </r>
      </text>
    </comment>
    <comment ref="M12" authorId="0" shapeId="0" xr:uid="{00000000-0006-0000-0000-000021000000}">
      <text>
        <r>
          <rPr>
            <sz val="8"/>
            <color indexed="81"/>
            <rFont val="Tahoma"/>
            <family val="2"/>
          </rPr>
          <t>Desc: Diodes - Usage général, alimentation, commutation 100V Io/150mA</t>
        </r>
      </text>
    </comment>
    <comment ref="H13" authorId="0" shapeId="0" xr:uid="{00000000-0006-0000-0000-000022000000}">
      <text>
        <r>
          <rPr>
            <sz val="8"/>
            <color indexed="81"/>
            <rFont val="Tahoma"/>
            <family val="2"/>
          </rPr>
          <t>53536 En stock</t>
        </r>
      </text>
    </comment>
    <comment ref="J13" authorId="0" shapeId="0" xr:uid="{00000000-0006-0000-0000-000023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€0.11      €0.11
    10   €0.10      €1.03
   100   €0.06      €5.70
   500   €0.04     €18.00
  1000   €0.02     €24.00
  2500   €0.02     €52.50
  5000   €0.02     €90.00
 10000   €0.01    €150.00
 25000   €0.01    €350.00</t>
        </r>
      </text>
    </comment>
    <comment ref="M13" authorId="0" shapeId="0" xr:uid="{00000000-0006-0000-0000-000024000000}">
      <text>
        <r>
          <rPr>
            <sz val="8"/>
            <color indexed="81"/>
            <rFont val="Tahoma"/>
            <family val="2"/>
          </rPr>
          <t>Desc: Redresseurs 1A 400V Rectifier Diode</t>
        </r>
      </text>
    </comment>
    <comment ref="H14" authorId="0" shapeId="0" xr:uid="{00000000-0006-0000-0000-000025000000}">
      <text>
        <r>
          <rPr>
            <sz val="8"/>
            <color indexed="81"/>
            <rFont val="Tahoma"/>
            <family val="2"/>
          </rPr>
          <t>7916 En stock</t>
        </r>
      </text>
    </comment>
    <comment ref="J14" authorId="0" shapeId="0" xr:uid="{00000000-0006-0000-0000-000026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€0.14      €0.14
    10   €0.13      €1.33
   100   €0.07      €7.20
   500   €0.04     €22.50
  1000   €0.03     €31.00
  3000   €0.02     €69.00
  9000   €0.02    €180.00
 24000   €0.02    €432.00
 45000   €0.02    €720.00</t>
        </r>
      </text>
    </comment>
    <comment ref="M14" authorId="0" shapeId="0" xr:uid="{00000000-0006-0000-0000-000027000000}">
      <text>
        <r>
          <rPr>
            <sz val="8"/>
            <color indexed="81"/>
            <rFont val="Tahoma"/>
            <family val="2"/>
          </rPr>
          <t>Desc: Diodes Zener 410mW ZENER 3.3V</t>
        </r>
      </text>
    </comment>
    <comment ref="H15" authorId="0" shapeId="0" xr:uid="{00000000-0006-0000-0000-000028000000}">
      <text>
        <r>
          <rPr>
            <sz val="8"/>
            <color indexed="81"/>
            <rFont val="Tahoma"/>
            <family val="2"/>
          </rPr>
          <t>1892 En stock</t>
        </r>
      </text>
    </comment>
    <comment ref="J15" authorId="0" shapeId="0" xr:uid="{00000000-0006-0000-0000-000029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€1.21      €1.21
    10   €0.92      €9.15
   100   €0.84     €83.60
  1500   €0.84  €1,254.00</t>
        </r>
      </text>
    </comment>
    <comment ref="M15" authorId="0" shapeId="0" xr:uid="{00000000-0006-0000-0000-00002A000000}">
      <text>
        <r>
          <rPr>
            <sz val="8"/>
            <color indexed="81"/>
            <rFont val="Tahoma"/>
            <family val="2"/>
          </rPr>
          <t>Desc: Fusibles pour montage en surface 250VAC 1A .18ohms 443 NANO2</t>
        </r>
      </text>
    </comment>
    <comment ref="H16" authorId="0" shapeId="0" xr:uid="{00000000-0006-0000-0000-00002B000000}">
      <text>
        <r>
          <rPr>
            <sz val="8"/>
            <color indexed="81"/>
            <rFont val="Tahoma"/>
            <family val="2"/>
          </rPr>
          <t>10911 En stock</t>
        </r>
      </text>
    </comment>
    <comment ref="J16" authorId="0" shapeId="0" xr:uid="{00000000-0006-0000-0000-00002C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€0.77      €0.77
    10   €0.44      €4.42
   100   €0.38     €38.20
   250   €0.33     €82.25
   500   €0.32    €158.50
  1200   €0.30    €360.00
  2400   €0.29    €696.00
  4800   €0.23  €1,123.20
  9600   €0.23  €2,236.80</t>
        </r>
      </text>
    </comment>
    <comment ref="M16" authorId="0" shapeId="0" xr:uid="{00000000-0006-0000-0000-00002D000000}">
      <text>
        <r>
          <rPr>
            <sz val="8"/>
            <color indexed="81"/>
            <rFont val="Tahoma"/>
            <family val="2"/>
          </rPr>
          <t>Desc: Borniers fixes Terminal block, screw type, 5.08 , horizontal, 3 poles, CUI Blue, slotted screw, PCB mount</t>
        </r>
      </text>
    </comment>
    <comment ref="H17" authorId="0" shapeId="0" xr:uid="{00000000-0006-0000-0000-00002E000000}">
      <text>
        <r>
          <rPr>
            <sz val="8"/>
            <color indexed="81"/>
            <rFont val="Tahoma"/>
            <family val="2"/>
          </rPr>
          <t>4088 En stock</t>
        </r>
      </text>
    </comment>
    <comment ref="J17" authorId="0" shapeId="0" xr:uid="{00000000-0006-0000-0000-00002F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€1.63      €1.63
    10   €1.52     €15.20
    25   €1.29     €32.25
    50   €1.22     €61.00
   100   €1.09    €109.00
   500   €1.02    €510.00
  1000   €0.94    €940.00
  2500   €0.91  €2,285.00</t>
        </r>
      </text>
    </comment>
    <comment ref="M17" authorId="0" shapeId="0" xr:uid="{00000000-0006-0000-0000-000030000000}">
      <text>
        <r>
          <rPr>
            <sz val="8"/>
            <color indexed="81"/>
            <rFont val="Tahoma"/>
            <family val="2"/>
          </rPr>
          <t>Desc: Relais universels SPDT 5VDC Flux Protected</t>
        </r>
      </text>
    </comment>
    <comment ref="H18" authorId="0" shapeId="0" xr:uid="{00000000-0006-0000-0000-000031000000}">
      <text>
        <r>
          <rPr>
            <sz val="8"/>
            <color indexed="81"/>
            <rFont val="Tahoma"/>
            <family val="2"/>
          </rPr>
          <t>964 En stock</t>
        </r>
      </text>
    </comment>
    <comment ref="J18" authorId="0" shapeId="0" xr:uid="{00000000-0006-0000-0000-000032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€6.67      €6.67
     5   €6.59     €32.95
    10   €6.50     €65.00
    25   €6.32    €158.00
    60   €5.94    €356.40
   120   €5.75    €690.00
   300   €5.56  €1,668.00
   540   €5.49  €2,964.60
  1020   €5.24  €5,344.80</t>
        </r>
      </text>
    </comment>
    <comment ref="M18" authorId="0" shapeId="0" xr:uid="{00000000-0006-0000-0000-000033000000}">
      <text>
        <r>
          <rPr>
            <sz val="8"/>
            <color indexed="81"/>
            <rFont val="Tahoma"/>
            <family val="2"/>
          </rPr>
          <t>Desc: Modules d'alimentation CA/CC ac-dc, 5 W, 5 Vdc, single output, encapsulated PCB, 85~305 Vac</t>
        </r>
      </text>
    </comment>
    <comment ref="H19" authorId="0" shapeId="0" xr:uid="{00000000-0006-0000-0000-000034000000}">
      <text>
        <r>
          <rPr>
            <sz val="8"/>
            <color indexed="81"/>
            <rFont val="Tahoma"/>
            <family val="2"/>
          </rPr>
          <t>78924 En stock</t>
        </r>
      </text>
    </comment>
    <comment ref="J19" authorId="0" shapeId="0" xr:uid="{00000000-0006-0000-0000-000035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€0.27      €0.27
    10   €0.22      €2.24
   100   €0.12     €11.80
   500   €0.08     €39.00
  1000   €0.05     €54.00
  3000   €0.05    €141.00
  6000   €0.04    €270.00</t>
        </r>
      </text>
    </comment>
    <comment ref="M19" authorId="0" shapeId="0" xr:uid="{00000000-0006-0000-0000-000036000000}">
      <text>
        <r>
          <rPr>
            <sz val="8"/>
            <color indexed="81"/>
            <rFont val="Tahoma"/>
            <family val="2"/>
          </rPr>
          <t>Desc: MOSFET N-Channel</t>
        </r>
      </text>
    </comment>
    <comment ref="H20" authorId="0" shapeId="0" xr:uid="{00000000-0006-0000-0000-000037000000}">
      <text>
        <r>
          <rPr>
            <sz val="8"/>
            <color indexed="81"/>
            <rFont val="Tahoma"/>
            <family val="2"/>
          </rPr>
          <t>7800 En stock</t>
        </r>
      </text>
    </comment>
    <comment ref="J20" authorId="0" shapeId="0" xr:uid="{00000000-0006-0000-0000-000038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€0.14      €0.14
    10   €0.08      €0.78
   100   €0.03      €3.20
  1000   €0.01     €15.00
  2500   €0.01     €32.50
  4000   €0.01     €40.00</t>
        </r>
      </text>
    </comment>
    <comment ref="M20" authorId="0" shapeId="0" xr:uid="{00000000-0006-0000-0000-000039000000}">
      <text>
        <r>
          <rPr>
            <sz val="8"/>
            <color indexed="81"/>
            <rFont val="Tahoma"/>
            <family val="2"/>
          </rPr>
          <t>Desc: Résistances à couches épaisses - CMS 1210 1K0 5%</t>
        </r>
      </text>
    </comment>
    <comment ref="H21" authorId="0" shapeId="0" xr:uid="{00000000-0006-0000-0000-00003A000000}">
      <text>
        <r>
          <rPr>
            <sz val="8"/>
            <color indexed="81"/>
            <rFont val="Tahoma"/>
            <family val="2"/>
          </rPr>
          <t>7700 En stock</t>
        </r>
      </text>
    </comment>
    <comment ref="J21" authorId="0" shapeId="0" xr:uid="{00000000-0006-0000-0000-00003B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€0.72      €0.72
    10   €0.54      €5.43
   100   €0.32     €31.50
  1000   €0.22    €223.00
  4000   €0.22    €892.00</t>
        </r>
      </text>
    </comment>
    <comment ref="M21" authorId="0" shapeId="0" xr:uid="{00000000-0006-0000-0000-00003C000000}">
      <text>
        <r>
          <rPr>
            <sz val="8"/>
            <color indexed="81"/>
            <rFont val="Tahoma"/>
            <family val="2"/>
          </rPr>
          <t>Desc: Résistances à couches épaisses - CMS 0.35W 4.99Mohm 1% AEC-Q200</t>
        </r>
      </text>
    </comment>
    <comment ref="H22" authorId="0" shapeId="0" xr:uid="{00000000-0006-0000-0000-00003D000000}">
      <text>
        <r>
          <rPr>
            <sz val="8"/>
            <color indexed="81"/>
            <rFont val="Tahoma"/>
            <family val="2"/>
          </rPr>
          <t>21308 En stock</t>
        </r>
      </text>
    </comment>
    <comment ref="J22" authorId="0" shapeId="0" xr:uid="{00000000-0006-0000-0000-00003E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€0.13      €0.13
    10   €0.11      €1.06
   100   €0.04      €4.20
   500   €0.04     €17.50
  1000   €0.02     €18.00
  4000   €0.02     €64.00</t>
        </r>
      </text>
    </comment>
    <comment ref="M22" authorId="0" shapeId="0" xr:uid="{00000000-0006-0000-0000-00003F000000}">
      <text>
        <r>
          <rPr>
            <sz val="8"/>
            <color indexed="81"/>
            <rFont val="Tahoma"/>
            <family val="2"/>
          </rPr>
          <t>Desc: Résistances à couches épaisses - CMS 10kOhm 1210 0.5W 1% Std Power</t>
        </r>
      </text>
    </comment>
    <comment ref="H23" authorId="0" shapeId="0" xr:uid="{00000000-0006-0000-0000-000040000000}">
      <text>
        <r>
          <rPr>
            <sz val="8"/>
            <color indexed="81"/>
            <rFont val="Tahoma"/>
            <family val="2"/>
          </rPr>
          <t>8107 En stock</t>
        </r>
      </text>
    </comment>
    <comment ref="J23" authorId="0" shapeId="0" xr:uid="{00000000-0006-0000-0000-000041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€0.15      €0.15
    10   €0.13      €1.28
   100   €0.05      €5.00
  1000   €0.02     €19.00
  5000   €0.02     €90.00
 10000   €0.02    €170.00
 25000   €0.02    €400.00</t>
        </r>
      </text>
    </comment>
    <comment ref="M23" authorId="0" shapeId="0" xr:uid="{00000000-0006-0000-0000-000042000000}">
      <text>
        <r>
          <rPr>
            <sz val="8"/>
            <color indexed="81"/>
            <rFont val="Tahoma"/>
            <family val="2"/>
          </rPr>
          <t>Desc: Résistances à couches épaisses - CMS 1/2watts 560ohms 5%</t>
        </r>
      </text>
    </comment>
    <comment ref="H24" authorId="0" shapeId="0" xr:uid="{00000000-0006-0000-0000-000043000000}">
      <text>
        <r>
          <rPr>
            <sz val="8"/>
            <color indexed="81"/>
            <rFont val="Tahoma"/>
            <family val="2"/>
          </rPr>
          <t>2989 En stock</t>
        </r>
      </text>
    </comment>
    <comment ref="J24" authorId="0" shapeId="0" xr:uid="{00000000-0006-0000-0000-000044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€0.59      €0.59
    10   €0.56      €5.63
    25   €0.54     €13.38
   100   €0.49     €48.60
   250   €0.46    €114.25
   500   €0.42    €209.00
  1000   €0.35    €349.00
  2000   €0.34    €678.00
  5000   €0.32  €1,580.00</t>
        </r>
      </text>
    </comment>
    <comment ref="M24" authorId="0" shapeId="0" xr:uid="{00000000-0006-0000-0000-000045000000}">
      <text>
        <r>
          <rPr>
            <sz val="8"/>
            <color indexed="81"/>
            <rFont val="Tahoma"/>
            <family val="2"/>
          </rPr>
          <t>Desc: Interrupteurs de contact 6.0x6.0x3.85mm 260gf</t>
        </r>
      </text>
    </comment>
    <comment ref="H25" authorId="0" shapeId="0" xr:uid="{00000000-0006-0000-0000-000046000000}">
      <text>
        <r>
          <rPr>
            <sz val="8"/>
            <color indexed="81"/>
            <rFont val="Tahoma"/>
            <family val="2"/>
          </rPr>
          <t>25845 En stock</t>
        </r>
      </text>
    </comment>
    <comment ref="J25" authorId="0" shapeId="0" xr:uid="{00000000-0006-0000-0000-000047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€2.82      €2.82
   650   €2.82  €1,833.00</t>
        </r>
      </text>
    </comment>
    <comment ref="M25" authorId="0" shapeId="0" xr:uid="{00000000-0006-0000-0000-000048000000}">
      <text>
        <r>
          <rPr>
            <sz val="8"/>
            <color indexed="81"/>
            <rFont val="Tahoma"/>
            <family val="2"/>
          </rPr>
          <t>Desc: Modules multiprotocoles SMD Module ESP32-WROOM-32E, ESP32-D0WD-V3, 4 MB SPI flash, PCB antenna</t>
        </r>
      </text>
    </comment>
    <comment ref="H26" authorId="0" shapeId="0" xr:uid="{00000000-0006-0000-0000-000049000000}">
      <text>
        <r>
          <rPr>
            <sz val="8"/>
            <color indexed="81"/>
            <rFont val="Tahoma"/>
            <family val="2"/>
          </rPr>
          <t>1376 En stock</t>
        </r>
      </text>
    </comment>
    <comment ref="J26" authorId="0" shapeId="0" xr:uid="{00000000-0006-0000-0000-00004A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€0.85      €0.85
    25   €0.72     €18.10
   100   €0.67     €66.70
  4000   €0.67  €2,668.00</t>
        </r>
      </text>
    </comment>
    <comment ref="M26" authorId="0" shapeId="0" xr:uid="{00000000-0006-0000-0000-00004B000000}">
      <text>
        <r>
          <rPr>
            <sz val="8"/>
            <color indexed="81"/>
            <rFont val="Tahoma"/>
            <family val="2"/>
          </rPr>
          <t>Desc: Régulateurs de tension LDO 800mA Fixed Output</t>
        </r>
      </text>
    </comment>
    <comment ref="H27" authorId="0" shapeId="0" xr:uid="{00000000-0006-0000-0000-00004C000000}">
      <text>
        <r>
          <rPr>
            <sz val="8"/>
            <color indexed="81"/>
            <rFont val="Tahoma"/>
            <family val="2"/>
          </rPr>
          <t>13712 En stock</t>
        </r>
      </text>
    </comment>
    <comment ref="J27" authorId="0" shapeId="0" xr:uid="{00000000-0006-0000-0000-00004D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€1.00      €1.00
    10   €0.65      €6.47
   100   €0.42     €42.50
   500   €0.41    €207.00
  1000   €0.33    €326.00
  3000   €0.32    €960.00
  5000   €0.31  €1,540.00
 10000   €0.30  €3,040.00
 25000   €0.29  €7,250.00</t>
        </r>
      </text>
    </comment>
    <comment ref="M27" authorId="0" shapeId="0" xr:uid="{00000000-0006-0000-0000-00004E000000}">
      <text>
        <r>
          <rPr>
            <sz val="8"/>
            <color indexed="81"/>
            <rFont val="Tahoma"/>
            <family val="2"/>
          </rPr>
          <t>Desc: Optocoupleurs de sortie triac et SCR DIP-6 ZERO TRIAC</t>
        </r>
      </text>
    </comment>
    <comment ref="H28" authorId="0" shapeId="0" xr:uid="{00000000-0006-0000-0000-00004F000000}">
      <text>
        <r>
          <rPr>
            <sz val="8"/>
            <color indexed="81"/>
            <rFont val="Tahoma"/>
            <family val="2"/>
          </rPr>
          <t>11471 En stock</t>
        </r>
      </text>
    </comment>
    <comment ref="J28" authorId="0" shapeId="0" xr:uid="{00000000-0006-0000-0000-000050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€0.58      €0.58
    10   €0.48      €4.84
   100   €0.39     €38.70
   500   €0.37    €184.00
  1000   €0.31    €309.00
  2000   €0.29    €578.00
  5000   €0.28  €1,400.00
 10000   €0.27  €2,700.00
 25000   €0.26  €6,500.00</t>
        </r>
      </text>
    </comment>
    <comment ref="M28" authorId="0" shapeId="0" xr:uid="{00000000-0006-0000-0000-000051000000}">
      <text>
        <r>
          <rPr>
            <sz val="8"/>
            <color indexed="81"/>
            <rFont val="Tahoma"/>
            <family val="2"/>
          </rPr>
          <t>Desc: Quartz 32.768 kHz 12.5 pF +/-20 PPM -40/+85C</t>
        </r>
      </text>
    </comment>
    <comment ref="F30" authorId="0" shapeId="0" xr:uid="{00000000-0006-0000-0000-000052000000}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0" authorId="0" shapeId="0" xr:uid="{00000000-0006-0000-0000-000053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1" authorId="0" shapeId="0" xr:uid="{00000000-0006-0000-0000-000054000000}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<sst xmlns="http://schemas.openxmlformats.org/spreadsheetml/2006/main" count="139" uniqueCount="125">
  <si>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</si>
  <si>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</si>
  <si>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</si>
  <si>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</si>
  <si>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</si>
  <si>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</si>
  <si>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</si>
  <si>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</si>
  <si>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C1,C6</t>
  </si>
  <si>
    <t>1µ</t>
  </si>
  <si>
    <t>C_1210_3225Metric_Pad1.33x2.70mm_HandSolder</t>
  </si>
  <si>
    <t>CL32B105KBHNNNE</t>
  </si>
  <si>
    <t>C2,C3</t>
  </si>
  <si>
    <t>12p</t>
  </si>
  <si>
    <t>C1210C120J1HACTU</t>
  </si>
  <si>
    <t>C4</t>
  </si>
  <si>
    <t>22µ</t>
  </si>
  <si>
    <t>CL32A226MOJNNNE</t>
  </si>
  <si>
    <t>C5</t>
  </si>
  <si>
    <t>0.1µ</t>
  </si>
  <si>
    <t>12101C104K4T2A</t>
  </si>
  <si>
    <t>D1,D3-D8</t>
  </si>
  <si>
    <t>LTST-C930KGKT</t>
  </si>
  <si>
    <t>LED_1210_3225Metric_Pad1.42x2.65mm_HandSolder</t>
  </si>
  <si>
    <t>D2,D11</t>
  </si>
  <si>
    <t>1N4148W</t>
  </si>
  <si>
    <t>D_SOD-123</t>
  </si>
  <si>
    <t>1N4148W-E3-08</t>
  </si>
  <si>
    <t>D9,D10</t>
  </si>
  <si>
    <t>1N4004</t>
  </si>
  <si>
    <t>D_DO-41_SOD81_P7.62mm_Horizontal</t>
  </si>
  <si>
    <t>1N4004T-G</t>
  </si>
  <si>
    <t>D12-D14</t>
  </si>
  <si>
    <t>BZT52-C3V3</t>
  </si>
  <si>
    <t>D_SOD-123F</t>
  </si>
  <si>
    <t>BZT52-C3V3_R1_00001</t>
  </si>
  <si>
    <t>F1</t>
  </si>
  <si>
    <t>Fuse_Small-device</t>
  </si>
  <si>
    <t>Fuseholder_Littelfuse_Nano2_157x</t>
  </si>
  <si>
    <t>0443001.DR</t>
  </si>
  <si>
    <t>J2,J3,J6</t>
  </si>
  <si>
    <t>Screw_Terminal_01x03</t>
  </si>
  <si>
    <t>TerminalBlock_Phoenix_MKDS-1,5-3-5.08_1x03_P5.08mm_Horizontal</t>
  </si>
  <si>
    <t>TB007-508-03BE</t>
  </si>
  <si>
    <t>K1,K2</t>
  </si>
  <si>
    <t>G5LE-1-DC5</t>
  </si>
  <si>
    <t>Relay_SPDT_Omron-G5LE-1</t>
  </si>
  <si>
    <t>PS1</t>
  </si>
  <si>
    <t>PSK-5D-5</t>
  </si>
  <si>
    <t>PSK5D5</t>
  </si>
  <si>
    <t>Q1,Q2</t>
  </si>
  <si>
    <t>2N7002E</t>
  </si>
  <si>
    <t>SOT-23</t>
  </si>
  <si>
    <t>2N7002E-7-F</t>
  </si>
  <si>
    <t>R1,R5,R7-R11,R14</t>
  </si>
  <si>
    <t>1k</t>
  </si>
  <si>
    <t>R_1210_3225Metric_Pad1.30x2.65mm_HandSolder</t>
  </si>
  <si>
    <t>RMC1/4-102JTE</t>
  </si>
  <si>
    <t>R2</t>
  </si>
  <si>
    <t>5M</t>
  </si>
  <si>
    <t>CRMA1210AF4M99FKEF</t>
  </si>
  <si>
    <t>R3,R4,R6,R15-R17</t>
  </si>
  <si>
    <t>10k</t>
  </si>
  <si>
    <t>RMCF1210FT10K0</t>
  </si>
  <si>
    <t>R12,R13</t>
  </si>
  <si>
    <t>560R</t>
  </si>
  <si>
    <t>RK73B2ETTD561J</t>
  </si>
  <si>
    <t>SW1,SW2</t>
  </si>
  <si>
    <t>SW_PUSH</t>
  </si>
  <si>
    <t>SW_Tactile_SKHH_Angled</t>
  </si>
  <si>
    <t>SKHHLPA010</t>
  </si>
  <si>
    <t>U1</t>
  </si>
  <si>
    <t>ESP32-WROOM-32E-N4</t>
  </si>
  <si>
    <t>ESP32-WROOM-32E</t>
  </si>
  <si>
    <t>U2</t>
  </si>
  <si>
    <t>TC1264-3.3VDBTR</t>
  </si>
  <si>
    <t>SOT-223-3_TabPin2</t>
  </si>
  <si>
    <t>U3,U4</t>
  </si>
  <si>
    <t>MOC3041M-opto</t>
  </si>
  <si>
    <t>DIP-6_W7.62mm</t>
  </si>
  <si>
    <t>MOC3041M</t>
  </si>
  <si>
    <t>Y1</t>
  </si>
  <si>
    <t>CM8V-T1A-32.768kHz-12.5pF-20PPM-TA-QC</t>
  </si>
  <si>
    <t>Crystal_SMD_MicroCrystal_CC8V-T1A-2Pin_2.0x1.2mm_HandSoldering</t>
  </si>
  <si>
    <t>Mouser</t>
  </si>
  <si>
    <t>Avail</t>
  </si>
  <si>
    <t>Purch</t>
  </si>
  <si>
    <t>MOQ</t>
  </si>
  <si>
    <t>Cat#</t>
  </si>
  <si>
    <t>187-CL32B105KBHNNNE</t>
  </si>
  <si>
    <t>80-C1210C120J1HACTU</t>
  </si>
  <si>
    <t>187-CL32A226MOJNNNE</t>
  </si>
  <si>
    <t>581-12101C104K4</t>
  </si>
  <si>
    <t>859-LTST-C930KGKT</t>
  </si>
  <si>
    <t>78-1N4148W-E3-08</t>
  </si>
  <si>
    <t>750-1N4004T-G</t>
  </si>
  <si>
    <t>241-BZT52C3V3R100001</t>
  </si>
  <si>
    <t>576-0443001.DR</t>
  </si>
  <si>
    <t>490-TB007-508-03BE</t>
  </si>
  <si>
    <t>653-G5LE-1-DC5</t>
  </si>
  <si>
    <t>490-PSK-5D-5</t>
  </si>
  <si>
    <t>621-2N7002E-7-F</t>
  </si>
  <si>
    <t>791-RMC1/4-102JTE</t>
  </si>
  <si>
    <t>71-CRMA1210AF4M99FKF</t>
  </si>
  <si>
    <t>708-RMCF1210FT10K0</t>
  </si>
  <si>
    <t>660-RK73B2ETTD561J</t>
  </si>
  <si>
    <t>688-SKHHLP</t>
  </si>
  <si>
    <t>356-ESP32WRM32E132PH</t>
  </si>
  <si>
    <t>579-TC1264-3.3VDBTR</t>
  </si>
  <si>
    <t>512-MOC3041-M</t>
  </si>
  <si>
    <t>428-201494-MC01</t>
  </si>
  <si>
    <t>Buy here</t>
  </si>
  <si>
    <t>Total Purchase:</t>
  </si>
  <si>
    <t>Purchase description:</t>
  </si>
  <si>
    <t>Prj:</t>
  </si>
  <si>
    <t>CaptorBoart</t>
  </si>
  <si>
    <t>Co.:</t>
  </si>
  <si>
    <t>Prj date:</t>
  </si>
  <si>
    <t>07/06/2023 16:50:52</t>
  </si>
  <si>
    <t>Board Qty:</t>
  </si>
  <si>
    <t>Total Cost:</t>
  </si>
  <si>
    <t>Unit Cost:</t>
  </si>
  <si>
    <t>$ date:</t>
  </si>
  <si>
    <t>2023-06-07 16:54:44</t>
  </si>
  <si>
    <t>KiCost® v1.1.17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</si>
</sst>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\€#,##0.000"/>
  </numFmts>
  <fonts count="10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0" fillId="0" borderId="0" xfId="0" applyAlignment="1">
      <alignment horizontal="right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/>
  </cellXfs>
  <cellStyles count="2">
    <cellStyle name="Lien hypertexte" xfId="1" builtinId="8"/>
    <cellStyle name="Normal" xfId="0" builtinId="0"/>
  </cellStyles>
  <dxfs count="132"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ishay.com/docs/88503/1n4001.pdf" TargetMode="External"/><Relationship Id="rId18" Type="http://schemas.openxmlformats.org/officeDocument/2006/relationships/hyperlink" Target="https://www.mouser.fr/ProductDetail/Littelfuse/0443001.DR?qs=PalBzRKzfntIMFnMK4x4WA%3D%3D" TargetMode="External"/><Relationship Id="rId26" Type="http://schemas.openxmlformats.org/officeDocument/2006/relationships/hyperlink" Target="https://www.mouser.fr/ProductDetail/Diodes-Incorporated/2N7002E-7-F?qs=rGAXPo9uwV0Kv54HLG3Nzg%3D%3D" TargetMode="External"/><Relationship Id="rId39" Type="http://schemas.openxmlformats.org/officeDocument/2006/relationships/hyperlink" Target="http://ww1.microchip.com/downloads/en/DeviceDoc/21373C.pdf" TargetMode="External"/><Relationship Id="rId21" Type="http://schemas.openxmlformats.org/officeDocument/2006/relationships/hyperlink" Target="http://www.omron.com/ecb/products/pdf/en-g5le.pdf" TargetMode="External"/><Relationship Id="rId34" Type="http://schemas.openxmlformats.org/officeDocument/2006/relationships/hyperlink" Target="https://www.mouser.fr/ProductDetail/KOA-Speer/RK73B2ETTD561J?qs=LcAMIzdsMr2dlAoy6drxEQ%3D%3D" TargetMode="External"/><Relationship Id="rId42" Type="http://schemas.openxmlformats.org/officeDocument/2006/relationships/hyperlink" Target="https://www.mouser.fr/ProductDetail/onsemi-Fairchild/MOC3041M?qs=wU4Yabi1dYmXkJxzCoZjyQ%3D%3D" TargetMode="External"/><Relationship Id="rId47" Type="http://schemas.openxmlformats.org/officeDocument/2006/relationships/comments" Target="../comments1.xml"/><Relationship Id="rId7" Type="http://schemas.openxmlformats.org/officeDocument/2006/relationships/hyperlink" Target="https://www.mouser.fr/datasheet/2/40/AutoMLCC-777028.pdf" TargetMode="External"/><Relationship Id="rId2" Type="http://schemas.openxmlformats.org/officeDocument/2006/relationships/hyperlink" Target="https://www.mouser.fr/ProductDetail/Samsung-Electro-Mechanics/CL32B105KBHNNNE?qs=349EhDEZ59rXY4nCVEMdbA%3D%3D" TargetMode="External"/><Relationship Id="rId16" Type="http://schemas.openxmlformats.org/officeDocument/2006/relationships/hyperlink" Target="https://www.mouser.fr/ProductDetail/Panjit/BZT52-C3V3_R1_00001?qs=sPbYRqrBIVlxJ8b%252BOgB%252BYw%3D%3D" TargetMode="External"/><Relationship Id="rId29" Type="http://schemas.openxmlformats.org/officeDocument/2006/relationships/hyperlink" Target="https://www.mouser.fr/datasheet/2/427/crma-1765222.pdf" TargetMode="External"/><Relationship Id="rId1" Type="http://schemas.openxmlformats.org/officeDocument/2006/relationships/hyperlink" Target="https://www.mouser.fr/datasheet/2/585/MLCC-1837944.pdf" TargetMode="External"/><Relationship Id="rId6" Type="http://schemas.openxmlformats.org/officeDocument/2006/relationships/hyperlink" Target="https://www.mouser.fr/ProductDetail/Samsung-Electro-Mechanics/CL32A226MOJNNNE?qs=X6jEic%2FHinDrCPX6SLC7PA%3D%3D" TargetMode="External"/><Relationship Id="rId11" Type="http://schemas.openxmlformats.org/officeDocument/2006/relationships/hyperlink" Target="https://www.vishay.com/docs/85748/1n4148w.pdf" TargetMode="External"/><Relationship Id="rId24" Type="http://schemas.openxmlformats.org/officeDocument/2006/relationships/hyperlink" Target="https://www.mouser.fr/ProductDetail/CUI-Inc/PSK-5D-5?qs=DRkmTr78QASBDZkT%252BYmSQQ%3D%3D" TargetMode="External"/><Relationship Id="rId32" Type="http://schemas.openxmlformats.org/officeDocument/2006/relationships/hyperlink" Target="https://www.mouser.fr/ProductDetail/SEI-Stackpole/RMCF1210FT10K0?qs=FESYatJ8odLSM832du%2FSXw%3D%3D" TargetMode="External"/><Relationship Id="rId37" Type="http://schemas.openxmlformats.org/officeDocument/2006/relationships/hyperlink" Target="https://www.espressif.com/sites/default/files/documentation/esp32-wroom-32e_esp32-wroom-32ue_datasheet_en.pdf" TargetMode="External"/><Relationship Id="rId40" Type="http://schemas.openxmlformats.org/officeDocument/2006/relationships/hyperlink" Target="https://www.mouser.fr/ProductDetail/Microchip-Technology/TC1264-3.3VDBTR?qs=EkZBwCRGcSs72PT5fOeaFg%3D%3D" TargetMode="External"/><Relationship Id="rId45" Type="http://schemas.openxmlformats.org/officeDocument/2006/relationships/hyperlink" Target="https://mouser.com/bom/" TargetMode="External"/><Relationship Id="rId5" Type="http://schemas.openxmlformats.org/officeDocument/2006/relationships/hyperlink" Target="https://www.mouser.fr/datasheet/2/585/MLCC-1837944.pdf" TargetMode="External"/><Relationship Id="rId15" Type="http://schemas.openxmlformats.org/officeDocument/2006/relationships/hyperlink" Target="https://diotec.com/tl_files/diotec/files/pdf/datasheets/bzt52b2v4.pdf" TargetMode="External"/><Relationship Id="rId23" Type="http://schemas.openxmlformats.org/officeDocument/2006/relationships/hyperlink" Target="https://www.mouser.fr/datasheet/2/670/psk_5d-2474718.pdf" TargetMode="External"/><Relationship Id="rId28" Type="http://schemas.openxmlformats.org/officeDocument/2006/relationships/hyperlink" Target="https://www.mouser.fr/ProductDetail/Kamaya/RMC1-4-102JTE?qs=JZJGM%252BYuqVpm3l6kJyltQw%3D%3D" TargetMode="External"/><Relationship Id="rId36" Type="http://schemas.openxmlformats.org/officeDocument/2006/relationships/hyperlink" Target="https://www.mouser.fr/ProductDetail/Alps-Alpine/SKHHLPA010?qs=fMKjfF2mFoiwGIDrp5ohgQ%3D%3D" TargetMode="External"/><Relationship Id="rId10" Type="http://schemas.openxmlformats.org/officeDocument/2006/relationships/hyperlink" Target="https://www.mouser.fr/ProductDetail/Lite-On/LTST-C930KGKT?qs=qxhnwC4CwxkfAQj1wZIfSQ%3D%3D" TargetMode="External"/><Relationship Id="rId19" Type="http://schemas.openxmlformats.org/officeDocument/2006/relationships/hyperlink" Target="https://www.mouser.fr/datasheet/2/670/tb007_508-2306759.pdf" TargetMode="External"/><Relationship Id="rId31" Type="http://schemas.openxmlformats.org/officeDocument/2006/relationships/hyperlink" Target="https://www.mouser.fr/datasheet/2/219/RK73B-1825463.pdf" TargetMode="External"/><Relationship Id="rId44" Type="http://schemas.openxmlformats.org/officeDocument/2006/relationships/hyperlink" Target="https://www.mouser.fr/ProductDetail/Micro-Crystal/CM8V-T1A-32.768kHz-12.5pF-20PPM-TA-QC?qs=7bTaA%2FLYtSYgtx%252BmOOZAYQ%3D%3D" TargetMode="External"/><Relationship Id="rId4" Type="http://schemas.openxmlformats.org/officeDocument/2006/relationships/hyperlink" Target="https://www.mouser.fr/ProductDetail/KEMET/C1210C120J1HACTU?qs=W0yvOO0ixfEmRrcetHqPgA%3D%3D" TargetMode="External"/><Relationship Id="rId9" Type="http://schemas.openxmlformats.org/officeDocument/2006/relationships/hyperlink" Target="https://www.mouser.fr/datasheet/2/239/LTST-C930KGKT-1144029.pdf" TargetMode="External"/><Relationship Id="rId14" Type="http://schemas.openxmlformats.org/officeDocument/2006/relationships/hyperlink" Target="https://www.mouser.fr/ProductDetail/Comchip-Technology/1N4004T-G?qs=tw%252BuQ%2FB6PO3qoBZGQQOUiQ%3D%3D" TargetMode="External"/><Relationship Id="rId22" Type="http://schemas.openxmlformats.org/officeDocument/2006/relationships/hyperlink" Target="https://www.mouser.fr/ProductDetail/Omron-Electronics/G5LE-1-DC5?qs=ImaqFqjHA4nKN7ETIjn3Lg%3D%3D" TargetMode="External"/><Relationship Id="rId27" Type="http://schemas.openxmlformats.org/officeDocument/2006/relationships/hyperlink" Target="https://www.mouser.fr/datasheet/2/210/Kamaya_RMC_series_8_2022-3032447.pdf" TargetMode="External"/><Relationship Id="rId30" Type="http://schemas.openxmlformats.org/officeDocument/2006/relationships/hyperlink" Target="https://www.mouser.fr/ProductDetail/Vishay/CRMA1210AF4M99FKEF?qs=QNEnbhJQKvbiFGlBKM2qgw%3D%3D" TargetMode="External"/><Relationship Id="rId35" Type="http://schemas.openxmlformats.org/officeDocument/2006/relationships/hyperlink" Target="https://www.mouser.fr/datasheet/2/15/SKHH-1370651.pdf" TargetMode="External"/><Relationship Id="rId43" Type="http://schemas.openxmlformats.org/officeDocument/2006/relationships/hyperlink" Target="https://www.mouser.fr/datasheet/2/530/CM8V_T1A-1510858.pdf" TargetMode="External"/><Relationship Id="rId8" Type="http://schemas.openxmlformats.org/officeDocument/2006/relationships/hyperlink" Target="https://www.mouser.fr/ProductDetail/KYOCERA-AVX/12101C104K4T2A?qs=46Fswce4YXnjVHFdHduUPA%3D%3D" TargetMode="External"/><Relationship Id="rId3" Type="http://schemas.openxmlformats.org/officeDocument/2006/relationships/hyperlink" Target="https://www.mouser.fr/datasheet/2/212/KEM_C1007_X8R_ULTRA_150C_SMD-1102703.pdf" TargetMode="External"/><Relationship Id="rId12" Type="http://schemas.openxmlformats.org/officeDocument/2006/relationships/hyperlink" Target="https://www.mouser.fr/ProductDetail/Vishay-Semiconductors/1N4148W-E3-08?qs=bTzheeSci6TVjpxfjjRVMw%3D%3D" TargetMode="External"/><Relationship Id="rId17" Type="http://schemas.openxmlformats.org/officeDocument/2006/relationships/hyperlink" Target="https://www.mouser.fr/datasheet/2/240/Littelfuse_Fuse_443_Datasheet_pdf-1102277.pdf" TargetMode="External"/><Relationship Id="rId25" Type="http://schemas.openxmlformats.org/officeDocument/2006/relationships/hyperlink" Target="http://www.diodes.com/assets/Datasheets/ds30376.pdf" TargetMode="External"/><Relationship Id="rId33" Type="http://schemas.openxmlformats.org/officeDocument/2006/relationships/hyperlink" Target="https://www.mouser.fr/datasheet/2/219/RK73B-1825463.pdf" TargetMode="External"/><Relationship Id="rId38" Type="http://schemas.openxmlformats.org/officeDocument/2006/relationships/hyperlink" Target="https://www.mouser.fr/ProductDetail/Espressif-Systems/ESP32-WROOM-32E-N4?qs=Li%252BoUPsLEnsPzTWsi%252BRMgQ%3D%3D" TargetMode="External"/><Relationship Id="rId46" Type="http://schemas.openxmlformats.org/officeDocument/2006/relationships/vmlDrawing" Target="../drawings/vmlDrawing1.vml"/><Relationship Id="rId20" Type="http://schemas.openxmlformats.org/officeDocument/2006/relationships/hyperlink" Target="https://www.mouser.fr/ProductDetail/CUI-Devices/TB007-508-03BE?qs=vLWxofP3U2zHYiGqNs1vAA%3D%3D" TargetMode="External"/><Relationship Id="rId41" Type="http://schemas.openxmlformats.org/officeDocument/2006/relationships/hyperlink" Target="https://www.mouser.fr/datasheet/2/308/1/MOC3043M_D-181182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C2" sqref="C2"/>
    </sheetView>
  </sheetViews>
  <sheetFormatPr baseColWidth="10" defaultColWidth="9.140625" defaultRowHeight="15" outlineLevelCol="3" x14ac:dyDescent="0.25"/>
  <cols>
    <col min="1" max="1" width="17.7109375" customWidth="1"/>
    <col min="2" max="2" width="33.7109375" customWidth="1"/>
    <col min="3" max="3" width="33.7109375" customWidth="1" outlineLevel="2"/>
    <col min="4" max="4" width="33.7109375" customWidth="1" outlineLevel="1"/>
    <col min="5" max="5" width="9.140625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21.7109375" customWidth="1" outlineLevel="2"/>
  </cols>
  <sheetData>
    <row r="1" spans="1:13" ht="17.25" x14ac:dyDescent="0.3">
      <c r="A1" s="1" t="s">
        <v>114</v>
      </c>
      <c r="B1" s="2" t="s">
        <v>115</v>
      </c>
      <c r="F1" s="3" t="s">
        <v>119</v>
      </c>
      <c r="G1" s="3">
        <v>1</v>
      </c>
    </row>
    <row r="2" spans="1:13" ht="17.25" x14ac:dyDescent="0.25">
      <c r="A2" s="1" t="s">
        <v>116</v>
      </c>
      <c r="B2" s="2"/>
      <c r="F2" s="1" t="s">
        <v>121</v>
      </c>
      <c r="G2" s="4">
        <f>TotalCost/BoardQty</f>
        <v>29.393000000000001</v>
      </c>
    </row>
    <row r="3" spans="1:13" ht="17.25" x14ac:dyDescent="0.25">
      <c r="A3" s="1" t="s">
        <v>117</v>
      </c>
      <c r="B3" s="2" t="s">
        <v>118</v>
      </c>
      <c r="F3" s="1" t="s">
        <v>120</v>
      </c>
      <c r="G3" s="5">
        <f>SUM(G7:G28)</f>
        <v>29.393000000000001</v>
      </c>
      <c r="L3" s="5">
        <f>SUM(L7:L28)</f>
        <v>29.393000000000001</v>
      </c>
      <c r="M3" s="6" t="str">
        <f>(COUNTA(L7:L28)&amp;" of "&amp;ROWS(L7:L28)&amp;" parts found")</f>
        <v>22 of 22 parts found</v>
      </c>
    </row>
    <row r="4" spans="1:13" ht="17.25" x14ac:dyDescent="0.25">
      <c r="A4" s="1" t="s">
        <v>122</v>
      </c>
      <c r="B4" s="2" t="s">
        <v>123</v>
      </c>
    </row>
    <row r="5" spans="1:13" ht="18.75" x14ac:dyDescent="0.25">
      <c r="A5" s="13" t="s">
        <v>0</v>
      </c>
      <c r="B5" s="13"/>
      <c r="C5" s="13"/>
      <c r="D5" s="13"/>
      <c r="E5" s="13"/>
      <c r="F5" s="13"/>
      <c r="G5" s="13"/>
      <c r="H5" s="14" t="s">
        <v>84</v>
      </c>
      <c r="I5" s="14"/>
      <c r="J5" s="14"/>
      <c r="K5" s="14"/>
      <c r="L5" s="14"/>
      <c r="M5" s="14"/>
    </row>
    <row r="6" spans="1:13" ht="15.7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85</v>
      </c>
      <c r="I6" s="7" t="s">
        <v>86</v>
      </c>
      <c r="J6" s="7" t="s">
        <v>6</v>
      </c>
      <c r="K6" s="7" t="s">
        <v>87</v>
      </c>
      <c r="L6" s="7" t="s">
        <v>7</v>
      </c>
      <c r="M6" s="7" t="s">
        <v>88</v>
      </c>
    </row>
    <row r="7" spans="1:13" ht="30" customHeight="1" x14ac:dyDescent="0.25">
      <c r="A7" s="8" t="s">
        <v>8</v>
      </c>
      <c r="B7" s="8" t="s">
        <v>9</v>
      </c>
      <c r="C7" s="8" t="s">
        <v>10</v>
      </c>
      <c r="D7" s="8" t="s">
        <v>11</v>
      </c>
      <c r="E7" s="8">
        <f>CEILING(BoardQty*2,1)</f>
        <v>2</v>
      </c>
      <c r="F7" s="9">
        <f t="shared" ref="F7:F28" si="0">IF(MIN(J7)&lt;&gt;0,MIN(J7),"")</f>
        <v>0.22600000000000001</v>
      </c>
      <c r="G7" s="10">
        <f t="shared" ref="G7:G28" si="1">IF(AND(ISNUMBER(E7),ISNUMBER(F7)),E7*F7,"")</f>
        <v>0.45200000000000001</v>
      </c>
      <c r="H7" s="8">
        <v>361684</v>
      </c>
      <c r="I7" s="8"/>
      <c r="J7" s="9">
        <f>IFERROR(IF(OR(I7&gt;=K7,E7&gt;=K7),LOOKUP(IF(I7="",E7,I7),{0,1,10,100,1000,2000,10000,24000,50000},{0,0.226,0.151,0.086,0.053,0.05,0.041,0.039,0.038}),"MOQ="&amp;K7),"")</f>
        <v>0.22600000000000001</v>
      </c>
      <c r="K7" s="8">
        <v>1</v>
      </c>
      <c r="L7" s="10">
        <f t="shared" ref="L7:L28" si="2">IFERROR(IF(I7="",E7,I7)*J7,"")</f>
        <v>0.45200000000000001</v>
      </c>
      <c r="M7" s="8" t="s">
        <v>89</v>
      </c>
    </row>
    <row r="8" spans="1:13" ht="30" customHeight="1" x14ac:dyDescent="0.25">
      <c r="A8" s="8" t="s">
        <v>12</v>
      </c>
      <c r="B8" s="8" t="s">
        <v>13</v>
      </c>
      <c r="C8" s="8" t="s">
        <v>10</v>
      </c>
      <c r="D8" s="8" t="s">
        <v>14</v>
      </c>
      <c r="E8" s="8">
        <f>CEILING(BoardQty*2,1)</f>
        <v>2</v>
      </c>
      <c r="F8" s="9">
        <f t="shared" si="0"/>
        <v>0.254</v>
      </c>
      <c r="G8" s="10">
        <f t="shared" si="1"/>
        <v>0.50800000000000001</v>
      </c>
      <c r="H8" s="8">
        <v>7370</v>
      </c>
      <c r="I8" s="8"/>
      <c r="J8" s="9">
        <f>IFERROR(IF(OR(I8&gt;=K8,E8&gt;=K8),LOOKUP(IF(I8="",E8,I8),{0,1,10,100,1000,4000,8000,24000,100000},{0,0.254,0.171,0.086,0.053,0.05,0.04,0.039,0.035}),"MOQ="&amp;K8),"")</f>
        <v>0.254</v>
      </c>
      <c r="K8" s="8">
        <v>1</v>
      </c>
      <c r="L8" s="10">
        <f t="shared" si="2"/>
        <v>0.50800000000000001</v>
      </c>
      <c r="M8" s="8" t="s">
        <v>90</v>
      </c>
    </row>
    <row r="9" spans="1:13" ht="30" customHeight="1" x14ac:dyDescent="0.25">
      <c r="A9" s="8" t="s">
        <v>15</v>
      </c>
      <c r="B9" s="8" t="s">
        <v>16</v>
      </c>
      <c r="C9" s="8" t="s">
        <v>10</v>
      </c>
      <c r="D9" s="8" t="s">
        <v>17</v>
      </c>
      <c r="E9" s="8">
        <f>CEILING(BoardQty*1,1)</f>
        <v>1</v>
      </c>
      <c r="F9" s="9">
        <f t="shared" si="0"/>
        <v>0.32900000000000001</v>
      </c>
      <c r="G9" s="10">
        <f t="shared" si="1"/>
        <v>0.32900000000000001</v>
      </c>
      <c r="H9" s="8">
        <v>61525</v>
      </c>
      <c r="I9" s="8"/>
      <c r="J9" s="9">
        <f>IFERROR(IF(OR(I9&gt;=K9,E9&gt;=K9),LOOKUP(IF(I9="",E9,I9),{0,1,10,100,1000,2000,10000,25000,50000,100000},{0,0.329,0.23,0.138,0.087,0.083,0.071,0.069,0.064,0.06}),"MOQ="&amp;K9),"")</f>
        <v>0.32900000000000001</v>
      </c>
      <c r="K9" s="8">
        <v>1</v>
      </c>
      <c r="L9" s="10">
        <f t="shared" si="2"/>
        <v>0.32900000000000001</v>
      </c>
      <c r="M9" s="8" t="s">
        <v>91</v>
      </c>
    </row>
    <row r="10" spans="1:13" ht="30" customHeight="1" x14ac:dyDescent="0.25">
      <c r="A10" s="8" t="s">
        <v>18</v>
      </c>
      <c r="B10" s="8" t="s">
        <v>19</v>
      </c>
      <c r="C10" s="8" t="s">
        <v>10</v>
      </c>
      <c r="D10" s="8" t="s">
        <v>20</v>
      </c>
      <c r="E10" s="8">
        <f>CEILING(BoardQty*1,1)</f>
        <v>1</v>
      </c>
      <c r="F10" s="9">
        <f t="shared" si="0"/>
        <v>0.24399999999999999</v>
      </c>
      <c r="G10" s="10">
        <f t="shared" si="1"/>
        <v>0.24399999999999999</v>
      </c>
      <c r="H10" s="8">
        <v>29976</v>
      </c>
      <c r="I10" s="8"/>
      <c r="J10" s="9">
        <f>IFERROR(IF(OR(I10&gt;=K10,E10&gt;=K10),LOOKUP(IF(I10="",E10,I10),{0,1,10,100,1000,4000,8000,24000},{0,0.244,0.167,0.095,0.059,0.056,0.055,0.053}),"MOQ="&amp;K10),"")</f>
        <v>0.24399999999999999</v>
      </c>
      <c r="K10" s="8">
        <v>1</v>
      </c>
      <c r="L10" s="10">
        <f t="shared" si="2"/>
        <v>0.24399999999999999</v>
      </c>
      <c r="M10" s="8" t="s">
        <v>92</v>
      </c>
    </row>
    <row r="11" spans="1:13" ht="30" customHeight="1" x14ac:dyDescent="0.25">
      <c r="A11" s="8" t="s">
        <v>21</v>
      </c>
      <c r="B11" s="8" t="s">
        <v>22</v>
      </c>
      <c r="C11" s="8" t="s">
        <v>23</v>
      </c>
      <c r="D11" s="8" t="s">
        <v>22</v>
      </c>
      <c r="E11" s="8">
        <f>CEILING(BoardQty*7,1)</f>
        <v>7</v>
      </c>
      <c r="F11" s="9">
        <f t="shared" si="0"/>
        <v>0.33800000000000002</v>
      </c>
      <c r="G11" s="10">
        <f t="shared" si="1"/>
        <v>2.3660000000000001</v>
      </c>
      <c r="H11" s="8">
        <v>65374</v>
      </c>
      <c r="I11" s="8"/>
      <c r="J11" s="9">
        <f>IFERROR(IF(OR(I11&gt;=K11,E11&gt;=K11),LOOKUP(IF(I11="",E11,I11),{0,1,10,100,500,1000,1500,9000,24000,49500},{0,0.338,0.185,0.086,0.079,0.062,0.06,0.047,0.041,0.038}),"MOQ="&amp;K11),"")</f>
        <v>0.33800000000000002</v>
      </c>
      <c r="K11" s="8">
        <v>1</v>
      </c>
      <c r="L11" s="10">
        <f t="shared" si="2"/>
        <v>2.3660000000000001</v>
      </c>
      <c r="M11" s="8" t="s">
        <v>93</v>
      </c>
    </row>
    <row r="12" spans="1:13" x14ac:dyDescent="0.25">
      <c r="A12" s="8" t="s">
        <v>24</v>
      </c>
      <c r="B12" s="8" t="s">
        <v>25</v>
      </c>
      <c r="C12" s="8" t="s">
        <v>26</v>
      </c>
      <c r="D12" s="8" t="s">
        <v>27</v>
      </c>
      <c r="E12" s="8">
        <f>CEILING(BoardQty*2,1)</f>
        <v>2</v>
      </c>
      <c r="F12" s="9">
        <f t="shared" si="0"/>
        <v>0.23499999999999999</v>
      </c>
      <c r="G12" s="10">
        <f t="shared" si="1"/>
        <v>0.47</v>
      </c>
      <c r="H12" s="8">
        <v>128290</v>
      </c>
      <c r="I12" s="8"/>
      <c r="J12" s="9">
        <f>IFERROR(IF(OR(I12&gt;=K12,E12&gt;=K12),LOOKUP(IF(I12="",E12,I12),{0,1,10,100,500,1000,2500,10000,15000,45000},{0,0.235,0.173,0.094,0.067,0.045,0.039,0.035,0.032,0.031}),"MOQ="&amp;K12),"")</f>
        <v>0.23499999999999999</v>
      </c>
      <c r="K12" s="8">
        <v>1</v>
      </c>
      <c r="L12" s="10">
        <f t="shared" si="2"/>
        <v>0.47</v>
      </c>
      <c r="M12" s="8" t="s">
        <v>94</v>
      </c>
    </row>
    <row r="13" spans="1:13" ht="30" x14ac:dyDescent="0.25">
      <c r="A13" s="8" t="s">
        <v>28</v>
      </c>
      <c r="B13" s="8" t="s">
        <v>29</v>
      </c>
      <c r="C13" s="8" t="s">
        <v>30</v>
      </c>
      <c r="D13" s="8" t="s">
        <v>31</v>
      </c>
      <c r="E13" s="8">
        <f>CEILING(BoardQty*2,1)</f>
        <v>2</v>
      </c>
      <c r="F13" s="9">
        <f t="shared" si="0"/>
        <v>0.113</v>
      </c>
      <c r="G13" s="10">
        <f t="shared" si="1"/>
        <v>0.22600000000000001</v>
      </c>
      <c r="H13" s="8">
        <v>53536</v>
      </c>
      <c r="I13" s="8"/>
      <c r="J13" s="9">
        <f>IFERROR(IF(OR(I13&gt;=K13,E13&gt;=K13),LOOKUP(IF(I13="",E13,I13),{0,1,10,100,500,1000,2500,5000,10000,25000},{0,0.113,0.103,0.057,0.036,0.024,0.021,0.018,0.015,0.014}),"MOQ="&amp;K13),"")</f>
        <v>0.113</v>
      </c>
      <c r="K13" s="8">
        <v>1</v>
      </c>
      <c r="L13" s="10">
        <f t="shared" si="2"/>
        <v>0.22600000000000001</v>
      </c>
      <c r="M13" s="8" t="s">
        <v>95</v>
      </c>
    </row>
    <row r="14" spans="1:13" x14ac:dyDescent="0.25">
      <c r="A14" s="8" t="s">
        <v>32</v>
      </c>
      <c r="B14" s="8" t="s">
        <v>33</v>
      </c>
      <c r="C14" s="8" t="s">
        <v>34</v>
      </c>
      <c r="D14" s="8" t="s">
        <v>35</v>
      </c>
      <c r="E14" s="8">
        <f>CEILING(BoardQty*3,1)</f>
        <v>3</v>
      </c>
      <c r="F14" s="9">
        <f t="shared" si="0"/>
        <v>0.14099999999999999</v>
      </c>
      <c r="G14" s="10">
        <f t="shared" si="1"/>
        <v>0.42299999999999993</v>
      </c>
      <c r="H14" s="8">
        <v>7916</v>
      </c>
      <c r="I14" s="8"/>
      <c r="J14" s="9">
        <f>IFERROR(IF(OR(I14&gt;=K14,E14&gt;=K14),LOOKUP(IF(I14="",E14,I14),{0,1,10,100,500,1000,3000,9000,24000,45000},{0,0.141,0.133,0.072,0.045,0.031,0.023,0.02,0.018,0.016}),"MOQ="&amp;K14),"")</f>
        <v>0.14099999999999999</v>
      </c>
      <c r="K14" s="8">
        <v>1</v>
      </c>
      <c r="L14" s="10">
        <f t="shared" si="2"/>
        <v>0.42299999999999993</v>
      </c>
      <c r="M14" s="8" t="s">
        <v>96</v>
      </c>
    </row>
    <row r="15" spans="1:13" x14ac:dyDescent="0.25">
      <c r="A15" s="8" t="s">
        <v>36</v>
      </c>
      <c r="B15" s="8" t="s">
        <v>37</v>
      </c>
      <c r="C15" s="8" t="s">
        <v>38</v>
      </c>
      <c r="D15" s="8" t="s">
        <v>39</v>
      </c>
      <c r="E15" s="8">
        <f>CEILING(BoardQty*1,1)</f>
        <v>1</v>
      </c>
      <c r="F15" s="9">
        <f t="shared" si="0"/>
        <v>1.21</v>
      </c>
      <c r="G15" s="10">
        <f t="shared" si="1"/>
        <v>1.21</v>
      </c>
      <c r="H15" s="8">
        <v>1892</v>
      </c>
      <c r="I15" s="8"/>
      <c r="J15" s="9">
        <f>IFERROR(IF(OR(I15&gt;=K15,E15&gt;=K15),LOOKUP(IF(I15="",E15,I15),{0,1,10,100,1500},{0,1.21,0.915,0.836,0.836}),"MOQ="&amp;K15),"")</f>
        <v>1.21</v>
      </c>
      <c r="K15" s="8">
        <v>1</v>
      </c>
      <c r="L15" s="10">
        <f t="shared" si="2"/>
        <v>1.21</v>
      </c>
      <c r="M15" s="8" t="s">
        <v>97</v>
      </c>
    </row>
    <row r="16" spans="1:13" ht="30" customHeight="1" x14ac:dyDescent="0.25">
      <c r="A16" s="8" t="s">
        <v>40</v>
      </c>
      <c r="B16" s="8" t="s">
        <v>41</v>
      </c>
      <c r="C16" s="8" t="s">
        <v>42</v>
      </c>
      <c r="D16" s="8" t="s">
        <v>43</v>
      </c>
      <c r="E16" s="8">
        <f>CEILING(BoardQty*3,1)</f>
        <v>3</v>
      </c>
      <c r="F16" s="9">
        <f t="shared" si="0"/>
        <v>0.77100000000000002</v>
      </c>
      <c r="G16" s="10">
        <f t="shared" si="1"/>
        <v>2.3130000000000002</v>
      </c>
      <c r="H16" s="8">
        <v>10911</v>
      </c>
      <c r="I16" s="8"/>
      <c r="J16" s="9">
        <f>IFERROR(IF(OR(I16&gt;=K16,E16&gt;=K16),LOOKUP(IF(I16="",E16,I16),{0,1,10,100,250,500,1200,2400,4800,9600},{0,0.771,0.442,0.382,0.329,0.317,0.3,0.29,0.234,0.233}),"MOQ="&amp;K16),"")</f>
        <v>0.77100000000000002</v>
      </c>
      <c r="K16" s="8">
        <v>1</v>
      </c>
      <c r="L16" s="10">
        <f t="shared" si="2"/>
        <v>2.3130000000000002</v>
      </c>
      <c r="M16" s="8" t="s">
        <v>98</v>
      </c>
    </row>
    <row r="17" spans="1:13" x14ac:dyDescent="0.25">
      <c r="A17" s="8" t="s">
        <v>44</v>
      </c>
      <c r="B17" s="8" t="s">
        <v>45</v>
      </c>
      <c r="C17" s="8" t="s">
        <v>46</v>
      </c>
      <c r="D17" s="8" t="s">
        <v>45</v>
      </c>
      <c r="E17" s="8">
        <f>CEILING(BoardQty*2,1)</f>
        <v>2</v>
      </c>
      <c r="F17" s="9">
        <f t="shared" si="0"/>
        <v>1.63</v>
      </c>
      <c r="G17" s="10">
        <f t="shared" si="1"/>
        <v>3.26</v>
      </c>
      <c r="H17" s="8">
        <v>4088</v>
      </c>
      <c r="I17" s="8"/>
      <c r="J17" s="9">
        <f>IFERROR(IF(OR(I17&gt;=K17,E17&gt;=K17),LOOKUP(IF(I17="",E17,I17),{0,1,10,25,50,100,500,1000,2500},{0,1.63,1.52,1.29,1.22,1.09,1.02,0.94,0.914}),"MOQ="&amp;K17),"")</f>
        <v>1.63</v>
      </c>
      <c r="K17" s="8">
        <v>1</v>
      </c>
      <c r="L17" s="10">
        <f t="shared" si="2"/>
        <v>3.26</v>
      </c>
      <c r="M17" s="8" t="s">
        <v>99</v>
      </c>
    </row>
    <row r="18" spans="1:13" x14ac:dyDescent="0.25">
      <c r="A18" s="8" t="s">
        <v>47</v>
      </c>
      <c r="B18" s="8" t="s">
        <v>48</v>
      </c>
      <c r="C18" s="8" t="s">
        <v>49</v>
      </c>
      <c r="D18" s="8" t="s">
        <v>48</v>
      </c>
      <c r="E18" s="8">
        <f>CEILING(BoardQty*1,1)</f>
        <v>1</v>
      </c>
      <c r="F18" s="9">
        <f t="shared" si="0"/>
        <v>6.67</v>
      </c>
      <c r="G18" s="10">
        <f t="shared" si="1"/>
        <v>6.67</v>
      </c>
      <c r="H18" s="8">
        <v>964</v>
      </c>
      <c r="I18" s="8"/>
      <c r="J18" s="9">
        <f>IFERROR(IF(OR(I18&gt;=K18,E18&gt;=K18),LOOKUP(IF(I18="",E18,I18),{0,1,5,10,25,60,120,300,540,1020},{0,6.67,6.59,6.5,6.32,5.94,5.75,5.56,5.49,5.24}),"MOQ="&amp;K18),"")</f>
        <v>6.67</v>
      </c>
      <c r="K18" s="8">
        <v>1</v>
      </c>
      <c r="L18" s="10">
        <f t="shared" si="2"/>
        <v>6.67</v>
      </c>
      <c r="M18" s="8" t="s">
        <v>100</v>
      </c>
    </row>
    <row r="19" spans="1:13" x14ac:dyDescent="0.25">
      <c r="A19" s="8" t="s">
        <v>50</v>
      </c>
      <c r="B19" s="8" t="s">
        <v>51</v>
      </c>
      <c r="C19" s="8" t="s">
        <v>52</v>
      </c>
      <c r="D19" s="8" t="s">
        <v>53</v>
      </c>
      <c r="E19" s="8">
        <f>CEILING(BoardQty*2,1)</f>
        <v>2</v>
      </c>
      <c r="F19" s="9">
        <f t="shared" si="0"/>
        <v>0.27300000000000002</v>
      </c>
      <c r="G19" s="10">
        <f t="shared" si="1"/>
        <v>0.54600000000000004</v>
      </c>
      <c r="H19" s="8">
        <v>78924</v>
      </c>
      <c r="I19" s="8"/>
      <c r="J19" s="9">
        <f>IFERROR(IF(OR(I19&gt;=K19,E19&gt;=K19),LOOKUP(IF(I19="",E19,I19),{0,1,10,100,500,1000,3000,6000},{0,0.273,0.224,0.118,0.078,0.054,0.047,0.045}),"MOQ="&amp;K19),"")</f>
        <v>0.27300000000000002</v>
      </c>
      <c r="K19" s="8">
        <v>1</v>
      </c>
      <c r="L19" s="10">
        <f t="shared" si="2"/>
        <v>0.54600000000000004</v>
      </c>
      <c r="M19" s="8" t="s">
        <v>101</v>
      </c>
    </row>
    <row r="20" spans="1:13" ht="30" customHeight="1" x14ac:dyDescent="0.25">
      <c r="A20" s="8" t="s">
        <v>54</v>
      </c>
      <c r="B20" s="8" t="s">
        <v>55</v>
      </c>
      <c r="C20" s="8" t="s">
        <v>56</v>
      </c>
      <c r="D20" s="8" t="s">
        <v>57</v>
      </c>
      <c r="E20" s="8">
        <f>CEILING(BoardQty*8,1)</f>
        <v>8</v>
      </c>
      <c r="F20" s="9">
        <f t="shared" si="0"/>
        <v>0.14000000000000001</v>
      </c>
      <c r="G20" s="10">
        <f t="shared" si="1"/>
        <v>1.1200000000000001</v>
      </c>
      <c r="H20" s="8">
        <v>7800</v>
      </c>
      <c r="I20" s="8"/>
      <c r="J20" s="9">
        <f>IFERROR(IF(OR(I20&gt;=K20,E20&gt;=K20),LOOKUP(IF(I20="",E20,I20),{0,1,10,100,1000,2500,4000},{0,0.14,0.078,0.032,0.015,0.013,0.01}),"MOQ="&amp;K20),"")</f>
        <v>0.14000000000000001</v>
      </c>
      <c r="K20" s="8">
        <v>1</v>
      </c>
      <c r="L20" s="10">
        <f t="shared" si="2"/>
        <v>1.1200000000000001</v>
      </c>
      <c r="M20" s="8" t="s">
        <v>102</v>
      </c>
    </row>
    <row r="21" spans="1:13" ht="30" customHeight="1" x14ac:dyDescent="0.25">
      <c r="A21" s="8" t="s">
        <v>58</v>
      </c>
      <c r="B21" s="8" t="s">
        <v>59</v>
      </c>
      <c r="C21" s="8" t="s">
        <v>56</v>
      </c>
      <c r="D21" s="8" t="s">
        <v>60</v>
      </c>
      <c r="E21" s="8">
        <f>CEILING(BoardQty*1,1)</f>
        <v>1</v>
      </c>
      <c r="F21" s="9">
        <f t="shared" si="0"/>
        <v>0.72399999999999998</v>
      </c>
      <c r="G21" s="10">
        <f t="shared" si="1"/>
        <v>0.72399999999999998</v>
      </c>
      <c r="H21" s="8">
        <v>7700</v>
      </c>
      <c r="I21" s="8"/>
      <c r="J21" s="9">
        <f>IFERROR(IF(OR(I21&gt;=K21,E21&gt;=K21),LOOKUP(IF(I21="",E21,I21),{0,1,10,100,1000,4000},{0,0.724,0.543,0.315,0.223,0.223}),"MOQ="&amp;K21),"")</f>
        <v>0.72399999999999998</v>
      </c>
      <c r="K21" s="8">
        <v>1</v>
      </c>
      <c r="L21" s="10">
        <f t="shared" si="2"/>
        <v>0.72399999999999998</v>
      </c>
      <c r="M21" s="8" t="s">
        <v>103</v>
      </c>
    </row>
    <row r="22" spans="1:13" ht="30" customHeight="1" x14ac:dyDescent="0.25">
      <c r="A22" s="8" t="s">
        <v>61</v>
      </c>
      <c r="B22" s="8" t="s">
        <v>62</v>
      </c>
      <c r="C22" s="8" t="s">
        <v>56</v>
      </c>
      <c r="D22" s="8" t="s">
        <v>63</v>
      </c>
      <c r="E22" s="8">
        <f>CEILING(BoardQty*6,1)</f>
        <v>6</v>
      </c>
      <c r="F22" s="9">
        <f t="shared" si="0"/>
        <v>0.13200000000000001</v>
      </c>
      <c r="G22" s="10">
        <f t="shared" si="1"/>
        <v>0.79200000000000004</v>
      </c>
      <c r="H22" s="8">
        <v>21308</v>
      </c>
      <c r="I22" s="8"/>
      <c r="J22" s="9">
        <f>IFERROR(IF(OR(I22&gt;=K22,E22&gt;=K22),LOOKUP(IF(I22="",E22,I22),{0,1,10,100,500,1000,4000},{0,0.132,0.106,0.042,0.035,0.018,0.016}),"MOQ="&amp;K22),"")</f>
        <v>0.13200000000000001</v>
      </c>
      <c r="K22" s="8">
        <v>1</v>
      </c>
      <c r="L22" s="10">
        <f t="shared" si="2"/>
        <v>0.79200000000000004</v>
      </c>
      <c r="M22" s="8" t="s">
        <v>104</v>
      </c>
    </row>
    <row r="23" spans="1:13" ht="30" customHeight="1" x14ac:dyDescent="0.25">
      <c r="A23" s="8" t="s">
        <v>64</v>
      </c>
      <c r="B23" s="8" t="s">
        <v>65</v>
      </c>
      <c r="C23" s="8" t="s">
        <v>56</v>
      </c>
      <c r="D23" s="8" t="s">
        <v>66</v>
      </c>
      <c r="E23" s="8">
        <f>CEILING(BoardQty*2,1)</f>
        <v>2</v>
      </c>
      <c r="F23" s="9">
        <f t="shared" si="0"/>
        <v>0.151</v>
      </c>
      <c r="G23" s="10">
        <f t="shared" si="1"/>
        <v>0.30199999999999999</v>
      </c>
      <c r="H23" s="8">
        <v>8107</v>
      </c>
      <c r="I23" s="8"/>
      <c r="J23" s="9">
        <f>IFERROR(IF(OR(I23&gt;=K23,E23&gt;=K23),LOOKUP(IF(I23="",E23,I23),{0,1,10,100,1000,5000,10000,25000},{0,0.151,0.128,0.05,0.019,0.018,0.017,0.016}),"MOQ="&amp;K23),"")</f>
        <v>0.151</v>
      </c>
      <c r="K23" s="8">
        <v>1</v>
      </c>
      <c r="L23" s="10">
        <f t="shared" si="2"/>
        <v>0.30199999999999999</v>
      </c>
      <c r="M23" s="8" t="s">
        <v>105</v>
      </c>
    </row>
    <row r="24" spans="1:13" x14ac:dyDescent="0.25">
      <c r="A24" s="8" t="s">
        <v>67</v>
      </c>
      <c r="B24" s="8" t="s">
        <v>68</v>
      </c>
      <c r="C24" s="8" t="s">
        <v>69</v>
      </c>
      <c r="D24" s="8" t="s">
        <v>70</v>
      </c>
      <c r="E24" s="8">
        <f>CEILING(BoardQty*2,1)</f>
        <v>2</v>
      </c>
      <c r="F24" s="9">
        <f t="shared" si="0"/>
        <v>0.59399999999999997</v>
      </c>
      <c r="G24" s="10">
        <f t="shared" si="1"/>
        <v>1.1879999999999999</v>
      </c>
      <c r="H24" s="8">
        <v>2989</v>
      </c>
      <c r="I24" s="8"/>
      <c r="J24" s="9">
        <f>IFERROR(IF(OR(I24&gt;=K24,E24&gt;=K24),LOOKUP(IF(I24="",E24,I24),{0,1,10,25,100,250,500,1000,2000,5000},{0,0.594,0.563,0.535,0.486,0.457,0.418,0.349,0.339,0.316}),"MOQ="&amp;K24),"")</f>
        <v>0.59399999999999997</v>
      </c>
      <c r="K24" s="8">
        <v>1</v>
      </c>
      <c r="L24" s="10">
        <f t="shared" si="2"/>
        <v>1.1879999999999999</v>
      </c>
      <c r="M24" s="8" t="s">
        <v>106</v>
      </c>
    </row>
    <row r="25" spans="1:13" ht="30" x14ac:dyDescent="0.25">
      <c r="A25" s="8" t="s">
        <v>71</v>
      </c>
      <c r="B25" s="8" t="s">
        <v>72</v>
      </c>
      <c r="C25" s="8" t="s">
        <v>73</v>
      </c>
      <c r="D25" s="8" t="s">
        <v>72</v>
      </c>
      <c r="E25" s="8">
        <f>CEILING(BoardQty*1,1)</f>
        <v>1</v>
      </c>
      <c r="F25" s="9">
        <f t="shared" si="0"/>
        <v>2.82</v>
      </c>
      <c r="G25" s="10">
        <f t="shared" si="1"/>
        <v>2.82</v>
      </c>
      <c r="H25" s="8">
        <v>25845</v>
      </c>
      <c r="I25" s="8"/>
      <c r="J25" s="9">
        <f>IFERROR(IF(OR(I25&gt;=K25,E25&gt;=K25),LOOKUP(IF(I25="",E25,I25),{0,1,650},{0,2.82,2.82}),"MOQ="&amp;K25),"")</f>
        <v>2.82</v>
      </c>
      <c r="K25" s="8">
        <v>1</v>
      </c>
      <c r="L25" s="10">
        <f t="shared" si="2"/>
        <v>2.82</v>
      </c>
      <c r="M25" s="8" t="s">
        <v>107</v>
      </c>
    </row>
    <row r="26" spans="1:13" x14ac:dyDescent="0.25">
      <c r="A26" s="8" t="s">
        <v>74</v>
      </c>
      <c r="B26" s="8" t="s">
        <v>75</v>
      </c>
      <c r="C26" s="8" t="s">
        <v>76</v>
      </c>
      <c r="D26" s="8" t="s">
        <v>75</v>
      </c>
      <c r="E26" s="8">
        <f>CEILING(BoardQty*1,1)</f>
        <v>1</v>
      </c>
      <c r="F26" s="9">
        <f t="shared" si="0"/>
        <v>0.85499999999999998</v>
      </c>
      <c r="G26" s="10">
        <f t="shared" si="1"/>
        <v>0.85499999999999998</v>
      </c>
      <c r="H26" s="8">
        <v>1376</v>
      </c>
      <c r="I26" s="8"/>
      <c r="J26" s="9">
        <f>IFERROR(IF(OR(I26&gt;=K26,E26&gt;=K26),LOOKUP(IF(I26="",E26,I26),{0,1,25,100,4000},{0,0.855,0.724,0.667,0.667}),"MOQ="&amp;K26),"")</f>
        <v>0.85499999999999998</v>
      </c>
      <c r="K26" s="8">
        <v>1</v>
      </c>
      <c r="L26" s="10">
        <f t="shared" si="2"/>
        <v>0.85499999999999998</v>
      </c>
      <c r="M26" s="8" t="s">
        <v>108</v>
      </c>
    </row>
    <row r="27" spans="1:13" x14ac:dyDescent="0.25">
      <c r="A27" s="8" t="s">
        <v>77</v>
      </c>
      <c r="B27" s="8" t="s">
        <v>78</v>
      </c>
      <c r="C27" s="8" t="s">
        <v>79</v>
      </c>
      <c r="D27" s="8" t="s">
        <v>80</v>
      </c>
      <c r="E27" s="8">
        <f>CEILING(BoardQty*2,1)</f>
        <v>2</v>
      </c>
      <c r="F27" s="9">
        <f t="shared" si="0"/>
        <v>0.996</v>
      </c>
      <c r="G27" s="10">
        <f t="shared" si="1"/>
        <v>1.992</v>
      </c>
      <c r="H27" s="8">
        <v>13712</v>
      </c>
      <c r="I27" s="8"/>
      <c r="J27" s="9">
        <f>IFERROR(IF(OR(I27&gt;=K27,E27&gt;=K27),LOOKUP(IF(I27="",E27,I27),{0,1,10,100,500,1000,3000,5000,10000,25000},{0,0.996,0.647,0.425,0.414,0.326,0.32,0.308,0.304,0.29}),"MOQ="&amp;K27),"")</f>
        <v>0.996</v>
      </c>
      <c r="K27" s="8">
        <v>1</v>
      </c>
      <c r="L27" s="10">
        <f t="shared" si="2"/>
        <v>1.992</v>
      </c>
      <c r="M27" s="8" t="s">
        <v>109</v>
      </c>
    </row>
    <row r="28" spans="1:13" ht="30" customHeight="1" x14ac:dyDescent="0.25">
      <c r="A28" s="8" t="s">
        <v>81</v>
      </c>
      <c r="B28" s="8" t="s">
        <v>82</v>
      </c>
      <c r="C28" s="8" t="s">
        <v>83</v>
      </c>
      <c r="D28" s="8" t="s">
        <v>82</v>
      </c>
      <c r="E28" s="8">
        <f>CEILING(BoardQty*1,1)</f>
        <v>1</v>
      </c>
      <c r="F28" s="9">
        <f t="shared" si="0"/>
        <v>0.58299999999999996</v>
      </c>
      <c r="G28" s="10">
        <f t="shared" si="1"/>
        <v>0.58299999999999996</v>
      </c>
      <c r="H28" s="8">
        <v>11471</v>
      </c>
      <c r="I28" s="8"/>
      <c r="J28" s="9">
        <f>IFERROR(IF(OR(I28&gt;=K28,E28&gt;=K28),LOOKUP(IF(I28="",E28,I28),{0,1,10,100,500,1000,2000,5000,10000,25000},{0,0.583,0.484,0.387,0.368,0.309,0.289,0.28,0.27,0.26}),"MOQ="&amp;K28),"")</f>
        <v>0.58299999999999996</v>
      </c>
      <c r="K28" s="8">
        <v>1</v>
      </c>
      <c r="L28" s="10">
        <f t="shared" si="2"/>
        <v>0.58299999999999996</v>
      </c>
      <c r="M28" s="8" t="s">
        <v>110</v>
      </c>
    </row>
    <row r="30" spans="1:13" ht="17.25" x14ac:dyDescent="0.25">
      <c r="F30" s="1" t="s">
        <v>112</v>
      </c>
      <c r="G30" s="5">
        <f>SUM(L30)</f>
        <v>0</v>
      </c>
      <c r="H30" s="11" t="s">
        <v>111</v>
      </c>
      <c r="I30" s="6" t="str">
        <f>IFERROR(IF(COUNTIF(I7:I28,"&gt;0")&gt;0,COUNTIF(I7:I28,"&gt;0")&amp;" of "&amp;(ROWS(K7:K28)-COUNTBLANK(K7:K28))&amp;" parts purchased",""),"")</f>
        <v/>
      </c>
      <c r="L30" s="5">
        <f>SUMIF(I7:I28,"&gt;0",L7:L28)</f>
        <v>0</v>
      </c>
    </row>
    <row r="31" spans="1:13" ht="15.75" x14ac:dyDescent="0.25">
      <c r="A31" s="2" t="s">
        <v>124</v>
      </c>
      <c r="F31" s="12" t="s">
        <v>113</v>
      </c>
      <c r="I31" s="15" t="str">
        <f>CONCATENATE(I54,I55,I56,I57,I58,I59,I60,I61,I62,I63,I64,I65,I66,I67,I68,I69,I70,I71,I72,I73,I74,I75)</f>
        <v/>
      </c>
      <c r="J31" s="16"/>
      <c r="K31" s="16"/>
      <c r="L31" s="16"/>
    </row>
    <row r="32" spans="1:13" x14ac:dyDescent="0.25">
      <c r="I32" s="16"/>
      <c r="J32" s="16"/>
      <c r="K32" s="16"/>
      <c r="L32" s="16"/>
    </row>
    <row r="33" spans="9:12" x14ac:dyDescent="0.25">
      <c r="I33" s="16"/>
      <c r="J33" s="16"/>
      <c r="K33" s="16"/>
      <c r="L33" s="16"/>
    </row>
    <row r="34" spans="9:12" x14ac:dyDescent="0.25">
      <c r="I34" s="16"/>
      <c r="J34" s="16"/>
      <c r="K34" s="16"/>
      <c r="L34" s="16"/>
    </row>
    <row r="35" spans="9:12" x14ac:dyDescent="0.25">
      <c r="I35" s="16"/>
      <c r="J35" s="16"/>
      <c r="K35" s="16"/>
      <c r="L35" s="16"/>
    </row>
    <row r="36" spans="9:12" x14ac:dyDescent="0.25">
      <c r="I36" s="16"/>
      <c r="J36" s="16"/>
      <c r="K36" s="16"/>
      <c r="L36" s="16"/>
    </row>
    <row r="37" spans="9:12" x14ac:dyDescent="0.25">
      <c r="I37" s="16"/>
      <c r="J37" s="16"/>
      <c r="K37" s="16"/>
      <c r="L37" s="16"/>
    </row>
    <row r="38" spans="9:12" x14ac:dyDescent="0.25">
      <c r="I38" s="16"/>
      <c r="J38" s="16"/>
      <c r="K38" s="16"/>
      <c r="L38" s="16"/>
    </row>
    <row r="39" spans="9:12" x14ac:dyDescent="0.25">
      <c r="I39" s="16"/>
      <c r="J39" s="16"/>
      <c r="K39" s="16"/>
      <c r="L39" s="16"/>
    </row>
    <row r="40" spans="9:12" x14ac:dyDescent="0.25">
      <c r="I40" s="16"/>
      <c r="J40" s="16"/>
      <c r="K40" s="16"/>
      <c r="L40" s="16"/>
    </row>
    <row r="41" spans="9:12" x14ac:dyDescent="0.25">
      <c r="I41" s="16"/>
      <c r="J41" s="16"/>
      <c r="K41" s="16"/>
      <c r="L41" s="16"/>
    </row>
    <row r="42" spans="9:12" x14ac:dyDescent="0.25">
      <c r="I42" s="16"/>
      <c r="J42" s="16"/>
      <c r="K42" s="16"/>
      <c r="L42" s="16"/>
    </row>
    <row r="43" spans="9:12" x14ac:dyDescent="0.25">
      <c r="I43" s="16"/>
      <c r="J43" s="16"/>
      <c r="K43" s="16"/>
      <c r="L43" s="16"/>
    </row>
    <row r="44" spans="9:12" x14ac:dyDescent="0.25">
      <c r="I44" s="16"/>
      <c r="J44" s="16"/>
      <c r="K44" s="16"/>
      <c r="L44" s="16"/>
    </row>
    <row r="45" spans="9:12" x14ac:dyDescent="0.25">
      <c r="I45" s="16"/>
      <c r="J45" s="16"/>
      <c r="K45" s="16"/>
      <c r="L45" s="16"/>
    </row>
    <row r="46" spans="9:12" x14ac:dyDescent="0.25">
      <c r="I46" s="16"/>
      <c r="J46" s="16"/>
      <c r="K46" s="16"/>
      <c r="L46" s="16"/>
    </row>
    <row r="47" spans="9:12" x14ac:dyDescent="0.25">
      <c r="I47" s="16"/>
      <c r="J47" s="16"/>
      <c r="K47" s="16"/>
      <c r="L47" s="16"/>
    </row>
    <row r="48" spans="9:12" x14ac:dyDescent="0.25">
      <c r="I48" s="16"/>
      <c r="J48" s="16"/>
      <c r="K48" s="16"/>
      <c r="L48" s="16"/>
    </row>
    <row r="49" spans="9:12" x14ac:dyDescent="0.25">
      <c r="I49" s="16"/>
      <c r="J49" s="16"/>
      <c r="K49" s="16"/>
      <c r="L49" s="16"/>
    </row>
    <row r="50" spans="9:12" x14ac:dyDescent="0.25">
      <c r="I50" s="16"/>
      <c r="J50" s="16"/>
      <c r="K50" s="16"/>
      <c r="L50" s="16"/>
    </row>
    <row r="51" spans="9:12" x14ac:dyDescent="0.25">
      <c r="I51" s="16"/>
      <c r="J51" s="16"/>
      <c r="K51" s="16"/>
      <c r="L51" s="16"/>
    </row>
    <row r="52" spans="9:12" x14ac:dyDescent="0.25">
      <c r="I52" s="16"/>
      <c r="J52" s="16"/>
      <c r="K52" s="16"/>
      <c r="L52" s="16"/>
    </row>
    <row r="53" spans="9:12" x14ac:dyDescent="0.25">
      <c r="I53" s="16"/>
      <c r="J53" s="16"/>
      <c r="K53" s="16"/>
      <c r="L53" s="16"/>
    </row>
    <row r="54" spans="9:12" ht="30" hidden="1" customHeight="1" x14ac:dyDescent="0.25">
      <c r="I54" t="str">
        <f t="array" ref="I54:I75">IF(ISNUMBER(I7:I28)*(I7:I28&gt;=K7:K28)*(M7:M28&lt;&gt;""),M7:M28&amp;"|"&amp;TEXT(ROUNDUP(I7:I28/IF(ISNUMBER(K7:K28),K7:K28,1),0)*K7:K28,"##0")&amp;"|"&amp;SUBSTITUTE(SUBSTITUTE(SUBSTITUTE(IF(PURCHASE_DESCRIPTION&lt;&gt;"",PURCHASE_DESCRIPTION&amp;":","")&amp;A7:A28,"|",";")," ","_"),"
","_")&amp;CHAR(10),"")</f>
        <v/>
      </c>
    </row>
    <row r="55" spans="9:12" ht="30" hidden="1" customHeight="1" x14ac:dyDescent="0.25">
      <c r="I55" t="str">
        <v/>
      </c>
    </row>
    <row r="56" spans="9:12" ht="30" hidden="1" customHeight="1" x14ac:dyDescent="0.25">
      <c r="I56" t="str">
        <v/>
      </c>
    </row>
    <row r="57" spans="9:12" ht="30" hidden="1" customHeight="1" x14ac:dyDescent="0.25">
      <c r="I57" t="str">
        <v/>
      </c>
    </row>
    <row r="58" spans="9:12" ht="30" hidden="1" customHeight="1" x14ac:dyDescent="0.25">
      <c r="I58" t="str">
        <v/>
      </c>
    </row>
    <row r="59" spans="9:12" ht="30" hidden="1" customHeight="1" x14ac:dyDescent="0.25">
      <c r="I59" t="str">
        <v/>
      </c>
    </row>
    <row r="60" spans="9:12" ht="30" hidden="1" customHeight="1" x14ac:dyDescent="0.25">
      <c r="I60" t="str">
        <v/>
      </c>
    </row>
    <row r="61" spans="9:12" ht="30" hidden="1" customHeight="1" x14ac:dyDescent="0.25">
      <c r="I61" t="str">
        <v/>
      </c>
    </row>
    <row r="62" spans="9:12" ht="30" hidden="1" customHeight="1" x14ac:dyDescent="0.25">
      <c r="I62" t="str">
        <v/>
      </c>
    </row>
    <row r="63" spans="9:12" ht="30" hidden="1" customHeight="1" x14ac:dyDescent="0.25">
      <c r="I63" t="str">
        <v/>
      </c>
    </row>
    <row r="64" spans="9:12" ht="30" hidden="1" customHeight="1" x14ac:dyDescent="0.25">
      <c r="I64" t="str">
        <v/>
      </c>
    </row>
    <row r="65" spans="9:9" ht="30" hidden="1" customHeight="1" x14ac:dyDescent="0.25">
      <c r="I65" t="str">
        <v/>
      </c>
    </row>
    <row r="66" spans="9:9" ht="30" hidden="1" customHeight="1" x14ac:dyDescent="0.25">
      <c r="I66" t="str">
        <v/>
      </c>
    </row>
    <row r="67" spans="9:9" ht="30" hidden="1" customHeight="1" x14ac:dyDescent="0.25">
      <c r="I67" t="str">
        <v/>
      </c>
    </row>
    <row r="68" spans="9:9" ht="30" hidden="1" customHeight="1" x14ac:dyDescent="0.25">
      <c r="I68" t="str">
        <v/>
      </c>
    </row>
    <row r="69" spans="9:9" ht="30" hidden="1" customHeight="1" x14ac:dyDescent="0.25">
      <c r="I69" t="str">
        <v/>
      </c>
    </row>
    <row r="70" spans="9:9" ht="30" hidden="1" customHeight="1" x14ac:dyDescent="0.25">
      <c r="I70" t="str">
        <v/>
      </c>
    </row>
    <row r="71" spans="9:9" ht="30" hidden="1" customHeight="1" x14ac:dyDescent="0.25">
      <c r="I71" t="str">
        <v/>
      </c>
    </row>
    <row r="72" spans="9:9" ht="30" hidden="1" customHeight="1" x14ac:dyDescent="0.25">
      <c r="I72" t="str">
        <v/>
      </c>
    </row>
    <row r="73" spans="9:9" ht="30" hidden="1" customHeight="1" x14ac:dyDescent="0.25">
      <c r="I73" t="str">
        <v/>
      </c>
    </row>
    <row r="74" spans="9:9" ht="30" hidden="1" customHeight="1" x14ac:dyDescent="0.25">
      <c r="I74" t="str">
        <v/>
      </c>
    </row>
    <row r="75" spans="9:9" ht="30" hidden="1" customHeight="1" x14ac:dyDescent="0.25">
      <c r="I75" t="str">
        <v/>
      </c>
    </row>
  </sheetData>
  <mergeCells count="3">
    <mergeCell ref="A5:G5"/>
    <mergeCell ref="H5:M5"/>
    <mergeCell ref="I31:L53"/>
  </mergeCells>
  <conditionalFormatting sqref="E10">
    <cfRule type="expression" dxfId="131" priority="57">
      <formula>AND(ISBLANK(D10),ISBLANK(L10))</formula>
    </cfRule>
    <cfRule type="expression" dxfId="130" priority="58">
      <formula>IF(SUM(H10)=0,1,0)</formula>
    </cfRule>
    <cfRule type="cellIs" dxfId="129" priority="59" operator="greaterThan">
      <formula>SUM(H10)</formula>
    </cfRule>
    <cfRule type="cellIs" dxfId="128" priority="60" operator="greaterThan">
      <formula>SUM(IF(ISNUMBER(J10),I10,0))</formula>
    </cfRule>
  </conditionalFormatting>
  <conditionalFormatting sqref="E11">
    <cfRule type="expression" dxfId="127" priority="61">
      <formula>AND(ISBLANK(D11),ISBLANK(L11))</formula>
    </cfRule>
    <cfRule type="expression" dxfId="126" priority="62">
      <formula>IF(SUM(H11)=0,1,0)</formula>
    </cfRule>
    <cfRule type="cellIs" dxfId="125" priority="63" operator="greaterThan">
      <formula>SUM(H11)</formula>
    </cfRule>
    <cfRule type="cellIs" dxfId="124" priority="64" operator="greaterThan">
      <formula>SUM(IF(ISNUMBER(J11),I11,0))</formula>
    </cfRule>
  </conditionalFormatting>
  <conditionalFormatting sqref="E12">
    <cfRule type="expression" dxfId="123" priority="65">
      <formula>AND(ISBLANK(D12),ISBLANK(L12))</formula>
    </cfRule>
    <cfRule type="expression" dxfId="122" priority="66">
      <formula>IF(SUM(H12)=0,1,0)</formula>
    </cfRule>
    <cfRule type="cellIs" dxfId="121" priority="67" operator="greaterThan">
      <formula>SUM(H12)</formula>
    </cfRule>
    <cfRule type="cellIs" dxfId="120" priority="68" operator="greaterThan">
      <formula>SUM(IF(ISNUMBER(J12),I12,0))</formula>
    </cfRule>
  </conditionalFormatting>
  <conditionalFormatting sqref="E13">
    <cfRule type="expression" dxfId="119" priority="69">
      <formula>AND(ISBLANK(D13),ISBLANK(L13))</formula>
    </cfRule>
    <cfRule type="expression" dxfId="118" priority="70">
      <formula>IF(SUM(H13)=0,1,0)</formula>
    </cfRule>
    <cfRule type="cellIs" dxfId="117" priority="71" operator="greaterThan">
      <formula>SUM(H13)</formula>
    </cfRule>
    <cfRule type="cellIs" dxfId="116" priority="72" operator="greaterThan">
      <formula>SUM(IF(ISNUMBER(J13),I13,0))</formula>
    </cfRule>
  </conditionalFormatting>
  <conditionalFormatting sqref="E14">
    <cfRule type="expression" dxfId="115" priority="73">
      <formula>AND(ISBLANK(D14),ISBLANK(L14))</formula>
    </cfRule>
    <cfRule type="expression" dxfId="114" priority="74">
      <formula>IF(SUM(H14)=0,1,0)</formula>
    </cfRule>
    <cfRule type="cellIs" dxfId="113" priority="75" operator="greaterThan">
      <formula>SUM(H14)</formula>
    </cfRule>
    <cfRule type="cellIs" dxfId="112" priority="76" operator="greaterThan">
      <formula>SUM(IF(ISNUMBER(J14),I14,0))</formula>
    </cfRule>
  </conditionalFormatting>
  <conditionalFormatting sqref="E15">
    <cfRule type="expression" dxfId="111" priority="77">
      <formula>AND(ISBLANK(D15),ISBLANK(L15))</formula>
    </cfRule>
    <cfRule type="expression" dxfId="110" priority="78">
      <formula>IF(SUM(H15)=0,1,0)</formula>
    </cfRule>
    <cfRule type="cellIs" dxfId="109" priority="79" operator="greaterThan">
      <formula>SUM(H15)</formula>
    </cfRule>
    <cfRule type="cellIs" dxfId="108" priority="80" operator="greaterThan">
      <formula>SUM(IF(ISNUMBER(J15),I15,0))</formula>
    </cfRule>
  </conditionalFormatting>
  <conditionalFormatting sqref="E16">
    <cfRule type="expression" dxfId="107" priority="81">
      <formula>AND(ISBLANK(D16),ISBLANK(L16))</formula>
    </cfRule>
    <cfRule type="expression" dxfId="106" priority="82">
      <formula>IF(SUM(H16)=0,1,0)</formula>
    </cfRule>
    <cfRule type="cellIs" dxfId="105" priority="83" operator="greaterThan">
      <formula>SUM(H16)</formula>
    </cfRule>
    <cfRule type="cellIs" dxfId="104" priority="84" operator="greaterThan">
      <formula>SUM(IF(ISNUMBER(J16),I16,0))</formula>
    </cfRule>
  </conditionalFormatting>
  <conditionalFormatting sqref="E17">
    <cfRule type="expression" dxfId="103" priority="85">
      <formula>AND(ISBLANK(D17),ISBLANK(L17))</formula>
    </cfRule>
    <cfRule type="expression" dxfId="102" priority="86">
      <formula>IF(SUM(H17)=0,1,0)</formula>
    </cfRule>
    <cfRule type="cellIs" dxfId="101" priority="87" operator="greaterThan">
      <formula>SUM(H17)</formula>
    </cfRule>
    <cfRule type="cellIs" dxfId="100" priority="88" operator="greaterThan">
      <formula>SUM(IF(ISNUMBER(J17),I17,0))</formula>
    </cfRule>
  </conditionalFormatting>
  <conditionalFormatting sqref="E18">
    <cfRule type="expression" dxfId="99" priority="89">
      <formula>AND(ISBLANK(D18),ISBLANK(L18))</formula>
    </cfRule>
    <cfRule type="expression" dxfId="98" priority="90">
      <formula>IF(SUM(H18)=0,1,0)</formula>
    </cfRule>
    <cfRule type="cellIs" dxfId="97" priority="91" operator="greaterThan">
      <formula>SUM(H18)</formula>
    </cfRule>
    <cfRule type="cellIs" dxfId="96" priority="92" operator="greaterThan">
      <formula>SUM(IF(ISNUMBER(J18),I18,0))</formula>
    </cfRule>
  </conditionalFormatting>
  <conditionalFormatting sqref="E19">
    <cfRule type="expression" dxfId="95" priority="93">
      <formula>AND(ISBLANK(D19),ISBLANK(L19))</formula>
    </cfRule>
    <cfRule type="expression" dxfId="94" priority="94">
      <formula>IF(SUM(H19)=0,1,0)</formula>
    </cfRule>
    <cfRule type="cellIs" dxfId="93" priority="95" operator="greaterThan">
      <formula>SUM(H19)</formula>
    </cfRule>
    <cfRule type="cellIs" dxfId="92" priority="96" operator="greaterThan">
      <formula>SUM(IF(ISNUMBER(J19),I19,0))</formula>
    </cfRule>
  </conditionalFormatting>
  <conditionalFormatting sqref="E20">
    <cfRule type="expression" dxfId="91" priority="97">
      <formula>AND(ISBLANK(D20),ISBLANK(L20))</formula>
    </cfRule>
    <cfRule type="expression" dxfId="90" priority="98">
      <formula>IF(SUM(H20)=0,1,0)</formula>
    </cfRule>
    <cfRule type="cellIs" dxfId="89" priority="99" operator="greaterThan">
      <formula>SUM(H20)</formula>
    </cfRule>
    <cfRule type="cellIs" dxfId="88" priority="100" operator="greaterThan">
      <formula>SUM(IF(ISNUMBER(J20),I20,0))</formula>
    </cfRule>
  </conditionalFormatting>
  <conditionalFormatting sqref="E21">
    <cfRule type="expression" dxfId="87" priority="101">
      <formula>AND(ISBLANK(D21),ISBLANK(L21))</formula>
    </cfRule>
    <cfRule type="expression" dxfId="86" priority="102">
      <formula>IF(SUM(H21)=0,1,0)</formula>
    </cfRule>
    <cfRule type="cellIs" dxfId="85" priority="103" operator="greaterThan">
      <formula>SUM(H21)</formula>
    </cfRule>
    <cfRule type="cellIs" dxfId="84" priority="104" operator="greaterThan">
      <formula>SUM(IF(ISNUMBER(J21),I21,0))</formula>
    </cfRule>
  </conditionalFormatting>
  <conditionalFormatting sqref="E22">
    <cfRule type="expression" dxfId="83" priority="105">
      <formula>AND(ISBLANK(D22),ISBLANK(L22))</formula>
    </cfRule>
    <cfRule type="expression" dxfId="82" priority="106">
      <formula>IF(SUM(H22)=0,1,0)</formula>
    </cfRule>
    <cfRule type="cellIs" dxfId="81" priority="107" operator="greaterThan">
      <formula>SUM(H22)</formula>
    </cfRule>
    <cfRule type="cellIs" dxfId="80" priority="108" operator="greaterThan">
      <formula>SUM(IF(ISNUMBER(J22),I22,0))</formula>
    </cfRule>
  </conditionalFormatting>
  <conditionalFormatting sqref="E23">
    <cfRule type="expression" dxfId="79" priority="109">
      <formula>AND(ISBLANK(D23),ISBLANK(L23))</formula>
    </cfRule>
    <cfRule type="expression" dxfId="78" priority="110">
      <formula>IF(SUM(H23)=0,1,0)</formula>
    </cfRule>
    <cfRule type="cellIs" dxfId="77" priority="111" operator="greaterThan">
      <formula>SUM(H23)</formula>
    </cfRule>
    <cfRule type="cellIs" dxfId="76" priority="112" operator="greaterThan">
      <formula>SUM(IF(ISNUMBER(J23),I23,0))</formula>
    </cfRule>
  </conditionalFormatting>
  <conditionalFormatting sqref="E24">
    <cfRule type="expression" dxfId="75" priority="113">
      <formula>AND(ISBLANK(D24),ISBLANK(L24))</formula>
    </cfRule>
    <cfRule type="expression" dxfId="74" priority="114">
      <formula>IF(SUM(H24)=0,1,0)</formula>
    </cfRule>
    <cfRule type="cellIs" dxfId="73" priority="115" operator="greaterThan">
      <formula>SUM(H24)</formula>
    </cfRule>
    <cfRule type="cellIs" dxfId="72" priority="116" operator="greaterThan">
      <formula>SUM(IF(ISNUMBER(J24),I24,0))</formula>
    </cfRule>
  </conditionalFormatting>
  <conditionalFormatting sqref="E25">
    <cfRule type="expression" dxfId="71" priority="117">
      <formula>AND(ISBLANK(D25),ISBLANK(L25))</formula>
    </cfRule>
    <cfRule type="expression" dxfId="70" priority="118">
      <formula>IF(SUM(H25)=0,1,0)</formula>
    </cfRule>
    <cfRule type="cellIs" dxfId="69" priority="119" operator="greaterThan">
      <formula>SUM(H25)</formula>
    </cfRule>
    <cfRule type="cellIs" dxfId="68" priority="120" operator="greaterThan">
      <formula>SUM(IF(ISNUMBER(J25),I25,0))</formula>
    </cfRule>
  </conditionalFormatting>
  <conditionalFormatting sqref="E26">
    <cfRule type="expression" dxfId="67" priority="121">
      <formula>AND(ISBLANK(D26),ISBLANK(L26))</formula>
    </cfRule>
    <cfRule type="expression" dxfId="66" priority="122">
      <formula>IF(SUM(H26)=0,1,0)</formula>
    </cfRule>
    <cfRule type="cellIs" dxfId="65" priority="123" operator="greaterThan">
      <formula>SUM(H26)</formula>
    </cfRule>
    <cfRule type="cellIs" dxfId="64" priority="124" operator="greaterThan">
      <formula>SUM(IF(ISNUMBER(J26),I26,0))</formula>
    </cfRule>
  </conditionalFormatting>
  <conditionalFormatting sqref="E27">
    <cfRule type="expression" dxfId="63" priority="125">
      <formula>AND(ISBLANK(D27),ISBLANK(L27))</formula>
    </cfRule>
    <cfRule type="expression" dxfId="62" priority="126">
      <formula>IF(SUM(H27)=0,1,0)</formula>
    </cfRule>
    <cfRule type="cellIs" dxfId="61" priority="127" operator="greaterThan">
      <formula>SUM(H27)</formula>
    </cfRule>
    <cfRule type="cellIs" dxfId="60" priority="128" operator="greaterThan">
      <formula>SUM(IF(ISNUMBER(J27),I27,0))</formula>
    </cfRule>
  </conditionalFormatting>
  <conditionalFormatting sqref="E28">
    <cfRule type="expression" dxfId="59" priority="129">
      <formula>AND(ISBLANK(D28),ISBLANK(L28))</formula>
    </cfRule>
    <cfRule type="expression" dxfId="58" priority="130">
      <formula>IF(SUM(H28)=0,1,0)</formula>
    </cfRule>
    <cfRule type="cellIs" dxfId="57" priority="131" operator="greaterThan">
      <formula>SUM(H28)</formula>
    </cfRule>
    <cfRule type="cellIs" dxfId="56" priority="132" operator="greaterThan">
      <formula>SUM(IF(ISNUMBER(J28),I28,0))</formula>
    </cfRule>
  </conditionalFormatting>
  <conditionalFormatting sqref="E7">
    <cfRule type="expression" dxfId="55" priority="45">
      <formula>AND(ISBLANK(D7),ISBLANK(L7))</formula>
    </cfRule>
    <cfRule type="expression" dxfId="54" priority="46">
      <formula>IF(SUM(H7)=0,1,0)</formula>
    </cfRule>
    <cfRule type="cellIs" dxfId="53" priority="47" operator="greaterThan">
      <formula>SUM(H7)</formula>
    </cfRule>
    <cfRule type="cellIs" dxfId="52" priority="48" operator="greaterThan">
      <formula>SUM(IF(ISNUMBER(J7),I7,0))</formula>
    </cfRule>
  </conditionalFormatting>
  <conditionalFormatting sqref="E8">
    <cfRule type="expression" dxfId="51" priority="49">
      <formula>AND(ISBLANK(D8),ISBLANK(L8))</formula>
    </cfRule>
    <cfRule type="expression" dxfId="50" priority="50">
      <formula>IF(SUM(H8)=0,1,0)</formula>
    </cfRule>
    <cfRule type="cellIs" dxfId="49" priority="51" operator="greaterThan">
      <formula>SUM(H8)</formula>
    </cfRule>
    <cfRule type="cellIs" dxfId="48" priority="52" operator="greaterThan">
      <formula>SUM(IF(ISNUMBER(J8),I8,0))</formula>
    </cfRule>
  </conditionalFormatting>
  <conditionalFormatting sqref="E9">
    <cfRule type="expression" dxfId="47" priority="53">
      <formula>AND(ISBLANK(D9),ISBLANK(L9))</formula>
    </cfRule>
    <cfRule type="expression" dxfId="46" priority="54">
      <formula>IF(SUM(H9)=0,1,0)</formula>
    </cfRule>
    <cfRule type="cellIs" dxfId="45" priority="55" operator="greaterThan">
      <formula>SUM(H9)</formula>
    </cfRule>
    <cfRule type="cellIs" dxfId="44" priority="56" operator="greaterThan">
      <formula>SUM(IF(ISNUMBER(J9),I9,0))</formula>
    </cfRule>
  </conditionalFormatting>
  <conditionalFormatting sqref="H10">
    <cfRule type="cellIs" dxfId="43" priority="7" operator="lessThan">
      <formula>E10</formula>
    </cfRule>
  </conditionalFormatting>
  <conditionalFormatting sqref="H11">
    <cfRule type="cellIs" dxfId="42" priority="9" operator="lessThan">
      <formula>E11</formula>
    </cfRule>
  </conditionalFormatting>
  <conditionalFormatting sqref="H12">
    <cfRule type="cellIs" dxfId="41" priority="11" operator="lessThan">
      <formula>E12</formula>
    </cfRule>
  </conditionalFormatting>
  <conditionalFormatting sqref="H13">
    <cfRule type="cellIs" dxfId="40" priority="13" operator="lessThan">
      <formula>E13</formula>
    </cfRule>
  </conditionalFormatting>
  <conditionalFormatting sqref="H14">
    <cfRule type="cellIs" dxfId="39" priority="15" operator="lessThan">
      <formula>E14</formula>
    </cfRule>
  </conditionalFormatting>
  <conditionalFormatting sqref="H15">
    <cfRule type="cellIs" dxfId="38" priority="17" operator="lessThan">
      <formula>E15</formula>
    </cfRule>
  </conditionalFormatting>
  <conditionalFormatting sqref="H16">
    <cfRule type="cellIs" dxfId="37" priority="19" operator="lessThan">
      <formula>E16</formula>
    </cfRule>
  </conditionalFormatting>
  <conditionalFormatting sqref="H17">
    <cfRule type="cellIs" dxfId="36" priority="21" operator="lessThan">
      <formula>E17</formula>
    </cfRule>
  </conditionalFormatting>
  <conditionalFormatting sqref="H18">
    <cfRule type="cellIs" dxfId="35" priority="23" operator="lessThan">
      <formula>E18</formula>
    </cfRule>
  </conditionalFormatting>
  <conditionalFormatting sqref="H19">
    <cfRule type="cellIs" dxfId="34" priority="25" operator="lessThan">
      <formula>E19</formula>
    </cfRule>
  </conditionalFormatting>
  <conditionalFormatting sqref="H20">
    <cfRule type="cellIs" dxfId="33" priority="27" operator="lessThan">
      <formula>E20</formula>
    </cfRule>
  </conditionalFormatting>
  <conditionalFormatting sqref="H21">
    <cfRule type="cellIs" dxfId="32" priority="29" operator="lessThan">
      <formula>E21</formula>
    </cfRule>
  </conditionalFormatting>
  <conditionalFormatting sqref="H22">
    <cfRule type="cellIs" dxfId="31" priority="31" operator="lessThan">
      <formula>E22</formula>
    </cfRule>
  </conditionalFormatting>
  <conditionalFormatting sqref="H23">
    <cfRule type="cellIs" dxfId="30" priority="33" operator="lessThan">
      <formula>E23</formula>
    </cfRule>
  </conditionalFormatting>
  <conditionalFormatting sqref="H24">
    <cfRule type="cellIs" dxfId="29" priority="35" operator="lessThan">
      <formula>E24</formula>
    </cfRule>
  </conditionalFormatting>
  <conditionalFormatting sqref="H25">
    <cfRule type="cellIs" dxfId="28" priority="37" operator="lessThan">
      <formula>E25</formula>
    </cfRule>
  </conditionalFormatting>
  <conditionalFormatting sqref="H26">
    <cfRule type="cellIs" dxfId="27" priority="39" operator="lessThan">
      <formula>E26</formula>
    </cfRule>
  </conditionalFormatting>
  <conditionalFormatting sqref="H27">
    <cfRule type="cellIs" dxfId="26" priority="41" operator="lessThan">
      <formula>E27</formula>
    </cfRule>
  </conditionalFormatting>
  <conditionalFormatting sqref="H28">
    <cfRule type="cellIs" dxfId="25" priority="43" operator="lessThan">
      <formula>E28</formula>
    </cfRule>
  </conditionalFormatting>
  <conditionalFormatting sqref="H7">
    <cfRule type="cellIs" dxfId="24" priority="1" operator="lessThan">
      <formula>E7</formula>
    </cfRule>
  </conditionalFormatting>
  <conditionalFormatting sqref="H8">
    <cfRule type="cellIs" dxfId="23" priority="3" operator="lessThan">
      <formula>E8</formula>
    </cfRule>
  </conditionalFormatting>
  <conditionalFormatting sqref="H9">
    <cfRule type="cellIs" dxfId="22" priority="5" operator="lessThan">
      <formula>E9</formula>
    </cfRule>
  </conditionalFormatting>
  <conditionalFormatting sqref="I10">
    <cfRule type="expression" dxfId="21" priority="8">
      <formula>AND(NOT(ISBLANK(I10)),OR(H10="NonStk",I10&gt;H10))</formula>
    </cfRule>
  </conditionalFormatting>
  <conditionalFormatting sqref="I11">
    <cfRule type="expression" dxfId="20" priority="10">
      <formula>AND(NOT(ISBLANK(I11)),OR(H11="NonStk",I11&gt;H11))</formula>
    </cfRule>
  </conditionalFormatting>
  <conditionalFormatting sqref="I12">
    <cfRule type="expression" dxfId="19" priority="12">
      <formula>AND(NOT(ISBLANK(I12)),OR(H12="NonStk",I12&gt;H12))</formula>
    </cfRule>
  </conditionalFormatting>
  <conditionalFormatting sqref="I13">
    <cfRule type="expression" dxfId="18" priority="14">
      <formula>AND(NOT(ISBLANK(I13)),OR(H13="NonStk",I13&gt;H13))</formula>
    </cfRule>
  </conditionalFormatting>
  <conditionalFormatting sqref="I14">
    <cfRule type="expression" dxfId="17" priority="16">
      <formula>AND(NOT(ISBLANK(I14)),OR(H14="NonStk",I14&gt;H14))</formula>
    </cfRule>
  </conditionalFormatting>
  <conditionalFormatting sqref="I15">
    <cfRule type="expression" dxfId="16" priority="18">
      <formula>AND(NOT(ISBLANK(I15)),OR(H15="NonStk",I15&gt;H15))</formula>
    </cfRule>
  </conditionalFormatting>
  <conditionalFormatting sqref="I16">
    <cfRule type="expression" dxfId="15" priority="20">
      <formula>AND(NOT(ISBLANK(I16)),OR(H16="NonStk",I16&gt;H16))</formula>
    </cfRule>
  </conditionalFormatting>
  <conditionalFormatting sqref="I17">
    <cfRule type="expression" dxfId="14" priority="22">
      <formula>AND(NOT(ISBLANK(I17)),OR(H17="NonStk",I17&gt;H17))</formula>
    </cfRule>
  </conditionalFormatting>
  <conditionalFormatting sqref="I18">
    <cfRule type="expression" dxfId="13" priority="24">
      <formula>AND(NOT(ISBLANK(I18)),OR(H18="NonStk",I18&gt;H18))</formula>
    </cfRule>
  </conditionalFormatting>
  <conditionalFormatting sqref="I19">
    <cfRule type="expression" dxfId="12" priority="26">
      <formula>AND(NOT(ISBLANK(I19)),OR(H19="NonStk",I19&gt;H19))</formula>
    </cfRule>
  </conditionalFormatting>
  <conditionalFormatting sqref="I20">
    <cfRule type="expression" dxfId="11" priority="28">
      <formula>AND(NOT(ISBLANK(I20)),OR(H20="NonStk",I20&gt;H20))</formula>
    </cfRule>
  </conditionalFormatting>
  <conditionalFormatting sqref="I21">
    <cfRule type="expression" dxfId="10" priority="30">
      <formula>AND(NOT(ISBLANK(I21)),OR(H21="NonStk",I21&gt;H21))</formula>
    </cfRule>
  </conditionalFormatting>
  <conditionalFormatting sqref="I22">
    <cfRule type="expression" dxfId="9" priority="32">
      <formula>AND(NOT(ISBLANK(I22)),OR(H22="NonStk",I22&gt;H22))</formula>
    </cfRule>
  </conditionalFormatting>
  <conditionalFormatting sqref="I23">
    <cfRule type="expression" dxfId="8" priority="34">
      <formula>AND(NOT(ISBLANK(I23)),OR(H23="NonStk",I23&gt;H23))</formula>
    </cfRule>
  </conditionalFormatting>
  <conditionalFormatting sqref="I24">
    <cfRule type="expression" dxfId="7" priority="36">
      <formula>AND(NOT(ISBLANK(I24)),OR(H24="NonStk",I24&gt;H24))</formula>
    </cfRule>
  </conditionalFormatting>
  <conditionalFormatting sqref="I25">
    <cfRule type="expression" dxfId="6" priority="38">
      <formula>AND(NOT(ISBLANK(I25)),OR(H25="NonStk",I25&gt;H25))</formula>
    </cfRule>
  </conditionalFormatting>
  <conditionalFormatting sqref="I26">
    <cfRule type="expression" dxfId="5" priority="40">
      <formula>AND(NOT(ISBLANK(I26)),OR(H26="NonStk",I26&gt;H26))</formula>
    </cfRule>
  </conditionalFormatting>
  <conditionalFormatting sqref="I27">
    <cfRule type="expression" dxfId="4" priority="42">
      <formula>AND(NOT(ISBLANK(I27)),OR(H27="NonStk",I27&gt;H27))</formula>
    </cfRule>
  </conditionalFormatting>
  <conditionalFormatting sqref="I28">
    <cfRule type="expression" dxfId="3" priority="44">
      <formula>AND(NOT(ISBLANK(I28)),OR(H28="NonStk",I28&gt;H28))</formula>
    </cfRule>
  </conditionalFormatting>
  <conditionalFormatting sqref="I7">
    <cfRule type="expression" dxfId="2" priority="2">
      <formula>AND(NOT(ISBLANK(I7)),OR(H7="NonStk",I7&gt;H7))</formula>
    </cfRule>
  </conditionalFormatting>
  <conditionalFormatting sqref="I8">
    <cfRule type="expression" dxfId="1" priority="4">
      <formula>AND(NOT(ISBLANK(I8)),OR(H8="NonStk",I8&gt;H8))</formula>
    </cfRule>
  </conditionalFormatting>
  <conditionalFormatting sqref="I9">
    <cfRule type="expression" dxfId="0" priority="6">
      <formula>AND(NOT(ISBLANK(I9)),OR(H9="NonStk",I9&gt;H9))</formula>
    </cfRule>
  </conditionalFormatting>
  <hyperlinks>
    <hyperlink ref="D7" r:id="rId1" xr:uid="{00000000-0004-0000-0000-000000000000}"/>
    <hyperlink ref="M7" r:id="rId2" xr:uid="{00000000-0004-0000-0000-000001000000}"/>
    <hyperlink ref="D8" r:id="rId3" xr:uid="{00000000-0004-0000-0000-000002000000}"/>
    <hyperlink ref="M8" r:id="rId4" xr:uid="{00000000-0004-0000-0000-000003000000}"/>
    <hyperlink ref="D9" r:id="rId5" xr:uid="{00000000-0004-0000-0000-000004000000}"/>
    <hyperlink ref="M9" r:id="rId6" xr:uid="{00000000-0004-0000-0000-000005000000}"/>
    <hyperlink ref="D10" r:id="rId7" xr:uid="{00000000-0004-0000-0000-000006000000}"/>
    <hyperlink ref="M10" r:id="rId8" xr:uid="{00000000-0004-0000-0000-000007000000}"/>
    <hyperlink ref="D11" r:id="rId9" xr:uid="{00000000-0004-0000-0000-000008000000}"/>
    <hyperlink ref="M11" r:id="rId10" xr:uid="{00000000-0004-0000-0000-000009000000}"/>
    <hyperlink ref="D12" r:id="rId11" xr:uid="{00000000-0004-0000-0000-00000A000000}"/>
    <hyperlink ref="M12" r:id="rId12" xr:uid="{00000000-0004-0000-0000-00000B000000}"/>
    <hyperlink ref="D13" r:id="rId13" xr:uid="{00000000-0004-0000-0000-00000C000000}"/>
    <hyperlink ref="M13" r:id="rId14" xr:uid="{00000000-0004-0000-0000-00000D000000}"/>
    <hyperlink ref="D14" r:id="rId15" xr:uid="{00000000-0004-0000-0000-00000E000000}"/>
    <hyperlink ref="M14" r:id="rId16" xr:uid="{00000000-0004-0000-0000-00000F000000}"/>
    <hyperlink ref="D15" r:id="rId17" xr:uid="{00000000-0004-0000-0000-000010000000}"/>
    <hyperlink ref="M15" r:id="rId18" xr:uid="{00000000-0004-0000-0000-000011000000}"/>
    <hyperlink ref="D16" r:id="rId19" xr:uid="{00000000-0004-0000-0000-000012000000}"/>
    <hyperlink ref="M16" r:id="rId20" xr:uid="{00000000-0004-0000-0000-000013000000}"/>
    <hyperlink ref="D17" r:id="rId21" xr:uid="{00000000-0004-0000-0000-000014000000}"/>
    <hyperlink ref="M17" r:id="rId22" xr:uid="{00000000-0004-0000-0000-000015000000}"/>
    <hyperlink ref="D18" r:id="rId23" xr:uid="{00000000-0004-0000-0000-000016000000}"/>
    <hyperlink ref="M18" r:id="rId24" xr:uid="{00000000-0004-0000-0000-000017000000}"/>
    <hyperlink ref="D19" r:id="rId25" xr:uid="{00000000-0004-0000-0000-000018000000}"/>
    <hyperlink ref="M19" r:id="rId26" xr:uid="{00000000-0004-0000-0000-000019000000}"/>
    <hyperlink ref="D20" r:id="rId27" xr:uid="{00000000-0004-0000-0000-00001A000000}"/>
    <hyperlink ref="M20" r:id="rId28" xr:uid="{00000000-0004-0000-0000-00001B000000}"/>
    <hyperlink ref="D21" r:id="rId29" xr:uid="{00000000-0004-0000-0000-00001C000000}"/>
    <hyperlink ref="M21" r:id="rId30" xr:uid="{00000000-0004-0000-0000-00001D000000}"/>
    <hyperlink ref="D22" r:id="rId31" xr:uid="{00000000-0004-0000-0000-00001E000000}"/>
    <hyperlink ref="M22" r:id="rId32" xr:uid="{00000000-0004-0000-0000-00001F000000}"/>
    <hyperlink ref="D23" r:id="rId33" xr:uid="{00000000-0004-0000-0000-000020000000}"/>
    <hyperlink ref="M23" r:id="rId34" xr:uid="{00000000-0004-0000-0000-000021000000}"/>
    <hyperlink ref="D24" r:id="rId35" xr:uid="{00000000-0004-0000-0000-000022000000}"/>
    <hyperlink ref="M24" r:id="rId36" xr:uid="{00000000-0004-0000-0000-000023000000}"/>
    <hyperlink ref="D25" r:id="rId37" xr:uid="{00000000-0004-0000-0000-000024000000}"/>
    <hyperlink ref="M25" r:id="rId38" xr:uid="{00000000-0004-0000-0000-000025000000}"/>
    <hyperlink ref="D26" r:id="rId39" xr:uid="{00000000-0004-0000-0000-000026000000}"/>
    <hyperlink ref="M26" r:id="rId40" xr:uid="{00000000-0004-0000-0000-000027000000}"/>
    <hyperlink ref="D27" r:id="rId41" xr:uid="{00000000-0004-0000-0000-000028000000}"/>
    <hyperlink ref="M27" r:id="rId42" xr:uid="{00000000-0004-0000-0000-000029000000}"/>
    <hyperlink ref="D28" r:id="rId43" xr:uid="{00000000-0004-0000-0000-00002A000000}"/>
    <hyperlink ref="M28" r:id="rId44" xr:uid="{00000000-0004-0000-0000-00002B000000}"/>
    <hyperlink ref="H30" r:id="rId45" xr:uid="{00000000-0004-0000-0000-00002C000000}"/>
  </hyperlinks>
  <pageMargins left="0.7" right="0.7" top="0.75" bottom="0.75" header="0.3" footer="0.3"/>
  <legacy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CaptorBoard</vt:lpstr>
      <vt:lpstr>CaptorBoard!BoardQty</vt:lpstr>
      <vt:lpstr>CaptorBoard!PURCHASE_DESCRIPTION</vt:lpstr>
      <vt:lpstr>CaptorBoard!TotalCost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 Fouquet</cp:lastModifiedBy>
  <dcterms:created xsi:type="dcterms:W3CDTF">2023-06-07T14:54:44Z</dcterms:created>
  <dcterms:modified xsi:type="dcterms:W3CDTF">2023-06-15T16:24:36Z</dcterms:modified>
</cp:coreProperties>
</file>