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sesense" sheetId="1" r:id="rId1"/>
  </sheets>
  <definedNames>
    <definedName name="BoardQty" localSheetId="0">'horsesense'!$I$1</definedName>
    <definedName name="EUR_USD" localSheetId="0">'horsesense'!$C$38</definedName>
    <definedName name="PURCHASE_DESCRIPTION" localSheetId="0">'horsesense'!$I$38</definedName>
    <definedName name="TotalCost" localSheetId="0">'horsesense'!$I$3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U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T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U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$0.01      $0.06</t>
        </r>
      </text>
    </comment>
    <comment ref="O7" authorId="0">
      <text>
        <r>
          <rPr>
            <sz val="8"/>
            <color indexed="81"/>
            <rFont val="Tahoma"/>
            <family val="2"/>
          </rPr>
          <t>Desc: CAP CER 0.1UF 50V X7R 0805
Footprint: 0805 (2012 Metric)
Size: 0.079" L x 0.049" W (2.00mm x 1.25mm)
Temp_coeff: X7R
Tolerance: ±10%
Value: 0.1 µF 
Voltage: 50V</t>
        </r>
      </text>
    </comment>
    <comment ref="P7" authorId="0">
      <text>
        <r>
          <rPr>
            <sz val="8"/>
            <color indexed="81"/>
            <rFont val="Tahoma"/>
            <family val="2"/>
          </rPr>
          <t>1526592 En stock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€0.05
  4000   €0.00     €16.00</t>
        </r>
      </text>
    </comment>
    <comment ref="U7" authorId="0">
      <text>
        <r>
          <rPr>
            <sz val="8"/>
            <color indexed="81"/>
            <rFont val="Tahoma"/>
            <family val="2"/>
          </rPr>
          <t>Desc: Condensateurs céramique multicouches MLCC - CMS 100nF+/-10% 50V X7R 2012</t>
        </r>
      </text>
    </comment>
    <comment ref="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$0.64
    50   $0.04      $2.21
   100   $0.04      $3.82
   500   $0.03     $14.12
  1000   $0.03     $27.21</t>
        </r>
      </text>
    </comment>
    <comment ref="O8" authorId="0">
      <text>
        <r>
          <rPr>
            <sz val="8"/>
            <color indexed="81"/>
            <rFont val="Tahoma"/>
            <family val="2"/>
          </rPr>
          <t>Desc: CAP CER 2.2UF 25V X7R 0805
Footprint: 0805 (2012 Metric)
Size: 0.079" L x 0.049" W (2.00mm x 1.25mm)
Temp_coeff: X7R
Tolerance: ±10%
Value: 2.2 µF 
Voltage: 25V</t>
        </r>
      </text>
    </comment>
    <comment ref="P8" authorId="0">
      <text>
        <r>
          <rPr>
            <sz val="8"/>
            <color indexed="81"/>
            <rFont val="Tahoma"/>
            <family val="2"/>
          </rPr>
          <t>33568 En stock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€0.11      €0.11
    10   €0.04      €0.42
   100   €0.04      €3.50
   500   €0.03     €14.00
  1000   €0.03     €26.00
  2000   €0.02     €44.00
  4000   €0.02     €80.00
 10000   €0.02    €170.00
 24000   €0.02    €384.00</t>
        </r>
      </text>
    </comment>
    <comment ref="U8" authorId="0">
      <text>
        <r>
          <rPr>
            <sz val="8"/>
            <color indexed="81"/>
            <rFont val="Tahoma"/>
            <family val="2"/>
          </rPr>
          <t>Desc: Condensateurs céramique multicouches MLCC - CMS 2.2uF+/-10% 25V X7R 0805</t>
        </r>
      </text>
    </comment>
    <comment ref="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$0.02      $0.23</t>
        </r>
      </text>
    </comment>
    <comment ref="O9" authorId="0">
      <text>
        <r>
          <rPr>
            <sz val="8"/>
            <color indexed="81"/>
            <rFont val="Tahoma"/>
            <family val="2"/>
          </rPr>
          <t>Desc: CAP CER 10UF 10V X7R 0805
Footprint: 0805 (2012 Metric)
Size: 0.079" L x 0.049" W (2.00mm x 1.25mm)
Temp_coeff: X7R
Tolerance: ±10%
Value: 10 µF 
Voltage: 10V</t>
        </r>
      </text>
    </comment>
    <comment ref="P9" authorId="0">
      <text>
        <r>
          <rPr>
            <sz val="8"/>
            <color indexed="81"/>
            <rFont val="Tahoma"/>
            <family val="2"/>
          </rPr>
          <t>162739 En stock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€0.04      €0.41
  2000   €0.04     €82.00
  4000   €0.04    €160.00</t>
        </r>
      </text>
    </comment>
    <comment ref="U9" authorId="0">
      <text>
        <r>
          <rPr>
            <sz val="8"/>
            <color indexed="81"/>
            <rFont val="Tahoma"/>
            <family val="2"/>
          </rPr>
          <t>Desc: Condensateurs céramique multicouches MLCC - CMS 10uF+/-10% 10V X7R 2 0805</t>
        </r>
      </text>
    </comment>
    <comment ref="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$0.46
    50   $0.03      $1.59
   100   $0.03      $2.73
   500   $0.02      $9.92
  1000   $0.02     $17.56</t>
        </r>
      </text>
    </comment>
    <comment ref="O10" authorId="0">
      <text>
        <r>
          <rPr>
            <sz val="8"/>
            <color indexed="81"/>
            <rFont val="Tahoma"/>
            <family val="2"/>
          </rPr>
          <t>Desc: CAP CER 1UF 25V X7R 0805
Footprint: 0805 (2012 Metric)
Size: 0.079" L x 0.049" W (2.00mm x 1.25mm)
Temp_coeff: X7R
Tolerance: ±10%
Value: 1 µF 
Voltage: 25V</t>
        </r>
      </text>
    </comment>
    <comment ref="P10" authorId="0">
      <text>
        <r>
          <rPr>
            <sz val="8"/>
            <color indexed="81"/>
            <rFont val="Tahoma"/>
            <family val="2"/>
          </rPr>
          <t>77582 En stock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€0.03      €0.28
   100   €0.02      €2.40
   500   €0.02      €8.50
  1000   €0.01     €15.00
  2000   €0.01     €22.00
  4000   €0.01     €36.00
 10000   €0.01     €80.00
 24000   €0.01    €168.00</t>
        </r>
      </text>
    </comment>
    <comment ref="U10" authorId="0">
      <text>
        <r>
          <rPr>
            <sz val="8"/>
            <color indexed="81"/>
            <rFont val="Tahoma"/>
            <family val="2"/>
          </rPr>
          <t>Desc: Condensateurs céramique multicouches MLCC - CMS 1uF+/-10% 25V X7R 20 0805</t>
        </r>
      </text>
    </comment>
    <comment ref="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$0.31      $0.31
    10   $0.18      $1.82
    50   $0.13      $6.65
   100   $0.12     $11.79
   500   $0.09     $46.23
  1000   $0.08     $84.60</t>
        </r>
      </text>
    </comment>
    <comment ref="O11" authorId="0">
      <text>
        <r>
          <rPr>
            <sz val="8"/>
            <color indexed="81"/>
            <rFont val="Tahoma"/>
            <family val="2"/>
          </rPr>
          <t>Desc: CAP CER 22UF 10V X7R 0805
Footprint: 0805 (2012 Metric)
Size: 0.079" L x 0.049" W (2.00mm x 1.25mm)
Temp_coeff: X7R
Tolerance: ±20%
Value: 22 µF 
Voltage: 10V</t>
        </r>
      </text>
    </comment>
    <comment ref="P1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€0.27      €0.27
    10   €0.11      €1.14
   100   €0.10     €10.00
   500   €0.08     €40.00
  1000   €0.07     €73.00
  3000   €0.07    €210.00
  9000   €0.06    €522.00
 24000   €0.05  €1,248.00
 45000   €0.05  €2,250.00</t>
        </r>
      </text>
    </comment>
    <comment ref="U11" authorId="0">
      <text>
        <r>
          <rPr>
            <sz val="8"/>
            <color indexed="81"/>
            <rFont val="Tahoma"/>
            <family val="2"/>
          </rPr>
          <t>Desc: Condensateurs céramique multicouches MLCC - CMS 22 uF 10 VDC 20% 0805 X7R</t>
        </r>
      </text>
    </comment>
    <comment ref="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$0.12      $1.17
    50   $0.08      $4.19
   100   $0.07      $7.34
   500   $0.06     $28.09
  1000   $0.05     $50.87</t>
        </r>
      </text>
    </comment>
    <comment ref="O12" authorId="0">
      <text>
        <r>
          <rPr>
            <sz val="8"/>
            <color indexed="81"/>
            <rFont val="Tahoma"/>
            <family val="2"/>
          </rPr>
          <t>Desc: CAP CER 4.7UF 10V X7R 0805
Footprint: 0805 (2012 Metric)
Size: 0.079" L x 0.049" W (2.00mm x 1.25mm)
Temp_coeff: X7R
Tolerance: ±10%
Value: 4.7 µF 
Voltage: 10V</t>
        </r>
      </text>
    </comment>
    <comment ref="P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U12" authorId="0">
      <text>
        <r>
          <rPr>
            <sz val="8"/>
            <color indexed="81"/>
            <rFont val="Tahoma"/>
            <family val="2"/>
          </rPr>
          <t>Desc: Condensateurs céramique multicouches MLCC - CMS MLCC,0805,X7R,10V,4.7uF,1.25mm</t>
        </r>
      </text>
    </comment>
    <comment ref="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$0.96      $0.96
    10   $0.90      $9.04</t>
        </r>
      </text>
    </comment>
    <comment ref="O13" authorId="0">
      <text>
        <r>
          <rPr>
            <sz val="8"/>
            <color indexed="81"/>
            <rFont val="Tahoma"/>
            <family val="2"/>
          </rPr>
          <t>Desc: MLCC 50V .047UF 10% X7R
Footprint: 0805 (2012 Metric)
Size: 0.080" L x 0.050" W (2.03mm x 1.27mm)
Temp_coeff: X7R
Tolerance: ±10%
Value: 0.047 µF 
Voltage: 50V</t>
        </r>
      </text>
    </comment>
    <comment ref="P13" authorId="0">
      <text>
        <r>
          <rPr>
            <sz val="8"/>
            <color indexed="81"/>
            <rFont val="Tahoma"/>
            <family val="2"/>
          </rPr>
          <t>1310 En stock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€0.37      €0.37
    10   €0.24      €2.44
   100   €0.15     €15.10
   500   €0.12     €60.50
  1000   €0.12    €115.00</t>
        </r>
      </text>
    </comment>
    <comment ref="U13" authorId="0">
      <text>
        <r>
          <rPr>
            <sz val="8"/>
            <color indexed="81"/>
            <rFont val="Tahoma"/>
            <family val="2"/>
          </rPr>
          <t>Desc: Condensateurs céramique multicouches MLCC - CMS 50volts .047uF 10% X7R</t>
        </r>
      </text>
    </comment>
    <comment ref="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$0.48
    50   $0.03      $1.65
   100   $0.03      $2.84
   500   $0.02     $10.32
  1000   $0.02     $18.28</t>
        </r>
      </text>
    </comment>
    <comment ref="O14" authorId="0">
      <text>
        <r>
          <rPr>
            <sz val="8"/>
            <color indexed="81"/>
            <rFont val="Tahoma"/>
            <family val="2"/>
          </rPr>
          <t>Desc: CAP CER 33PF 50V C0G/NPO 0805
Footprint: 0805 (2012 Metric)
Size: 0.079" L x 0.049" W (2.00mm x 1.25mm)
Temp_coeff: C0G, NP0
Tolerance: ±5%
Value: 33 pF 
Voltage: 50V</t>
        </r>
      </text>
    </comment>
    <comment ref="P1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€0.03      €0.28
   100   €0.02      €2.30
   500   €0.02      €9.00
  1000   €0.01     €15.00
  4000   €0.01     €44.00</t>
        </r>
      </text>
    </comment>
    <comment ref="U14" authorId="0">
      <text>
        <r>
          <rPr>
            <sz val="8"/>
            <color indexed="81"/>
            <rFont val="Tahoma"/>
            <family val="2"/>
          </rPr>
          <t>Desc: Condensateurs céramique multicouches MLCC - CMS 50 V 33 pF C0G 0805  5%</t>
        </r>
      </text>
    </comment>
    <comment ref="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$0.07      $0.67
    50   $0.05      $2.32
   100   $0.04      $4.01
   500   $0.03     $14.87
  1000   $0.03     $26.54</t>
        </r>
      </text>
    </comment>
    <comment ref="O15" authorId="0">
      <text>
        <r>
          <rPr>
            <sz val="8"/>
            <color indexed="81"/>
            <rFont val="Tahoma"/>
            <family val="2"/>
          </rPr>
          <t>Desc: CAP CER 100PF 50V C0G/NP0 0805
Footprint: 0805 (2012 Metric)
Size: 0.079" L x 0.049" W (2.00mm x 1.25mm)
Temp_coeff: C0G, NP0
Tolerance: ±5%
Value: 100 pF 
Voltage: 50V</t>
        </r>
      </text>
    </comment>
    <comment ref="P15" authorId="0">
      <text>
        <r>
          <rPr>
            <sz val="8"/>
            <color indexed="81"/>
            <rFont val="Tahoma"/>
            <family val="2"/>
          </rPr>
          <t>39028 En stock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€0.04      €0.40
   100   €0.03      €3.30
   500   €0.03     €13.00
  1000   €0.02     €22.00
  4000   €0.01     €60.00
  8000   €0.01     €96.00</t>
        </r>
      </text>
    </comment>
    <comment ref="U15" authorId="0">
      <text>
        <r>
          <rPr>
            <sz val="8"/>
            <color indexed="81"/>
            <rFont val="Tahoma"/>
            <family val="2"/>
          </rPr>
          <t>Desc: Condensateurs céramique multicouches MLCC - CMS 100 pF 50 VDC 5% 0805 C0G (NP0)</t>
        </r>
      </text>
    </comment>
    <comment ref="L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$0.01      $0.07
    50   $0.01      $0.34
   100   $0.01      $0.64
   500   $0.01      $2.88</t>
        </r>
      </text>
    </comment>
    <comment ref="O16" authorId="0">
      <text>
        <r>
          <rPr>
            <sz val="8"/>
            <color indexed="81"/>
            <rFont val="Tahoma"/>
            <family val="2"/>
          </rPr>
          <t>Desc: CAP CER 10000PF 50V X7R 0805
Footprint: 0805 (2012 Metric)
Size: 0.079" L x 0.049" W (2.00mm x 1.25mm)
Temp_coeff: X7R
Tolerance: ±10%
Value: 10000 pF 
Voltage: 50V</t>
        </r>
      </text>
    </comment>
    <comment ref="P16" authorId="0">
      <text>
        <r>
          <rPr>
            <sz val="8"/>
            <color indexed="81"/>
            <rFont val="Tahoma"/>
            <family val="2"/>
          </rPr>
          <t>369969 En stock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€0.08
   100   €0.01      €0.70
   500   €0.01      €3.00
  4000   €0.01     €20.00</t>
        </r>
      </text>
    </comment>
    <comment ref="U16" authorId="0">
      <text>
        <r>
          <rPr>
            <sz val="8"/>
            <color indexed="81"/>
            <rFont val="Tahoma"/>
            <family val="2"/>
          </rPr>
          <t>Desc: Condensateurs céramique multicouches MLCC - CMS 10nF+/-10% 50V X7R 2012</t>
        </r>
      </text>
    </comment>
    <comment ref="L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$1.25      $1.25
    10   $0.88      $8.83
   100   $0.66     $65.90
   500   $0.56    $279.77
  1000   $0.53    $527.01
  2000   $0.50    $998.84</t>
        </r>
      </text>
    </comment>
    <comment ref="O17" authorId="0">
      <text>
        <r>
          <rPr>
            <sz val="8"/>
            <color indexed="81"/>
            <rFont val="Tahoma"/>
            <family val="2"/>
          </rPr>
          <t>Desc: LED GREEN CLEAR SMD
Footprint: 3-SMD, No Lead
Size: 2.20mm L x 1.80mm W</t>
        </r>
      </text>
    </comment>
    <comment ref="P17" authorId="0">
      <text>
        <r>
          <rPr>
            <sz val="8"/>
            <color indexed="81"/>
            <rFont val="Tahoma"/>
            <family val="2"/>
          </rPr>
          <t>3994 En stock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€1.08      €1.08
    10   €0.76      €7.61
   100   €0.57     €56.80
   500   €0.48    €241.00
  1000   €0.45    €453.00
  2000   €0.43    €860.00
  4000   €0.41  €1,636.00
  8000   €0.38  €3,072.00
 24000   €0.37  €8,976.00</t>
        </r>
      </text>
    </comment>
    <comment ref="U17" authorId="0">
      <text>
        <r>
          <rPr>
            <sz val="8"/>
            <color indexed="81"/>
            <rFont val="Tahoma"/>
            <family val="2"/>
          </rPr>
          <t>Desc: DEL monochromes Green 536nm Firefly E2218</t>
        </r>
      </text>
    </comment>
    <comment ref="L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$2.27      $2.27
    10   $1.63     $16.32
   100   $1.25    $125.26
   500   $1.09    $542.66
  1000   $1.03  $1,030.77
  2000   $0.99  $1,985.94</t>
        </r>
      </text>
    </comment>
    <comment ref="O18" authorId="0">
      <text>
        <r>
          <rPr>
            <sz val="8"/>
            <color indexed="81"/>
            <rFont val="Tahoma"/>
            <family val="2"/>
          </rPr>
          <t>Desc: SENSOR PHOTODIODE 850NM 8SMD
Footprint: 8-SMD, No Lead</t>
        </r>
      </text>
    </comment>
    <comment ref="P18" authorId="0">
      <text>
        <r>
          <rPr>
            <sz val="8"/>
            <color indexed="81"/>
            <rFont val="Tahoma"/>
            <family val="2"/>
          </rPr>
          <t>37930 En stock</t>
        </r>
      </text>
    </comment>
    <comment ref="R1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€1.41      €1.41
    10   €1.01     €10.10
   100   €0.87     €86.90
   500   €0.79    €394.00
  1000   €0.75    €746.00
  2500   €0.72  €1,812.50
  5000   €0.72  €3,625.00</t>
        </r>
      </text>
    </comment>
    <comment ref="U18" authorId="0">
      <text>
        <r>
          <rPr>
            <sz val="8"/>
            <color indexed="81"/>
            <rFont val="Tahoma"/>
            <family val="2"/>
          </rPr>
          <t>Desc: Photodiodes Top view 350-1100nm +/-65 deg</t>
        </r>
      </text>
    </comment>
    <comment ref="L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$0.78      $0.78
    10   $0.66      $6.59
    25   $0.62     $15.43
    50   $0.59     $29.39
   100   $0.56     $55.97
   250   $0.52    $131.15</t>
        </r>
      </text>
    </comment>
    <comment ref="O19" authorId="0">
      <text>
        <r>
          <rPr>
            <sz val="8"/>
            <color indexed="81"/>
            <rFont val="Tahoma"/>
            <family val="2"/>
          </rPr>
          <t>Desc: CONN RCP USB2.0 TYP C 24P SMD RA
Voltage: 48VDC</t>
        </r>
      </text>
    </comment>
    <comment ref="P19" authorId="0">
      <text>
        <r>
          <rPr>
            <sz val="8"/>
            <color indexed="81"/>
            <rFont val="Tahoma"/>
            <family val="2"/>
          </rPr>
          <t>82889 En stock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€0.67      €0.67
    10   €0.54      €5.44
    25   €0.47     €11.77
   100   €0.44     €44.30
   250   €0.41    €102.25
   500   €0.37    €184.00
   800   €0.33    €267.20
  4000   €0.32  €1,280.00</t>
        </r>
      </text>
    </comment>
    <comment ref="U19" authorId="0">
      <text>
        <r>
          <rPr>
            <sz val="8"/>
            <color indexed="81"/>
            <rFont val="Tahoma"/>
            <family val="2"/>
          </rPr>
          <t>Desc: Connecteurs USB USB Type C, 2.0 SMT PCB Top Mnt 1.20mm</t>
        </r>
      </text>
    </comment>
    <comment ref="L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10   $0.68      $6.75
    25   $0.63     $15.82
    50   $0.60     $30.14
   100   $0.57     $57.39
   250   $0.54    $134.47
   500   $0.51    $256.10
  1000   $0.49    $487.74
  2500   $0.46  $1,143.00</t>
        </r>
      </text>
    </comment>
    <comment ref="O20" authorId="0">
      <text>
        <r>
          <rPr>
            <sz val="8"/>
            <color indexed="81"/>
            <rFont val="Tahoma"/>
            <family val="2"/>
          </rPr>
          <t>Desc: CONN UMC RCPT STR 50 OHM SMD</t>
        </r>
      </text>
    </comment>
    <comment ref="P2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€0.61      €0.61
    10   €0.54      €5.38
    25   €0.50     €12.53
   100   €0.48     €48.30
   250   €0.45    €113.25
   500   €0.43    €215.50
  1000   €0.39    €385.00
  5000   €0.37  €1,840.00
 10000   €0.35  €3,510.00</t>
        </r>
      </text>
    </comment>
    <comment ref="U20" authorId="0">
      <text>
        <r>
          <rPr>
            <sz val="8"/>
            <color indexed="81"/>
            <rFont val="Tahoma"/>
            <family val="2"/>
          </rPr>
          <t>Desc: Connecteurs RF / Connecteurs coaxiaux MCX V PCB JACK SMT 1.25MM MNT HGT</t>
        </r>
      </text>
    </comment>
    <comment ref="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$0.19      $1.87
    25   $0.17      $4.33
    50   $0.16      $8.16
   100   $0.15     $15.39
   250   $0.14     $35.58
   500   $0.13     $67.09
  1000   $0.13    $126.51</t>
        </r>
      </text>
    </comment>
    <comment ref="O21" authorId="0">
      <text>
        <r>
          <rPr>
            <sz val="8"/>
            <color indexed="81"/>
            <rFont val="Tahoma"/>
            <family val="2"/>
          </rPr>
          <t xml:space="preserve">Desc: FIXED IND 1UH 1A 130 MOHM SMD
Footprint: 0805 (2012 Metric)
Size: 0.079" L x 0.049" W (2.00mm x 1.25mm)
Tolerance: ±30%
Value: 1 µH </t>
        </r>
      </text>
    </comment>
    <comment ref="P21" authorId="0">
      <text>
        <r>
          <rPr>
            <sz val="8"/>
            <color indexed="81"/>
            <rFont val="Tahoma"/>
            <family val="2"/>
          </rPr>
          <t>14563 En stock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€0.20      €0.20
    10   €0.16      €1.61
    25   €0.14      €3.52
   100   €0.13     €13.20
   250   €0.12     €29.00
  1000   €0.11    €109.00
  2500   €0.11    €267.50
  4000   €0.10    €384.00
  8000   €0.09    €712.00</t>
        </r>
      </text>
    </comment>
    <comment ref="U21" authorId="0">
      <text>
        <r>
          <rPr>
            <sz val="8"/>
            <color indexed="81"/>
            <rFont val="Tahoma"/>
            <family val="2"/>
          </rPr>
          <t>Desc: Inductances de puissance - CMS 1    UH  30%</t>
        </r>
      </text>
    </comment>
    <comment ref="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$0.13      $1.29
    25   $0.12      $2.99
    50   $0.11      $5.64
   100   $0.11     $10.63
   250   $0.10     $24.58
   500   $0.09     $46.35
  1000   $0.09     $87.39</t>
        </r>
      </text>
    </comment>
    <comment ref="O22" authorId="0">
      <text>
        <r>
          <rPr>
            <sz val="8"/>
            <color indexed="81"/>
            <rFont val="Tahoma"/>
            <family val="2"/>
          </rPr>
          <t xml:space="preserve">Desc: FIXED IND 68NH 300MA 150MOHM SMD
Footprint: 0805 (2012 Metric)
Size: 0.079" L x 0.049" W (2.00mm x 1.25mm)
Tolerance: ±20%
Value: 68 nH </t>
        </r>
      </text>
    </comment>
    <comment ref="P22" authorId="0">
      <text>
        <r>
          <rPr>
            <sz val="8"/>
            <color indexed="81"/>
            <rFont val="Tahoma"/>
            <family val="2"/>
          </rPr>
          <t>4199 En stock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€0.14      €0.14
    10   €0.11      €1.11
    25   €0.10      €2.43
   100   €0.09      €9.20
   250   €0.08     €20.00
  1000   €0.08     €76.00
  2500   €0.07    €172.50
  4000   €0.06    €256.00
  8000   €0.06    €496.00</t>
        </r>
      </text>
    </comment>
    <comment ref="U22" authorId="0">
      <text>
        <r>
          <rPr>
            <sz val="8"/>
            <color indexed="81"/>
            <rFont val="Tahoma"/>
            <family val="2"/>
          </rPr>
          <t>Desc: Inducteurs RF - CMS 68nH 150mohms 300mA +/-20% Fer AEC-Q200</t>
        </r>
      </text>
    </comment>
    <comment ref="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$3.66      $3.66
     5   $3.27     $16.34
    10   $3.13     $31.26
    25   $2.95     $73.86
    50   $2.84    $141.87
   100   $2.73    $273.03
   500   $2.51  $1,257.39
  1000   $2.47  $2,466.70</t>
        </r>
      </text>
    </comment>
    <comment ref="O23" authorId="0">
      <text>
        <r>
          <rPr>
            <sz val="8"/>
            <color indexed="81"/>
            <rFont val="Tahoma"/>
            <family val="2"/>
          </rPr>
          <t>Desc: IMU ACCEL/GYRO/TEMP I2C/SPI
Footprint: 14-VFLGA</t>
        </r>
      </text>
    </comment>
    <comment ref="P23" authorId="0">
      <text>
        <r>
          <rPr>
            <sz val="8"/>
            <color indexed="81"/>
            <rFont val="Tahoma"/>
            <family val="2"/>
          </rPr>
          <t>7299 En stock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€3.61      €3.61
     5   €3.04     €15.20
    10   €2.83     €28.30
    50   €2.39    €119.50
   100   €2.22    €222.00
   500   €1.89    €945.00
  1000   €1.83  €1,830.00
  2000   €1.77  €3,540.00
  5000   €1.70  €8,500.00</t>
        </r>
      </text>
    </comment>
    <comment ref="U23" authorId="0">
      <text>
        <r>
          <rPr>
            <sz val="8"/>
            <color indexed="81"/>
            <rFont val="Tahoma"/>
            <family val="2"/>
          </rPr>
          <t>Desc: IMU : unités de mesure de l'inertie Low-Power, Premium Performance 6-Axis MotionTracking IMU with I3C, I2C and SPI interface in 2.5mm x 3mm Package</t>
        </r>
      </text>
    </comment>
    <comment ref="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25   $0.02      $0.59
    50   $0.02      $0.97
   100   $0.02      $1.59
   250   $0.01      $3.11
   500   $0.01      $5.26
  1000   $0.01      $9.00</t>
        </r>
      </text>
    </comment>
    <comment ref="O24" authorId="0">
      <text>
        <r>
          <rPr>
            <sz val="8"/>
            <color indexed="81"/>
            <rFont val="Tahoma"/>
            <family val="2"/>
          </rPr>
          <t xml:space="preserve">Desc: RES 5.1K OHM 1% 1/4W 0805
Footprint: 0805 (2012 Metric)
Power: 0.25W, 1/4W
Size: 0.079" L x 0.049" W (2.00mm x 1.25mm)
Temp_coeff: ±100ppm/°C
Tolerance: ±1%
Value: 5.1 kOhms </t>
        </r>
      </text>
    </comment>
    <comment ref="P24" authorId="0">
      <text>
        <r>
          <rPr>
            <sz val="8"/>
            <color indexed="81"/>
            <rFont val="Tahoma"/>
            <family val="2"/>
          </rPr>
          <t>39096 En stock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€0.02      €0.20
   100   €0.01      €1.10
  1000   €0.01      €9.00
  2000   €0.01     €16.00
  5000   €0.01     €35.00
 10000   €0.00     €40.00</t>
        </r>
      </text>
    </comment>
    <comment ref="U24" authorId="0">
      <text>
        <r>
          <rPr>
            <sz val="8"/>
            <color indexed="81"/>
            <rFont val="Tahoma"/>
            <family val="2"/>
          </rPr>
          <t>Desc: Résistances à couches épaisses - CMS 1/4W 5.1K OHM 1%</t>
        </r>
      </text>
    </comment>
    <comment ref="L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25   $0.02      $0.59
    50   $0.02      $0.97
   100   $0.02      $1.59
   250   $0.01      $3.11
   500   $0.01      $5.26
  1000   $0.01      $9.00</t>
        </r>
      </text>
    </comment>
    <comment ref="O25" authorId="0">
      <text>
        <r>
          <rPr>
            <sz val="8"/>
            <color indexed="81"/>
            <rFont val="Tahoma"/>
            <family val="2"/>
          </rPr>
          <t xml:space="preserve">Desc: RES 10K OHM 1% 1/4W 0805
Footprint: 0805 (2012 Metric)
Power: 0.25W, 1/4W
Size: 0.079" L x 0.049" W (2.00mm x 1.25mm)
Temp_coeff: ±100ppm/°C
Tolerance: ±1%
Value: 10 kOhms </t>
        </r>
      </text>
    </comment>
    <comment ref="P25" authorId="0">
      <text>
        <r>
          <rPr>
            <sz val="8"/>
            <color indexed="81"/>
            <rFont val="Tahoma"/>
            <family val="2"/>
          </rPr>
          <t>1234351 En stock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€0.02      €0.20
   100   €0.01      €1.10
  1000   €0.01      €9.00
  2000   €0.01     €16.00
  5000   €0.01     €30.00
 10000   €0.01     €50.00</t>
        </r>
      </text>
    </comment>
    <comment ref="U25" authorId="0">
      <text>
        <r>
          <rPr>
            <sz val="8"/>
            <color indexed="81"/>
            <rFont val="Tahoma"/>
            <family val="2"/>
          </rPr>
          <t>Desc: Résistances à couches épaisses - CMS 1/4W 10K OHM 1%</t>
        </r>
      </text>
    </comment>
    <comment ref="L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25   $0.02      $0.56
    50   $0.02      $0.97
   100   $0.02      $1.71
   250   $0.01      $3.61
   500   $0.01      $6.38
  1000   $0.01     $11.35</t>
        </r>
      </text>
    </comment>
    <comment ref="O26" authorId="0">
      <text>
        <r>
          <rPr>
            <sz val="8"/>
            <color indexed="81"/>
            <rFont val="Tahoma"/>
            <family val="2"/>
          </rPr>
          <t xml:space="preserve">Desc: RES 0 OHM JUMPER 0805
Footprint: 0805 (2012 Metric)
Power: -
Size: 0.079" L x 0.049" W (2.00mm x 1.25mm)
Temp_coeff: -
Tolerance: Jumper
Value: 0 Ohms </t>
        </r>
      </text>
    </comment>
    <comment ref="P26" authorId="0">
      <text>
        <r>
          <rPr>
            <sz val="8"/>
            <color indexed="81"/>
            <rFont val="Tahoma"/>
            <family val="2"/>
          </rPr>
          <t>43015 En stock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€0.02      €0.17
   100   €0.01      €1.10
  1000   €0.01     €10.00
  5000   €0.01     €45.00</t>
        </r>
      </text>
    </comment>
    <comment ref="U26" authorId="0">
      <text>
        <r>
          <rPr>
            <sz val="8"/>
            <color indexed="81"/>
            <rFont val="Tahoma"/>
            <family val="2"/>
          </rPr>
          <t>Desc: Résistances à couches épaisses - CMS General Purpose Chip Resistor 0805, 0Ohms, 5%, 1/8W</t>
        </r>
      </text>
    </comment>
    <comment ref="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$0.24      $2.45
    25   $0.23      $5.73
   100   $0.21     $20.56
   250   $0.19     $47.64
   500   $0.18     $89.91
  1000   $0.17    $169.75
  2500   $0.16    $394.05</t>
        </r>
      </text>
    </comment>
    <comment ref="O27" authorId="0">
      <text>
        <r>
          <rPr>
            <sz val="8"/>
            <color indexed="81"/>
            <rFont val="Tahoma"/>
            <family val="2"/>
          </rPr>
          <t>Desc: SWITCH TACTILE SPST-NO 0.05A 12V</t>
        </r>
      </text>
    </comment>
    <comment ref="P27" authorId="0">
      <text>
        <r>
          <rPr>
            <sz val="8"/>
            <color indexed="81"/>
            <rFont val="Tahoma"/>
            <family val="2"/>
          </rPr>
          <t>15951 En stock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€0.21      €0.21
    10   €0.18      €1.81
    25   €0.17      €4.38
   100   €0.16     €16.00
   250   €0.15     €37.75
   500   €0.15     €73.00
  1000   €0.14    €141.00
  2500   €0.14    €340.00
  5000   €0.13    €635.00</t>
        </r>
      </text>
    </comment>
    <comment ref="U27" authorId="0">
      <text>
        <r>
          <rPr>
            <sz val="8"/>
            <color indexed="81"/>
            <rFont val="Tahoma"/>
            <family val="2"/>
          </rPr>
          <t>Desc: Interrupteurs de contact 3.5x2.9mm Right Ang Light Touch Switch</t>
        </r>
      </text>
    </comment>
    <comment ref="L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$8.88      $8.88
     5   $8.03     $40.15
    10   $7.71     $77.13
    25   $7.33    $183.36
    50   $7.08    $353.77
   100   $6.84    $683.79
   500   $6.36  $3,179.83
  1000   $6.18  $6,181.43</t>
        </r>
      </text>
    </comment>
    <comment ref="O28" authorId="0">
      <text>
        <r>
          <rPr>
            <sz val="8"/>
            <color indexed="81"/>
            <rFont val="Tahoma"/>
            <family val="2"/>
          </rPr>
          <t>Desc: SENSOR - OXIMETER/HEART RATE SPI</t>
        </r>
      </text>
    </comment>
    <comment ref="P28" authorId="0">
      <text>
        <r>
          <rPr>
            <sz val="8"/>
            <color indexed="81"/>
            <rFont val="Tahoma"/>
            <family val="2"/>
          </rPr>
          <t>8768 En stock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€10.11     €10.11
     5   €8.52     €42.60
    10   €7.92     €79.20
    25   €7.19    €179.75
    50   €6.68    €334.00
   100   €6.21    €621.00
   500   €5.50  €2,750.00
  1000   €5.31  €5,310.00
  2500   €5.31 €13,275.00</t>
        </r>
      </text>
    </comment>
    <comment ref="U28" authorId="0">
      <text>
        <r>
          <rPr>
            <sz val="8"/>
            <color indexed="81"/>
            <rFont val="Tahoma"/>
            <family val="2"/>
          </rPr>
          <t>Desc: Capteurs biométriques Optical AFE Optimized for HR on Wrist Ap</t>
        </r>
      </text>
    </comment>
    <comment ref="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$0.97      $0.97
    10   $0.70      $6.96
    25   $0.63     $15.70
   100   $0.55     $55.30
   250   $0.52    $129.30
   500   $0.50    $247.86</t>
        </r>
      </text>
    </comment>
    <comment ref="O29" authorId="0">
      <text>
        <r>
          <rPr>
            <sz val="8"/>
            <color indexed="81"/>
            <rFont val="Tahoma"/>
            <family val="2"/>
          </rPr>
          <t>Desc: IC XLTR VL BIDIR 12-UQFN
Footprint: 12-UFQFN</t>
        </r>
      </text>
    </comment>
    <comment ref="P29" authorId="0">
      <text>
        <r>
          <rPr>
            <sz val="8"/>
            <color indexed="81"/>
            <rFont val="Tahoma"/>
            <family val="2"/>
          </rPr>
          <t>29040 En stock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€0.83      €0.83
    10   €0.60      €6.01
    25   €0.54     €13.53
   100   €0.48     €47.60
   250   €0.45    €111.25
   500   €0.43    €213.50
  1000   €0.41    €411.00
  3000   €0.40  €1,185.00
  6000   €0.38  €2,250.00</t>
        </r>
      </text>
    </comment>
    <comment ref="U29" authorId="0">
      <text>
        <r>
          <rPr>
            <sz val="8"/>
            <color indexed="81"/>
            <rFont val="Tahoma"/>
            <family val="2"/>
          </rPr>
          <t>Desc: Translation - Niveaux de tension 4B BIDIREC AUTO-DIR SENSING TRANSLATOR</t>
        </r>
      </text>
    </comment>
    <comment ref="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$3.16      $3.16
    10   $2.37     $23.70
    25   $2.17     $54.31
   100   $1.96    $195.50
   250   $1.85    $462.83
   500   $1.79    $894.40
  1000   $1.74  $1,737.33</t>
        </r>
      </text>
    </comment>
    <comment ref="O30" authorId="0">
      <text>
        <r>
          <rPr>
            <sz val="8"/>
            <color indexed="81"/>
            <rFont val="Tahoma"/>
            <family val="2"/>
          </rPr>
          <t>Desc: IC BATT CNTRL LI-ION 1CEL 24WQFN
Footprint: 24-WFQFN Exposed Pad</t>
        </r>
      </text>
    </comment>
    <comment ref="P30" authorId="0">
      <text>
        <r>
          <rPr>
            <sz val="8"/>
            <color indexed="81"/>
            <rFont val="Tahoma"/>
            <family val="2"/>
          </rPr>
          <t>977 En stock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€2.73      €2.73
    10   €2.04     €20.40
    25   €1.87     €46.75
   100   €1.68    €168.00
   250   €1.59    €397.50
   500   €1.54    €770.00
  1000   €1.49  €1,490.00
  3000   €1.44  €4,320.00
  6000   €1.42  €8,520.00</t>
        </r>
      </text>
    </comment>
    <comment ref="U30" authorId="0">
      <text>
        <r>
          <rPr>
            <sz val="8"/>
            <color indexed="81"/>
            <rFont val="Tahoma"/>
            <family val="2"/>
          </rPr>
          <t>Desc: Gestion de batterie/pile I2C 1cell 3A Buck ba ttery charger with p A 595-BQ25601DRTWT</t>
        </r>
      </text>
    </comment>
    <comment ref="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$1.31      $1.31
    10   $0.80      $8.01
    25   $0.67     $16.70
   100   $0.52     $51.70
   250   $0.44    $110.71
   500   $0.40    $198.60
  1000   $0.36    $358.95</t>
        </r>
      </text>
    </comment>
    <comment ref="O31" authorId="0">
      <text>
        <r>
          <rPr>
            <sz val="8"/>
            <color indexed="81"/>
            <rFont val="Tahoma"/>
            <family val="2"/>
          </rPr>
          <t>Desc: IC REG LIN 3.3V 700MA SOT-25-5
Footprint: SC-74A, SOT-753</t>
        </r>
      </text>
    </comment>
    <comment ref="P3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U31" authorId="0">
      <text>
        <r>
          <rPr>
            <sz val="8"/>
            <color indexed="81"/>
            <rFont val="Tahoma"/>
            <family val="2"/>
          </rPr>
          <t>Desc: Régulateurs de tension LDO Volt Reg 3.3v SOT-25 3k Reel</t>
        </r>
      </text>
    </comment>
    <comment ref="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$1.31      $1.31
    10   $0.80      $8.01
    25   $0.67     $16.70
   100   $0.52     $51.70
   250   $0.44    $110.71
   500   $0.40    $198.60
  1000   $0.36    $358.95</t>
        </r>
      </text>
    </comment>
    <comment ref="O32" authorId="0">
      <text>
        <r>
          <rPr>
            <sz val="8"/>
            <color indexed="81"/>
            <rFont val="Tahoma"/>
            <family val="2"/>
          </rPr>
          <t>Desc: IC REG LIN 1.8V 700MA SOT-25-5
Footprint: SC-74A, SOT-753</t>
        </r>
      </text>
    </comment>
    <comment ref="P3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U32" authorId="0">
      <text>
        <r>
          <rPr>
            <sz val="8"/>
            <color indexed="81"/>
            <rFont val="Tahoma"/>
            <family val="2"/>
          </rPr>
          <t>Desc: Régulateurs de tension LDO HIGH CURRENT, HIGH SPEED LDO R</t>
        </r>
      </text>
    </comment>
    <comment ref="L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$8.28      $8.28
    10   $7.18     $71.84
    25   $6.80    $170.05
   100   $6.28    $627.76
   250   $5.96  $1,490.92</t>
        </r>
      </text>
    </comment>
    <comment ref="O33" authorId="0">
      <text>
        <r>
          <rPr>
            <sz val="8"/>
            <color indexed="81"/>
            <rFont val="Tahoma"/>
            <family val="2"/>
          </rPr>
          <t>Desc: RF TXRX MODULE NAVIGATION SMD
Footprint: 28-SMD Module
Frequency: 1.561GHz, 1.575GHz, 1.602GHz</t>
        </r>
      </text>
    </comment>
    <comment ref="P33" authorId="0">
      <text>
        <r>
          <rPr>
            <sz val="8"/>
            <color indexed="81"/>
            <rFont val="Tahoma"/>
            <family val="2"/>
          </rPr>
          <t>1212 En stock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€7.12      €7.12
    10   €6.18     €61.80
    25   €5.86    €146.50
   100   €5.40    €540.00
   250   €5.13  €1,282.50
   500   €4.94  €2,470.00
  1000   €4.65  €4,650.00</t>
        </r>
      </text>
    </comment>
    <comment ref="U33" authorId="0">
      <text>
        <r>
          <rPr>
            <sz val="8"/>
            <color indexed="81"/>
            <rFont val="Tahoma"/>
            <family val="2"/>
          </rPr>
          <t>Desc: Modules GNSS / GPS Single band, 4 GNSS, low power, 3V, w/ LNA (Airoha 3352)</t>
        </r>
      </text>
    </comment>
    <comment ref="L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$2.40
    25   $0.21      $5.33
   100   $0.18     $18.37
   250   $0.17     $42.43
   500   $0.16     $80.63
  1000   $0.15    $154.31</t>
        </r>
      </text>
    </comment>
    <comment ref="O34" authorId="0">
      <text>
        <r>
          <rPr>
            <sz val="8"/>
            <color indexed="81"/>
            <rFont val="Tahoma"/>
            <family val="2"/>
          </rPr>
          <t>Desc: IC PWR SWITCH P-CHAN 1:1 SOT25
Footprint: SC-74A, SOT-753</t>
        </r>
      </text>
    </comment>
    <comment ref="P34" authorId="0">
      <text>
        <r>
          <rPr>
            <sz val="8"/>
            <color indexed="81"/>
            <rFont val="Tahoma"/>
            <family val="2"/>
          </rPr>
          <t>43139 En stock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€0.30      €0.30
    10   €0.21      €2.06
    25   €0.18      €4.60
   100   €0.16     €15.80
   250   €0.14     €34.50
  1000   €0.13    €133.00
  3000   €0.11    €336.00</t>
        </r>
      </text>
    </comment>
    <comment ref="U34" authorId="0">
      <text>
        <r>
          <rPr>
            <sz val="8"/>
            <color indexed="81"/>
            <rFont val="Tahoma"/>
            <family val="2"/>
          </rPr>
          <t>Desc: CI commutateur d'alimentation - Alimentation Load Switch</t>
        </r>
      </text>
    </comment>
    <comment ref="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$6.56      $6.56
    10   $5.68     $56.83
    25   $5.38    $134.45
   100   $4.96    $495.92
   250   $4.71  $1,177.10</t>
        </r>
      </text>
    </comment>
    <comment ref="O35" authorId="0">
      <text>
        <r>
          <rPr>
            <sz val="8"/>
            <color indexed="81"/>
            <rFont val="Tahoma"/>
            <family val="2"/>
          </rPr>
          <t>Desc: RF TXRX MOD BT WIFI PCB TH SMD
Footprint: 41-SMD Module
Frequency: 2.4GHz</t>
        </r>
      </text>
    </comment>
    <comment ref="P35" authorId="0">
      <text>
        <r>
          <rPr>
            <sz val="8"/>
            <color indexed="81"/>
            <rFont val="Tahoma"/>
            <family val="2"/>
          </rPr>
          <t>9029 En stock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€5.77      €5.77
    10   €5.29     €52.90
    25   €4.82    €120.50
   100   €4.33    €433.00
   250   €4.04  €1,010.00
   500   €3.84  €1,920.00
  1000   €3.70  €3,700.00</t>
        </r>
      </text>
    </comment>
    <comment ref="U35" authorId="0">
      <text>
        <r>
          <rPr>
            <sz val="8"/>
            <color indexed="81"/>
            <rFont val="Tahoma"/>
            <family val="2"/>
          </rPr>
          <t>Desc: Modules multiprotocoles SMD module, ESP32-S3R8 with 3.3V, 8 MB Octal PSRAM die inside, 16 MB Quad SPI flash, PCB antenna</t>
        </r>
      </text>
    </comment>
    <comment ref="H37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K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H38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<sst xmlns="http://schemas.openxmlformats.org/spreadsheetml/2006/main" count="311" uniqueCount="194">
  <si>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</si>
  <si>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</si>
  <si>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</si>
  <si>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</si>
  <si>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</si>
  <si>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</si>
  <si>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</si>
  <si>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</si>
  <si>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</si>
  <si>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</si>
  <si>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C1,C3,C19,C23,C25,C30,C32</t>
  </si>
  <si>
    <t>100n</t>
  </si>
  <si>
    <t>Unpolarized capacitor</t>
  </si>
  <si>
    <t>C_0805_2012Metric</t>
  </si>
  <si>
    <t>CL21B104KBCNNNC</t>
  </si>
  <si>
    <t>C2</t>
  </si>
  <si>
    <t>2.2µ</t>
  </si>
  <si>
    <t>CL21B225KAFNNNE</t>
  </si>
  <si>
    <t>C4,C9,C10,C12,C18,C22,C33</t>
  </si>
  <si>
    <t>10µ</t>
  </si>
  <si>
    <t>CL21B106KPQNNNE</t>
  </si>
  <si>
    <t>C5,C8,C14-C17,C37</t>
  </si>
  <si>
    <t>1µ</t>
  </si>
  <si>
    <t>CL21B105KAFNFNE</t>
  </si>
  <si>
    <t>C6,C7,C24</t>
  </si>
  <si>
    <t>22µ</t>
  </si>
  <si>
    <t>GRM21BZ71A226ME15L</t>
  </si>
  <si>
    <t>C11</t>
  </si>
  <si>
    <t>4.7µ</t>
  </si>
  <si>
    <t>C2012X7R1A475KT000N</t>
  </si>
  <si>
    <t>C13</t>
  </si>
  <si>
    <t>47n</t>
  </si>
  <si>
    <t>0805B473K500NT</t>
  </si>
  <si>
    <t>C20,C21</t>
  </si>
  <si>
    <t>33p</t>
  </si>
  <si>
    <t>CC0805JRNPO9BN330</t>
  </si>
  <si>
    <t>C28,C29</t>
  </si>
  <si>
    <t>100p</t>
  </si>
  <si>
    <t>GRM2165C1H101JA01D</t>
  </si>
  <si>
    <t>C31</t>
  </si>
  <si>
    <t>10n</t>
  </si>
  <si>
    <t>CL21B103KBANNNC</t>
  </si>
  <si>
    <t>D1-D3</t>
  </si>
  <si>
    <t>CT DBLP31.12-6C5D-56-J6U6-20-R18</t>
  </si>
  <si>
    <t>Light emitting diode</t>
  </si>
  <si>
    <t>CTDBLP31126C5D56J6U620R18</t>
  </si>
  <si>
    <t>D4,D6</t>
  </si>
  <si>
    <t>VEMD8080</t>
  </si>
  <si>
    <t/>
  </si>
  <si>
    <t>XDCR_VEMD8080</t>
  </si>
  <si>
    <t>VISHAY</t>
  </si>
  <si>
    <t>J1</t>
  </si>
  <si>
    <t>USB4105-GF-A-120</t>
  </si>
  <si>
    <t>USB 2.0-only 14P Type-C Receptacle connector</t>
  </si>
  <si>
    <t>USB_C_Receptacle_GCT_USB4105-xx-A_16P_TopMnt_Horizontal</t>
  </si>
  <si>
    <t>J3</t>
  </si>
  <si>
    <t>73412-0110</t>
  </si>
  <si>
    <t>coaxial connector (BNC, SMA, SMB, SMC, Cinch/RCA, LEMO, ...)</t>
  </si>
  <si>
    <t>U.FL_Molex_MCRF_73412-0110_Vertical</t>
  </si>
  <si>
    <t>L1</t>
  </si>
  <si>
    <t>Inductor</t>
  </si>
  <si>
    <t>L_0805_2012Metric</t>
  </si>
  <si>
    <t>LQM21PH1R0NGCD</t>
  </si>
  <si>
    <t>L2</t>
  </si>
  <si>
    <t>68nH</t>
  </si>
  <si>
    <t>Inductor with iron core, small symbol</t>
  </si>
  <si>
    <t>MLF2012D68NMTD25</t>
  </si>
  <si>
    <t>MT1</t>
  </si>
  <si>
    <t>ICM-42670-P</t>
  </si>
  <si>
    <t>XDCR_ICM-42670-P</t>
  </si>
  <si>
    <t>TDK InvenSense</t>
  </si>
  <si>
    <t>R1,R2</t>
  </si>
  <si>
    <t>5.1k</t>
  </si>
  <si>
    <t>Resistor</t>
  </si>
  <si>
    <t>R_0805_2012Metric</t>
  </si>
  <si>
    <t>RK73H2ATTD5101F</t>
  </si>
  <si>
    <t>R3-R6,R29</t>
  </si>
  <si>
    <t>10k</t>
  </si>
  <si>
    <t>RK73H2ATTD1002F</t>
  </si>
  <si>
    <t>R7</t>
  </si>
  <si>
    <t>0</t>
  </si>
  <si>
    <t>RC0805JR-7W0RL</t>
  </si>
  <si>
    <t>SW1,SW2</t>
  </si>
  <si>
    <t>EVQ-P7A01P</t>
  </si>
  <si>
    <t>Omron B3FS 6x6mm single pole normally-open tactile switch</t>
  </si>
  <si>
    <t>SW_SPST_EVQP7A</t>
  </si>
  <si>
    <t>U1</t>
  </si>
  <si>
    <t>MAX86141ENP+T</t>
  </si>
  <si>
    <t>21-100134_N201A2-1_MXM</t>
  </si>
  <si>
    <t>U2</t>
  </si>
  <si>
    <t>TXB0304RUTR</t>
  </si>
  <si>
    <t>4-Bit Bidirectional Voltage-Level Translator, Auto Direction Sensing, 0.9 - 3.6V APort, 0.9 - 3.6V BPort, Active High Output Enable, Texas_PUQFN-12</t>
  </si>
  <si>
    <t>Texas_R-PUQFN-N12</t>
  </si>
  <si>
    <t>U3</t>
  </si>
  <si>
    <t>BQ25601</t>
  </si>
  <si>
    <t>I2C Controlled 3A Single-Cell Battery Charger for High Input Voltage and Narrow Voltage DC Power Path Management, WQFN-32</t>
  </si>
  <si>
    <t>Texas_RTW_WQFN-24-1EP_4x4mm_P0.5mm_EP2.7x2.7mm_ThermalVias</t>
  </si>
  <si>
    <t>BQ25601DRTWR</t>
  </si>
  <si>
    <t>U4</t>
  </si>
  <si>
    <t>XC6210B332MR</t>
  </si>
  <si>
    <t>700mA, Low Drop-out Voltage Regulator, Fixed Output 3.3V, SOT-23-5</t>
  </si>
  <si>
    <t>SOT-23-5</t>
  </si>
  <si>
    <t>U5</t>
  </si>
  <si>
    <t>XC6210B182MR</t>
  </si>
  <si>
    <t>U6</t>
  </si>
  <si>
    <t>LC76GPAMD</t>
  </si>
  <si>
    <t>Package</t>
  </si>
  <si>
    <t>Quectel</t>
  </si>
  <si>
    <t>U7</t>
  </si>
  <si>
    <t>AP22804AW5-7</t>
  </si>
  <si>
    <t>Current limited 2.5A power switch, single channel, SOT-23-5</t>
  </si>
  <si>
    <t>U9</t>
  </si>
  <si>
    <t>ESP32-S3-WROOM-1-N16R8</t>
  </si>
  <si>
    <t>RF Module, ESP32-S3 SoC, Wi-Fi 802.11b/g/n, Bluetooth, BLE, 32-bit, 3.3V, onboard antenna, SMD</t>
  </si>
  <si>
    <t>ESP32-S3-WROOM-1</t>
  </si>
  <si>
    <t>Digi-Key</t>
  </si>
  <si>
    <t>Avail</t>
  </si>
  <si>
    <t>Purch</t>
  </si>
  <si>
    <t>MOQ</t>
  </si>
  <si>
    <t>Cat#</t>
  </si>
  <si>
    <t>1276-1003-1-ND</t>
  </si>
  <si>
    <t>1276-2954-1-ND</t>
  </si>
  <si>
    <t>1276-1764-1-ND</t>
  </si>
  <si>
    <t>1276-2926-1-ND</t>
  </si>
  <si>
    <t>490-GRM21BZ71A226ME15LCT-ND</t>
  </si>
  <si>
    <t>445-7591-1-ND</t>
  </si>
  <si>
    <t>1763-0805B473K500NTCT-ND</t>
  </si>
  <si>
    <t>311-1105-1-ND</t>
  </si>
  <si>
    <t>490-1615-1-ND</t>
  </si>
  <si>
    <t>1276-1015-1-ND</t>
  </si>
  <si>
    <t>475-CTDBLP31.12CT-ND</t>
  </si>
  <si>
    <t>VEMD8080CT-ND</t>
  </si>
  <si>
    <t>2073-USB4105-GF-A-120CT-ND</t>
  </si>
  <si>
    <t>WM5587CT-ND</t>
  </si>
  <si>
    <t>490-18468-1-ND</t>
  </si>
  <si>
    <t>445-16980-1-ND</t>
  </si>
  <si>
    <t>1428-ICM-42670-PCT-ND</t>
  </si>
  <si>
    <t>2019-RK73H2ATTD5101FCT-ND</t>
  </si>
  <si>
    <t>2019-RK73H2ATTD1002FCT-ND</t>
  </si>
  <si>
    <t>13-RC0805JR-7W0RLCT-ND</t>
  </si>
  <si>
    <t>P16763CT-ND</t>
  </si>
  <si>
    <t>MAX86141ENP+TCT-ND</t>
  </si>
  <si>
    <t>296-29682-1-ND</t>
  </si>
  <si>
    <t>296-BQ25601DRTWRCT-ND</t>
  </si>
  <si>
    <t>893-1075-1-ND</t>
  </si>
  <si>
    <t>893-1072-1-ND</t>
  </si>
  <si>
    <t>2958-LC76GPAMDCT-ND</t>
  </si>
  <si>
    <t>AP22804AW5-7DICT-ND</t>
  </si>
  <si>
    <t>5407-ESP32-S3-WROOM-1-N16R8CT-ND</t>
  </si>
  <si>
    <t>Buy here</t>
  </si>
  <si>
    <t>Mouser</t>
  </si>
  <si>
    <t>187-CL21B104KBCNNNC</t>
  </si>
  <si>
    <t>187-CL21B225KAFNNNE</t>
  </si>
  <si>
    <t>187-CL21B106KPQNNNE</t>
  </si>
  <si>
    <t>187-CL21B105KAFNFNE</t>
  </si>
  <si>
    <t>81-GRM21BZ71A226ME5L</t>
  </si>
  <si>
    <t>NonStk</t>
  </si>
  <si>
    <t>N/A</t>
  </si>
  <si>
    <t>767-0805B473K500NT</t>
  </si>
  <si>
    <t>603-CC805JRNPO9BN330</t>
  </si>
  <si>
    <t>81-GRM40C101J50D</t>
  </si>
  <si>
    <t>187-CL21B103KBANNNC</t>
  </si>
  <si>
    <t>720-CTDB6C5D56J6U620</t>
  </si>
  <si>
    <t>78-VEMD8080</t>
  </si>
  <si>
    <t>640-USB4105-GF-A-120</t>
  </si>
  <si>
    <t>538-73412-0110</t>
  </si>
  <si>
    <t>81-LQM21PH1R0NGCD</t>
  </si>
  <si>
    <t>810-MLF2012D68NMTD25</t>
  </si>
  <si>
    <t>410-ICM-42670-P</t>
  </si>
  <si>
    <t>660-RK73H2ATTD5101F</t>
  </si>
  <si>
    <t>660-RK73H2ATTD1002F</t>
  </si>
  <si>
    <t>603-RC0805JR-7W0RL</t>
  </si>
  <si>
    <t>667-EVQP7A01P</t>
  </si>
  <si>
    <t>700-MAX86141ENP+T</t>
  </si>
  <si>
    <t>595-TXB0304RUTR</t>
  </si>
  <si>
    <t>595-BQ25601DRTWR</t>
  </si>
  <si>
    <t>277-LC76GPAMD</t>
  </si>
  <si>
    <t>621-AP22804AW5-7</t>
  </si>
  <si>
    <t>356-ESP32S3WRM1N16R8</t>
  </si>
  <si>
    <t>Total Purchase:</t>
  </si>
  <si>
    <t>Purchase description:</t>
  </si>
  <si>
    <t>Used currency rates:</t>
  </si>
  <si>
    <t>EUR(€)/USD($):</t>
  </si>
  <si>
    <t>Prj:</t>
  </si>
  <si>
    <t>horsesense.xml</t>
  </si>
  <si>
    <t>Co.:</t>
  </si>
  <si>
    <t>Prj date:</t>
  </si>
  <si>
    <t>2025-10-19T16:21:12+0200</t>
  </si>
  <si>
    <t>Board Qty:</t>
  </si>
  <si>
    <t>Total Cost:</t>
  </si>
  <si>
    <t>Unit Cost:</t>
  </si>
  <si>
    <t>$ date:</t>
  </si>
  <si>
    <t>2025-10-19 16:33:13</t>
  </si>
  <si>
    <t>KiCost® v1.1.19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</si>
</sst>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€#,##0.0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0" fillId="5" borderId="0" xfId="0" applyFill="1" applyAlignment="1">
      <alignment vertical="center" wrapText="1"/>
    </xf>
    <xf numFmtId="0" fontId="0" fillId="0" borderId="0" xfId="0" applyAlignment="1">
      <alignment horizontal="right"/>
    </xf>
    <xf numFmtId="0" fontId="9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en/products/detail/samsung-electro-mechanics/CL21B104KBCNNNC/3886661" TargetMode="External"/><Relationship Id="rId2" Type="http://schemas.openxmlformats.org/officeDocument/2006/relationships/hyperlink" Target="https://eu.mouser.com/ProductDetail/Samsung-Electro-Mechanics/CL21B104KBCNNNC?qs=349EhDEZ59pEfpnm5yBEmQ%3D%3D" TargetMode="External"/><Relationship Id="rId3" Type="http://schemas.openxmlformats.org/officeDocument/2006/relationships/hyperlink" Target="https://www.digikey.com/en/products/detail/samsung-electro-mechanics/CL21B225KAFNNNE/3888612" TargetMode="External"/><Relationship Id="rId4" Type="http://schemas.openxmlformats.org/officeDocument/2006/relationships/hyperlink" Target="https://eu.mouser.com/ProductDetail/Samsung-Electro-Mechanics/CL21B225KAFNNNE?qs=PPfjzIQ%252BipRYUTZ31NBO%252Bg%3D%3D" TargetMode="External"/><Relationship Id="rId5" Type="http://schemas.openxmlformats.org/officeDocument/2006/relationships/hyperlink" Target="https://www.digikey.com/en/products/detail/samsung-electro-mechanics/CL21B106KPQNNNE/3887422" TargetMode="External"/><Relationship Id="rId6" Type="http://schemas.openxmlformats.org/officeDocument/2006/relationships/hyperlink" Target="https://eu.mouser.com/ProductDetail/Samsung-Electro-Mechanics/CL21B106KPQNNNE?qs=yOVawPpwOwnw0R5uMCgpNQ%3D%3D" TargetMode="External"/><Relationship Id="rId7" Type="http://schemas.openxmlformats.org/officeDocument/2006/relationships/hyperlink" Target="https://www.digikey.com/en/products/detail/samsung-electro-mechanics/CL21B105KAFNFNE/3888584" TargetMode="External"/><Relationship Id="rId8" Type="http://schemas.openxmlformats.org/officeDocument/2006/relationships/hyperlink" Target="https://eu.mouser.com/ProductDetail/Samsung-Electro-Mechanics/CL21B105KAFNFNE?qs=%252B6g0mu59x7LIqMOGGtEcpA%3D%3D" TargetMode="External"/><Relationship Id="rId9" Type="http://schemas.openxmlformats.org/officeDocument/2006/relationships/hyperlink" Target="https://www.digikey.com/en/products/detail/murata-electronics/GRM21BZ71A226ME15L/13904953" TargetMode="External"/><Relationship Id="rId10" Type="http://schemas.openxmlformats.org/officeDocument/2006/relationships/hyperlink" Target="https://eu.mouser.com/ProductDetail/Murata-Electronics/GRM21BZ71A226ME15L?qs=Ey7%2FXF42M3ejDq7iqlmWWw%3D%3D" TargetMode="External"/><Relationship Id="rId11" Type="http://schemas.openxmlformats.org/officeDocument/2006/relationships/hyperlink" Target="https://www.digikey.com/en/products/detail/tdk-corporation/C2012X7R1A475K125AC/2733026" TargetMode="External"/><Relationship Id="rId12" Type="http://schemas.openxmlformats.org/officeDocument/2006/relationships/hyperlink" Target="https://eu.mouser.com/ProductDetail/TDK/C2012X7R1A475KT000N?qs=chTDxNqvsynaOKmsupj4Xw%3D%3D" TargetMode="External"/><Relationship Id="rId13" Type="http://schemas.openxmlformats.org/officeDocument/2006/relationships/hyperlink" Target="https://www.digikey.com/en/products/detail/knowles-novacap/0805B473K500NT/25702069" TargetMode="External"/><Relationship Id="rId14" Type="http://schemas.openxmlformats.org/officeDocument/2006/relationships/hyperlink" Target="https://eu.mouser.com/ProductDetail/Knowles-Novacap/0805B473K500NT?qs=7wMBv%2Ftbz9JoQrUAzLtdOA%3D%3D" TargetMode="External"/><Relationship Id="rId15" Type="http://schemas.openxmlformats.org/officeDocument/2006/relationships/hyperlink" Target="https://www.digikey.com/en/products/detail/yageo/CC0805JRNPO9BN330/302839" TargetMode="External"/><Relationship Id="rId16" Type="http://schemas.openxmlformats.org/officeDocument/2006/relationships/hyperlink" Target="https://eu.mouser.com/ProductDetail/YAGEO/CC0805JRNPO9BN330?qs=AgBp2OyFlx9F4YPNsCGomw%3D%3D" TargetMode="External"/><Relationship Id="rId17" Type="http://schemas.openxmlformats.org/officeDocument/2006/relationships/hyperlink" Target="https://www.digikey.com/en/products/detail/murata-electronics/GRM2165C1H101JA01D/586800" TargetMode="External"/><Relationship Id="rId18" Type="http://schemas.openxmlformats.org/officeDocument/2006/relationships/hyperlink" Target="https://eu.mouser.com/ProductDetail/Murata-Electronics/GRM2165C1H101JA01D?qs=IBLLvG%2FZGEX76Y%2F8Q9SJHQ%3D%3D" TargetMode="External"/><Relationship Id="rId19" Type="http://schemas.openxmlformats.org/officeDocument/2006/relationships/hyperlink" Target="https://www.digikey.com/en/products/detail/samsung-electro-mechanics/CL21B103KBANNNC/3886673" TargetMode="External"/><Relationship Id="rId20" Type="http://schemas.openxmlformats.org/officeDocument/2006/relationships/hyperlink" Target="https://eu.mouser.com/ProductDetail/Samsung-Electro-Mechanics/CL21B103KBANNNC?qs=349EhDEZ59oTK9iJ%2FqCMuw%3D%3D" TargetMode="External"/><Relationship Id="rId21" Type="http://schemas.openxmlformats.org/officeDocument/2006/relationships/hyperlink" Target="https://www.digikey.com/en/products/detail/ams-osram-usa-inc/CT-DBLP31-12-6C5D-56-J6U6-20-R18/17628909" TargetMode="External"/><Relationship Id="rId22" Type="http://schemas.openxmlformats.org/officeDocument/2006/relationships/hyperlink" Target="https://eu.mouser.com/ProductDetail/ams-OSRAM/CT-DBLP31.12-6C5D-56-J6U6-20-R18?qs=vLWxofP3U2xgbqKYEOstuw%3D%3D" TargetMode="External"/><Relationship Id="rId23" Type="http://schemas.openxmlformats.org/officeDocument/2006/relationships/hyperlink" Target="https://www.vishay.com/docs/84565/vemd8080.pdf" TargetMode="External"/><Relationship Id="rId24" Type="http://schemas.openxmlformats.org/officeDocument/2006/relationships/hyperlink" Target="https://www.digikey.com/en/products/detail/vishay-semiconductor-opto-division/VEMD8080/8602378" TargetMode="External"/><Relationship Id="rId25" Type="http://schemas.openxmlformats.org/officeDocument/2006/relationships/hyperlink" Target="https://eu.mouser.com/ProductDetail/Vishay-Semiconductors/VEMD8080?qs=F5EMLAvA7IBCchs2bw9l%2Fw%3D%3D" TargetMode="External"/><Relationship Id="rId26" Type="http://schemas.openxmlformats.org/officeDocument/2006/relationships/hyperlink" Target="https://www.usb.org/sites/default/files/documents/usb_type-c.zip" TargetMode="External"/><Relationship Id="rId27" Type="http://schemas.openxmlformats.org/officeDocument/2006/relationships/hyperlink" Target="https://www.digikey.com/en/products/detail/gct/USB4105-GF-A-120/14559037" TargetMode="External"/><Relationship Id="rId28" Type="http://schemas.openxmlformats.org/officeDocument/2006/relationships/hyperlink" Target="https://eu.mouser.com/ProductDetail/GCT/USB4105-GF-A-120?qs=QNEnbhJQKva%252Bjxw%2FpEjDhQ%3D%3D" TargetMode="External"/><Relationship Id="rId29" Type="http://schemas.openxmlformats.org/officeDocument/2006/relationships/hyperlink" Target="https://www.digikey.com/en/products/detail/molex/0734120110/1894611" TargetMode="External"/><Relationship Id="rId30" Type="http://schemas.openxmlformats.org/officeDocument/2006/relationships/hyperlink" Target="https://eu.mouser.com/ProductDetail/Molex/73412-0110?qs=NlNVDDZd7xQHV8e0ilpSdQ%3D%3D" TargetMode="External"/><Relationship Id="rId31" Type="http://schemas.openxmlformats.org/officeDocument/2006/relationships/hyperlink" Target="https://www.digikey.com/en/products/detail/murata-electronics/LQM21PH1R0NGCD/10135259" TargetMode="External"/><Relationship Id="rId32" Type="http://schemas.openxmlformats.org/officeDocument/2006/relationships/hyperlink" Target="https://eu.mouser.com/ProductDetail/Murata-Electronics/LQM21PH1R0NGCD?qs=17u8i%2FzlE8%252BENrjyNDhWgQ%3D%3D" TargetMode="External"/><Relationship Id="rId33" Type="http://schemas.openxmlformats.org/officeDocument/2006/relationships/hyperlink" Target="https://www.digikey.com/en/products/detail/tdk-corporation/MLF2012D68NMTD25/4743105" TargetMode="External"/><Relationship Id="rId34" Type="http://schemas.openxmlformats.org/officeDocument/2006/relationships/hyperlink" Target="https://eu.mouser.com/ProductDetail/TDK/MLF2012D68NMTD25?qs=u4%252BEJ9urDATSIFVN0NofiA%3D%3D" TargetMode="External"/><Relationship Id="rId35" Type="http://schemas.openxmlformats.org/officeDocument/2006/relationships/hyperlink" Target="https://invensense.tdk.com/download-pdf/icm-42670-p-datasheet/" TargetMode="External"/><Relationship Id="rId36" Type="http://schemas.openxmlformats.org/officeDocument/2006/relationships/hyperlink" Target="https://www.digikey.com/en/products/detail/tdk-invensense/ICM-42670-P/14319524" TargetMode="External"/><Relationship Id="rId37" Type="http://schemas.openxmlformats.org/officeDocument/2006/relationships/hyperlink" Target="https://eu.mouser.com/ProductDetail/TDK-InvenSense/ICM-42670-P?qs=iLbezkQI%252BsgK8sMF5V7fQQ%3D%3D" TargetMode="External"/><Relationship Id="rId38" Type="http://schemas.openxmlformats.org/officeDocument/2006/relationships/hyperlink" Target="https://www.digikey.com/en/products/detail/koa-speer-electronics-inc/RK73H2ATTD5101F/10234175" TargetMode="External"/><Relationship Id="rId39" Type="http://schemas.openxmlformats.org/officeDocument/2006/relationships/hyperlink" Target="https://eu.mouser.com/ProductDetail/KOA-Speer/RK73H2ATTD5101F?qs=qdbN2r920CXERR4aJasjig%3D%3D" TargetMode="External"/><Relationship Id="rId40" Type="http://schemas.openxmlformats.org/officeDocument/2006/relationships/hyperlink" Target="https://www.digikey.com/en/products/detail/koa-speer-electronics-inc/RK73H2ATTD1002F/10234111" TargetMode="External"/><Relationship Id="rId41" Type="http://schemas.openxmlformats.org/officeDocument/2006/relationships/hyperlink" Target="https://eu.mouser.com/ProductDetail/KOA-Speer/RK73H2ATTD1002F?qs=tLTLU8dkiwvc%2FyU3ERoqnw%3D%3D" TargetMode="External"/><Relationship Id="rId42" Type="http://schemas.openxmlformats.org/officeDocument/2006/relationships/hyperlink" Target="https://www.digikey.com/en/products/detail/yageo/RC0805JR-7W0RL/12698815" TargetMode="External"/><Relationship Id="rId43" Type="http://schemas.openxmlformats.org/officeDocument/2006/relationships/hyperlink" Target="https://eu.mouser.com/ProductDetail/YAGEO/RC0805JR-7W0RL?qs=tggtontpCXOvGhG2gs4kMQ%3D%3D" TargetMode="External"/><Relationship Id="rId44" Type="http://schemas.openxmlformats.org/officeDocument/2006/relationships/hyperlink" Target="https://omronfs.omron.com/en_US/ecb/products/pdf/en-b3fs.pdf" TargetMode="External"/><Relationship Id="rId45" Type="http://schemas.openxmlformats.org/officeDocument/2006/relationships/hyperlink" Target="https://www.digikey.com/en/products/detail/panasonic-electronic-components/EVQ-P7A01P/4429447" TargetMode="External"/><Relationship Id="rId46" Type="http://schemas.openxmlformats.org/officeDocument/2006/relationships/hyperlink" Target="https://eu.mouser.com/ProductDetail/Panasonic/EVQ-P7A01P?qs=rJ%252BziJWpysz7n3C20u6WAw%3D%3D" TargetMode="External"/><Relationship Id="rId47" Type="http://schemas.openxmlformats.org/officeDocument/2006/relationships/hyperlink" Target="https://www.digikey.com/en/products/detail/analog-devices-inc-maxim-integrated/MAX86141ENP-T/7804058" TargetMode="External"/><Relationship Id="rId48" Type="http://schemas.openxmlformats.org/officeDocument/2006/relationships/hyperlink" Target="https://eu.mouser.com/ProductDetail/Analog-Devices-Maxim-Integrated/MAX86141ENP%2bT?qs=1mbolxNpo8eXAkUx4%252BsdhQ%3D%3D" TargetMode="External"/><Relationship Id="rId49" Type="http://schemas.openxmlformats.org/officeDocument/2006/relationships/hyperlink" Target="http://www.ti.com/lit/ds/symlink/txb0304.pdf" TargetMode="External"/><Relationship Id="rId50" Type="http://schemas.openxmlformats.org/officeDocument/2006/relationships/hyperlink" Target="https://www.digikey.com/en/products/detail/texas-instruments/TXB0304RUTR/2762235" TargetMode="External"/><Relationship Id="rId51" Type="http://schemas.openxmlformats.org/officeDocument/2006/relationships/hyperlink" Target="https://eu.mouser.com/ProductDetail/Texas-Instruments/TXB0304RUTR?qs=bhx7MkwkKU%252BRFcNlao4SmA%3D%3D" TargetMode="External"/><Relationship Id="rId52" Type="http://schemas.openxmlformats.org/officeDocument/2006/relationships/hyperlink" Target="http://www.ti.com/lit/ds/symlink/bq25601.pdf" TargetMode="External"/><Relationship Id="rId53" Type="http://schemas.openxmlformats.org/officeDocument/2006/relationships/hyperlink" Target="https://www.digikey.com/en/products/detail/texas-instruments/BQ25601DRTWR/9597826" TargetMode="External"/><Relationship Id="rId54" Type="http://schemas.openxmlformats.org/officeDocument/2006/relationships/hyperlink" Target="https://eu.mouser.com/ProductDetail/Texas-Instruments/BQ25601DRTWR?qs=w%2Fv1CP2dgqrIFVXOqACIAg%3D%3D" TargetMode="External"/><Relationship Id="rId55" Type="http://schemas.openxmlformats.org/officeDocument/2006/relationships/hyperlink" Target="https://www.torexsemi.com/file/xc6210/XC6210.pdf" TargetMode="External"/><Relationship Id="rId56" Type="http://schemas.openxmlformats.org/officeDocument/2006/relationships/hyperlink" Target="https://www.digikey.com/en/products/detail/torex-semiconductor-ltd/XC6210B332MR-G/2138119" TargetMode="External"/><Relationship Id="rId57" Type="http://schemas.openxmlformats.org/officeDocument/2006/relationships/hyperlink" Target="https://eu.mouser.com/ProductDetail/Torex-Semiconductor/XC6210B332MR?qs=TiOZkKH1s2RnKp%252BMGbUSuQ%3D%3D" TargetMode="External"/><Relationship Id="rId58" Type="http://schemas.openxmlformats.org/officeDocument/2006/relationships/hyperlink" Target="https://www.torexsemi.com/file/xc6210/XC6210.pdf" TargetMode="External"/><Relationship Id="rId59" Type="http://schemas.openxmlformats.org/officeDocument/2006/relationships/hyperlink" Target="https://www.digikey.com/en/products/detail/torex-semiconductor-ltd/XC6210B182MR-G/2138116" TargetMode="External"/><Relationship Id="rId60" Type="http://schemas.openxmlformats.org/officeDocument/2006/relationships/hyperlink" Target="https://eu.mouser.com/ProductDetail/Torex-Semiconductor/XC6210B182MR?qs=TiOZkKH1s2TLQjPgSN8%2F1g%3D%3D" TargetMode="External"/><Relationship Id="rId61" Type="http://schemas.openxmlformats.org/officeDocument/2006/relationships/hyperlink" Target="https://mm.digikey.com/Volume0/opasdata/d220001/medias/docus/7133/Quectel_LC76G_Series_GNSS_Specification_V1.1-1-1.pdf" TargetMode="External"/><Relationship Id="rId62" Type="http://schemas.openxmlformats.org/officeDocument/2006/relationships/hyperlink" Target="https://www.digikey.com/en/products/detail/quectel/LC76GPAMD/21272484" TargetMode="External"/><Relationship Id="rId63" Type="http://schemas.openxmlformats.org/officeDocument/2006/relationships/hyperlink" Target="https://eu.mouser.com/ProductDetail/Quectel/LC76GPAMD?qs=vvQtp7zwQdMfDuCTmjRUww%3D%3D" TargetMode="External"/><Relationship Id="rId64" Type="http://schemas.openxmlformats.org/officeDocument/2006/relationships/hyperlink" Target="https://www.diodes.com/assets/Datasheets/AP22804_14.pdf" TargetMode="External"/><Relationship Id="rId65" Type="http://schemas.openxmlformats.org/officeDocument/2006/relationships/hyperlink" Target="https://www.digikey.com/en/products/detail/diodes-incorporated/AP22804AW5-7/6602435" TargetMode="External"/><Relationship Id="rId66" Type="http://schemas.openxmlformats.org/officeDocument/2006/relationships/hyperlink" Target="https://eu.mouser.com/ProductDetail/Diodes-Incorporated/AP22804AW5-7?qs=lqAf%2FiVYw9hgcUuNhFapmA%3D%3D" TargetMode="External"/><Relationship Id="rId67" Type="http://schemas.openxmlformats.org/officeDocument/2006/relationships/hyperlink" Target="https://www.espressif.com/sites/default/files/documentation/esp32-s3-wroom-1_wroom-1u_datasheet_en.pdf" TargetMode="External"/><Relationship Id="rId68" Type="http://schemas.openxmlformats.org/officeDocument/2006/relationships/hyperlink" Target="https://www.digikey.com/en/products/detail/espressif-systems/ESP32-S3-WROOM-1-N16R8/16162642" TargetMode="External"/><Relationship Id="rId69" Type="http://schemas.openxmlformats.org/officeDocument/2006/relationships/hyperlink" Target="https://eu.mouser.com/ProductDetail/Espressif-Systems/ESP32-S3-WROOM-1-N16R8?qs=Li%252BoUPsLEnvQc9gW6AMhZg%3D%3D" TargetMode="External"/><Relationship Id="rId70" Type="http://schemas.openxmlformats.org/officeDocument/2006/relationships/hyperlink" Target="https://www.digikey.com/ordering/shoppingcart" TargetMode="External"/><Relationship Id="rId71" Type="http://schemas.openxmlformats.org/officeDocument/2006/relationships/hyperlink" Target="https://mouser.com/bom/" TargetMode="External"/><Relationship Id="rId72" Type="http://schemas.openxmlformats.org/officeDocument/2006/relationships/vmlDrawing" Target="../drawings/vmlDrawing1.vml"/><Relationship Id="rId7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3"/>
  <cols>
    <col min="1" max="1" width="26.7109375" customWidth="1"/>
    <col min="2" max="2" width="33.7109375" customWidth="1"/>
    <col min="3" max="4" width="33.7109375" customWidth="1" outlineLevel="2"/>
    <col min="5" max="5" width="15.7109375" customWidth="1" outlineLevel="1"/>
    <col min="6" max="6" width="33.7109375" customWidth="1" outlineLevel="1"/>
    <col min="7" max="7" width="9.140625" outlineLevel="1"/>
    <col min="8" max="8" width="22.7109375" customWidth="1"/>
    <col min="9" max="9" width="16.7109375" customWidth="1"/>
    <col min="10" max="10" width="9.7109375" customWidth="1" outlineLevel="1"/>
    <col min="11" max="11" width="9.140625" outlineLevel="2"/>
    <col min="12" max="12" width="10.7109375" customWidth="1" outlineLevel="2"/>
    <col min="13" max="13" width="0" hidden="1" customWidth="1" outlineLevel="3" collapsed="1"/>
    <col min="14" max="14" width="16.7109375" customWidth="1"/>
    <col min="15" max="15" width="33.7109375" customWidth="1" outlineLevel="2"/>
    <col min="16" max="16" width="9.7109375" customWidth="1" outlineLevel="1"/>
    <col min="17" max="17" width="9.140625" outlineLevel="2"/>
    <col min="18" max="18" width="10.7109375" customWidth="1" outlineLevel="2"/>
    <col min="19" max="19" width="0" hidden="1" customWidth="1" outlineLevel="3" collapsed="1"/>
    <col min="20" max="20" width="16.7109375" customWidth="1"/>
    <col min="21" max="21" width="21.7109375" customWidth="1" outlineLevel="2"/>
  </cols>
  <sheetData>
    <row r="1" spans="1:21">
      <c r="A1" s="1" t="s">
        <v>183</v>
      </c>
      <c r="B1" s="2" t="s">
        <v>184</v>
      </c>
      <c r="H1" s="3" t="s">
        <v>188</v>
      </c>
      <c r="I1" s="3">
        <v>10</v>
      </c>
    </row>
    <row r="2" spans="1:21">
      <c r="A2" s="1" t="s">
        <v>185</v>
      </c>
      <c r="B2" s="2"/>
      <c r="H2" s="1" t="s">
        <v>190</v>
      </c>
      <c r="I2" s="4">
        <f>TotalCost/BoardQty</f>
        <v>33.2005</v>
      </c>
    </row>
    <row r="3" spans="1:21">
      <c r="A3" s="1" t="s">
        <v>186</v>
      </c>
      <c r="B3" s="2" t="s">
        <v>187</v>
      </c>
      <c r="H3" s="1" t="s">
        <v>189</v>
      </c>
      <c r="I3" s="5">
        <f>SUM(I7:I35)</f>
        <v>332.0046</v>
      </c>
      <c r="N3" s="5">
        <f>SUM(N7:N35)</f>
        <v>363.2944</v>
      </c>
      <c r="O3" s="6" t="str">
        <f>(COUNTA(N7:N35)&amp;" of "&amp;ROWS(N7:N35)&amp;" parts found")</f>
        <v>29 of 29 parts found</v>
      </c>
      <c r="T3" s="5">
        <f>SUM(T7:T35)</f>
        <v>325.33</v>
      </c>
      <c r="U3" s="6" t="str">
        <f>(COUNTA(T7:T35)&amp;" of "&amp;ROWS(T7:T35)&amp;" parts found")</f>
        <v>26 of 29 parts found</v>
      </c>
    </row>
    <row r="4" spans="1:21">
      <c r="A4" s="1" t="s">
        <v>191</v>
      </c>
      <c r="B4" s="2" t="s">
        <v>192</v>
      </c>
    </row>
    <row r="5" spans="1:21">
      <c r="A5" s="7" t="s">
        <v>0</v>
      </c>
      <c r="B5" s="7"/>
      <c r="C5" s="7"/>
      <c r="D5" s="7"/>
      <c r="E5" s="7"/>
      <c r="F5" s="7"/>
      <c r="G5" s="7"/>
      <c r="H5" s="7"/>
      <c r="I5" s="7"/>
      <c r="J5" s="8" t="s">
        <v>115</v>
      </c>
      <c r="K5" s="8"/>
      <c r="L5" s="8"/>
      <c r="M5" s="8"/>
      <c r="N5" s="8"/>
      <c r="O5" s="8"/>
      <c r="P5" s="9" t="s">
        <v>150</v>
      </c>
      <c r="Q5" s="9"/>
      <c r="R5" s="9"/>
      <c r="S5" s="9"/>
      <c r="T5" s="9"/>
      <c r="U5" s="9"/>
    </row>
    <row r="6" spans="1:21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116</v>
      </c>
      <c r="K6" s="10" t="s">
        <v>117</v>
      </c>
      <c r="L6" s="10" t="s">
        <v>8</v>
      </c>
      <c r="M6" s="10" t="s">
        <v>118</v>
      </c>
      <c r="N6" s="10" t="s">
        <v>9</v>
      </c>
      <c r="O6" s="10" t="s">
        <v>119</v>
      </c>
      <c r="P6" s="10" t="s">
        <v>116</v>
      </c>
      <c r="Q6" s="10" t="s">
        <v>117</v>
      </c>
      <c r="R6" s="10" t="s">
        <v>8</v>
      </c>
      <c r="S6" s="10" t="s">
        <v>118</v>
      </c>
      <c r="T6" s="10" t="s">
        <v>9</v>
      </c>
      <c r="U6" s="10" t="s">
        <v>119</v>
      </c>
    </row>
    <row r="7" spans="1:21">
      <c r="A7" s="11" t="s">
        <v>10</v>
      </c>
      <c r="B7" s="11" t="s">
        <v>11</v>
      </c>
      <c r="C7" s="11" t="s">
        <v>12</v>
      </c>
      <c r="D7" s="11" t="s">
        <v>13</v>
      </c>
      <c r="F7" s="11" t="s">
        <v>14</v>
      </c>
      <c r="G7" s="11">
        <f>CEILING(BoardQty*7.0,1)</f>
        <v>70</v>
      </c>
      <c r="H7" s="12">
        <f>IF(MIN(L7,R7)&lt;&gt;0,MIN(L7,R7),"")</f>
        <v>0.005</v>
      </c>
      <c r="I7" s="13">
        <f>IF(AND(ISNUMBER(G7),ISNUMBER(H7)),G7*H7,"")</f>
        <v>0.35</v>
      </c>
      <c r="J7" s="11">
        <v>1496000</v>
      </c>
      <c r="K7" s="11"/>
      <c r="L7" s="12">
        <f>IFERROR(IF(OR(K7&gt;=M7,G7&gt;=M7),EUR_USD*LOOKUP(IF(K7="",G7,K7),{0,1,10},{0.0,0.08,0.006}),"MOQ="&amp;M7),"")</f>
        <v>0.00556792873051225</v>
      </c>
      <c r="M7" s="11">
        <v>1</v>
      </c>
      <c r="N7" s="13">
        <f>IFERROR(IF(K7="",G7,K7)*L7,"")</f>
        <v>0.3898</v>
      </c>
      <c r="O7" s="11" t="s">
        <v>120</v>
      </c>
      <c r="P7" s="11">
        <v>1526592</v>
      </c>
      <c r="Q7" s="11"/>
      <c r="R7" s="12">
        <f>IFERROR(IF(OR(Q7&gt;=S7,G7&gt;=S7),LOOKUP(IF(Q7="",G7,Q7),{0,1,10,4000},{0.0,0.086,0.005,0.004}),"MOQ="&amp;S7),"")</f>
        <v>0.005</v>
      </c>
      <c r="S7" s="11">
        <v>1</v>
      </c>
      <c r="T7" s="13">
        <f>IFERROR(IF(Q7="",G7,Q7)*R7,"")</f>
        <v>0.35</v>
      </c>
      <c r="U7" s="11" t="s">
        <v>151</v>
      </c>
    </row>
    <row r="8" spans="1:21">
      <c r="A8" s="11" t="s">
        <v>15</v>
      </c>
      <c r="B8" s="11" t="s">
        <v>16</v>
      </c>
      <c r="C8" s="11" t="s">
        <v>12</v>
      </c>
      <c r="D8" s="11" t="s">
        <v>13</v>
      </c>
      <c r="F8" s="11" t="s">
        <v>17</v>
      </c>
      <c r="G8" s="11">
        <f>CEILING(BoardQty*1.0,1)</f>
        <v>10</v>
      </c>
      <c r="H8" s="12">
        <f>IF(MIN(L8,R8)&lt;&gt;0,MIN(L8,R8),"")</f>
        <v>0.042</v>
      </c>
      <c r="I8" s="13">
        <f>IF(AND(ISNUMBER(G8),ISNUMBER(H8)),G8*H8,"")</f>
        <v>0.42</v>
      </c>
      <c r="J8" s="11">
        <v>423908</v>
      </c>
      <c r="K8" s="11"/>
      <c r="L8" s="12">
        <f>IFERROR(IF(OR(K8&gt;=M8,G8&gt;=M8),EUR_USD*LOOKUP(IF(K8="",G8,K8),{0,1,10,50,100,500,1000},{0.0,0.11,0.064,0.0442,0.0382,0.02824,0.02721}),"MOQ="&amp;M8),"")</f>
        <v>0.05939123979213067</v>
      </c>
      <c r="M8" s="11">
        <v>1</v>
      </c>
      <c r="N8" s="13">
        <f>IFERROR(IF(K8="",G8,K8)*L8,"")</f>
        <v>0.5939</v>
      </c>
      <c r="O8" s="11" t="s">
        <v>121</v>
      </c>
      <c r="P8" s="11">
        <v>33568</v>
      </c>
      <c r="Q8" s="11"/>
      <c r="R8" s="12">
        <f>IFERROR(IF(OR(Q8&gt;=S8,G8&gt;=S8),LOOKUP(IF(Q8="",G8,Q8),{0,1,10,100,500,1000,2000,4000,10000,24000},{0.0,0.112,0.042,0.035,0.028,0.026,0.022,0.02,0.017,0.016}),"MOQ="&amp;S8),"")</f>
        <v>0.042</v>
      </c>
      <c r="S8" s="11">
        <v>1</v>
      </c>
      <c r="T8" s="13">
        <f>IFERROR(IF(Q8="",G8,Q8)*R8,"")</f>
        <v>0.42</v>
      </c>
      <c r="U8" s="11" t="s">
        <v>152</v>
      </c>
    </row>
    <row r="9" spans="1:21">
      <c r="A9" s="11" t="s">
        <v>18</v>
      </c>
      <c r="B9" s="11" t="s">
        <v>19</v>
      </c>
      <c r="C9" s="11" t="s">
        <v>12</v>
      </c>
      <c r="D9" s="11" t="s">
        <v>13</v>
      </c>
      <c r="F9" s="11" t="s">
        <v>20</v>
      </c>
      <c r="G9" s="11">
        <f>CEILING(BoardQty*7.0,1)</f>
        <v>70</v>
      </c>
      <c r="H9" s="12">
        <f>IF(MIN(L9,R9)&lt;&gt;0,MIN(L9,R9),"")</f>
        <v>0.021343726800296958</v>
      </c>
      <c r="I9" s="13">
        <f>IF(AND(ISNUMBER(G9),ISNUMBER(H9)),G9*H9,"")</f>
        <v>1.4941</v>
      </c>
      <c r="J9" s="11">
        <v>26373</v>
      </c>
      <c r="K9" s="11"/>
      <c r="L9" s="12">
        <f>IFERROR(IF(OR(K9&gt;=M9,G9&gt;=M9),EUR_USD*LOOKUP(IF(K9="",G9,K9),{0,1,10},{0.0,0.08,0.023}),"MOQ="&amp;M9),"")</f>
        <v>0.021343726800296958</v>
      </c>
      <c r="M9" s="11">
        <v>1</v>
      </c>
      <c r="N9" s="13">
        <f>IFERROR(IF(K9="",G9,K9)*L9,"")</f>
        <v>1.4941</v>
      </c>
      <c r="O9" s="11" t="s">
        <v>122</v>
      </c>
      <c r="P9" s="11">
        <v>162739</v>
      </c>
      <c r="Q9" s="11"/>
      <c r="R9" s="12">
        <f>IFERROR(IF(OR(Q9&gt;=S9,G9&gt;=S9),LOOKUP(IF(Q9="",G9,Q9),{0,1,10,2000,4000},{0.0,0.086,0.041,0.041,0.04}),"MOQ="&amp;S9),"")</f>
        <v>0.041</v>
      </c>
      <c r="S9" s="11">
        <v>1</v>
      </c>
      <c r="T9" s="13">
        <f>IFERROR(IF(Q9="",G9,Q9)*R9,"")</f>
        <v>2.87</v>
      </c>
      <c r="U9" s="11" t="s">
        <v>153</v>
      </c>
    </row>
    <row r="10" spans="1:21">
      <c r="A10" s="11" t="s">
        <v>21</v>
      </c>
      <c r="B10" s="11" t="s">
        <v>22</v>
      </c>
      <c r="C10" s="11" t="s">
        <v>12</v>
      </c>
      <c r="D10" s="11" t="s">
        <v>13</v>
      </c>
      <c r="F10" s="11" t="s">
        <v>23</v>
      </c>
      <c r="G10" s="11">
        <f>CEILING(BoardQty*7.0,1)</f>
        <v>70</v>
      </c>
      <c r="H10" s="12">
        <f>IF(MIN(L10,R10)&lt;&gt;0,MIN(L10,R10),"")</f>
        <v>0.028</v>
      </c>
      <c r="I10" s="13">
        <f>IF(AND(ISNUMBER(G10),ISNUMBER(H10)),G10*H10,"")</f>
        <v>1.96</v>
      </c>
      <c r="J10" s="11">
        <v>94499</v>
      </c>
      <c r="K10" s="11"/>
      <c r="L10" s="12">
        <f>IFERROR(IF(OR(K10&gt;=M10,G10&gt;=M10),EUR_USD*LOOKUP(IF(K10="",G10,K10),{0,1,10,50,100,500,1000},{0.0,0.1,0.046,0.0318,0.0273,0.01984,0.01756}),"MOQ="&amp;M10),"")</f>
        <v>0.02951002227171493</v>
      </c>
      <c r="M10" s="11">
        <v>1</v>
      </c>
      <c r="N10" s="13">
        <f>IFERROR(IF(K10="",G10,K10)*L10,"")</f>
        <v>2.0657</v>
      </c>
      <c r="O10" s="11" t="s">
        <v>123</v>
      </c>
      <c r="P10" s="11">
        <v>77582</v>
      </c>
      <c r="Q10" s="11"/>
      <c r="R10" s="12">
        <f>IFERROR(IF(OR(Q10&gt;=S10,G10&gt;=S10),LOOKUP(IF(Q10="",G10,Q10),{0,1,10,100,500,1000,2000,4000,10000,24000},{0.0,0.086,0.028,0.024,0.017,0.015,0.011,0.009,0.008,0.007}),"MOQ="&amp;S10),"")</f>
        <v>0.028</v>
      </c>
      <c r="S10" s="11">
        <v>1</v>
      </c>
      <c r="T10" s="13">
        <f>IFERROR(IF(Q10="",G10,Q10)*R10,"")</f>
        <v>1.96</v>
      </c>
      <c r="U10" s="11" t="s">
        <v>154</v>
      </c>
    </row>
    <row r="11" spans="1:21">
      <c r="A11" s="11" t="s">
        <v>24</v>
      </c>
      <c r="B11" s="11" t="s">
        <v>25</v>
      </c>
      <c r="C11" s="11" t="s">
        <v>12</v>
      </c>
      <c r="D11" s="11" t="s">
        <v>13</v>
      </c>
      <c r="F11" s="11" t="s">
        <v>26</v>
      </c>
      <c r="G11" s="11">
        <f>CEILING(BoardQty*3.0,1)</f>
        <v>30</v>
      </c>
      <c r="H11" s="12">
        <f>IF(MIN(L11,R11)&lt;&gt;0,MIN(L11,R11),"")</f>
        <v>0.114</v>
      </c>
      <c r="I11" s="13">
        <f>IF(AND(ISNUMBER(G11),ISNUMBER(H11)),G11*H11,"")</f>
        <v>3.42</v>
      </c>
      <c r="J11" s="11">
        <v>790570</v>
      </c>
      <c r="K11" s="11"/>
      <c r="L11" s="12">
        <f>IFERROR(IF(OR(K11&gt;=M11,G11&gt;=M11),EUR_USD*LOOKUP(IF(K11="",G11,K11),{0,1,10,50,100,500,1000},{0.0,0.31,0.182,0.133,0.1179,0.09246,0.0846}),"MOQ="&amp;M11),"")</f>
        <v>0.16889383815887157</v>
      </c>
      <c r="M11" s="11">
        <v>1</v>
      </c>
      <c r="N11" s="13">
        <f>IFERROR(IF(K11="",G11,K11)*L11,"")</f>
        <v>5.0668</v>
      </c>
      <c r="O11" s="11" t="s">
        <v>124</v>
      </c>
      <c r="P11" s="14" t="s">
        <v>156</v>
      </c>
      <c r="Q11" s="11"/>
      <c r="R11" s="12">
        <f>IFERROR(IF(OR(Q11&gt;=S11,G11&gt;=S11),LOOKUP(IF(Q11="",G11,Q11),{0,1,10,100,500,1000,3000,9000,24000,45000},{0.0,0.267,0.114,0.1,0.08,0.073,0.07,0.058,0.052,0.05}),"MOQ="&amp;S11),"")</f>
        <v>0.114</v>
      </c>
      <c r="S11" s="11">
        <v>1</v>
      </c>
      <c r="T11" s="13">
        <f>IFERROR(IF(Q11="",G11,Q11)*R11,"")</f>
        <v>3.42</v>
      </c>
      <c r="U11" s="11" t="s">
        <v>155</v>
      </c>
    </row>
    <row r="12" spans="1:21">
      <c r="A12" s="11" t="s">
        <v>27</v>
      </c>
      <c r="B12" s="11" t="s">
        <v>28</v>
      </c>
      <c r="C12" s="11" t="s">
        <v>12</v>
      </c>
      <c r="D12" s="11" t="s">
        <v>13</v>
      </c>
      <c r="F12" s="11" t="s">
        <v>29</v>
      </c>
      <c r="G12" s="11">
        <f>CEILING(BoardQty*1.0,1)</f>
        <v>10</v>
      </c>
      <c r="H12" s="12">
        <f>IF(MIN(L12,R12)&lt;&gt;0,MIN(L12,R12),"")</f>
        <v>0.10857461024498889</v>
      </c>
      <c r="I12" s="13">
        <f>IF(AND(ISNUMBER(G12),ISNUMBER(H12)),G12*H12,"")</f>
        <v>1.0857</v>
      </c>
      <c r="J12" s="11">
        <v>171009</v>
      </c>
      <c r="K12" s="11"/>
      <c r="L12" s="12">
        <f>IFERROR(IF(OR(K12&gt;=M12,G12&gt;=M12),EUR_USD*LOOKUP(IF(K12="",G12,K12),{0,1,10,50,100,500,1000},{0.0,0.2,0.117,0.0838,0.0734,0.05618,0.05087}),"MOQ="&amp;M12),"")</f>
        <v>0.10857461024498889</v>
      </c>
      <c r="M12" s="11">
        <v>1</v>
      </c>
      <c r="N12" s="13">
        <f>IFERROR(IF(K12="",G12,K12)*L12,"")</f>
        <v>1.0857</v>
      </c>
      <c r="O12" s="11" t="s">
        <v>125</v>
      </c>
      <c r="P12" s="14" t="s">
        <v>156</v>
      </c>
      <c r="Q12" s="11"/>
      <c r="U12" s="11" t="s">
        <v>157</v>
      </c>
    </row>
    <row r="13" spans="1:21">
      <c r="A13" s="11" t="s">
        <v>30</v>
      </c>
      <c r="B13" s="11" t="s">
        <v>31</v>
      </c>
      <c r="C13" s="11" t="s">
        <v>12</v>
      </c>
      <c r="D13" s="11" t="s">
        <v>13</v>
      </c>
      <c r="F13" s="11" t="s">
        <v>32</v>
      </c>
      <c r="G13" s="11">
        <f>CEILING(BoardQty*1.0,1)</f>
        <v>10</v>
      </c>
      <c r="H13" s="12">
        <f>IF(MIN(L13,R13)&lt;&gt;0,MIN(L13,R13),"")</f>
        <v>0.244</v>
      </c>
      <c r="I13" s="13">
        <f>IF(AND(ISNUMBER(G13),ISNUMBER(H13)),G13*H13,"")</f>
        <v>2.44</v>
      </c>
      <c r="J13" s="11">
        <v>2999</v>
      </c>
      <c r="K13" s="11"/>
      <c r="L13" s="12">
        <f>IFERROR(IF(OR(K13&gt;=M13,G13&gt;=M13),EUR_USD*LOOKUP(IF(K13="",G13,K13),{0,1,10},{0.0,0.96,0.904}),"MOQ="&amp;M13),"")</f>
        <v>0.8389012620638457</v>
      </c>
      <c r="M13" s="11">
        <v>1</v>
      </c>
      <c r="N13" s="13">
        <f>IFERROR(IF(K13="",G13,K13)*L13,"")</f>
        <v>8.389</v>
      </c>
      <c r="O13" s="11" t="s">
        <v>126</v>
      </c>
      <c r="P13" s="11">
        <v>1310</v>
      </c>
      <c r="Q13" s="11"/>
      <c r="R13" s="12">
        <f>IFERROR(IF(OR(Q13&gt;=S13,G13&gt;=S13),LOOKUP(IF(Q13="",G13,Q13),{0,1,10,100,500,1000},{0.0,0.37,0.244,0.151,0.121,0.115}),"MOQ="&amp;S13),"")</f>
        <v>0.244</v>
      </c>
      <c r="S13" s="11">
        <v>1</v>
      </c>
      <c r="T13" s="13">
        <f>IFERROR(IF(Q13="",G13,Q13)*R13,"")</f>
        <v>2.44</v>
      </c>
      <c r="U13" s="11" t="s">
        <v>158</v>
      </c>
    </row>
    <row r="14" spans="1:21">
      <c r="A14" s="11" t="s">
        <v>33</v>
      </c>
      <c r="B14" s="11" t="s">
        <v>34</v>
      </c>
      <c r="C14" s="11" t="s">
        <v>12</v>
      </c>
      <c r="D14" s="11" t="s">
        <v>13</v>
      </c>
      <c r="F14" s="11" t="s">
        <v>35</v>
      </c>
      <c r="G14" s="11">
        <f>CEILING(BoardQty*2.0,1)</f>
        <v>20</v>
      </c>
      <c r="H14" s="12">
        <f>IF(MIN(L14,R14)&lt;&gt;0,MIN(L14,R14),"")</f>
        <v>0.028</v>
      </c>
      <c r="I14" s="13">
        <f>IF(AND(ISNUMBER(G14),ISNUMBER(H14)),G14*H14,"")</f>
        <v>0.56</v>
      </c>
      <c r="J14" s="11">
        <v>36849</v>
      </c>
      <c r="K14" s="11"/>
      <c r="L14" s="12">
        <f>IFERROR(IF(OR(K14&gt;=M14,G14&gt;=M14),EUR_USD*LOOKUP(IF(K14="",G14,K14),{0,1,10,50,100,500,1000},{0.0,0.1,0.048,0.033,0.0284,0.02064,0.01828}),"MOQ="&amp;M14),"")</f>
        <v>0.044543429844098</v>
      </c>
      <c r="M14" s="11">
        <v>1</v>
      </c>
      <c r="N14" s="13">
        <f>IFERROR(IF(K14="",G14,K14)*L14,"")</f>
        <v>0.8909</v>
      </c>
      <c r="O14" s="11" t="s">
        <v>127</v>
      </c>
      <c r="P14" s="14" t="s">
        <v>156</v>
      </c>
      <c r="Q14" s="11"/>
      <c r="R14" s="12">
        <f>IFERROR(IF(OR(Q14&gt;=S14,G14&gt;=S14),LOOKUP(IF(Q14="",G14,Q14),{0,1,10,100,500,1000,4000},{0.0,0.086,0.028,0.023,0.018,0.015,0.011}),"MOQ="&amp;S14),"")</f>
        <v>0.028</v>
      </c>
      <c r="S14" s="11">
        <v>1</v>
      </c>
      <c r="T14" s="13">
        <f>IFERROR(IF(Q14="",G14,Q14)*R14,"")</f>
        <v>0.56</v>
      </c>
      <c r="U14" s="11" t="s">
        <v>159</v>
      </c>
    </row>
    <row r="15" spans="1:21">
      <c r="A15" s="11" t="s">
        <v>36</v>
      </c>
      <c r="B15" s="11" t="s">
        <v>37</v>
      </c>
      <c r="C15" s="11" t="s">
        <v>12</v>
      </c>
      <c r="D15" s="11" t="s">
        <v>13</v>
      </c>
      <c r="F15" s="11" t="s">
        <v>38</v>
      </c>
      <c r="G15" s="11">
        <f>CEILING(BoardQty*2.0,1)</f>
        <v>20</v>
      </c>
      <c r="H15" s="12">
        <f>IF(MIN(L15,R15)&lt;&gt;0,MIN(L15,R15),"")</f>
        <v>0.04</v>
      </c>
      <c r="I15" s="13">
        <f>IF(AND(ISNUMBER(G15),ISNUMBER(H15)),G15*H15,"")</f>
        <v>0.8</v>
      </c>
      <c r="J15" s="11">
        <v>498356</v>
      </c>
      <c r="K15" s="11"/>
      <c r="L15" s="12">
        <f>IFERROR(IF(OR(K15&gt;=M15,G15&gt;=M15),EUR_USD*LOOKUP(IF(K15="",G15,K15),{0,1,10,50,100,500,1000},{0.0,0.12,0.067,0.0464,0.0401,0.02974,0.02654}),"MOQ="&amp;M15),"")</f>
        <v>0.062175204157386796</v>
      </c>
      <c r="M15" s="11">
        <v>1</v>
      </c>
      <c r="N15" s="13">
        <f>IFERROR(IF(K15="",G15,K15)*L15,"")</f>
        <v>1.2435</v>
      </c>
      <c r="O15" s="11" t="s">
        <v>128</v>
      </c>
      <c r="P15" s="11">
        <v>39028</v>
      </c>
      <c r="Q15" s="11"/>
      <c r="R15" s="12">
        <f>IFERROR(IF(OR(Q15&gt;=S15,G15&gt;=S15),LOOKUP(IF(Q15="",G15,Q15),{0,1,10,100,500,1000,4000,8000},{0.0,0.103,0.04,0.033,0.026,0.022,0.015,0.012}),"MOQ="&amp;S15),"")</f>
        <v>0.04</v>
      </c>
      <c r="S15" s="11">
        <v>1</v>
      </c>
      <c r="T15" s="13">
        <f>IFERROR(IF(Q15="",G15,Q15)*R15,"")</f>
        <v>0.8</v>
      </c>
      <c r="U15" s="11" t="s">
        <v>160</v>
      </c>
    </row>
    <row r="16" spans="1:21">
      <c r="A16" s="11" t="s">
        <v>39</v>
      </c>
      <c r="B16" s="11" t="s">
        <v>40</v>
      </c>
      <c r="C16" s="11" t="s">
        <v>12</v>
      </c>
      <c r="D16" s="11" t="s">
        <v>13</v>
      </c>
      <c r="F16" s="11" t="s">
        <v>41</v>
      </c>
      <c r="G16" s="11">
        <f>CEILING(BoardQty*1.0,1)</f>
        <v>10</v>
      </c>
      <c r="H16" s="12">
        <f>IF(MIN(L16,R16)&lt;&gt;0,MIN(L16,R16),"")</f>
        <v>0.006495916852264292</v>
      </c>
      <c r="I16" s="13">
        <f>IF(AND(ISNUMBER(G16),ISNUMBER(H16)),G16*H16,"")</f>
        <v>0.065</v>
      </c>
      <c r="J16" s="11">
        <v>668421</v>
      </c>
      <c r="K16" s="11"/>
      <c r="L16" s="12">
        <f>IFERROR(IF(OR(K16&gt;=M16,G16&gt;=M16),EUR_USD*LOOKUP(IF(K16="",G16,K16),{0,1,10,50,100,500},{0.0,0.08,0.007,0.0068,0.0064,0.00576}),"MOQ="&amp;M16),"")</f>
        <v>0.006495916852264292</v>
      </c>
      <c r="M16" s="11">
        <v>1</v>
      </c>
      <c r="N16" s="13">
        <f>IFERROR(IF(K16="",G16,K16)*L16,"")</f>
        <v>0.065</v>
      </c>
      <c r="O16" s="11" t="s">
        <v>129</v>
      </c>
      <c r="P16" s="11">
        <v>369969</v>
      </c>
      <c r="Q16" s="11"/>
      <c r="R16" s="12">
        <f>IFERROR(IF(OR(Q16&gt;=S16,G16&gt;=S16),LOOKUP(IF(Q16="",G16,Q16),{0,1,10,100,500,4000},{0.0,0.086,0.008,0.007,0.006,0.005}),"MOQ="&amp;S16),"")</f>
        <v>0.008</v>
      </c>
      <c r="S16" s="11">
        <v>1</v>
      </c>
      <c r="T16" s="13">
        <f>IFERROR(IF(Q16="",G16,Q16)*R16,"")</f>
        <v>0.08</v>
      </c>
      <c r="U16" s="11" t="s">
        <v>161</v>
      </c>
    </row>
    <row r="17" spans="1:21">
      <c r="A17" s="11" t="s">
        <v>42</v>
      </c>
      <c r="B17" s="11" t="s">
        <v>43</v>
      </c>
      <c r="C17" s="11" t="s">
        <v>44</v>
      </c>
      <c r="D17" s="11" t="s">
        <v>45</v>
      </c>
      <c r="F17" s="11" t="s">
        <v>43</v>
      </c>
      <c r="G17" s="11">
        <f>CEILING(BoardQty*3.0,1)</f>
        <v>30</v>
      </c>
      <c r="H17" s="12">
        <f>IF(MIN(L17,R17)&lt;&gt;0,MIN(L17,R17),"")</f>
        <v>0.761</v>
      </c>
      <c r="I17" s="13">
        <f>IF(AND(ISNUMBER(G17),ISNUMBER(H17)),G17*H17,"")</f>
        <v>22.83</v>
      </c>
      <c r="J17" s="11">
        <v>5093</v>
      </c>
      <c r="K17" s="11"/>
      <c r="L17" s="12">
        <f>IFERROR(IF(OR(K17&gt;=M17,G17&gt;=M17),EUR_USD*LOOKUP(IF(K17="",G17,K17),{0,1,10,100,500,1000,2000},{0.0,1.25,0.883,0.659,0.55954,0.52701,0.49942}),"MOQ="&amp;M17),"")</f>
        <v>0.8194135115070529</v>
      </c>
      <c r="M17" s="11">
        <v>1</v>
      </c>
      <c r="N17" s="13">
        <f>IFERROR(IF(K17="",G17,K17)*L17,"")</f>
        <v>24.5824</v>
      </c>
      <c r="O17" s="11" t="s">
        <v>130</v>
      </c>
      <c r="P17" s="11">
        <v>3994</v>
      </c>
      <c r="Q17" s="11"/>
      <c r="R17" s="12">
        <f>IFERROR(IF(OR(Q17&gt;=S17,G17&gt;=S17),LOOKUP(IF(Q17="",G17,Q17),{0,1,10,100,500,1000,2000,4000,8000,24000},{0.0,1.08,0.761,0.568,0.482,0.453,0.43,0.409,0.384,0.374}),"MOQ="&amp;S17),"")</f>
        <v>0.761</v>
      </c>
      <c r="S17" s="11">
        <v>1</v>
      </c>
      <c r="T17" s="13">
        <f>IFERROR(IF(Q17="",G17,Q17)*R17,"")</f>
        <v>22.83</v>
      </c>
      <c r="U17" s="11" t="s">
        <v>162</v>
      </c>
    </row>
    <row r="18" spans="1:21">
      <c r="A18" s="11" t="s">
        <v>46</v>
      </c>
      <c r="B18" s="11" t="s">
        <v>47</v>
      </c>
      <c r="C18" s="11" t="s">
        <v>48</v>
      </c>
      <c r="D18" s="11" t="s">
        <v>49</v>
      </c>
      <c r="E18" s="11" t="s">
        <v>50</v>
      </c>
      <c r="F18" s="11" t="s">
        <v>47</v>
      </c>
      <c r="G18" s="11">
        <f>CEILING(BoardQty*2.0,1)</f>
        <v>20</v>
      </c>
      <c r="H18" s="12">
        <f>IF(MIN(L18,R18)&lt;&gt;0,MIN(L18,R18),"")</f>
        <v>1.01</v>
      </c>
      <c r="I18" s="13">
        <f>IF(AND(ISNUMBER(G18),ISNUMBER(H18)),G18*H18,"")</f>
        <v>20.2</v>
      </c>
      <c r="J18" s="11">
        <v>4541</v>
      </c>
      <c r="K18" s="11"/>
      <c r="L18" s="12">
        <f>IFERROR(IF(OR(K18&gt;=M18,G18&gt;=M18),EUR_USD*LOOKUP(IF(K18="",G18,K18),{0,1,10,100,500,1000,2000},{0.0,2.27,1.632,1.2526,1.08532,1.03077,0.99297}),"MOQ="&amp;M18),"")</f>
        <v>1.514476614699332</v>
      </c>
      <c r="M18" s="11">
        <v>1</v>
      </c>
      <c r="N18" s="13">
        <f>IFERROR(IF(K18="",G18,K18)*L18,"")</f>
        <v>30.2895</v>
      </c>
      <c r="O18" s="11" t="s">
        <v>131</v>
      </c>
      <c r="P18" s="11">
        <v>37930</v>
      </c>
      <c r="Q18" s="11"/>
      <c r="R18" s="12">
        <f>IFERROR(IF(OR(Q18&gt;=S18,G18&gt;=S18),LOOKUP(IF(Q18="",G18,Q18),{0,1,10,100,500,1000,2500,5000},{0.0,1.41,1.01,0.869,0.788,0.746,0.725,0.725}),"MOQ="&amp;S18),"")</f>
        <v>1.01</v>
      </c>
      <c r="S18" s="11">
        <v>1</v>
      </c>
      <c r="T18" s="13">
        <f>IFERROR(IF(Q18="",G18,Q18)*R18,"")</f>
        <v>20.2</v>
      </c>
      <c r="U18" s="11" t="s">
        <v>163</v>
      </c>
    </row>
    <row r="19" spans="1:21" ht="30" customHeight="1">
      <c r="A19" s="11" t="s">
        <v>51</v>
      </c>
      <c r="B19" s="11" t="s">
        <v>52</v>
      </c>
      <c r="C19" s="11" t="s">
        <v>53</v>
      </c>
      <c r="D19" s="11" t="s">
        <v>54</v>
      </c>
      <c r="F19" s="11" t="s">
        <v>52</v>
      </c>
      <c r="G19" s="11">
        <f>CEILING(BoardQty*1.0,1)</f>
        <v>10</v>
      </c>
      <c r="H19" s="12">
        <f>IF(MIN(L19,R19)&lt;&gt;0,MIN(L19,R19),"")</f>
        <v>0.544</v>
      </c>
      <c r="I19" s="13">
        <f>IF(AND(ISNUMBER(G19),ISNUMBER(H19)),G19*H19,"")</f>
        <v>5.44</v>
      </c>
      <c r="J19" s="11">
        <v>17061</v>
      </c>
      <c r="K19" s="11"/>
      <c r="L19" s="12">
        <f>IFERROR(IF(OR(K19&gt;=M19,G19&gt;=M19),EUR_USD*LOOKUP(IF(K19="",G19,K19),{0,1,10,25,50,100,250},{0.0,0.78,0.659,0.6172,0.5878,0.5597,0.5246}),"MOQ="&amp;M19),"")</f>
        <v>0.6115441722345956</v>
      </c>
      <c r="M19" s="11">
        <v>1</v>
      </c>
      <c r="N19" s="13">
        <f>IFERROR(IF(K19="",G19,K19)*L19,"")</f>
        <v>6.1154</v>
      </c>
      <c r="O19" s="11" t="s">
        <v>132</v>
      </c>
      <c r="P19" s="11">
        <v>82889</v>
      </c>
      <c r="Q19" s="11"/>
      <c r="R19" s="12">
        <f>IFERROR(IF(OR(Q19&gt;=S19,G19&gt;=S19),LOOKUP(IF(Q19="",G19,Q19),{0,1,10,25,100,250,500,800,4000},{0.0,0.671,0.544,0.471,0.443,0.409,0.368,0.334,0.32}),"MOQ="&amp;S19),"")</f>
        <v>0.544</v>
      </c>
      <c r="S19" s="11">
        <v>1</v>
      </c>
      <c r="T19" s="13">
        <f>IFERROR(IF(Q19="",G19,Q19)*R19,"")</f>
        <v>5.44</v>
      </c>
      <c r="U19" s="11" t="s">
        <v>164</v>
      </c>
    </row>
    <row r="20" spans="1:21" ht="30" customHeight="1">
      <c r="A20" s="11" t="s">
        <v>55</v>
      </c>
      <c r="B20" s="11" t="s">
        <v>56</v>
      </c>
      <c r="C20" s="11" t="s">
        <v>57</v>
      </c>
      <c r="D20" s="11" t="s">
        <v>58</v>
      </c>
      <c r="F20" s="15" t="s">
        <v>56</v>
      </c>
      <c r="G20" s="11">
        <f>CEILING(BoardQty*1.0,1)</f>
        <v>10</v>
      </c>
      <c r="H20" s="12">
        <f>IF(MIN(L20,R20)&lt;&gt;0,MIN(L20,R20),"")</f>
        <v>0.538</v>
      </c>
      <c r="I20" s="13">
        <f>IF(AND(ISNUMBER(G20),ISNUMBER(H20)),G20*H20,"")</f>
        <v>5.38</v>
      </c>
      <c r="J20" s="11">
        <v>110105</v>
      </c>
      <c r="K20" s="11"/>
      <c r="L20" s="12">
        <f>IFERROR(IF(OR(K20&gt;=M20,G20&gt;=M20),EUR_USD*LOOKUP(IF(K20="",G20,K20),{0,1,10,25,50,100,250,500,1000,2500},{0.0,0.8,0.675,0.6328,0.6028,0.5739,0.53788,0.5122,0.48774,0.4572}),"MOQ="&amp;M20),"")</f>
        <v>0.6263919821826281</v>
      </c>
      <c r="M20" s="11">
        <v>1</v>
      </c>
      <c r="N20" s="13">
        <f>IFERROR(IF(K20="",G20,K20)*L20,"")</f>
        <v>6.2639</v>
      </c>
      <c r="O20" s="11" t="s">
        <v>133</v>
      </c>
      <c r="P20" s="14" t="s">
        <v>156</v>
      </c>
      <c r="Q20" s="11"/>
      <c r="R20" s="12">
        <f>IFERROR(IF(OR(Q20&gt;=S20,G20&gt;=S20),LOOKUP(IF(Q20="",G20,Q20),{0,1,10,25,100,250,500,1000,5000,10000},{0.0,0.611,0.538,0.501,0.483,0.453,0.431,0.385,0.368,0.351}),"MOQ="&amp;S20),"")</f>
        <v>0.538</v>
      </c>
      <c r="S20" s="11">
        <v>1</v>
      </c>
      <c r="T20" s="13">
        <f>IFERROR(IF(Q20="",G20,Q20)*R20,"")</f>
        <v>5.38</v>
      </c>
      <c r="U20" s="11" t="s">
        <v>165</v>
      </c>
    </row>
    <row r="21" spans="1:21">
      <c r="A21" s="11" t="s">
        <v>59</v>
      </c>
      <c r="B21" s="11" t="s">
        <v>22</v>
      </c>
      <c r="C21" s="11" t="s">
        <v>60</v>
      </c>
      <c r="D21" s="11" t="s">
        <v>61</v>
      </c>
      <c r="F21" s="11" t="s">
        <v>62</v>
      </c>
      <c r="G21" s="11">
        <f>CEILING(BoardQty*1.0,1)</f>
        <v>10</v>
      </c>
      <c r="H21" s="12">
        <f>IF(MIN(L21,R21)&lt;&gt;0,MIN(L21,R21),"")</f>
        <v>0.161</v>
      </c>
      <c r="I21" s="13">
        <f>IF(AND(ISNUMBER(G21),ISNUMBER(H21)),G21*H21,"")</f>
        <v>1.61</v>
      </c>
      <c r="J21" s="11">
        <v>7490</v>
      </c>
      <c r="K21" s="11"/>
      <c r="L21" s="12">
        <f>IFERROR(IF(OR(K21&gt;=M21,G21&gt;=M21),EUR_USD*LOOKUP(IF(K21="",G21,K21),{0,1,10,25,50,100,250,500,1000},{0.0,0.23,0.187,0.1732,0.1632,0.1539,0.14232,0.13418,0.12651}),"MOQ="&amp;M21),"")</f>
        <v>0.1735337787676318</v>
      </c>
      <c r="M21" s="11">
        <v>1</v>
      </c>
      <c r="N21" s="13">
        <f>IFERROR(IF(K21="",G21,K21)*L21,"")</f>
        <v>1.7353</v>
      </c>
      <c r="O21" s="11" t="s">
        <v>134</v>
      </c>
      <c r="P21" s="11">
        <v>14563</v>
      </c>
      <c r="Q21" s="11"/>
      <c r="R21" s="12">
        <f>IFERROR(IF(OR(Q21&gt;=S21,G21&gt;=S21),LOOKUP(IF(Q21="",G21,Q21),{0,1,10,25,100,250,1000,2500,4000,8000},{0.0,0.198,0.161,0.141,0.132,0.116,0.109,0.107,0.096,0.089}),"MOQ="&amp;S21),"")</f>
        <v>0.161</v>
      </c>
      <c r="S21" s="11">
        <v>1</v>
      </c>
      <c r="T21" s="13">
        <f>IFERROR(IF(Q21="",G21,Q21)*R21,"")</f>
        <v>1.61</v>
      </c>
      <c r="U21" s="11" t="s">
        <v>166</v>
      </c>
    </row>
    <row r="22" spans="1:21" ht="30" customHeight="1">
      <c r="A22" s="11" t="s">
        <v>63</v>
      </c>
      <c r="B22" s="11" t="s">
        <v>64</v>
      </c>
      <c r="C22" s="11" t="s">
        <v>65</v>
      </c>
      <c r="D22" s="11" t="s">
        <v>61</v>
      </c>
      <c r="F22" s="11" t="s">
        <v>66</v>
      </c>
      <c r="G22" s="11">
        <f>CEILING(BoardQty*1.0,1)</f>
        <v>10</v>
      </c>
      <c r="H22" s="12">
        <f>IF(MIN(L22,R22)&lt;&gt;0,MIN(L22,R22),"")</f>
        <v>0.111</v>
      </c>
      <c r="I22" s="13">
        <f>IF(AND(ISNUMBER(G22),ISNUMBER(H22)),G22*H22,"")</f>
        <v>1.11</v>
      </c>
      <c r="J22" s="11">
        <v>5061</v>
      </c>
      <c r="K22" s="11"/>
      <c r="L22" s="12">
        <f>IFERROR(IF(OR(K22&gt;=M22,G22&gt;=M22),EUR_USD*LOOKUP(IF(K22="",G22,K22),{0,1,10,25,50,100,250,500,1000},{0.0,0.16,0.129,0.1196,0.1128,0.1063,0.09832,0.0927,0.08739}),"MOQ="&amp;M22),"")</f>
        <v>0.11971046770601339</v>
      </c>
      <c r="M22" s="11">
        <v>1</v>
      </c>
      <c r="N22" s="13">
        <f>IFERROR(IF(K22="",G22,K22)*L22,"")</f>
        <v>1.1971</v>
      </c>
      <c r="O22" s="11" t="s">
        <v>135</v>
      </c>
      <c r="P22" s="11">
        <v>4199</v>
      </c>
      <c r="Q22" s="11"/>
      <c r="R22" s="12">
        <f>IFERROR(IF(OR(Q22&gt;=S22,G22&gt;=S22),LOOKUP(IF(Q22="",G22,Q22),{0,1,10,25,100,250,1000,2500,4000,8000},{0.0,0.138,0.111,0.097,0.092,0.08,0.076,0.069,0.064,0.062}),"MOQ="&amp;S22),"")</f>
        <v>0.111</v>
      </c>
      <c r="S22" s="11">
        <v>1</v>
      </c>
      <c r="T22" s="13">
        <f>IFERROR(IF(Q22="",G22,Q22)*R22,"")</f>
        <v>1.11</v>
      </c>
      <c r="U22" s="11" t="s">
        <v>167</v>
      </c>
    </row>
    <row r="23" spans="1:21">
      <c r="A23" s="11" t="s">
        <v>67</v>
      </c>
      <c r="B23" s="11" t="s">
        <v>68</v>
      </c>
      <c r="C23" s="11" t="s">
        <v>48</v>
      </c>
      <c r="D23" s="11" t="s">
        <v>69</v>
      </c>
      <c r="E23" s="11" t="s">
        <v>70</v>
      </c>
      <c r="F23" s="11" t="s">
        <v>68</v>
      </c>
      <c r="G23" s="11">
        <f>CEILING(BoardQty*1.0,1)</f>
        <v>10</v>
      </c>
      <c r="H23" s="12">
        <f>IF(MIN(L23,R23)&lt;&gt;0,MIN(L23,R23),"")</f>
        <v>2.83</v>
      </c>
      <c r="I23" s="13">
        <f>IF(AND(ISNUMBER(G23),ISNUMBER(H23)),G23*H23,"")</f>
        <v>28.3</v>
      </c>
      <c r="J23" s="11">
        <v>8770</v>
      </c>
      <c r="K23" s="11"/>
      <c r="L23" s="12">
        <f>IFERROR(IF(OR(K23&gt;=M23,G23&gt;=M23),EUR_USD*LOOKUP(IF(K23="",G23,K23),{0,1,5,10,25,50,100,500,1000},{0.0,3.66,3.268,3.126,2.9544,2.8374,2.7303,2.51478,2.4667}),"MOQ="&amp;M23),"")</f>
        <v>2.9008908685968824</v>
      </c>
      <c r="M23" s="11">
        <v>1</v>
      </c>
      <c r="N23" s="13">
        <f>IFERROR(IF(K23="",G23,K23)*L23,"")</f>
        <v>29.0089</v>
      </c>
      <c r="O23" s="11" t="s">
        <v>136</v>
      </c>
      <c r="P23" s="11">
        <v>7299</v>
      </c>
      <c r="Q23" s="11"/>
      <c r="R23" s="12">
        <f>IFERROR(IF(OR(Q23&gt;=S23,G23&gt;=S23),LOOKUP(IF(Q23="",G23,Q23),{0,1,5,10,50,100,500,1000,2000,5000},{0.0,3.61,3.04,2.83,2.39,2.22,1.89,1.83,1.77,1.7}),"MOQ="&amp;S23),"")</f>
        <v>2.83</v>
      </c>
      <c r="S23" s="11">
        <v>1</v>
      </c>
      <c r="T23" s="13">
        <f>IFERROR(IF(Q23="",G23,Q23)*R23,"")</f>
        <v>28.3</v>
      </c>
      <c r="U23" s="11" t="s">
        <v>168</v>
      </c>
    </row>
    <row r="24" spans="1:21">
      <c r="A24" s="11" t="s">
        <v>71</v>
      </c>
      <c r="B24" s="11" t="s">
        <v>72</v>
      </c>
      <c r="C24" s="11" t="s">
        <v>73</v>
      </c>
      <c r="D24" s="11" t="s">
        <v>74</v>
      </c>
      <c r="F24" s="11" t="s">
        <v>75</v>
      </c>
      <c r="G24" s="11">
        <f>CEILING(BoardQty*2.0,1)</f>
        <v>20</v>
      </c>
      <c r="H24" s="12">
        <f>IF(MIN(L24,R24)&lt;&gt;0,MIN(L24,R24),"")</f>
        <v>0.02</v>
      </c>
      <c r="I24" s="13">
        <f>IF(AND(ISNUMBER(G24),ISNUMBER(H24)),G24*H24,"")</f>
        <v>0.4</v>
      </c>
      <c r="J24" s="11">
        <v>39708</v>
      </c>
      <c r="K24" s="11"/>
      <c r="L24" s="12">
        <f>IFERROR(IF(OR(K24&gt;=M24,G24&gt;=M24),EUR_USD*LOOKUP(IF(K24="",G24,K24),{0,1,10,25,50,100,250,500,1000},{0.0,0.1,0.032,0.0236,0.0194,0.0159,0.01244,0.01052,0.009}),"MOQ="&amp;M24),"")</f>
        <v>0.029695619896065336</v>
      </c>
      <c r="M24" s="11">
        <v>1</v>
      </c>
      <c r="N24" s="13">
        <f>IFERROR(IF(K24="",G24,K24)*L24,"")</f>
        <v>0.5939</v>
      </c>
      <c r="O24" s="11" t="s">
        <v>137</v>
      </c>
      <c r="P24" s="11">
        <v>39096</v>
      </c>
      <c r="Q24" s="11"/>
      <c r="R24" s="12">
        <f>IFERROR(IF(OR(Q24&gt;=S24,G24&gt;=S24),LOOKUP(IF(Q24="",G24,Q24),{0,1,10,100,1000,2000,5000,10000},{0.0,0.101,0.02,0.011,0.009,0.008,0.007,0.004}),"MOQ="&amp;S24),"")</f>
        <v>0.02</v>
      </c>
      <c r="S24" s="11">
        <v>1</v>
      </c>
      <c r="T24" s="13">
        <f>IFERROR(IF(Q24="",G24,Q24)*R24,"")</f>
        <v>0.4</v>
      </c>
      <c r="U24" s="11" t="s">
        <v>169</v>
      </c>
    </row>
    <row r="25" spans="1:21">
      <c r="A25" s="11" t="s">
        <v>76</v>
      </c>
      <c r="B25" s="11" t="s">
        <v>77</v>
      </c>
      <c r="C25" s="11" t="s">
        <v>73</v>
      </c>
      <c r="D25" s="11" t="s">
        <v>74</v>
      </c>
      <c r="F25" s="11" t="s">
        <v>78</v>
      </c>
      <c r="G25" s="11">
        <f>CEILING(BoardQty*5.0,1)</f>
        <v>50</v>
      </c>
      <c r="H25" s="12">
        <f>IF(MIN(L25,R25)&lt;&gt;0,MIN(L25,R25),"")</f>
        <v>0.018002969561989608</v>
      </c>
      <c r="I25" s="13">
        <f>IF(AND(ISNUMBER(G25),ISNUMBER(H25)),G25*H25,"")</f>
        <v>0.9001</v>
      </c>
      <c r="J25" s="11">
        <v>502198</v>
      </c>
      <c r="K25" s="11"/>
      <c r="L25" s="12">
        <f>IFERROR(IF(OR(K25&gt;=M25,G25&gt;=M25),EUR_USD*LOOKUP(IF(K25="",G25,K25),{0,1,10,25,50,100,250,500,1000},{0.0,0.1,0.032,0.0236,0.0194,0.0159,0.01244,0.01052,0.009}),"MOQ="&amp;M25),"")</f>
        <v>0.018002969561989608</v>
      </c>
      <c r="M25" s="11">
        <v>1</v>
      </c>
      <c r="N25" s="13">
        <f>IFERROR(IF(K25="",G25,K25)*L25,"")</f>
        <v>0.9001</v>
      </c>
      <c r="O25" s="11" t="s">
        <v>138</v>
      </c>
      <c r="P25" s="11">
        <v>1234351</v>
      </c>
      <c r="Q25" s="11"/>
      <c r="R25" s="12">
        <f>IFERROR(IF(OR(Q25&gt;=S25,G25&gt;=S25),LOOKUP(IF(Q25="",G25,Q25),{0,1,10,100,1000,2000,5000,10000},{0.0,0.101,0.02,0.011,0.009,0.008,0.006,0.005}),"MOQ="&amp;S25),"")</f>
        <v>0.02</v>
      </c>
      <c r="S25" s="11">
        <v>1</v>
      </c>
      <c r="T25" s="13">
        <f>IFERROR(IF(Q25="",G25,Q25)*R25,"")</f>
        <v>1.0</v>
      </c>
      <c r="U25" s="11" t="s">
        <v>170</v>
      </c>
    </row>
    <row r="26" spans="1:21">
      <c r="A26" s="11" t="s">
        <v>79</v>
      </c>
      <c r="B26" s="11" t="s">
        <v>80</v>
      </c>
      <c r="C26" s="11" t="s">
        <v>73</v>
      </c>
      <c r="D26" s="11" t="s">
        <v>74</v>
      </c>
      <c r="F26" s="11" t="s">
        <v>81</v>
      </c>
      <c r="G26" s="11">
        <f>CEILING(BoardQty*1.0,1)</f>
        <v>10</v>
      </c>
      <c r="H26" s="12">
        <f>IF(MIN(L26,R26)&lt;&gt;0,MIN(L26,R26),"")</f>
        <v>0.017</v>
      </c>
      <c r="I26" s="13">
        <f>IF(AND(ISNUMBER(G26),ISNUMBER(H26)),G26*H26,"")</f>
        <v>0.17</v>
      </c>
      <c r="J26" s="11">
        <v>2116</v>
      </c>
      <c r="K26" s="11"/>
      <c r="L26" s="12">
        <f>IFERROR(IF(OR(K26&gt;=M26,G26&gt;=M26),EUR_USD*LOOKUP(IF(K26="",G26,K26),{0,1,10,25,50,100,250,500,1000},{0.0,0.1,0.027,0.0224,0.0194,0.0171,0.01444,0.01276,0.01135}),"MOQ="&amp;M26),"")</f>
        <v>0.025055679287305125</v>
      </c>
      <c r="M26" s="11">
        <v>1</v>
      </c>
      <c r="N26" s="13">
        <f>IFERROR(IF(K26="",G26,K26)*L26,"")</f>
        <v>0.2506</v>
      </c>
      <c r="O26" s="11" t="s">
        <v>139</v>
      </c>
      <c r="P26" s="11">
        <v>43015</v>
      </c>
      <c r="Q26" s="11"/>
      <c r="R26" s="12">
        <f>IFERROR(IF(OR(Q26&gt;=S26,G26&gt;=S26),LOOKUP(IF(Q26="",G26,Q26),{0,1,10,100,1000,5000},{0.0,0.086,0.017,0.011,0.01,0.009}),"MOQ="&amp;S26),"")</f>
        <v>0.017</v>
      </c>
      <c r="S26" s="11">
        <v>1</v>
      </c>
      <c r="T26" s="13">
        <f>IFERROR(IF(Q26="",G26,Q26)*R26,"")</f>
        <v>0.17</v>
      </c>
      <c r="U26" s="11" t="s">
        <v>171</v>
      </c>
    </row>
    <row r="27" spans="1:21" ht="30" customHeight="1">
      <c r="A27" s="11" t="s">
        <v>82</v>
      </c>
      <c r="B27" s="11" t="s">
        <v>83</v>
      </c>
      <c r="C27" s="11" t="s">
        <v>84</v>
      </c>
      <c r="D27" s="11" t="s">
        <v>85</v>
      </c>
      <c r="F27" s="11" t="s">
        <v>83</v>
      </c>
      <c r="G27" s="11">
        <f>CEILING(BoardQty*2.0,1)</f>
        <v>20</v>
      </c>
      <c r="H27" s="12">
        <f>IF(MIN(L27,R27)&lt;&gt;0,MIN(L27,R27),"")</f>
        <v>0.181</v>
      </c>
      <c r="I27" s="13">
        <f>IF(AND(ISNUMBER(G27),ISNUMBER(H27)),G27*H27,"")</f>
        <v>3.62</v>
      </c>
      <c r="J27" s="11">
        <v>45265</v>
      </c>
      <c r="K27" s="11"/>
      <c r="L27" s="12">
        <f>IFERROR(IF(OR(K27&gt;=M27,G27&gt;=M27),EUR_USD*LOOKUP(IF(K27="",G27,K27),{0,1,10,25,100,250,500,1000,2500},{0.0,0.28,0.245,0.2292,0.2056,0.19056,0.17982,0.16975,0.15762}),"MOQ="&amp;M27),"")</f>
        <v>0.2273570898292502</v>
      </c>
      <c r="M27" s="11">
        <v>1</v>
      </c>
      <c r="N27" s="13">
        <f>IFERROR(IF(K27="",G27,K27)*L27,"")</f>
        <v>4.5471</v>
      </c>
      <c r="O27" s="11" t="s">
        <v>140</v>
      </c>
      <c r="P27" s="11">
        <v>15951</v>
      </c>
      <c r="Q27" s="11"/>
      <c r="R27" s="12">
        <f>IFERROR(IF(OR(Q27&gt;=S27,G27&gt;=S27),LOOKUP(IF(Q27="",G27,Q27),{0,1,10,25,100,250,500,1000,2500,5000},{0.0,0.206,0.181,0.175,0.16,0.151,0.146,0.141,0.136,0.127}),"MOQ="&amp;S27),"")</f>
        <v>0.181</v>
      </c>
      <c r="S27" s="11">
        <v>1</v>
      </c>
      <c r="T27" s="13">
        <f>IFERROR(IF(Q27="",G27,Q27)*R27,"")</f>
        <v>3.62</v>
      </c>
      <c r="U27" s="11" t="s">
        <v>172</v>
      </c>
    </row>
    <row r="28" spans="1:21">
      <c r="A28" s="11" t="s">
        <v>86</v>
      </c>
      <c r="B28" s="11" t="s">
        <v>87</v>
      </c>
      <c r="C28" s="11" t="s">
        <v>48</v>
      </c>
      <c r="D28" s="11" t="s">
        <v>88</v>
      </c>
      <c r="F28" s="11" t="s">
        <v>87</v>
      </c>
      <c r="G28" s="11">
        <f>CEILING(BoardQty*1.0,1)</f>
        <v>10</v>
      </c>
      <c r="H28" s="12">
        <f>IF(MIN(L28,R28)&lt;&gt;0,MIN(L28,R28),"")</f>
        <v>7.157572383073497</v>
      </c>
      <c r="I28" s="13">
        <f>IF(AND(ISNUMBER(G28),ISNUMBER(H28)),G28*H28,"")</f>
        <v>71.5757</v>
      </c>
      <c r="J28" s="11">
        <v>4873</v>
      </c>
      <c r="K28" s="11"/>
      <c r="L28" s="12">
        <f>IFERROR(IF(OR(K28&gt;=M28,G28&gt;=M28),EUR_USD*LOOKUP(IF(K28="",G28,K28),{0,1,5,10,25,50,100,500,1000},{0.0,8.88,8.03,7.713,7.3344,7.0754,6.8379,6.35966,6.18143}),"MOQ="&amp;M28),"")</f>
        <v>7.157572383073497</v>
      </c>
      <c r="M28" s="11">
        <v>1</v>
      </c>
      <c r="N28" s="13">
        <f>IFERROR(IF(K28="",G28,K28)*L28,"")</f>
        <v>71.5757</v>
      </c>
      <c r="O28" s="11" t="s">
        <v>141</v>
      </c>
      <c r="P28" s="11">
        <v>8768</v>
      </c>
      <c r="Q28" s="11"/>
      <c r="R28" s="12">
        <f>IFERROR(IF(OR(Q28&gt;=S28,G28&gt;=S28),LOOKUP(IF(Q28="",G28,Q28),{0,1,5,10,25,50,100,500,1000,2500},{0.0,10.11,8.52,7.92,7.19,6.68,6.21,5.5,5.31,5.31}),"MOQ="&amp;S28),"")</f>
        <v>7.92</v>
      </c>
      <c r="S28" s="11">
        <v>1</v>
      </c>
      <c r="T28" s="13">
        <f>IFERROR(IF(Q28="",G28,Q28)*R28,"")</f>
        <v>79.2</v>
      </c>
      <c r="U28" s="11" t="s">
        <v>173</v>
      </c>
    </row>
    <row r="29" spans="1:21" ht="75" customHeight="1">
      <c r="A29" s="11" t="s">
        <v>89</v>
      </c>
      <c r="B29" s="11" t="s">
        <v>90</v>
      </c>
      <c r="C29" s="11" t="s">
        <v>91</v>
      </c>
      <c r="D29" s="11" t="s">
        <v>92</v>
      </c>
      <c r="F29" s="11" t="s">
        <v>90</v>
      </c>
      <c r="G29" s="11">
        <f>CEILING(BoardQty*1.0,1)</f>
        <v>10</v>
      </c>
      <c r="H29" s="12">
        <f>IF(MIN(L29,R29)&lt;&gt;0,MIN(L29,R29),"")</f>
        <v>0.601</v>
      </c>
      <c r="I29" s="13">
        <f>IF(AND(ISNUMBER(G29),ISNUMBER(H29)),G29*H29,"")</f>
        <v>6.01</v>
      </c>
      <c r="J29" s="11">
        <v>7676</v>
      </c>
      <c r="K29" s="11"/>
      <c r="L29" s="12">
        <f>IFERROR(IF(OR(K29&gt;=M29,G29&gt;=M29),EUR_USD*LOOKUP(IF(K29="",G29,K29),{0,1,10,25,100,250,500},{0.0,0.97,0.696,0.628,0.553,0.5172,0.49572}),"MOQ="&amp;M29),"")</f>
        <v>0.645879732739421</v>
      </c>
      <c r="M29" s="11">
        <v>1</v>
      </c>
      <c r="N29" s="13">
        <f>IFERROR(IF(K29="",G29,K29)*L29,"")</f>
        <v>6.4588</v>
      </c>
      <c r="O29" s="11" t="s">
        <v>142</v>
      </c>
      <c r="P29" s="11">
        <v>29040</v>
      </c>
      <c r="Q29" s="11"/>
      <c r="R29" s="12">
        <f>IFERROR(IF(OR(Q29&gt;=S29,G29&gt;=S29),LOOKUP(IF(Q29="",G29,Q29),{0,1,10,25,100,250,500,1000,3000,6000},{0.0,0.834,0.601,0.541,0.476,0.445,0.427,0.411,0.395,0.375}),"MOQ="&amp;S29),"")</f>
        <v>0.601</v>
      </c>
      <c r="S29" s="11">
        <v>1</v>
      </c>
      <c r="T29" s="13">
        <f>IFERROR(IF(Q29="",G29,Q29)*R29,"")</f>
        <v>6.01</v>
      </c>
      <c r="U29" s="11" t="s">
        <v>174</v>
      </c>
    </row>
    <row r="30" spans="1:21" ht="60" customHeight="1">
      <c r="A30" s="11" t="s">
        <v>93</v>
      </c>
      <c r="B30" s="11" t="s">
        <v>94</v>
      </c>
      <c r="C30" s="11" t="s">
        <v>95</v>
      </c>
      <c r="D30" s="11" t="s">
        <v>96</v>
      </c>
      <c r="F30" s="11" t="s">
        <v>97</v>
      </c>
      <c r="G30" s="11">
        <f>CEILING(BoardQty*1.0,1)</f>
        <v>10</v>
      </c>
      <c r="H30" s="12">
        <f>IF(MIN(L30,R30)&lt;&gt;0,MIN(L30,R30),"")</f>
        <v>2.04</v>
      </c>
      <c r="I30" s="13">
        <f>IF(AND(ISNUMBER(G30),ISNUMBER(H30)),G30*H30,"")</f>
        <v>20.4</v>
      </c>
      <c r="J30" s="11">
        <v>10132</v>
      </c>
      <c r="K30" s="11"/>
      <c r="L30" s="12">
        <f>IFERROR(IF(OR(K30&gt;=M30,G30&gt;=M30),EUR_USD*LOOKUP(IF(K30="",G30,K30),{0,1,10,25,100,250,500,1000},{0.0,3.16,2.37,2.1724,1.955,1.85132,1.7888,1.73733}),"MOQ="&amp;M30),"")</f>
        <v>2.199331848552339</v>
      </c>
      <c r="M30" s="11">
        <v>1</v>
      </c>
      <c r="N30" s="13">
        <f>IFERROR(IF(K30="",G30,K30)*L30,"")</f>
        <v>21.9933</v>
      </c>
      <c r="O30" s="11" t="s">
        <v>143</v>
      </c>
      <c r="P30" s="11">
        <v>977</v>
      </c>
      <c r="Q30" s="11"/>
      <c r="R30" s="12">
        <f>IFERROR(IF(OR(Q30&gt;=S30,G30&gt;=S30),LOOKUP(IF(Q30="",G30,Q30),{0,1,10,25,100,250,500,1000,3000,6000},{0.0,2.73,2.04,1.87,1.68,1.59,1.54,1.49,1.44,1.42}),"MOQ="&amp;S30),"")</f>
        <v>2.04</v>
      </c>
      <c r="S30" s="11">
        <v>1</v>
      </c>
      <c r="T30" s="13">
        <f>IFERROR(IF(Q30="",G30,Q30)*R30,"")</f>
        <v>20.4</v>
      </c>
      <c r="U30" s="11" t="s">
        <v>175</v>
      </c>
    </row>
    <row r="31" spans="1:21" ht="45" customHeight="1">
      <c r="A31" s="11" t="s">
        <v>98</v>
      </c>
      <c r="B31" s="11" t="s">
        <v>99</v>
      </c>
      <c r="C31" s="11" t="s">
        <v>100</v>
      </c>
      <c r="D31" s="11" t="s">
        <v>101</v>
      </c>
      <c r="F31" s="11" t="s">
        <v>99</v>
      </c>
      <c r="G31" s="11">
        <f>CEILING(BoardQty*1.0,1)</f>
        <v>10</v>
      </c>
      <c r="H31" s="12">
        <f>IF(MIN(L31,R31)&lt;&gt;0,MIN(L31,R31),"")</f>
        <v>0.7433184855233854</v>
      </c>
      <c r="I31" s="13">
        <f>IF(AND(ISNUMBER(G31),ISNUMBER(H31)),G31*H31,"")</f>
        <v>7.4332</v>
      </c>
      <c r="J31" s="11">
        <v>57377</v>
      </c>
      <c r="K31" s="11"/>
      <c r="L31" s="12">
        <f>IFERROR(IF(OR(K31&gt;=M31,G31&gt;=M31),EUR_USD*LOOKUP(IF(K31="",G31,K31),{0,1,10,25,100,250,500,1000},{0.0,1.31,0.801,0.668,0.517,0.44284,0.3972,0.35895}),"MOQ="&amp;M31),"")</f>
        <v>0.7433184855233854</v>
      </c>
      <c r="M31" s="11">
        <v>1</v>
      </c>
      <c r="N31" s="13">
        <f>IFERROR(IF(K31="",G31,K31)*L31,"")</f>
        <v>7.4332</v>
      </c>
      <c r="O31" s="11" t="s">
        <v>144</v>
      </c>
      <c r="P31" s="14" t="s">
        <v>156</v>
      </c>
      <c r="Q31" s="11"/>
      <c r="U31" s="11" t="s">
        <v>157</v>
      </c>
    </row>
    <row r="32" spans="1:21" ht="45" customHeight="1">
      <c r="A32" s="11" t="s">
        <v>102</v>
      </c>
      <c r="B32" s="11" t="s">
        <v>103</v>
      </c>
      <c r="C32" s="11" t="s">
        <v>100</v>
      </c>
      <c r="D32" s="11" t="s">
        <v>101</v>
      </c>
      <c r="F32" s="11" t="s">
        <v>103</v>
      </c>
      <c r="G32" s="11">
        <f>CEILING(BoardQty*1.0,1)</f>
        <v>10</v>
      </c>
      <c r="H32" s="12">
        <f>IF(MIN(L32,R32)&lt;&gt;0,MIN(L32,R32),"")</f>
        <v>0.7433184855233854</v>
      </c>
      <c r="I32" s="13">
        <f>IF(AND(ISNUMBER(G32),ISNUMBER(H32)),G32*H32,"")</f>
        <v>7.4332</v>
      </c>
      <c r="J32" s="11">
        <v>5294</v>
      </c>
      <c r="K32" s="11"/>
      <c r="L32" s="12">
        <f>IFERROR(IF(OR(K32&gt;=M32,G32&gt;=M32),EUR_USD*LOOKUP(IF(K32="",G32,K32),{0,1,10,25,100,250,500,1000},{0.0,1.31,0.801,0.668,0.517,0.44284,0.3972,0.35895}),"MOQ="&amp;M32),"")</f>
        <v>0.7433184855233854</v>
      </c>
      <c r="M32" s="11">
        <v>1</v>
      </c>
      <c r="N32" s="13">
        <f>IFERROR(IF(K32="",G32,K32)*L32,"")</f>
        <v>7.4332</v>
      </c>
      <c r="O32" s="11" t="s">
        <v>145</v>
      </c>
      <c r="P32" s="14" t="s">
        <v>156</v>
      </c>
      <c r="Q32" s="11"/>
      <c r="U32" s="11" t="s">
        <v>157</v>
      </c>
    </row>
    <row r="33" spans="1:21">
      <c r="A33" s="11" t="s">
        <v>104</v>
      </c>
      <c r="B33" s="11" t="s">
        <v>105</v>
      </c>
      <c r="C33" s="11" t="s">
        <v>48</v>
      </c>
      <c r="D33" s="11" t="s">
        <v>106</v>
      </c>
      <c r="E33" s="11" t="s">
        <v>107</v>
      </c>
      <c r="F33" s="11" t="s">
        <v>105</v>
      </c>
      <c r="G33" s="11">
        <f>CEILING(BoardQty*1.0,1)</f>
        <v>10</v>
      </c>
      <c r="H33" s="12">
        <f>IF(MIN(L33,R33)&lt;&gt;0,MIN(L33,R33),"")</f>
        <v>6.18</v>
      </c>
      <c r="I33" s="13">
        <f>IF(AND(ISNUMBER(G33),ISNUMBER(H33)),G33*H33,"")</f>
        <v>61.8</v>
      </c>
      <c r="J33" s="11">
        <v>1782</v>
      </c>
      <c r="K33" s="11"/>
      <c r="L33" s="12">
        <f>IFERROR(IF(OR(K33&gt;=M33,G33&gt;=M33),EUR_USD*LOOKUP(IF(K33="",G33,K33),{0,1,10,25,100,250},{0.0,8.28,7.184,6.802,6.2776,5.96368}),"MOQ="&amp;M33),"")</f>
        <v>6.666666666666668</v>
      </c>
      <c r="M33" s="11">
        <v>1</v>
      </c>
      <c r="N33" s="13">
        <f>IFERROR(IF(K33="",G33,K33)*L33,"")</f>
        <v>66.6667</v>
      </c>
      <c r="O33" s="11" t="s">
        <v>146</v>
      </c>
      <c r="P33" s="11">
        <v>1212</v>
      </c>
      <c r="Q33" s="11"/>
      <c r="R33" s="12">
        <f>IFERROR(IF(OR(Q33&gt;=S33,G33&gt;=S33),LOOKUP(IF(Q33="",G33,Q33),{0,1,10,25,100,250,500,1000},{0.0,7.12,6.18,5.86,5.4,5.13,4.94,4.65}),"MOQ="&amp;S33),"")</f>
        <v>6.18</v>
      </c>
      <c r="S33" s="11">
        <v>1</v>
      </c>
      <c r="T33" s="13">
        <f>IFERROR(IF(Q33="",G33,Q33)*R33,"")</f>
        <v>61.8</v>
      </c>
      <c r="U33" s="11" t="s">
        <v>176</v>
      </c>
    </row>
    <row r="34" spans="1:21" ht="30" customHeight="1">
      <c r="A34" s="11" t="s">
        <v>108</v>
      </c>
      <c r="B34" s="11" t="s">
        <v>109</v>
      </c>
      <c r="C34" s="11" t="s">
        <v>110</v>
      </c>
      <c r="D34" s="11" t="s">
        <v>101</v>
      </c>
      <c r="F34" s="11" t="s">
        <v>109</v>
      </c>
      <c r="G34" s="11">
        <f>CEILING(BoardQty*1.0,1)</f>
        <v>10</v>
      </c>
      <c r="H34" s="12">
        <f>IF(MIN(L34,R34)&lt;&gt;0,MIN(L34,R34),"")</f>
        <v>0.206</v>
      </c>
      <c r="I34" s="13">
        <f>IF(AND(ISNUMBER(G34),ISNUMBER(H34)),G34*H34,"")</f>
        <v>2.06</v>
      </c>
      <c r="J34" s="11">
        <v>237574</v>
      </c>
      <c r="K34" s="11"/>
      <c r="L34" s="12">
        <f>IFERROR(IF(OR(K34&gt;=M34,G34&gt;=M34),EUR_USD*LOOKUP(IF(K34="",G34,K34),{0,1,10,25,100,250,500,1000},{0.0,0.35,0.24,0.2132,0.1837,0.16972,0.16126,0.15431}),"MOQ="&amp;M34),"")</f>
        <v>0.22271714922049</v>
      </c>
      <c r="M34" s="11">
        <v>1</v>
      </c>
      <c r="N34" s="13">
        <f>IFERROR(IF(K34="",G34,K34)*L34,"")</f>
        <v>2.2272</v>
      </c>
      <c r="O34" s="11" t="s">
        <v>147</v>
      </c>
      <c r="P34" s="11">
        <v>43139</v>
      </c>
      <c r="Q34" s="11"/>
      <c r="R34" s="12">
        <f>IFERROR(IF(OR(Q34&gt;=S34,G34&gt;=S34),LOOKUP(IF(Q34="",G34,Q34),{0,1,10,25,100,250,1000,3000},{0.0,0.301,0.206,0.184,0.158,0.138,0.133,0.112}),"MOQ="&amp;S34),"")</f>
        <v>0.206</v>
      </c>
      <c r="S34" s="11">
        <v>1</v>
      </c>
      <c r="T34" s="13">
        <f>IFERROR(IF(Q34="",G34,Q34)*R34,"")</f>
        <v>2.06</v>
      </c>
      <c r="U34" s="11" t="s">
        <v>177</v>
      </c>
    </row>
    <row r="35" spans="1:21" ht="60" customHeight="1">
      <c r="A35" s="11" t="s">
        <v>111</v>
      </c>
      <c r="B35" s="11" t="s">
        <v>112</v>
      </c>
      <c r="C35" s="11" t="s">
        <v>113</v>
      </c>
      <c r="D35" s="11" t="s">
        <v>114</v>
      </c>
      <c r="F35" s="11" t="s">
        <v>112</v>
      </c>
      <c r="G35" s="11">
        <f>CEILING(BoardQty*1.0,1)</f>
        <v>10</v>
      </c>
      <c r="H35" s="12">
        <f>IF(MIN(L35,R35)&lt;&gt;0,MIN(L35,R35),"")</f>
        <v>5.273756495916853</v>
      </c>
      <c r="I35" s="13">
        <f>IF(AND(ISNUMBER(G35),ISNUMBER(H35)),G35*H35,"")</f>
        <v>52.7376</v>
      </c>
      <c r="J35" s="11">
        <v>12045</v>
      </c>
      <c r="K35" s="11"/>
      <c r="L35" s="12">
        <f>IFERROR(IF(OR(K35&gt;=M35,G35&gt;=M35),EUR_USD*LOOKUP(IF(K35="",G35,K35),{0,1,10,25,100,250},{0.0,6.56,5.683,5.378,4.9592,4.7084}),"MOQ="&amp;M35),"")</f>
        <v>5.273756495916853</v>
      </c>
      <c r="M35" s="11">
        <v>1</v>
      </c>
      <c r="N35" s="13">
        <f>IFERROR(IF(K35="",G35,K35)*L35,"")</f>
        <v>52.7376</v>
      </c>
      <c r="O35" s="11" t="s">
        <v>148</v>
      </c>
      <c r="P35" s="11">
        <v>9029</v>
      </c>
      <c r="Q35" s="11"/>
      <c r="R35" s="12">
        <f>IFERROR(IF(OR(Q35&gt;=S35,G35&gt;=S35),LOOKUP(IF(Q35="",G35,Q35),{0,1,10,25,100,250,500,1000},{0.0,5.77,5.29,4.82,4.33,4.04,3.84,3.7}),"MOQ="&amp;S35),"")</f>
        <v>5.29</v>
      </c>
      <c r="S35" s="11">
        <v>1</v>
      </c>
      <c r="T35" s="13">
        <f>IFERROR(IF(Q35="",G35,Q35)*R35,"")</f>
        <v>52.9</v>
      </c>
      <c r="U35" s="11" t="s">
        <v>178</v>
      </c>
    </row>
    <row r="37" spans="1:21">
      <c r="B37" s="16" t="s">
        <v>181</v>
      </c>
      <c r="H37" s="1" t="s">
        <v>179</v>
      </c>
      <c r="I37" s="5">
        <f>SUM(N37,T37)</f>
        <v>0</v>
      </c>
      <c r="J37" s="17" t="s">
        <v>149</v>
      </c>
      <c r="K37" s="6">
        <f>IFERROR(IF(COUNTIF(K7:K35,"&gt;0")&gt;0,COUNTIF(K7:K35,"&gt;0")&amp;" of "&amp;(ROWS(M7:M35)-COUNTBLANK(M7:M35))&amp;" parts purchased",""),"")</f>
        <v/>
      </c>
      <c r="N37" s="5">
        <f>SUMIF(K7:K35,"&gt;0",N7:N35)</f>
        <v>0</v>
      </c>
      <c r="P37" s="17" t="s">
        <v>149</v>
      </c>
      <c r="Q37" s="6">
        <f>IFERROR(IF(COUNTIF(Q7:Q35,"&gt;0")&gt;0,COUNTIF(Q7:Q35,"&gt;0")&amp;" of "&amp;(ROWS(S7:S35)-COUNTBLANK(S7:S35))&amp;" parts purchased",""),"")</f>
        <v/>
      </c>
      <c r="T37" s="5">
        <f>SUMIF(Q7:Q35,"&gt;0",T7:T35)</f>
        <v>0</v>
      </c>
    </row>
    <row r="38" spans="1:21">
      <c r="B38" s="16" t="s">
        <v>182</v>
      </c>
      <c r="C38">
        <v>0.9279881217520417</v>
      </c>
      <c r="H38" s="16" t="s">
        <v>180</v>
      </c>
      <c r="K38" s="18">
        <f>CONCATENATE(K68,K69,K70,K71,K72,K73,K74,K75,K76,K77,K78,K79,K80,K81,K82,K83,K84,K85,K86,K87,K88,K89,K90,K91,K92,K93,K94,K95,K96)</f>
        <v/>
      </c>
      <c r="Q38" s="18">
        <f>CONCATENATE(Q68,Q69,Q70,Q71,Q72,Q73,Q74,Q75,Q76,Q77,Q78,Q79,Q80,Q81,Q82,Q83,Q84,Q85,Q86,Q87,Q88,Q89,Q90,Q91,Q92,Q93,Q94,Q95,Q96)</f>
        <v/>
      </c>
    </row>
    <row r="40" spans="1:21">
      <c r="A40" s="2" t="s">
        <v>193</v>
      </c>
    </row>
    <row r="68" spans="11:17" ht="30" hidden="1" customHeight="1">
      <c r="K68" t="str">
        <f t="array" ref="K68:K96">IF(ISNUMBER(K7:K35)*(K7:K35&gt;=M7:M35)*(O7:O35&lt;&gt;""),TEXT(ROUNDUP(K7:K35/IF(ISNUMBER(M7:M35),M7:M35,1),0)*M7:M35,"##0")&amp;","&amp;O7:O35&amp;","&amp;SUBSTITUTE(SUBSTITUTE(IF(PURCHASE_DESCRIPTION&lt;&gt;"",PURCHASE_DESCRIPTION&amp;":","")&amp;A7:A35,",",";"),"
"," ")&amp;CHAR(10),"")</f>
        <v/>
      </c>
      <c r="Q68" t="str">
        <f t="array" ref="Q68:Q96">IF(ISNUMBER(Q7:Q35)*(Q7:Q35&gt;=S7:S35)*(U7:U35&lt;&gt;""),U7:U35&amp;"|"&amp;TEXT(ROUNDUP(Q7:Q35/IF(ISNUMBER(S7:S35),S7:S35,1),0)*S7:S35,"##0")&amp;"|"&amp;SUBSTITUTE(SUBSTITUTE(SUBSTITUTE(IF(PURCHASE_DESCRIPTION&lt;&gt;"",PURCHASE_DESCRIPTION&amp;":","")&amp;A7:A35,"|",";")," ","_"),"
","_")&amp;CHAR(10),"")</f>
        <v/>
      </c>
    </row>
    <row r="69" spans="11:17" ht="30" hidden="1" customHeight="1">
      <c r="K69">
        <v>0</v>
      </c>
      <c r="Q69">
        <v>0</v>
      </c>
    </row>
    <row r="70" spans="11:17" ht="30" hidden="1" customHeight="1">
      <c r="K70">
        <v>0</v>
      </c>
      <c r="Q70">
        <v>0</v>
      </c>
    </row>
    <row r="71" spans="11:17" ht="30" hidden="1" customHeight="1">
      <c r="K71">
        <v>0</v>
      </c>
      <c r="Q71">
        <v>0</v>
      </c>
    </row>
    <row r="72" spans="11:17" ht="30" hidden="1" customHeight="1">
      <c r="K72">
        <v>0</v>
      </c>
      <c r="Q72">
        <v>0</v>
      </c>
    </row>
    <row r="73" spans="11:17" ht="30" hidden="1" customHeight="1">
      <c r="K73">
        <v>0</v>
      </c>
      <c r="Q73">
        <v>0</v>
      </c>
    </row>
    <row r="74" spans="11:17" ht="30" hidden="1" customHeight="1">
      <c r="K74">
        <v>0</v>
      </c>
      <c r="Q74">
        <v>0</v>
      </c>
    </row>
    <row r="75" spans="11:17" ht="30" hidden="1" customHeight="1">
      <c r="K75">
        <v>0</v>
      </c>
      <c r="Q75">
        <v>0</v>
      </c>
    </row>
    <row r="76" spans="11:17" ht="30" hidden="1" customHeight="1">
      <c r="K76">
        <v>0</v>
      </c>
      <c r="Q76">
        <v>0</v>
      </c>
    </row>
    <row r="77" spans="11:17" ht="30" hidden="1" customHeight="1">
      <c r="K77">
        <v>0</v>
      </c>
      <c r="Q77">
        <v>0</v>
      </c>
    </row>
    <row r="78" spans="11:17" ht="30" hidden="1" customHeight="1">
      <c r="K78">
        <v>0</v>
      </c>
      <c r="Q78">
        <v>0</v>
      </c>
    </row>
    <row r="79" spans="11:17" ht="30" hidden="1" customHeight="1">
      <c r="K79">
        <v>0</v>
      </c>
      <c r="Q79">
        <v>0</v>
      </c>
    </row>
    <row r="80" spans="11:17" ht="30" hidden="1" customHeight="1">
      <c r="K80">
        <v>0</v>
      </c>
      <c r="Q80">
        <v>0</v>
      </c>
    </row>
    <row r="81" spans="11:17" ht="30" hidden="1" customHeight="1">
      <c r="K81">
        <v>0</v>
      </c>
      <c r="Q81">
        <v>0</v>
      </c>
    </row>
    <row r="82" spans="11:17" ht="30" hidden="1" customHeight="1">
      <c r="K82">
        <v>0</v>
      </c>
      <c r="Q82">
        <v>0</v>
      </c>
    </row>
    <row r="83" spans="11:17" ht="30" hidden="1" customHeight="1">
      <c r="K83">
        <v>0</v>
      </c>
      <c r="Q83">
        <v>0</v>
      </c>
    </row>
    <row r="84" spans="11:17" ht="30" hidden="1" customHeight="1">
      <c r="K84">
        <v>0</v>
      </c>
      <c r="Q84">
        <v>0</v>
      </c>
    </row>
    <row r="85" spans="11:17" ht="30" hidden="1" customHeight="1">
      <c r="K85">
        <v>0</v>
      </c>
      <c r="Q85">
        <v>0</v>
      </c>
    </row>
    <row r="86" spans="11:17" ht="30" hidden="1" customHeight="1">
      <c r="K86">
        <v>0</v>
      </c>
      <c r="Q86">
        <v>0</v>
      </c>
    </row>
    <row r="87" spans="11:17" ht="30" hidden="1" customHeight="1">
      <c r="K87">
        <v>0</v>
      </c>
      <c r="Q87">
        <v>0</v>
      </c>
    </row>
    <row r="88" spans="11:17" ht="30" hidden="1" customHeight="1">
      <c r="K88">
        <v>0</v>
      </c>
      <c r="Q88">
        <v>0</v>
      </c>
    </row>
    <row r="89" spans="11:17" ht="30" hidden="1" customHeight="1">
      <c r="K89">
        <v>0</v>
      </c>
      <c r="Q89">
        <v>0</v>
      </c>
    </row>
    <row r="90" spans="11:17" ht="30" hidden="1" customHeight="1">
      <c r="K90">
        <v>0</v>
      </c>
      <c r="Q90">
        <v>0</v>
      </c>
    </row>
    <row r="91" spans="11:17" ht="30" hidden="1" customHeight="1">
      <c r="K91">
        <v>0</v>
      </c>
      <c r="Q91">
        <v>0</v>
      </c>
    </row>
    <row r="92" spans="11:17" ht="30" hidden="1" customHeight="1">
      <c r="K92">
        <v>0</v>
      </c>
      <c r="Q92">
        <v>0</v>
      </c>
    </row>
    <row r="93" spans="11:17" ht="30" hidden="1" customHeight="1">
      <c r="K93">
        <v>0</v>
      </c>
      <c r="Q93">
        <v>0</v>
      </c>
    </row>
    <row r="94" spans="11:17" ht="30" hidden="1" customHeight="1">
      <c r="K94">
        <v>0</v>
      </c>
      <c r="Q94">
        <v>0</v>
      </c>
    </row>
    <row r="95" spans="11:17" ht="30" hidden="1" customHeight="1">
      <c r="K95">
        <v>0</v>
      </c>
      <c r="Q95">
        <v>0</v>
      </c>
    </row>
    <row r="96" spans="11:17" ht="30" hidden="1" customHeight="1">
      <c r="K96">
        <v>0</v>
      </c>
      <c r="Q96">
        <v>0</v>
      </c>
    </row>
  </sheetData>
  <mergeCells count="5">
    <mergeCell ref="A5:I5"/>
    <mergeCell ref="J5:O5"/>
    <mergeCell ref="K38:N67"/>
    <mergeCell ref="P5:U5"/>
    <mergeCell ref="Q38:T67"/>
  </mergeCells>
  <conditionalFormatting sqref="G10">
    <cfRule type="expression" dxfId="3" priority="233">
      <formula>AND(ISBLANK(F10),ISBLANK(N10),ISBLANK(T10))</formula>
    </cfRule>
    <cfRule type="expression" dxfId="1" priority="234">
      <formula>IF(SUM(J10,P10)=0,1,0)</formula>
    </cfRule>
    <cfRule type="cellIs" dxfId="0" priority="235" operator="greaterThan">
      <formula>SUM(J10,P10)</formula>
    </cfRule>
    <cfRule type="cellIs" dxfId="4" priority="236" operator="greaterThan">
      <formula>SUM(IF(ISNUMBER(L10),K10,0),IF(ISNUMBER(R10),Q10,0))</formula>
    </cfRule>
  </conditionalFormatting>
  <conditionalFormatting sqref="G11">
    <cfRule type="expression" dxfId="3" priority="237">
      <formula>AND(ISBLANK(F11),ISBLANK(N11),ISBLANK(T11))</formula>
    </cfRule>
    <cfRule type="expression" dxfId="1" priority="238">
      <formula>IF(SUM(J11,P11)=0,1,0)</formula>
    </cfRule>
    <cfRule type="cellIs" dxfId="0" priority="239" operator="greaterThan">
      <formula>SUM(J11,P11)</formula>
    </cfRule>
    <cfRule type="cellIs" dxfId="4" priority="240" operator="greaterThan">
      <formula>SUM(IF(ISNUMBER(L11),K11,0),IF(ISNUMBER(R11),Q11,0))</formula>
    </cfRule>
  </conditionalFormatting>
  <conditionalFormatting sqref="G12">
    <cfRule type="expression" dxfId="3" priority="241">
      <formula>AND(ISBLANK(F12),ISBLANK(N12),ISBLANK(T12))</formula>
    </cfRule>
    <cfRule type="expression" dxfId="1" priority="242">
      <formula>IF(SUM(J12,P12)=0,1,0)</formula>
    </cfRule>
    <cfRule type="cellIs" dxfId="0" priority="243" operator="greaterThan">
      <formula>SUM(J12,P12)</formula>
    </cfRule>
    <cfRule type="cellIs" dxfId="4" priority="244" operator="greaterThan">
      <formula>SUM(IF(ISNUMBER(L12),K12,0),IF(ISNUMBER(R12),Q12,0))</formula>
    </cfRule>
  </conditionalFormatting>
  <conditionalFormatting sqref="G13">
    <cfRule type="expression" dxfId="3" priority="245">
      <formula>AND(ISBLANK(F13),ISBLANK(N13),ISBLANK(T13))</formula>
    </cfRule>
    <cfRule type="expression" dxfId="1" priority="246">
      <formula>IF(SUM(J13,P13)=0,1,0)</formula>
    </cfRule>
    <cfRule type="cellIs" dxfId="0" priority="247" operator="greaterThan">
      <formula>SUM(J13,P13)</formula>
    </cfRule>
    <cfRule type="cellIs" dxfId="4" priority="248" operator="greaterThan">
      <formula>SUM(IF(ISNUMBER(L13),K13,0),IF(ISNUMBER(R13),Q13,0))</formula>
    </cfRule>
  </conditionalFormatting>
  <conditionalFormatting sqref="G14">
    <cfRule type="expression" dxfId="3" priority="249">
      <formula>AND(ISBLANK(F14),ISBLANK(N14),ISBLANK(T14))</formula>
    </cfRule>
    <cfRule type="expression" dxfId="1" priority="250">
      <formula>IF(SUM(J14,P14)=0,1,0)</formula>
    </cfRule>
    <cfRule type="cellIs" dxfId="0" priority="251" operator="greaterThan">
      <formula>SUM(J14,P14)</formula>
    </cfRule>
    <cfRule type="cellIs" dxfId="4" priority="252" operator="greaterThan">
      <formula>SUM(IF(ISNUMBER(L14),K14,0),IF(ISNUMBER(R14),Q14,0))</formula>
    </cfRule>
  </conditionalFormatting>
  <conditionalFormatting sqref="G15">
    <cfRule type="expression" dxfId="3" priority="253">
      <formula>AND(ISBLANK(F15),ISBLANK(N15),ISBLANK(T15))</formula>
    </cfRule>
    <cfRule type="expression" dxfId="1" priority="254">
      <formula>IF(SUM(J15,P15)=0,1,0)</formula>
    </cfRule>
    <cfRule type="cellIs" dxfId="0" priority="255" operator="greaterThan">
      <formula>SUM(J15,P15)</formula>
    </cfRule>
    <cfRule type="cellIs" dxfId="4" priority="256" operator="greaterThan">
      <formula>SUM(IF(ISNUMBER(L15),K15,0),IF(ISNUMBER(R15),Q15,0))</formula>
    </cfRule>
  </conditionalFormatting>
  <conditionalFormatting sqref="G16">
    <cfRule type="expression" dxfId="3" priority="257">
      <formula>AND(ISBLANK(F16),ISBLANK(N16),ISBLANK(T16))</formula>
    </cfRule>
    <cfRule type="expression" dxfId="1" priority="258">
      <formula>IF(SUM(J16,P16)=0,1,0)</formula>
    </cfRule>
    <cfRule type="cellIs" dxfId="0" priority="259" operator="greaterThan">
      <formula>SUM(J16,P16)</formula>
    </cfRule>
    <cfRule type="cellIs" dxfId="4" priority="260" operator="greaterThan">
      <formula>SUM(IF(ISNUMBER(L16),K16,0),IF(ISNUMBER(R16),Q16,0))</formula>
    </cfRule>
  </conditionalFormatting>
  <conditionalFormatting sqref="G17">
    <cfRule type="expression" dxfId="3" priority="261">
      <formula>AND(ISBLANK(F17),ISBLANK(N17),ISBLANK(T17))</formula>
    </cfRule>
    <cfRule type="expression" dxfId="1" priority="262">
      <formula>IF(SUM(J17,P17)=0,1,0)</formula>
    </cfRule>
    <cfRule type="cellIs" dxfId="0" priority="263" operator="greaterThan">
      <formula>SUM(J17,P17)</formula>
    </cfRule>
    <cfRule type="cellIs" dxfId="4" priority="264" operator="greaterThan">
      <formula>SUM(IF(ISNUMBER(L17),K17,0),IF(ISNUMBER(R17),Q17,0))</formula>
    </cfRule>
  </conditionalFormatting>
  <conditionalFormatting sqref="G18">
    <cfRule type="expression" dxfId="3" priority="265">
      <formula>AND(ISBLANK(F18),ISBLANK(N18),ISBLANK(T18))</formula>
    </cfRule>
    <cfRule type="expression" dxfId="1" priority="266">
      <formula>IF(SUM(J18,P18)=0,1,0)</formula>
    </cfRule>
    <cfRule type="cellIs" dxfId="0" priority="267" operator="greaterThan">
      <formula>SUM(J18,P18)</formula>
    </cfRule>
    <cfRule type="cellIs" dxfId="4" priority="268" operator="greaterThan">
      <formula>SUM(IF(ISNUMBER(L18),K18,0),IF(ISNUMBER(R18),Q18,0))</formula>
    </cfRule>
  </conditionalFormatting>
  <conditionalFormatting sqref="G19">
    <cfRule type="expression" dxfId="3" priority="269">
      <formula>AND(ISBLANK(F19),ISBLANK(N19),ISBLANK(T19))</formula>
    </cfRule>
    <cfRule type="expression" dxfId="1" priority="270">
      <formula>IF(SUM(J19,P19)=0,1,0)</formula>
    </cfRule>
    <cfRule type="cellIs" dxfId="0" priority="271" operator="greaterThan">
      <formula>SUM(J19,P19)</formula>
    </cfRule>
    <cfRule type="cellIs" dxfId="4" priority="272" operator="greaterThan">
      <formula>SUM(IF(ISNUMBER(L19),K19,0),IF(ISNUMBER(R19),Q19,0))</formula>
    </cfRule>
  </conditionalFormatting>
  <conditionalFormatting sqref="G20">
    <cfRule type="expression" dxfId="3" priority="273">
      <formula>AND(ISBLANK(F20),ISBLANK(N20),ISBLANK(T20))</formula>
    </cfRule>
    <cfRule type="expression" dxfId="1" priority="274">
      <formula>IF(SUM(J20,P20)=0,1,0)</formula>
    </cfRule>
    <cfRule type="cellIs" dxfId="0" priority="275" operator="greaterThan">
      <formula>SUM(J20,P20)</formula>
    </cfRule>
    <cfRule type="cellIs" dxfId="4" priority="276" operator="greaterThan">
      <formula>SUM(IF(ISNUMBER(L20),K20,0),IF(ISNUMBER(R20),Q20,0))</formula>
    </cfRule>
  </conditionalFormatting>
  <conditionalFormatting sqref="G21">
    <cfRule type="expression" dxfId="3" priority="277">
      <formula>AND(ISBLANK(F21),ISBLANK(N21),ISBLANK(T21))</formula>
    </cfRule>
    <cfRule type="expression" dxfId="1" priority="278">
      <formula>IF(SUM(J21,P21)=0,1,0)</formula>
    </cfRule>
    <cfRule type="cellIs" dxfId="0" priority="279" operator="greaterThan">
      <formula>SUM(J21,P21)</formula>
    </cfRule>
    <cfRule type="cellIs" dxfId="4" priority="280" operator="greaterThan">
      <formula>SUM(IF(ISNUMBER(L21),K21,0),IF(ISNUMBER(R21),Q21,0))</formula>
    </cfRule>
  </conditionalFormatting>
  <conditionalFormatting sqref="G22">
    <cfRule type="expression" dxfId="3" priority="281">
      <formula>AND(ISBLANK(F22),ISBLANK(N22),ISBLANK(T22))</formula>
    </cfRule>
    <cfRule type="expression" dxfId="1" priority="282">
      <formula>IF(SUM(J22,P22)=0,1,0)</formula>
    </cfRule>
    <cfRule type="cellIs" dxfId="0" priority="283" operator="greaterThan">
      <formula>SUM(J22,P22)</formula>
    </cfRule>
    <cfRule type="cellIs" dxfId="4" priority="284" operator="greaterThan">
      <formula>SUM(IF(ISNUMBER(L22),K22,0),IF(ISNUMBER(R22),Q22,0))</formula>
    </cfRule>
  </conditionalFormatting>
  <conditionalFormatting sqref="G23">
    <cfRule type="expression" dxfId="3" priority="285">
      <formula>AND(ISBLANK(F23),ISBLANK(N23),ISBLANK(T23))</formula>
    </cfRule>
    <cfRule type="expression" dxfId="1" priority="286">
      <formula>IF(SUM(J23,P23)=0,1,0)</formula>
    </cfRule>
    <cfRule type="cellIs" dxfId="0" priority="287" operator="greaterThan">
      <formula>SUM(J23,P23)</formula>
    </cfRule>
    <cfRule type="cellIs" dxfId="4" priority="288" operator="greaterThan">
      <formula>SUM(IF(ISNUMBER(L23),K23,0),IF(ISNUMBER(R23),Q23,0))</formula>
    </cfRule>
  </conditionalFormatting>
  <conditionalFormatting sqref="G24">
    <cfRule type="expression" dxfId="3" priority="289">
      <formula>AND(ISBLANK(F24),ISBLANK(N24),ISBLANK(T24))</formula>
    </cfRule>
    <cfRule type="expression" dxfId="1" priority="290">
      <formula>IF(SUM(J24,P24)=0,1,0)</formula>
    </cfRule>
    <cfRule type="cellIs" dxfId="0" priority="291" operator="greaterThan">
      <formula>SUM(J24,P24)</formula>
    </cfRule>
    <cfRule type="cellIs" dxfId="4" priority="292" operator="greaterThan">
      <formula>SUM(IF(ISNUMBER(L24),K24,0),IF(ISNUMBER(R24),Q24,0))</formula>
    </cfRule>
  </conditionalFormatting>
  <conditionalFormatting sqref="G25">
    <cfRule type="expression" dxfId="3" priority="293">
      <formula>AND(ISBLANK(F25),ISBLANK(N25),ISBLANK(T25))</formula>
    </cfRule>
    <cfRule type="expression" dxfId="1" priority="294">
      <formula>IF(SUM(J25,P25)=0,1,0)</formula>
    </cfRule>
    <cfRule type="cellIs" dxfId="0" priority="295" operator="greaterThan">
      <formula>SUM(J25,P25)</formula>
    </cfRule>
    <cfRule type="cellIs" dxfId="4" priority="296" operator="greaterThan">
      <formula>SUM(IF(ISNUMBER(L25),K25,0),IF(ISNUMBER(R25),Q25,0))</formula>
    </cfRule>
  </conditionalFormatting>
  <conditionalFormatting sqref="G26">
    <cfRule type="expression" dxfId="3" priority="297">
      <formula>AND(ISBLANK(F26),ISBLANK(N26),ISBLANK(T26))</formula>
    </cfRule>
    <cfRule type="expression" dxfId="1" priority="298">
      <formula>IF(SUM(J26,P26)=0,1,0)</formula>
    </cfRule>
    <cfRule type="cellIs" dxfId="0" priority="299" operator="greaterThan">
      <formula>SUM(J26,P26)</formula>
    </cfRule>
    <cfRule type="cellIs" dxfId="4" priority="300" operator="greaterThan">
      <formula>SUM(IF(ISNUMBER(L26),K26,0),IF(ISNUMBER(R26),Q26,0))</formula>
    </cfRule>
  </conditionalFormatting>
  <conditionalFormatting sqref="G27">
    <cfRule type="expression" dxfId="3" priority="301">
      <formula>AND(ISBLANK(F27),ISBLANK(N27),ISBLANK(T27))</formula>
    </cfRule>
    <cfRule type="expression" dxfId="1" priority="302">
      <formula>IF(SUM(J27,P27)=0,1,0)</formula>
    </cfRule>
    <cfRule type="cellIs" dxfId="0" priority="303" operator="greaterThan">
      <formula>SUM(J27,P27)</formula>
    </cfRule>
    <cfRule type="cellIs" dxfId="4" priority="304" operator="greaterThan">
      <formula>SUM(IF(ISNUMBER(L27),K27,0),IF(ISNUMBER(R27),Q27,0))</formula>
    </cfRule>
  </conditionalFormatting>
  <conditionalFormatting sqref="G28">
    <cfRule type="expression" dxfId="3" priority="305">
      <formula>AND(ISBLANK(F28),ISBLANK(N28),ISBLANK(T28))</formula>
    </cfRule>
    <cfRule type="expression" dxfId="1" priority="306">
      <formula>IF(SUM(J28,P28)=0,1,0)</formula>
    </cfRule>
    <cfRule type="cellIs" dxfId="0" priority="307" operator="greaterThan">
      <formula>SUM(J28,P28)</formula>
    </cfRule>
    <cfRule type="cellIs" dxfId="4" priority="308" operator="greaterThan">
      <formula>SUM(IF(ISNUMBER(L28),K28,0),IF(ISNUMBER(R28),Q28,0))</formula>
    </cfRule>
  </conditionalFormatting>
  <conditionalFormatting sqref="G29">
    <cfRule type="expression" dxfId="3" priority="309">
      <formula>AND(ISBLANK(F29),ISBLANK(N29),ISBLANK(T29))</formula>
    </cfRule>
    <cfRule type="expression" dxfId="1" priority="310">
      <formula>IF(SUM(J29,P29)=0,1,0)</formula>
    </cfRule>
    <cfRule type="cellIs" dxfId="0" priority="311" operator="greaterThan">
      <formula>SUM(J29,P29)</formula>
    </cfRule>
    <cfRule type="cellIs" dxfId="4" priority="312" operator="greaterThan">
      <formula>SUM(IF(ISNUMBER(L29),K29,0),IF(ISNUMBER(R29),Q29,0))</formula>
    </cfRule>
  </conditionalFormatting>
  <conditionalFormatting sqref="G30">
    <cfRule type="expression" dxfId="3" priority="313">
      <formula>AND(ISBLANK(F30),ISBLANK(N30),ISBLANK(T30))</formula>
    </cfRule>
    <cfRule type="expression" dxfId="1" priority="314">
      <formula>IF(SUM(J30,P30)=0,1,0)</formula>
    </cfRule>
    <cfRule type="cellIs" dxfId="0" priority="315" operator="greaterThan">
      <formula>SUM(J30,P30)</formula>
    </cfRule>
    <cfRule type="cellIs" dxfId="4" priority="316" operator="greaterThan">
      <formula>SUM(IF(ISNUMBER(L30),K30,0),IF(ISNUMBER(R30),Q30,0))</formula>
    </cfRule>
  </conditionalFormatting>
  <conditionalFormatting sqref="G31">
    <cfRule type="expression" dxfId="3" priority="317">
      <formula>AND(ISBLANK(F31),ISBLANK(N31),ISBLANK(T31))</formula>
    </cfRule>
    <cfRule type="expression" dxfId="1" priority="318">
      <formula>IF(SUM(J31,P31)=0,1,0)</formula>
    </cfRule>
    <cfRule type="cellIs" dxfId="0" priority="319" operator="greaterThan">
      <formula>SUM(J31,P31)</formula>
    </cfRule>
    <cfRule type="cellIs" dxfId="4" priority="320" operator="greaterThan">
      <formula>SUM(IF(ISNUMBER(L31),K31,0),IF(ISNUMBER(R31),Q31,0))</formula>
    </cfRule>
  </conditionalFormatting>
  <conditionalFormatting sqref="G32">
    <cfRule type="expression" dxfId="3" priority="321">
      <formula>AND(ISBLANK(F32),ISBLANK(N32),ISBLANK(T32))</formula>
    </cfRule>
    <cfRule type="expression" dxfId="1" priority="322">
      <formula>IF(SUM(J32,P32)=0,1,0)</formula>
    </cfRule>
    <cfRule type="cellIs" dxfId="0" priority="323" operator="greaterThan">
      <formula>SUM(J32,P32)</formula>
    </cfRule>
    <cfRule type="cellIs" dxfId="4" priority="324" operator="greaterThan">
      <formula>SUM(IF(ISNUMBER(L32),K32,0),IF(ISNUMBER(R32),Q32,0))</formula>
    </cfRule>
  </conditionalFormatting>
  <conditionalFormatting sqref="G33">
    <cfRule type="expression" dxfId="3" priority="325">
      <formula>AND(ISBLANK(F33),ISBLANK(N33),ISBLANK(T33))</formula>
    </cfRule>
    <cfRule type="expression" dxfId="1" priority="326">
      <formula>IF(SUM(J33,P33)=0,1,0)</formula>
    </cfRule>
    <cfRule type="cellIs" dxfId="0" priority="327" operator="greaterThan">
      <formula>SUM(J33,P33)</formula>
    </cfRule>
    <cfRule type="cellIs" dxfId="4" priority="328" operator="greaterThan">
      <formula>SUM(IF(ISNUMBER(L33),K33,0),IF(ISNUMBER(R33),Q33,0))</formula>
    </cfRule>
  </conditionalFormatting>
  <conditionalFormatting sqref="G34">
    <cfRule type="expression" dxfId="3" priority="329">
      <formula>AND(ISBLANK(F34),ISBLANK(N34),ISBLANK(T34))</formula>
    </cfRule>
    <cfRule type="expression" dxfId="1" priority="330">
      <formula>IF(SUM(J34,P34)=0,1,0)</formula>
    </cfRule>
    <cfRule type="cellIs" dxfId="0" priority="331" operator="greaterThan">
      <formula>SUM(J34,P34)</formula>
    </cfRule>
    <cfRule type="cellIs" dxfId="4" priority="332" operator="greaterThan">
      <formula>SUM(IF(ISNUMBER(L34),K34,0),IF(ISNUMBER(R34),Q34,0))</formula>
    </cfRule>
  </conditionalFormatting>
  <conditionalFormatting sqref="G35">
    <cfRule type="expression" dxfId="3" priority="333">
      <formula>AND(ISBLANK(F35),ISBLANK(N35),ISBLANK(T35))</formula>
    </cfRule>
    <cfRule type="expression" dxfId="1" priority="334">
      <formula>IF(SUM(J35,P35)=0,1,0)</formula>
    </cfRule>
    <cfRule type="cellIs" dxfId="0" priority="335" operator="greaterThan">
      <formula>SUM(J35,P35)</formula>
    </cfRule>
    <cfRule type="cellIs" dxfId="4" priority="336" operator="greaterThan">
      <formula>SUM(IF(ISNUMBER(L35),K35,0),IF(ISNUMBER(R35),Q35,0))</formula>
    </cfRule>
  </conditionalFormatting>
  <conditionalFormatting sqref="G7">
    <cfRule type="expression" dxfId="3" priority="221">
      <formula>AND(ISBLANK(F7),ISBLANK(N7),ISBLANK(T7))</formula>
    </cfRule>
    <cfRule type="expression" dxfId="1" priority="222">
      <formula>IF(SUM(J7,P7)=0,1,0)</formula>
    </cfRule>
    <cfRule type="cellIs" dxfId="0" priority="223" operator="greaterThan">
      <formula>SUM(J7,P7)</formula>
    </cfRule>
    <cfRule type="cellIs" dxfId="4" priority="224" operator="greaterThan">
      <formula>SUM(IF(ISNUMBER(L7),K7,0),IF(ISNUMBER(R7),Q7,0))</formula>
    </cfRule>
  </conditionalFormatting>
  <conditionalFormatting sqref="G8">
    <cfRule type="expression" dxfId="3" priority="225">
      <formula>AND(ISBLANK(F8),ISBLANK(N8),ISBLANK(T8))</formula>
    </cfRule>
    <cfRule type="expression" dxfId="1" priority="226">
      <formula>IF(SUM(J8,P8)=0,1,0)</formula>
    </cfRule>
    <cfRule type="cellIs" dxfId="0" priority="227" operator="greaterThan">
      <formula>SUM(J8,P8)</formula>
    </cfRule>
    <cfRule type="cellIs" dxfId="4" priority="228" operator="greaterThan">
      <formula>SUM(IF(ISNUMBER(L8),K8,0),IF(ISNUMBER(R8),Q8,0))</formula>
    </cfRule>
  </conditionalFormatting>
  <conditionalFormatting sqref="G9">
    <cfRule type="expression" dxfId="3" priority="229">
      <formula>AND(ISBLANK(F9),ISBLANK(N9),ISBLANK(T9))</formula>
    </cfRule>
    <cfRule type="expression" dxfId="1" priority="230">
      <formula>IF(SUM(J9,P9)=0,1,0)</formula>
    </cfRule>
    <cfRule type="cellIs" dxfId="0" priority="231" operator="greaterThan">
      <formula>SUM(J9,P9)</formula>
    </cfRule>
    <cfRule type="cellIs" dxfId="4" priority="232" operator="greaterThan">
      <formula>SUM(IF(ISNUMBER(L9),K9,0),IF(ISNUMBER(R9),Q9,0))</formula>
    </cfRule>
  </conditionalFormatting>
  <conditionalFormatting sqref="J10">
    <cfRule type="cellIs" dxfId="0" priority="13" operator="lessThan">
      <formula>G10</formula>
    </cfRule>
  </conditionalFormatting>
  <conditionalFormatting sqref="J11">
    <cfRule type="cellIs" dxfId="0" priority="17" operator="lessThan">
      <formula>G11</formula>
    </cfRule>
  </conditionalFormatting>
  <conditionalFormatting sqref="J12">
    <cfRule type="cellIs" dxfId="0" priority="21" operator="lessThan">
      <formula>G12</formula>
    </cfRule>
  </conditionalFormatting>
  <conditionalFormatting sqref="J13">
    <cfRule type="cellIs" dxfId="0" priority="25" operator="lessThan">
      <formula>G13</formula>
    </cfRule>
  </conditionalFormatting>
  <conditionalFormatting sqref="J14">
    <cfRule type="cellIs" dxfId="0" priority="29" operator="lessThan">
      <formula>G14</formula>
    </cfRule>
  </conditionalFormatting>
  <conditionalFormatting sqref="J15">
    <cfRule type="cellIs" dxfId="0" priority="33" operator="lessThan">
      <formula>G15</formula>
    </cfRule>
  </conditionalFormatting>
  <conditionalFormatting sqref="J16">
    <cfRule type="cellIs" dxfId="0" priority="37" operator="lessThan">
      <formula>G16</formula>
    </cfRule>
  </conditionalFormatting>
  <conditionalFormatting sqref="J17">
    <cfRule type="cellIs" dxfId="0" priority="41" operator="lessThan">
      <formula>G17</formula>
    </cfRule>
  </conditionalFormatting>
  <conditionalFormatting sqref="J18">
    <cfRule type="cellIs" dxfId="0" priority="45" operator="lessThan">
      <formula>G18</formula>
    </cfRule>
  </conditionalFormatting>
  <conditionalFormatting sqref="J19">
    <cfRule type="cellIs" dxfId="0" priority="49" operator="lessThan">
      <formula>G19</formula>
    </cfRule>
  </conditionalFormatting>
  <conditionalFormatting sqref="J20">
    <cfRule type="cellIs" dxfId="0" priority="53" operator="lessThan">
      <formula>G20</formula>
    </cfRule>
  </conditionalFormatting>
  <conditionalFormatting sqref="J21">
    <cfRule type="cellIs" dxfId="0" priority="57" operator="lessThan">
      <formula>G21</formula>
    </cfRule>
  </conditionalFormatting>
  <conditionalFormatting sqref="J22">
    <cfRule type="cellIs" dxfId="0" priority="61" operator="lessThan">
      <formula>G22</formula>
    </cfRule>
  </conditionalFormatting>
  <conditionalFormatting sqref="J23">
    <cfRule type="cellIs" dxfId="0" priority="65" operator="lessThan">
      <formula>G23</formula>
    </cfRule>
  </conditionalFormatting>
  <conditionalFormatting sqref="J24">
    <cfRule type="cellIs" dxfId="0" priority="69" operator="lessThan">
      <formula>G24</formula>
    </cfRule>
  </conditionalFormatting>
  <conditionalFormatting sqref="J25">
    <cfRule type="cellIs" dxfId="0" priority="73" operator="lessThan">
      <formula>G25</formula>
    </cfRule>
  </conditionalFormatting>
  <conditionalFormatting sqref="J26">
    <cfRule type="cellIs" dxfId="0" priority="77" operator="lessThan">
      <formula>G26</formula>
    </cfRule>
  </conditionalFormatting>
  <conditionalFormatting sqref="J27">
    <cfRule type="cellIs" dxfId="0" priority="81" operator="lessThan">
      <formula>G27</formula>
    </cfRule>
  </conditionalFormatting>
  <conditionalFormatting sqref="J28">
    <cfRule type="cellIs" dxfId="0" priority="85" operator="lessThan">
      <formula>G28</formula>
    </cfRule>
  </conditionalFormatting>
  <conditionalFormatting sqref="J29">
    <cfRule type="cellIs" dxfId="0" priority="89" operator="lessThan">
      <formula>G29</formula>
    </cfRule>
  </conditionalFormatting>
  <conditionalFormatting sqref="J30">
    <cfRule type="cellIs" dxfId="0" priority="93" operator="lessThan">
      <formula>G30</formula>
    </cfRule>
  </conditionalFormatting>
  <conditionalFormatting sqref="J31">
    <cfRule type="cellIs" dxfId="0" priority="97" operator="lessThan">
      <formula>G31</formula>
    </cfRule>
  </conditionalFormatting>
  <conditionalFormatting sqref="J32">
    <cfRule type="cellIs" dxfId="0" priority="101" operator="lessThan">
      <formula>G32</formula>
    </cfRule>
  </conditionalFormatting>
  <conditionalFormatting sqref="J33">
    <cfRule type="cellIs" dxfId="0" priority="105" operator="lessThan">
      <formula>G33</formula>
    </cfRule>
  </conditionalFormatting>
  <conditionalFormatting sqref="J34">
    <cfRule type="cellIs" dxfId="0" priority="109" operator="lessThan">
      <formula>G34</formula>
    </cfRule>
  </conditionalFormatting>
  <conditionalFormatting sqref="J35">
    <cfRule type="cellIs" dxfId="0" priority="113" operator="lessThan">
      <formula>G35</formula>
    </cfRule>
  </conditionalFormatting>
  <conditionalFormatting sqref="J7">
    <cfRule type="cellIs" dxfId="0" priority="1" operator="lessThan">
      <formula>G7</formula>
    </cfRule>
  </conditionalFormatting>
  <conditionalFormatting sqref="J8">
    <cfRule type="cellIs" dxfId="0" priority="5" operator="lessThan">
      <formula>G8</formula>
    </cfRule>
  </conditionalFormatting>
  <conditionalFormatting sqref="J9">
    <cfRule type="cellIs" dxfId="0" priority="9" operator="lessThan">
      <formula>G9</formula>
    </cfRule>
  </conditionalFormatting>
  <conditionalFormatting sqref="K10">
    <cfRule type="expression" dxfId="1" priority="14">
      <formula>AND(NOT(ISBLANK(K10)),OR(J10="NonStk",K10&gt;J10))</formula>
    </cfRule>
  </conditionalFormatting>
  <conditionalFormatting sqref="K11">
    <cfRule type="expression" dxfId="1" priority="18">
      <formula>AND(NOT(ISBLANK(K11)),OR(J11="NonStk",K11&gt;J11))</formula>
    </cfRule>
  </conditionalFormatting>
  <conditionalFormatting sqref="K12">
    <cfRule type="expression" dxfId="1" priority="22">
      <formula>AND(NOT(ISBLANK(K12)),OR(J12="NonStk",K12&gt;J12))</formula>
    </cfRule>
  </conditionalFormatting>
  <conditionalFormatting sqref="K13">
    <cfRule type="expression" dxfId="1" priority="26">
      <formula>AND(NOT(ISBLANK(K13)),OR(J13="NonStk",K13&gt;J13))</formula>
    </cfRule>
  </conditionalFormatting>
  <conditionalFormatting sqref="K14">
    <cfRule type="expression" dxfId="1" priority="30">
      <formula>AND(NOT(ISBLANK(K14)),OR(J14="NonStk",K14&gt;J14))</formula>
    </cfRule>
  </conditionalFormatting>
  <conditionalFormatting sqref="K15">
    <cfRule type="expression" dxfId="1" priority="34">
      <formula>AND(NOT(ISBLANK(K15)),OR(J15="NonStk",K15&gt;J15))</formula>
    </cfRule>
  </conditionalFormatting>
  <conditionalFormatting sqref="K16">
    <cfRule type="expression" dxfId="1" priority="38">
      <formula>AND(NOT(ISBLANK(K16)),OR(J16="NonStk",K16&gt;J16))</formula>
    </cfRule>
  </conditionalFormatting>
  <conditionalFormatting sqref="K17">
    <cfRule type="expression" dxfId="1" priority="42">
      <formula>AND(NOT(ISBLANK(K17)),OR(J17="NonStk",K17&gt;J17))</formula>
    </cfRule>
  </conditionalFormatting>
  <conditionalFormatting sqref="K18">
    <cfRule type="expression" dxfId="1" priority="46">
      <formula>AND(NOT(ISBLANK(K18)),OR(J18="NonStk",K18&gt;J18))</formula>
    </cfRule>
  </conditionalFormatting>
  <conditionalFormatting sqref="K19">
    <cfRule type="expression" dxfId="1" priority="50">
      <formula>AND(NOT(ISBLANK(K19)),OR(J19="NonStk",K19&gt;J19))</formula>
    </cfRule>
  </conditionalFormatting>
  <conditionalFormatting sqref="K20">
    <cfRule type="expression" dxfId="1" priority="54">
      <formula>AND(NOT(ISBLANK(K20)),OR(J20="NonStk",K20&gt;J20))</formula>
    </cfRule>
  </conditionalFormatting>
  <conditionalFormatting sqref="K21">
    <cfRule type="expression" dxfId="1" priority="58">
      <formula>AND(NOT(ISBLANK(K21)),OR(J21="NonStk",K21&gt;J21))</formula>
    </cfRule>
  </conditionalFormatting>
  <conditionalFormatting sqref="K22">
    <cfRule type="expression" dxfId="1" priority="62">
      <formula>AND(NOT(ISBLANK(K22)),OR(J22="NonStk",K22&gt;J22))</formula>
    </cfRule>
  </conditionalFormatting>
  <conditionalFormatting sqref="K23">
    <cfRule type="expression" dxfId="1" priority="66">
      <formula>AND(NOT(ISBLANK(K23)),OR(J23="NonStk",K23&gt;J23))</formula>
    </cfRule>
  </conditionalFormatting>
  <conditionalFormatting sqref="K24">
    <cfRule type="expression" dxfId="1" priority="70">
      <formula>AND(NOT(ISBLANK(K24)),OR(J24="NonStk",K24&gt;J24))</formula>
    </cfRule>
  </conditionalFormatting>
  <conditionalFormatting sqref="K25">
    <cfRule type="expression" dxfId="1" priority="74">
      <formula>AND(NOT(ISBLANK(K25)),OR(J25="NonStk",K25&gt;J25))</formula>
    </cfRule>
  </conditionalFormatting>
  <conditionalFormatting sqref="K26">
    <cfRule type="expression" dxfId="1" priority="78">
      <formula>AND(NOT(ISBLANK(K26)),OR(J26="NonStk",K26&gt;J26))</formula>
    </cfRule>
  </conditionalFormatting>
  <conditionalFormatting sqref="K27">
    <cfRule type="expression" dxfId="1" priority="82">
      <formula>AND(NOT(ISBLANK(K27)),OR(J27="NonStk",K27&gt;J27))</formula>
    </cfRule>
  </conditionalFormatting>
  <conditionalFormatting sqref="K28">
    <cfRule type="expression" dxfId="1" priority="86">
      <formula>AND(NOT(ISBLANK(K28)),OR(J28="NonStk",K28&gt;J28))</formula>
    </cfRule>
  </conditionalFormatting>
  <conditionalFormatting sqref="K29">
    <cfRule type="expression" dxfId="1" priority="90">
      <formula>AND(NOT(ISBLANK(K29)),OR(J29="NonStk",K29&gt;J29))</formula>
    </cfRule>
  </conditionalFormatting>
  <conditionalFormatting sqref="K30">
    <cfRule type="expression" dxfId="1" priority="94">
      <formula>AND(NOT(ISBLANK(K30)),OR(J30="NonStk",K30&gt;J30))</formula>
    </cfRule>
  </conditionalFormatting>
  <conditionalFormatting sqref="K31">
    <cfRule type="expression" dxfId="1" priority="98">
      <formula>AND(NOT(ISBLANK(K31)),OR(J31="NonStk",K31&gt;J31))</formula>
    </cfRule>
  </conditionalFormatting>
  <conditionalFormatting sqref="K32">
    <cfRule type="expression" dxfId="1" priority="102">
      <formula>AND(NOT(ISBLANK(K32)),OR(J32="NonStk",K32&gt;J32))</formula>
    </cfRule>
  </conditionalFormatting>
  <conditionalFormatting sqref="K33">
    <cfRule type="expression" dxfId="1" priority="106">
      <formula>AND(NOT(ISBLANK(K33)),OR(J33="NonStk",K33&gt;J33))</formula>
    </cfRule>
  </conditionalFormatting>
  <conditionalFormatting sqref="K34">
    <cfRule type="expression" dxfId="1" priority="110">
      <formula>AND(NOT(ISBLANK(K34)),OR(J34="NonStk",K34&gt;J34))</formula>
    </cfRule>
  </conditionalFormatting>
  <conditionalFormatting sqref="K35">
    <cfRule type="expression" dxfId="1" priority="114">
      <formula>AND(NOT(ISBLANK(K35)),OR(J35="NonStk",K35&gt;J35))</formula>
    </cfRule>
  </conditionalFormatting>
  <conditionalFormatting sqref="K7">
    <cfRule type="expression" dxfId="1" priority="2">
      <formula>AND(NOT(ISBLANK(K7)),OR(J7="NonStk",K7&gt;J7))</formula>
    </cfRule>
  </conditionalFormatting>
  <conditionalFormatting sqref="K8">
    <cfRule type="expression" dxfId="1" priority="6">
      <formula>AND(NOT(ISBLANK(K8)),OR(J8="NonStk",K8&gt;J8))</formula>
    </cfRule>
  </conditionalFormatting>
  <conditionalFormatting sqref="K9">
    <cfRule type="expression" dxfId="1" priority="10">
      <formula>AND(NOT(ISBLANK(K9)),OR(J9="NonStk",K9&gt;J9))</formula>
    </cfRule>
  </conditionalFormatting>
  <conditionalFormatting sqref="L10">
    <cfRule type="cellIs" dxfId="2" priority="16" operator="lessThanOrEqual">
      <formula>H10</formula>
    </cfRule>
  </conditionalFormatting>
  <conditionalFormatting sqref="L11">
    <cfRule type="cellIs" dxfId="2" priority="20" operator="lessThanOrEqual">
      <formula>H11</formula>
    </cfRule>
  </conditionalFormatting>
  <conditionalFormatting sqref="L12">
    <cfRule type="cellIs" dxfId="2" priority="24" operator="lessThanOrEqual">
      <formula>H12</formula>
    </cfRule>
  </conditionalFormatting>
  <conditionalFormatting sqref="L13">
    <cfRule type="cellIs" dxfId="2" priority="28" operator="lessThanOrEqual">
      <formula>H13</formula>
    </cfRule>
  </conditionalFormatting>
  <conditionalFormatting sqref="L14">
    <cfRule type="cellIs" dxfId="2" priority="32" operator="lessThanOrEqual">
      <formula>H14</formula>
    </cfRule>
  </conditionalFormatting>
  <conditionalFormatting sqref="L15">
    <cfRule type="cellIs" dxfId="2" priority="36" operator="lessThanOrEqual">
      <formula>H15</formula>
    </cfRule>
  </conditionalFormatting>
  <conditionalFormatting sqref="L16">
    <cfRule type="cellIs" dxfId="2" priority="40" operator="lessThanOrEqual">
      <formula>H16</formula>
    </cfRule>
  </conditionalFormatting>
  <conditionalFormatting sqref="L17">
    <cfRule type="cellIs" dxfId="2" priority="44" operator="lessThanOrEqual">
      <formula>H17</formula>
    </cfRule>
  </conditionalFormatting>
  <conditionalFormatting sqref="L18">
    <cfRule type="cellIs" dxfId="2" priority="48" operator="lessThanOrEqual">
      <formula>H18</formula>
    </cfRule>
  </conditionalFormatting>
  <conditionalFormatting sqref="L19">
    <cfRule type="cellIs" dxfId="2" priority="52" operator="lessThanOrEqual">
      <formula>H19</formula>
    </cfRule>
  </conditionalFormatting>
  <conditionalFormatting sqref="L20">
    <cfRule type="cellIs" dxfId="2" priority="56" operator="lessThanOrEqual">
      <formula>H20</formula>
    </cfRule>
  </conditionalFormatting>
  <conditionalFormatting sqref="L21">
    <cfRule type="cellIs" dxfId="2" priority="60" operator="lessThanOrEqual">
      <formula>H21</formula>
    </cfRule>
  </conditionalFormatting>
  <conditionalFormatting sqref="L22">
    <cfRule type="cellIs" dxfId="2" priority="64" operator="lessThanOrEqual">
      <formula>H22</formula>
    </cfRule>
  </conditionalFormatting>
  <conditionalFormatting sqref="L23">
    <cfRule type="cellIs" dxfId="2" priority="68" operator="lessThanOrEqual">
      <formula>H23</formula>
    </cfRule>
  </conditionalFormatting>
  <conditionalFormatting sqref="L24">
    <cfRule type="cellIs" dxfId="2" priority="72" operator="lessThanOrEqual">
      <formula>H24</formula>
    </cfRule>
  </conditionalFormatting>
  <conditionalFormatting sqref="L25">
    <cfRule type="cellIs" dxfId="2" priority="76" operator="lessThanOrEqual">
      <formula>H25</formula>
    </cfRule>
  </conditionalFormatting>
  <conditionalFormatting sqref="L26">
    <cfRule type="cellIs" dxfId="2" priority="80" operator="lessThanOrEqual">
      <formula>H26</formula>
    </cfRule>
  </conditionalFormatting>
  <conditionalFormatting sqref="L27">
    <cfRule type="cellIs" dxfId="2" priority="84" operator="lessThanOrEqual">
      <formula>H27</formula>
    </cfRule>
  </conditionalFormatting>
  <conditionalFormatting sqref="L28">
    <cfRule type="cellIs" dxfId="2" priority="88" operator="lessThanOrEqual">
      <formula>H28</formula>
    </cfRule>
  </conditionalFormatting>
  <conditionalFormatting sqref="L29">
    <cfRule type="cellIs" dxfId="2" priority="92" operator="lessThanOrEqual">
      <formula>H29</formula>
    </cfRule>
  </conditionalFormatting>
  <conditionalFormatting sqref="L30">
    <cfRule type="cellIs" dxfId="2" priority="96" operator="lessThanOrEqual">
      <formula>H30</formula>
    </cfRule>
  </conditionalFormatting>
  <conditionalFormatting sqref="L31">
    <cfRule type="cellIs" dxfId="2" priority="100" operator="lessThanOrEqual">
      <formula>H31</formula>
    </cfRule>
  </conditionalFormatting>
  <conditionalFormatting sqref="L32">
    <cfRule type="cellIs" dxfId="2" priority="104" operator="lessThanOrEqual">
      <formula>H32</formula>
    </cfRule>
  </conditionalFormatting>
  <conditionalFormatting sqref="L33">
    <cfRule type="cellIs" dxfId="2" priority="108" operator="lessThanOrEqual">
      <formula>H33</formula>
    </cfRule>
  </conditionalFormatting>
  <conditionalFormatting sqref="L34">
    <cfRule type="cellIs" dxfId="2" priority="112" operator="lessThanOrEqual">
      <formula>H34</formula>
    </cfRule>
  </conditionalFormatting>
  <conditionalFormatting sqref="L35">
    <cfRule type="cellIs" dxfId="2" priority="116" operator="lessThanOrEqual">
      <formula>H35</formula>
    </cfRule>
  </conditionalFormatting>
  <conditionalFormatting sqref="L7">
    <cfRule type="cellIs" dxfId="2" priority="4" operator="lessThanOrEqual">
      <formula>H7</formula>
    </cfRule>
  </conditionalFormatting>
  <conditionalFormatting sqref="L8">
    <cfRule type="cellIs" dxfId="2" priority="8" operator="lessThanOrEqual">
      <formula>H8</formula>
    </cfRule>
  </conditionalFormatting>
  <conditionalFormatting sqref="L9">
    <cfRule type="cellIs" dxfId="2" priority="12" operator="lessThanOrEqual">
      <formula>H9</formula>
    </cfRule>
  </conditionalFormatting>
  <conditionalFormatting sqref="N10">
    <cfRule type="cellIs" dxfId="2" priority="15" operator="lessThanOrEqual">
      <formula>I10</formula>
    </cfRule>
  </conditionalFormatting>
  <conditionalFormatting sqref="N11">
    <cfRule type="cellIs" dxfId="2" priority="19" operator="lessThanOrEqual">
      <formula>I11</formula>
    </cfRule>
  </conditionalFormatting>
  <conditionalFormatting sqref="N12">
    <cfRule type="cellIs" dxfId="2" priority="23" operator="lessThanOrEqual">
      <formula>I12</formula>
    </cfRule>
  </conditionalFormatting>
  <conditionalFormatting sqref="N13">
    <cfRule type="cellIs" dxfId="2" priority="27" operator="lessThanOrEqual">
      <formula>I13</formula>
    </cfRule>
  </conditionalFormatting>
  <conditionalFormatting sqref="N14">
    <cfRule type="cellIs" dxfId="2" priority="31" operator="lessThanOrEqual">
      <formula>I14</formula>
    </cfRule>
  </conditionalFormatting>
  <conditionalFormatting sqref="N15">
    <cfRule type="cellIs" dxfId="2" priority="35" operator="lessThanOrEqual">
      <formula>I15</formula>
    </cfRule>
  </conditionalFormatting>
  <conditionalFormatting sqref="N16">
    <cfRule type="cellIs" dxfId="2" priority="39" operator="lessThanOrEqual">
      <formula>I16</formula>
    </cfRule>
  </conditionalFormatting>
  <conditionalFormatting sqref="N17">
    <cfRule type="cellIs" dxfId="2" priority="43" operator="lessThanOrEqual">
      <formula>I17</formula>
    </cfRule>
  </conditionalFormatting>
  <conditionalFormatting sqref="N18">
    <cfRule type="cellIs" dxfId="2" priority="47" operator="lessThanOrEqual">
      <formula>I18</formula>
    </cfRule>
  </conditionalFormatting>
  <conditionalFormatting sqref="N19">
    <cfRule type="cellIs" dxfId="2" priority="51" operator="lessThanOrEqual">
      <formula>I19</formula>
    </cfRule>
  </conditionalFormatting>
  <conditionalFormatting sqref="N20">
    <cfRule type="cellIs" dxfId="2" priority="55" operator="lessThanOrEqual">
      <formula>I20</formula>
    </cfRule>
  </conditionalFormatting>
  <conditionalFormatting sqref="N21">
    <cfRule type="cellIs" dxfId="2" priority="59" operator="lessThanOrEqual">
      <formula>I21</formula>
    </cfRule>
  </conditionalFormatting>
  <conditionalFormatting sqref="N22">
    <cfRule type="cellIs" dxfId="2" priority="63" operator="lessThanOrEqual">
      <formula>I22</formula>
    </cfRule>
  </conditionalFormatting>
  <conditionalFormatting sqref="N23">
    <cfRule type="cellIs" dxfId="2" priority="67" operator="lessThanOrEqual">
      <formula>I23</formula>
    </cfRule>
  </conditionalFormatting>
  <conditionalFormatting sqref="N24">
    <cfRule type="cellIs" dxfId="2" priority="71" operator="lessThanOrEqual">
      <formula>I24</formula>
    </cfRule>
  </conditionalFormatting>
  <conditionalFormatting sqref="N25">
    <cfRule type="cellIs" dxfId="2" priority="75" operator="lessThanOrEqual">
      <formula>I25</formula>
    </cfRule>
  </conditionalFormatting>
  <conditionalFormatting sqref="N26">
    <cfRule type="cellIs" dxfId="2" priority="79" operator="lessThanOrEqual">
      <formula>I26</formula>
    </cfRule>
  </conditionalFormatting>
  <conditionalFormatting sqref="N27">
    <cfRule type="cellIs" dxfId="2" priority="83" operator="lessThanOrEqual">
      <formula>I27</formula>
    </cfRule>
  </conditionalFormatting>
  <conditionalFormatting sqref="N28">
    <cfRule type="cellIs" dxfId="2" priority="87" operator="lessThanOrEqual">
      <formula>I28</formula>
    </cfRule>
  </conditionalFormatting>
  <conditionalFormatting sqref="N29">
    <cfRule type="cellIs" dxfId="2" priority="91" operator="lessThanOrEqual">
      <formula>I29</formula>
    </cfRule>
  </conditionalFormatting>
  <conditionalFormatting sqref="N30">
    <cfRule type="cellIs" dxfId="2" priority="95" operator="lessThanOrEqual">
      <formula>I30</formula>
    </cfRule>
  </conditionalFormatting>
  <conditionalFormatting sqref="N31">
    <cfRule type="cellIs" dxfId="2" priority="99" operator="lessThanOrEqual">
      <formula>I31</formula>
    </cfRule>
  </conditionalFormatting>
  <conditionalFormatting sqref="N32">
    <cfRule type="cellIs" dxfId="2" priority="103" operator="lessThanOrEqual">
      <formula>I32</formula>
    </cfRule>
  </conditionalFormatting>
  <conditionalFormatting sqref="N33">
    <cfRule type="cellIs" dxfId="2" priority="107" operator="lessThanOrEqual">
      <formula>I33</formula>
    </cfRule>
  </conditionalFormatting>
  <conditionalFormatting sqref="N34">
    <cfRule type="cellIs" dxfId="2" priority="111" operator="lessThanOrEqual">
      <formula>I34</formula>
    </cfRule>
  </conditionalFormatting>
  <conditionalFormatting sqref="N35">
    <cfRule type="cellIs" dxfId="2" priority="115" operator="lessThanOrEqual">
      <formula>I35</formula>
    </cfRule>
  </conditionalFormatting>
  <conditionalFormatting sqref="N7">
    <cfRule type="cellIs" dxfId="2" priority="3" operator="lessThanOrEqual">
      <formula>I7</formula>
    </cfRule>
  </conditionalFormatting>
  <conditionalFormatting sqref="N8">
    <cfRule type="cellIs" dxfId="2" priority="7" operator="lessThanOrEqual">
      <formula>I8</formula>
    </cfRule>
  </conditionalFormatting>
  <conditionalFormatting sqref="N9">
    <cfRule type="cellIs" dxfId="2" priority="11" operator="lessThanOrEqual">
      <formula>I9</formula>
    </cfRule>
  </conditionalFormatting>
  <conditionalFormatting sqref="P10">
    <cfRule type="cellIs" dxfId="0" priority="129" operator="lessThan">
      <formula>G10</formula>
    </cfRule>
  </conditionalFormatting>
  <conditionalFormatting sqref="P11">
    <cfRule type="cellIs" dxfId="0" priority="133" operator="lessThan">
      <formula>G11</formula>
    </cfRule>
  </conditionalFormatting>
  <conditionalFormatting sqref="P13">
    <cfRule type="cellIs" dxfId="0" priority="137" operator="lessThan">
      <formula>G13</formula>
    </cfRule>
  </conditionalFormatting>
  <conditionalFormatting sqref="P14">
    <cfRule type="cellIs" dxfId="0" priority="141" operator="lessThan">
      <formula>G14</formula>
    </cfRule>
  </conditionalFormatting>
  <conditionalFormatting sqref="P15">
    <cfRule type="cellIs" dxfId="0" priority="145" operator="lessThan">
      <formula>G15</formula>
    </cfRule>
  </conditionalFormatting>
  <conditionalFormatting sqref="P16">
    <cfRule type="cellIs" dxfId="0" priority="149" operator="lessThan">
      <formula>G16</formula>
    </cfRule>
  </conditionalFormatting>
  <conditionalFormatting sqref="P17">
    <cfRule type="cellIs" dxfId="0" priority="153" operator="lessThan">
      <formula>G17</formula>
    </cfRule>
  </conditionalFormatting>
  <conditionalFormatting sqref="P18">
    <cfRule type="cellIs" dxfId="0" priority="157" operator="lessThan">
      <formula>G18</formula>
    </cfRule>
  </conditionalFormatting>
  <conditionalFormatting sqref="P19">
    <cfRule type="cellIs" dxfId="0" priority="161" operator="lessThan">
      <formula>G19</formula>
    </cfRule>
  </conditionalFormatting>
  <conditionalFormatting sqref="P20">
    <cfRule type="cellIs" dxfId="0" priority="165" operator="lessThan">
      <formula>G20</formula>
    </cfRule>
  </conditionalFormatting>
  <conditionalFormatting sqref="P21">
    <cfRule type="cellIs" dxfId="0" priority="169" operator="lessThan">
      <formula>G21</formula>
    </cfRule>
  </conditionalFormatting>
  <conditionalFormatting sqref="P22">
    <cfRule type="cellIs" dxfId="0" priority="173" operator="lessThan">
      <formula>G22</formula>
    </cfRule>
  </conditionalFormatting>
  <conditionalFormatting sqref="P23">
    <cfRule type="cellIs" dxfId="0" priority="177" operator="lessThan">
      <formula>G23</formula>
    </cfRule>
  </conditionalFormatting>
  <conditionalFormatting sqref="P24">
    <cfRule type="cellIs" dxfId="0" priority="181" operator="lessThan">
      <formula>G24</formula>
    </cfRule>
  </conditionalFormatting>
  <conditionalFormatting sqref="P25">
    <cfRule type="cellIs" dxfId="0" priority="185" operator="lessThan">
      <formula>G25</formula>
    </cfRule>
  </conditionalFormatting>
  <conditionalFormatting sqref="P26">
    <cfRule type="cellIs" dxfId="0" priority="189" operator="lessThan">
      <formula>G26</formula>
    </cfRule>
  </conditionalFormatting>
  <conditionalFormatting sqref="P27">
    <cfRule type="cellIs" dxfId="0" priority="193" operator="lessThan">
      <formula>G27</formula>
    </cfRule>
  </conditionalFormatting>
  <conditionalFormatting sqref="P28">
    <cfRule type="cellIs" dxfId="0" priority="197" operator="lessThan">
      <formula>G28</formula>
    </cfRule>
  </conditionalFormatting>
  <conditionalFormatting sqref="P29">
    <cfRule type="cellIs" dxfId="0" priority="201" operator="lessThan">
      <formula>G29</formula>
    </cfRule>
  </conditionalFormatting>
  <conditionalFormatting sqref="P30">
    <cfRule type="cellIs" dxfId="0" priority="205" operator="lessThan">
      <formula>G30</formula>
    </cfRule>
  </conditionalFormatting>
  <conditionalFormatting sqref="P33">
    <cfRule type="cellIs" dxfId="0" priority="209" operator="lessThan">
      <formula>G33</formula>
    </cfRule>
  </conditionalFormatting>
  <conditionalFormatting sqref="P34">
    <cfRule type="cellIs" dxfId="0" priority="213" operator="lessThan">
      <formula>G34</formula>
    </cfRule>
  </conditionalFormatting>
  <conditionalFormatting sqref="P35">
    <cfRule type="cellIs" dxfId="0" priority="217" operator="lessThan">
      <formula>G35</formula>
    </cfRule>
  </conditionalFormatting>
  <conditionalFormatting sqref="P7">
    <cfRule type="cellIs" dxfId="0" priority="117" operator="lessThan">
      <formula>G7</formula>
    </cfRule>
  </conditionalFormatting>
  <conditionalFormatting sqref="P8">
    <cfRule type="cellIs" dxfId="0" priority="121" operator="lessThan">
      <formula>G8</formula>
    </cfRule>
  </conditionalFormatting>
  <conditionalFormatting sqref="P9">
    <cfRule type="cellIs" dxfId="0" priority="125" operator="lessThan">
      <formula>G9</formula>
    </cfRule>
  </conditionalFormatting>
  <conditionalFormatting sqref="Q10">
    <cfRule type="expression" dxfId="1" priority="130">
      <formula>AND(NOT(ISBLANK(Q10)),OR(P10="NonStk",Q10&gt;P10))</formula>
    </cfRule>
  </conditionalFormatting>
  <conditionalFormatting sqref="Q11">
    <cfRule type="expression" dxfId="1" priority="134">
      <formula>AND(NOT(ISBLANK(Q11)),OR(P11="NonStk",Q11&gt;P11))</formula>
    </cfRule>
  </conditionalFormatting>
  <conditionalFormatting sqref="Q13">
    <cfRule type="expression" dxfId="1" priority="138">
      <formula>AND(NOT(ISBLANK(Q13)),OR(P13="NonStk",Q13&gt;P13))</formula>
    </cfRule>
  </conditionalFormatting>
  <conditionalFormatting sqref="Q14">
    <cfRule type="expression" dxfId="1" priority="142">
      <formula>AND(NOT(ISBLANK(Q14)),OR(P14="NonStk",Q14&gt;P14))</formula>
    </cfRule>
  </conditionalFormatting>
  <conditionalFormatting sqref="Q15">
    <cfRule type="expression" dxfId="1" priority="146">
      <formula>AND(NOT(ISBLANK(Q15)),OR(P15="NonStk",Q15&gt;P15))</formula>
    </cfRule>
  </conditionalFormatting>
  <conditionalFormatting sqref="Q16">
    <cfRule type="expression" dxfId="1" priority="150">
      <formula>AND(NOT(ISBLANK(Q16)),OR(P16="NonStk",Q16&gt;P16))</formula>
    </cfRule>
  </conditionalFormatting>
  <conditionalFormatting sqref="Q17">
    <cfRule type="expression" dxfId="1" priority="154">
      <formula>AND(NOT(ISBLANK(Q17)),OR(P17="NonStk",Q17&gt;P17))</formula>
    </cfRule>
  </conditionalFormatting>
  <conditionalFormatting sqref="Q18">
    <cfRule type="expression" dxfId="1" priority="158">
      <formula>AND(NOT(ISBLANK(Q18)),OR(P18="NonStk",Q18&gt;P18))</formula>
    </cfRule>
  </conditionalFormatting>
  <conditionalFormatting sqref="Q19">
    <cfRule type="expression" dxfId="1" priority="162">
      <formula>AND(NOT(ISBLANK(Q19)),OR(P19="NonStk",Q19&gt;P19))</formula>
    </cfRule>
  </conditionalFormatting>
  <conditionalFormatting sqref="Q20">
    <cfRule type="expression" dxfId="1" priority="166">
      <formula>AND(NOT(ISBLANK(Q20)),OR(P20="NonStk",Q20&gt;P20))</formula>
    </cfRule>
  </conditionalFormatting>
  <conditionalFormatting sqref="Q21">
    <cfRule type="expression" dxfId="1" priority="170">
      <formula>AND(NOT(ISBLANK(Q21)),OR(P21="NonStk",Q21&gt;P21))</formula>
    </cfRule>
  </conditionalFormatting>
  <conditionalFormatting sqref="Q22">
    <cfRule type="expression" dxfId="1" priority="174">
      <formula>AND(NOT(ISBLANK(Q22)),OR(P22="NonStk",Q22&gt;P22))</formula>
    </cfRule>
  </conditionalFormatting>
  <conditionalFormatting sqref="Q23">
    <cfRule type="expression" dxfId="1" priority="178">
      <formula>AND(NOT(ISBLANK(Q23)),OR(P23="NonStk",Q23&gt;P23))</formula>
    </cfRule>
  </conditionalFormatting>
  <conditionalFormatting sqref="Q24">
    <cfRule type="expression" dxfId="1" priority="182">
      <formula>AND(NOT(ISBLANK(Q24)),OR(P24="NonStk",Q24&gt;P24))</formula>
    </cfRule>
  </conditionalFormatting>
  <conditionalFormatting sqref="Q25">
    <cfRule type="expression" dxfId="1" priority="186">
      <formula>AND(NOT(ISBLANK(Q25)),OR(P25="NonStk",Q25&gt;P25))</formula>
    </cfRule>
  </conditionalFormatting>
  <conditionalFormatting sqref="Q26">
    <cfRule type="expression" dxfId="1" priority="190">
      <formula>AND(NOT(ISBLANK(Q26)),OR(P26="NonStk",Q26&gt;P26))</formula>
    </cfRule>
  </conditionalFormatting>
  <conditionalFormatting sqref="Q27">
    <cfRule type="expression" dxfId="1" priority="194">
      <formula>AND(NOT(ISBLANK(Q27)),OR(P27="NonStk",Q27&gt;P27))</formula>
    </cfRule>
  </conditionalFormatting>
  <conditionalFormatting sqref="Q28">
    <cfRule type="expression" dxfId="1" priority="198">
      <formula>AND(NOT(ISBLANK(Q28)),OR(P28="NonStk",Q28&gt;P28))</formula>
    </cfRule>
  </conditionalFormatting>
  <conditionalFormatting sqref="Q29">
    <cfRule type="expression" dxfId="1" priority="202">
      <formula>AND(NOT(ISBLANK(Q29)),OR(P29="NonStk",Q29&gt;P29))</formula>
    </cfRule>
  </conditionalFormatting>
  <conditionalFormatting sqref="Q30">
    <cfRule type="expression" dxfId="1" priority="206">
      <formula>AND(NOT(ISBLANK(Q30)),OR(P30="NonStk",Q30&gt;P30))</formula>
    </cfRule>
  </conditionalFormatting>
  <conditionalFormatting sqref="Q33">
    <cfRule type="expression" dxfId="1" priority="210">
      <formula>AND(NOT(ISBLANK(Q33)),OR(P33="NonStk",Q33&gt;P33))</formula>
    </cfRule>
  </conditionalFormatting>
  <conditionalFormatting sqref="Q34">
    <cfRule type="expression" dxfId="1" priority="214">
      <formula>AND(NOT(ISBLANK(Q34)),OR(P34="NonStk",Q34&gt;P34))</formula>
    </cfRule>
  </conditionalFormatting>
  <conditionalFormatting sqref="Q35">
    <cfRule type="expression" dxfId="1" priority="218">
      <formula>AND(NOT(ISBLANK(Q35)),OR(P35="NonStk",Q35&gt;P35))</formula>
    </cfRule>
  </conditionalFormatting>
  <conditionalFormatting sqref="Q7">
    <cfRule type="expression" dxfId="1" priority="118">
      <formula>AND(NOT(ISBLANK(Q7)),OR(P7="NonStk",Q7&gt;P7))</formula>
    </cfRule>
  </conditionalFormatting>
  <conditionalFormatting sqref="Q8">
    <cfRule type="expression" dxfId="1" priority="122">
      <formula>AND(NOT(ISBLANK(Q8)),OR(P8="NonStk",Q8&gt;P8))</formula>
    </cfRule>
  </conditionalFormatting>
  <conditionalFormatting sqref="Q9">
    <cfRule type="expression" dxfId="1" priority="126">
      <formula>AND(NOT(ISBLANK(Q9)),OR(P9="NonStk",Q9&gt;P9))</formula>
    </cfRule>
  </conditionalFormatting>
  <conditionalFormatting sqref="R10">
    <cfRule type="cellIs" dxfId="2" priority="132" operator="lessThanOrEqual">
      <formula>H10</formula>
    </cfRule>
  </conditionalFormatting>
  <conditionalFormatting sqref="R11">
    <cfRule type="cellIs" dxfId="2" priority="136" operator="lessThanOrEqual">
      <formula>H11</formula>
    </cfRule>
  </conditionalFormatting>
  <conditionalFormatting sqref="R13">
    <cfRule type="cellIs" dxfId="2" priority="140" operator="lessThanOrEqual">
      <formula>H13</formula>
    </cfRule>
  </conditionalFormatting>
  <conditionalFormatting sqref="R14">
    <cfRule type="cellIs" dxfId="2" priority="144" operator="lessThanOrEqual">
      <formula>H14</formula>
    </cfRule>
  </conditionalFormatting>
  <conditionalFormatting sqref="R15">
    <cfRule type="cellIs" dxfId="2" priority="148" operator="lessThanOrEqual">
      <formula>H15</formula>
    </cfRule>
  </conditionalFormatting>
  <conditionalFormatting sqref="R16">
    <cfRule type="cellIs" dxfId="2" priority="152" operator="lessThanOrEqual">
      <formula>H16</formula>
    </cfRule>
  </conditionalFormatting>
  <conditionalFormatting sqref="R17">
    <cfRule type="cellIs" dxfId="2" priority="156" operator="lessThanOrEqual">
      <formula>H17</formula>
    </cfRule>
  </conditionalFormatting>
  <conditionalFormatting sqref="R18">
    <cfRule type="cellIs" dxfId="2" priority="160" operator="lessThanOrEqual">
      <formula>H18</formula>
    </cfRule>
  </conditionalFormatting>
  <conditionalFormatting sqref="R19">
    <cfRule type="cellIs" dxfId="2" priority="164" operator="lessThanOrEqual">
      <formula>H19</formula>
    </cfRule>
  </conditionalFormatting>
  <conditionalFormatting sqref="R20">
    <cfRule type="cellIs" dxfId="2" priority="168" operator="lessThanOrEqual">
      <formula>H20</formula>
    </cfRule>
  </conditionalFormatting>
  <conditionalFormatting sqref="R21">
    <cfRule type="cellIs" dxfId="2" priority="172" operator="lessThanOrEqual">
      <formula>H21</formula>
    </cfRule>
  </conditionalFormatting>
  <conditionalFormatting sqref="R22">
    <cfRule type="cellIs" dxfId="2" priority="176" operator="lessThanOrEqual">
      <formula>H22</formula>
    </cfRule>
  </conditionalFormatting>
  <conditionalFormatting sqref="R23">
    <cfRule type="cellIs" dxfId="2" priority="180" operator="lessThanOrEqual">
      <formula>H23</formula>
    </cfRule>
  </conditionalFormatting>
  <conditionalFormatting sqref="R24">
    <cfRule type="cellIs" dxfId="2" priority="184" operator="lessThanOrEqual">
      <formula>H24</formula>
    </cfRule>
  </conditionalFormatting>
  <conditionalFormatting sqref="R25">
    <cfRule type="cellIs" dxfId="2" priority="188" operator="lessThanOrEqual">
      <formula>H25</formula>
    </cfRule>
  </conditionalFormatting>
  <conditionalFormatting sqref="R26">
    <cfRule type="cellIs" dxfId="2" priority="192" operator="lessThanOrEqual">
      <formula>H26</formula>
    </cfRule>
  </conditionalFormatting>
  <conditionalFormatting sqref="R27">
    <cfRule type="cellIs" dxfId="2" priority="196" operator="lessThanOrEqual">
      <formula>H27</formula>
    </cfRule>
  </conditionalFormatting>
  <conditionalFormatting sqref="R28">
    <cfRule type="cellIs" dxfId="2" priority="200" operator="lessThanOrEqual">
      <formula>H28</formula>
    </cfRule>
  </conditionalFormatting>
  <conditionalFormatting sqref="R29">
    <cfRule type="cellIs" dxfId="2" priority="204" operator="lessThanOrEqual">
      <formula>H29</formula>
    </cfRule>
  </conditionalFormatting>
  <conditionalFormatting sqref="R30">
    <cfRule type="cellIs" dxfId="2" priority="208" operator="lessThanOrEqual">
      <formula>H30</formula>
    </cfRule>
  </conditionalFormatting>
  <conditionalFormatting sqref="R33">
    <cfRule type="cellIs" dxfId="2" priority="212" operator="lessThanOrEqual">
      <formula>H33</formula>
    </cfRule>
  </conditionalFormatting>
  <conditionalFormatting sqref="R34">
    <cfRule type="cellIs" dxfId="2" priority="216" operator="lessThanOrEqual">
      <formula>H34</formula>
    </cfRule>
  </conditionalFormatting>
  <conditionalFormatting sqref="R35">
    <cfRule type="cellIs" dxfId="2" priority="220" operator="lessThanOrEqual">
      <formula>H35</formula>
    </cfRule>
  </conditionalFormatting>
  <conditionalFormatting sqref="R7">
    <cfRule type="cellIs" dxfId="2" priority="120" operator="lessThanOrEqual">
      <formula>H7</formula>
    </cfRule>
  </conditionalFormatting>
  <conditionalFormatting sqref="R8">
    <cfRule type="cellIs" dxfId="2" priority="124" operator="lessThanOrEqual">
      <formula>H8</formula>
    </cfRule>
  </conditionalFormatting>
  <conditionalFormatting sqref="R9">
    <cfRule type="cellIs" dxfId="2" priority="128" operator="lessThanOrEqual">
      <formula>H9</formula>
    </cfRule>
  </conditionalFormatting>
  <conditionalFormatting sqref="T10">
    <cfRule type="cellIs" dxfId="2" priority="131" operator="lessThanOrEqual">
      <formula>I10</formula>
    </cfRule>
  </conditionalFormatting>
  <conditionalFormatting sqref="T11">
    <cfRule type="cellIs" dxfId="2" priority="135" operator="lessThanOrEqual">
      <formula>I11</formula>
    </cfRule>
  </conditionalFormatting>
  <conditionalFormatting sqref="T13">
    <cfRule type="cellIs" dxfId="2" priority="139" operator="lessThanOrEqual">
      <formula>I13</formula>
    </cfRule>
  </conditionalFormatting>
  <conditionalFormatting sqref="T14">
    <cfRule type="cellIs" dxfId="2" priority="143" operator="lessThanOrEqual">
      <formula>I14</formula>
    </cfRule>
  </conditionalFormatting>
  <conditionalFormatting sqref="T15">
    <cfRule type="cellIs" dxfId="2" priority="147" operator="lessThanOrEqual">
      <formula>I15</formula>
    </cfRule>
  </conditionalFormatting>
  <conditionalFormatting sqref="T16">
    <cfRule type="cellIs" dxfId="2" priority="151" operator="lessThanOrEqual">
      <formula>I16</formula>
    </cfRule>
  </conditionalFormatting>
  <conditionalFormatting sqref="T17">
    <cfRule type="cellIs" dxfId="2" priority="155" operator="lessThanOrEqual">
      <formula>I17</formula>
    </cfRule>
  </conditionalFormatting>
  <conditionalFormatting sqref="T18">
    <cfRule type="cellIs" dxfId="2" priority="159" operator="lessThanOrEqual">
      <formula>I18</formula>
    </cfRule>
  </conditionalFormatting>
  <conditionalFormatting sqref="T19">
    <cfRule type="cellIs" dxfId="2" priority="163" operator="lessThanOrEqual">
      <formula>I19</formula>
    </cfRule>
  </conditionalFormatting>
  <conditionalFormatting sqref="T20">
    <cfRule type="cellIs" dxfId="2" priority="167" operator="lessThanOrEqual">
      <formula>I20</formula>
    </cfRule>
  </conditionalFormatting>
  <conditionalFormatting sqref="T21">
    <cfRule type="cellIs" dxfId="2" priority="171" operator="lessThanOrEqual">
      <formula>I21</formula>
    </cfRule>
  </conditionalFormatting>
  <conditionalFormatting sqref="T22">
    <cfRule type="cellIs" dxfId="2" priority="175" operator="lessThanOrEqual">
      <formula>I22</formula>
    </cfRule>
  </conditionalFormatting>
  <conditionalFormatting sqref="T23">
    <cfRule type="cellIs" dxfId="2" priority="179" operator="lessThanOrEqual">
      <formula>I23</formula>
    </cfRule>
  </conditionalFormatting>
  <conditionalFormatting sqref="T24">
    <cfRule type="cellIs" dxfId="2" priority="183" operator="lessThanOrEqual">
      <formula>I24</formula>
    </cfRule>
  </conditionalFormatting>
  <conditionalFormatting sqref="T25">
    <cfRule type="cellIs" dxfId="2" priority="187" operator="lessThanOrEqual">
      <formula>I25</formula>
    </cfRule>
  </conditionalFormatting>
  <conditionalFormatting sqref="T26">
    <cfRule type="cellIs" dxfId="2" priority="191" operator="lessThanOrEqual">
      <formula>I26</formula>
    </cfRule>
  </conditionalFormatting>
  <conditionalFormatting sqref="T27">
    <cfRule type="cellIs" dxfId="2" priority="195" operator="lessThanOrEqual">
      <formula>I27</formula>
    </cfRule>
  </conditionalFormatting>
  <conditionalFormatting sqref="T28">
    <cfRule type="cellIs" dxfId="2" priority="199" operator="lessThanOrEqual">
      <formula>I28</formula>
    </cfRule>
  </conditionalFormatting>
  <conditionalFormatting sqref="T29">
    <cfRule type="cellIs" dxfId="2" priority="203" operator="lessThanOrEqual">
      <formula>I29</formula>
    </cfRule>
  </conditionalFormatting>
  <conditionalFormatting sqref="T30">
    <cfRule type="cellIs" dxfId="2" priority="207" operator="lessThanOrEqual">
      <formula>I30</formula>
    </cfRule>
  </conditionalFormatting>
  <conditionalFormatting sqref="T33">
    <cfRule type="cellIs" dxfId="2" priority="211" operator="lessThanOrEqual">
      <formula>I33</formula>
    </cfRule>
  </conditionalFormatting>
  <conditionalFormatting sqref="T34">
    <cfRule type="cellIs" dxfId="2" priority="215" operator="lessThanOrEqual">
      <formula>I34</formula>
    </cfRule>
  </conditionalFormatting>
  <conditionalFormatting sqref="T35">
    <cfRule type="cellIs" dxfId="2" priority="219" operator="lessThanOrEqual">
      <formula>I35</formula>
    </cfRule>
  </conditionalFormatting>
  <conditionalFormatting sqref="T7">
    <cfRule type="cellIs" dxfId="2" priority="119" operator="lessThanOrEqual">
      <formula>I7</formula>
    </cfRule>
  </conditionalFormatting>
  <conditionalFormatting sqref="T8">
    <cfRule type="cellIs" dxfId="2" priority="123" operator="lessThanOrEqual">
      <formula>I8</formula>
    </cfRule>
  </conditionalFormatting>
  <conditionalFormatting sqref="T9">
    <cfRule type="cellIs" dxfId="2" priority="127" operator="lessThanOrEqual">
      <formula>I9</formula>
    </cfRule>
  </conditionalFormatting>
  <hyperlinks>
    <hyperlink ref="O7" r:id="rId1"/>
    <hyperlink ref="U7" r:id="rId2"/>
    <hyperlink ref="O8" r:id="rId3"/>
    <hyperlink ref="U8" r:id="rId4"/>
    <hyperlink ref="O9" r:id="rId5"/>
    <hyperlink ref="U9" r:id="rId6"/>
    <hyperlink ref="O10" r:id="rId7"/>
    <hyperlink ref="U10" r:id="rId8"/>
    <hyperlink ref="O11" r:id="rId9"/>
    <hyperlink ref="U11" r:id="rId10"/>
    <hyperlink ref="O12" r:id="rId11"/>
    <hyperlink ref="U12" r:id="rId12"/>
    <hyperlink ref="O13" r:id="rId13"/>
    <hyperlink ref="U13" r:id="rId14"/>
    <hyperlink ref="O14" r:id="rId15"/>
    <hyperlink ref="U14" r:id="rId16"/>
    <hyperlink ref="O15" r:id="rId17"/>
    <hyperlink ref="U15" r:id="rId18"/>
    <hyperlink ref="O16" r:id="rId19"/>
    <hyperlink ref="U16" r:id="rId20"/>
    <hyperlink ref="O17" r:id="rId21"/>
    <hyperlink ref="U17" r:id="rId22"/>
    <hyperlink ref="F18" r:id="rId23"/>
    <hyperlink ref="O18" r:id="rId24"/>
    <hyperlink ref="U18" r:id="rId25"/>
    <hyperlink ref="F19" r:id="rId26"/>
    <hyperlink ref="O19" r:id="rId27"/>
    <hyperlink ref="U19" r:id="rId28"/>
    <hyperlink ref="O20" r:id="rId29"/>
    <hyperlink ref="U20" r:id="rId30"/>
    <hyperlink ref="O21" r:id="rId31"/>
    <hyperlink ref="U21" r:id="rId32"/>
    <hyperlink ref="O22" r:id="rId33"/>
    <hyperlink ref="U22" r:id="rId34"/>
    <hyperlink ref="F23" r:id="rId35"/>
    <hyperlink ref="O23" r:id="rId36"/>
    <hyperlink ref="U23" r:id="rId37"/>
    <hyperlink ref="O24" r:id="rId38"/>
    <hyperlink ref="U24" r:id="rId39"/>
    <hyperlink ref="O25" r:id="rId40"/>
    <hyperlink ref="U25" r:id="rId41"/>
    <hyperlink ref="O26" r:id="rId42"/>
    <hyperlink ref="U26" r:id="rId43"/>
    <hyperlink ref="F27" r:id="rId44"/>
    <hyperlink ref="O27" r:id="rId45"/>
    <hyperlink ref="U27" r:id="rId46"/>
    <hyperlink ref="O28" r:id="rId47"/>
    <hyperlink ref="U28" r:id="rId48"/>
    <hyperlink ref="F29" r:id="rId49"/>
    <hyperlink ref="O29" r:id="rId50"/>
    <hyperlink ref="U29" r:id="rId51"/>
    <hyperlink ref="F30" r:id="rId52"/>
    <hyperlink ref="O30" r:id="rId53"/>
    <hyperlink ref="U30" r:id="rId54"/>
    <hyperlink ref="F31" r:id="rId55"/>
    <hyperlink ref="O31" r:id="rId56"/>
    <hyperlink ref="U31" r:id="rId57"/>
    <hyperlink ref="F32" r:id="rId58"/>
    <hyperlink ref="O32" r:id="rId59"/>
    <hyperlink ref="U32" r:id="rId60"/>
    <hyperlink ref="F33" r:id="rId61"/>
    <hyperlink ref="O33" r:id="rId62"/>
    <hyperlink ref="U33" r:id="rId63"/>
    <hyperlink ref="F34" r:id="rId64"/>
    <hyperlink ref="O34" r:id="rId65"/>
    <hyperlink ref="U34" r:id="rId66"/>
    <hyperlink ref="F35" r:id="rId67"/>
    <hyperlink ref="O35" r:id="rId68"/>
    <hyperlink ref="U35" r:id="rId69"/>
    <hyperlink ref="J37" r:id="rId70"/>
    <hyperlink ref="P37" r:id="rId71"/>
  </hyperlinks>
  <pageMargins left="0.7" right="0.7" top="0.75" bottom="0.75" header="0.3" footer="0.3"/>
  <legacyDrawing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horsesense</vt:lpstr>
      <vt:lpstr>'horsesense'!BoardQty</vt:lpstr>
      <vt:lpstr>'horsesense'!EUR_USD</vt:lpstr>
      <vt:lpstr>'horsesense'!PURCHASE_DESCRIPTION</vt:lpstr>
      <vt:lpstr>'horsesense'!TotalCost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2025-10-19T14:33:13Z</dcterms:created>
  <dcterms:modified xsi:type="dcterms:W3CDTF">2025-10-19T14:33:13Z</dcterms:modified>
</cp:coreProperties>
</file>