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240" tabRatio="500" activeTab="1"/>
  </bookViews>
  <sheets>
    <sheet name="Avaiability" sheetId="5" r:id="rId1"/>
    <sheet name="Burndown Data" sheetId="3" r:id="rId2"/>
    <sheet name="Burndown Chart" sheetId="4" r:id="rId3"/>
    <sheet name="Support Chart" sheetId="6" r:id="rId4"/>
  </sheets>
  <definedNames>
    <definedName name="_xlnm.Print_Area" localSheetId="2">'Burndown Chart'!$A$1:$P$40</definedName>
    <definedName name="_xlnm.Print_Area" localSheetId="3">'Support Chart'!$A$1:$P$38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9" i="3"/>
  <c r="F8" i="3"/>
  <c r="F7" i="3"/>
  <c r="F22" i="3"/>
  <c r="C19" i="3"/>
  <c r="E31" i="3"/>
  <c r="E30" i="3"/>
  <c r="E29" i="3"/>
  <c r="G8" i="3"/>
  <c r="O13" i="5"/>
  <c r="Q13" i="5"/>
  <c r="C14" i="3"/>
  <c r="O12" i="5"/>
  <c r="Q12" i="5"/>
  <c r="C13" i="3"/>
  <c r="O11" i="5"/>
  <c r="Q11" i="5"/>
  <c r="C12" i="3"/>
  <c r="O10" i="5"/>
  <c r="Q10" i="5"/>
  <c r="C11" i="3"/>
  <c r="O9" i="5"/>
  <c r="Q9" i="5"/>
  <c r="C10" i="3"/>
  <c r="O8" i="5"/>
  <c r="Q8" i="5"/>
  <c r="C9" i="3"/>
  <c r="O7" i="5"/>
  <c r="Q7" i="5"/>
  <c r="C8" i="3"/>
  <c r="O6" i="5"/>
  <c r="Q6" i="5"/>
  <c r="C7" i="3"/>
  <c r="O5" i="5"/>
  <c r="Q5" i="5"/>
  <c r="C6" i="3"/>
  <c r="O4" i="5"/>
  <c r="Q4" i="5"/>
  <c r="C5" i="3"/>
  <c r="Q14" i="5"/>
  <c r="C3" i="3"/>
  <c r="E5" i="3"/>
  <c r="E6" i="3"/>
  <c r="E7" i="3"/>
  <c r="E8" i="3"/>
  <c r="E9" i="3"/>
  <c r="E10" i="3"/>
  <c r="E11" i="3"/>
  <c r="E12" i="3"/>
  <c r="E13" i="3"/>
  <c r="E14" i="3"/>
  <c r="E15" i="3"/>
  <c r="G21" i="3"/>
  <c r="E21" i="3"/>
  <c r="E22" i="3"/>
  <c r="E23" i="3"/>
  <c r="E24" i="3"/>
  <c r="E25" i="3"/>
  <c r="E26" i="3"/>
  <c r="E27" i="3"/>
  <c r="E28" i="3"/>
  <c r="G5" i="3"/>
  <c r="G6" i="3"/>
  <c r="G7" i="3"/>
  <c r="L2" i="6"/>
  <c r="G22" i="3"/>
  <c r="G23" i="3"/>
  <c r="G24" i="3"/>
  <c r="G25" i="3"/>
  <c r="G26" i="3"/>
  <c r="G27" i="3"/>
  <c r="G28" i="3"/>
  <c r="G29" i="3"/>
  <c r="G30" i="3"/>
  <c r="G31" i="3"/>
  <c r="O2" i="6"/>
  <c r="I2" i="6"/>
  <c r="F2" i="6"/>
  <c r="B2" i="6"/>
  <c r="H21" i="3"/>
  <c r="H22" i="3"/>
  <c r="H23" i="3"/>
  <c r="H24" i="3"/>
  <c r="H25" i="3"/>
  <c r="H26" i="3"/>
  <c r="H27" i="3"/>
  <c r="H28" i="3"/>
  <c r="H29" i="3"/>
  <c r="H30" i="3"/>
  <c r="H31" i="3"/>
  <c r="E19" i="3"/>
  <c r="C21" i="3"/>
  <c r="C22" i="3"/>
  <c r="B30" i="3"/>
  <c r="B29" i="3"/>
  <c r="B28" i="3"/>
  <c r="B27" i="3"/>
  <c r="B26" i="3"/>
  <c r="B25" i="3"/>
  <c r="B24" i="3"/>
  <c r="B23" i="3"/>
  <c r="B22" i="3"/>
  <c r="C23" i="3"/>
  <c r="C24" i="3"/>
  <c r="C25" i="3"/>
  <c r="C26" i="3"/>
  <c r="C27" i="3"/>
  <c r="C28" i="3"/>
  <c r="C29" i="3"/>
  <c r="C30" i="3"/>
  <c r="C12" i="5"/>
  <c r="C13" i="5"/>
  <c r="L2" i="4"/>
  <c r="F14" i="5"/>
  <c r="G14" i="5"/>
  <c r="H14" i="5"/>
  <c r="I14" i="5"/>
  <c r="J14" i="5"/>
  <c r="K14" i="5"/>
  <c r="L14" i="5"/>
  <c r="M14" i="5"/>
  <c r="N14" i="5"/>
  <c r="O14" i="5"/>
  <c r="C14" i="5"/>
  <c r="C15" i="5"/>
  <c r="F2" i="4"/>
  <c r="G15" i="3"/>
  <c r="H15" i="3"/>
  <c r="K15" i="3"/>
  <c r="P8" i="5"/>
  <c r="P4" i="5"/>
  <c r="P5" i="5"/>
  <c r="P6" i="5"/>
  <c r="P7" i="5"/>
  <c r="P9" i="5"/>
  <c r="P10" i="5"/>
  <c r="P11" i="5"/>
  <c r="P12" i="5"/>
  <c r="G14" i="3"/>
  <c r="H14" i="3"/>
  <c r="K14" i="3"/>
  <c r="G12" i="3"/>
  <c r="G13" i="3"/>
  <c r="H13" i="3"/>
  <c r="K13" i="3"/>
  <c r="H12" i="3"/>
  <c r="K12" i="3"/>
  <c r="G10" i="3"/>
  <c r="G11" i="3"/>
  <c r="H11" i="3"/>
  <c r="K11" i="3"/>
  <c r="H10" i="3"/>
  <c r="K10" i="3"/>
  <c r="G9" i="3"/>
  <c r="H9" i="3"/>
  <c r="K9" i="3"/>
  <c r="H8" i="3"/>
  <c r="K8" i="3"/>
  <c r="H7" i="3"/>
  <c r="K7" i="3"/>
  <c r="H6" i="3"/>
  <c r="K6" i="3"/>
  <c r="H5" i="3"/>
  <c r="K5" i="3"/>
  <c r="P13" i="5"/>
  <c r="P14" i="5"/>
  <c r="B14" i="3"/>
  <c r="B13" i="3"/>
  <c r="B12" i="3"/>
  <c r="B11" i="3"/>
  <c r="B10" i="3"/>
  <c r="B2" i="4"/>
  <c r="B9" i="3"/>
  <c r="B8" i="3"/>
  <c r="B7" i="3"/>
  <c r="B6" i="3"/>
</calcChain>
</file>

<file path=xl/sharedStrings.xml><?xml version="1.0" encoding="utf-8"?>
<sst xmlns="http://schemas.openxmlformats.org/spreadsheetml/2006/main" count="71" uniqueCount="53">
  <si>
    <t>Burned</t>
  </si>
  <si>
    <t>Available</t>
  </si>
  <si>
    <t>Delay</t>
  </si>
  <si>
    <t>Day of sprint</t>
  </si>
  <si>
    <t>Team member 1 week velocity</t>
  </si>
  <si>
    <t>Totals</t>
  </si>
  <si>
    <t>Day</t>
  </si>
  <si>
    <t>Total</t>
  </si>
  <si>
    <t>Tasks</t>
  </si>
  <si>
    <t>Task Delay</t>
  </si>
  <si>
    <t>David</t>
  </si>
  <si>
    <t>Unplanned</t>
  </si>
  <si>
    <t>Total SP</t>
  </si>
  <si>
    <t>Total Hours</t>
  </si>
  <si>
    <t>Monday</t>
  </si>
  <si>
    <t>Tuesday</t>
  </si>
  <si>
    <t>Wednesday</t>
  </si>
  <si>
    <t>Thursday</t>
  </si>
  <si>
    <t>Friday</t>
  </si>
  <si>
    <t xml:space="preserve">Sprint </t>
  </si>
  <si>
    <t>Project</t>
  </si>
  <si>
    <t>Sprint Burndown</t>
  </si>
  <si>
    <t>Sprint Planning</t>
  </si>
  <si>
    <t>Estimated</t>
  </si>
  <si>
    <t>Remaining</t>
  </si>
  <si>
    <t>Team availability</t>
  </si>
  <si>
    <t>Team size</t>
  </si>
  <si>
    <t>Sprint length in weeks</t>
  </si>
  <si>
    <t>Team member 1 hour velocity</t>
  </si>
  <si>
    <t>Available velocity</t>
  </si>
  <si>
    <t>Base Team Velocity</t>
  </si>
  <si>
    <t>Sprint</t>
  </si>
  <si>
    <t>Committed velocity</t>
  </si>
  <si>
    <t>Shine</t>
  </si>
  <si>
    <t>Louis</t>
  </si>
  <si>
    <t>Natalia</t>
  </si>
  <si>
    <t>Rainer</t>
  </si>
  <si>
    <t xml:space="preserve">Member </t>
  </si>
  <si>
    <t>Corrected Hours</t>
  </si>
  <si>
    <t>Hour correction factor</t>
  </si>
  <si>
    <t>Initial Task estimation</t>
  </si>
  <si>
    <t>Support</t>
  </si>
  <si>
    <t>Percentage for Support</t>
  </si>
  <si>
    <t>Max</t>
  </si>
  <si>
    <t>Spend</t>
  </si>
  <si>
    <t>Support Burnup</t>
  </si>
  <si>
    <t>Velocity (SP)</t>
  </si>
  <si>
    <t>Todo (H)</t>
  </si>
  <si>
    <t>Burned Total</t>
  </si>
  <si>
    <t>?</t>
  </si>
  <si>
    <t>16.1.4</t>
  </si>
  <si>
    <t>Sprint End</t>
  </si>
  <si>
    <t>Sprint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</si>
</sst>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auto="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auto="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8" fillId="0" borderId="0" xfId="0" applyFont="1"/>
    <xf numFmtId="0" fontId="0" fillId="3" borderId="4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0" fontId="7" fillId="4" borderId="4" xfId="0" applyFont="1" applyFill="1" applyBorder="1" applyAlignment="1">
      <alignment textRotation="90"/>
    </xf>
    <xf numFmtId="49" fontId="7" fillId="4" borderId="5" xfId="0" applyNumberFormat="1" applyFont="1" applyFill="1" applyBorder="1" applyAlignment="1">
      <alignment textRotation="90"/>
    </xf>
    <xf numFmtId="0" fontId="7" fillId="4" borderId="6" xfId="0" applyNumberFormat="1" applyFont="1" applyFill="1" applyBorder="1" applyAlignment="1">
      <alignment textRotation="90"/>
    </xf>
    <xf numFmtId="0" fontId="3" fillId="3" borderId="7" xfId="0" applyNumberFormat="1" applyFont="1" applyFill="1" applyBorder="1"/>
    <xf numFmtId="0" fontId="7" fillId="6" borderId="10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9" fillId="4" borderId="4" xfId="0" applyFont="1" applyFill="1" applyBorder="1"/>
    <xf numFmtId="0" fontId="10" fillId="0" borderId="0" xfId="0" applyFont="1"/>
    <xf numFmtId="0" fontId="9" fillId="6" borderId="10" xfId="0" applyFont="1" applyFill="1" applyBorder="1"/>
    <xf numFmtId="0" fontId="0" fillId="2" borderId="11" xfId="0" applyFont="1" applyFill="1" applyBorder="1"/>
    <xf numFmtId="0" fontId="0" fillId="5" borderId="2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" borderId="3" xfId="0" applyFont="1" applyFill="1" applyBorder="1"/>
    <xf numFmtId="0" fontId="11" fillId="0" borderId="0" xfId="0" applyFont="1"/>
    <xf numFmtId="1" fontId="0" fillId="3" borderId="6" xfId="0" applyNumberFormat="1" applyFont="1" applyFill="1" applyBorder="1"/>
    <xf numFmtId="1" fontId="0" fillId="0" borderId="6" xfId="0" applyNumberFormat="1" applyFont="1" applyBorder="1"/>
    <xf numFmtId="1" fontId="0" fillId="5" borderId="10" xfId="0" applyNumberFormat="1" applyFont="1" applyFill="1" applyBorder="1"/>
    <xf numFmtId="1" fontId="0" fillId="0" borderId="10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5" xfId="0" applyNumberFormat="1" applyFont="1" applyFill="1" applyBorder="1"/>
    <xf numFmtId="0" fontId="3" fillId="0" borderId="5" xfId="0" applyNumberFormat="1" applyFont="1" applyBorder="1"/>
    <xf numFmtId="0" fontId="0" fillId="0" borderId="8" xfId="0" applyNumberFormat="1" applyFont="1" applyBorder="1"/>
    <xf numFmtId="0" fontId="3" fillId="0" borderId="8" xfId="0" applyNumberFormat="1" applyFont="1" applyBorder="1"/>
    <xf numFmtId="164" fontId="0" fillId="0" borderId="0" xfId="0" applyNumberFormat="1"/>
    <xf numFmtId="1" fontId="3" fillId="7" borderId="1" xfId="523" applyNumberFormat="1" applyFont="1" applyBorder="1" applyAlignment="1">
      <alignment horizontal="center"/>
    </xf>
    <xf numFmtId="9" fontId="3" fillId="7" borderId="1" xfId="523" applyNumberFormat="1" applyFont="1" applyBorder="1" applyAlignment="1">
      <alignment horizontal="center"/>
    </xf>
    <xf numFmtId="1" fontId="9" fillId="4" borderId="4" xfId="0" applyNumberFormat="1" applyFont="1" applyFill="1" applyBorder="1"/>
    <xf numFmtId="1" fontId="3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3" fillId="3" borderId="6" xfId="0" applyNumberFormat="1" applyFont="1" applyFill="1" applyBorder="1"/>
    <xf numFmtId="1" fontId="3" fillId="0" borderId="6" xfId="0" applyNumberFormat="1" applyFont="1" applyBorder="1"/>
    <xf numFmtId="1" fontId="3" fillId="0" borderId="9" xfId="0" applyNumberFormat="1" applyFont="1" applyBorder="1"/>
    <xf numFmtId="1" fontId="3" fillId="3" borderId="7" xfId="0" applyNumberFormat="1" applyFont="1" applyFill="1" applyBorder="1"/>
    <xf numFmtId="1" fontId="0" fillId="3" borderId="5" xfId="0" applyNumberFormat="1" applyFont="1" applyFill="1" applyBorder="1"/>
    <xf numFmtId="1" fontId="0" fillId="0" borderId="5" xfId="0" applyNumberFormat="1" applyFont="1" applyBorder="1"/>
    <xf numFmtId="1" fontId="9" fillId="4" borderId="1" xfId="0" applyNumberFormat="1" applyFont="1" applyFill="1" applyBorder="1"/>
    <xf numFmtId="1" fontId="0" fillId="3" borderId="4" xfId="0" applyNumberFormat="1" applyFont="1" applyFill="1" applyBorder="1"/>
    <xf numFmtId="1" fontId="0" fillId="0" borderId="4" xfId="0" applyNumberFormat="1" applyFont="1" applyBorder="1"/>
    <xf numFmtId="1" fontId="3" fillId="3" borderId="5" xfId="0" applyNumberFormat="1" applyFont="1" applyFill="1" applyBorder="1"/>
    <xf numFmtId="1" fontId="3" fillId="0" borderId="5" xfId="0" applyNumberFormat="1" applyFont="1" applyBorder="1"/>
    <xf numFmtId="1" fontId="3" fillId="0" borderId="8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9" fontId="0" fillId="0" borderId="0" xfId="594" applyFont="1"/>
  </cellXfs>
  <cellStyles count="695">
    <cellStyle name="40% - Accent5" xfId="523" builtinId="4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Percent" xfId="59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960184072036"/>
          <c:y val="0.0266423357664234"/>
          <c:w val="0.925387610168547"/>
          <c:h val="0.85577346399218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'Burndown Data'!$G$4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val>
            <c:numRef>
              <c:f>'Burndown Data'!$G$5:$G$15</c:f>
              <c:numCache>
                <c:formatCode>0</c:formatCode>
                <c:ptCount val="11"/>
                <c:pt idx="0">
                  <c:v>152.0</c:v>
                </c:pt>
                <c:pt idx="1">
                  <c:v>147.0</c:v>
                </c:pt>
                <c:pt idx="2">
                  <c:v>119.0</c:v>
                </c:pt>
                <c:pt idx="3">
                  <c:v>103.0</c:v>
                </c:pt>
                <c:pt idx="4">
                  <c:v>93.0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772344"/>
        <c:axId val="-2144769288"/>
      </c:barChart>
      <c:lineChart>
        <c:grouping val="standard"/>
        <c:varyColors val="0"/>
        <c:ser>
          <c:idx val="0"/>
          <c:order val="0"/>
          <c:tx>
            <c:strRef>
              <c:f>'Burndown Data'!$E$4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Data'!$E$5:$E$15</c:f>
              <c:numCache>
                <c:formatCode>0</c:formatCode>
                <c:ptCount val="11"/>
                <c:pt idx="0">
                  <c:v>152.0</c:v>
                </c:pt>
                <c:pt idx="1">
                  <c:v>138.56</c:v>
                </c:pt>
                <c:pt idx="2">
                  <c:v>121.2</c:v>
                </c:pt>
                <c:pt idx="3">
                  <c:v>103.84</c:v>
                </c:pt>
                <c:pt idx="4">
                  <c:v>88.72</c:v>
                </c:pt>
                <c:pt idx="5">
                  <c:v>75.84</c:v>
                </c:pt>
                <c:pt idx="6">
                  <c:v>58.48</c:v>
                </c:pt>
                <c:pt idx="7">
                  <c:v>41.12</c:v>
                </c:pt>
                <c:pt idx="8">
                  <c:v>23.20000000000001</c:v>
                </c:pt>
                <c:pt idx="9">
                  <c:v>5.280000000000008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Data'!$K$4</c:f>
              <c:strCache>
                <c:ptCount val="1"/>
                <c:pt idx="0">
                  <c:v>Delay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Data'!$K$5:$K$15</c:f>
              <c:numCache>
                <c:formatCode>0</c:formatCode>
                <c:ptCount val="11"/>
                <c:pt idx="0">
                  <c:v>0.0</c:v>
                </c:pt>
                <c:pt idx="1">
                  <c:v>8.439999999999997</c:v>
                </c:pt>
                <c:pt idx="2">
                  <c:v>-2.200000000000003</c:v>
                </c:pt>
                <c:pt idx="3">
                  <c:v>-0.840000000000003</c:v>
                </c:pt>
                <c:pt idx="4">
                  <c:v>4.280000000000001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72344"/>
        <c:axId val="-2144769288"/>
      </c:lineChart>
      <c:catAx>
        <c:axId val="-2144772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4769288"/>
        <c:crosses val="autoZero"/>
        <c:auto val="1"/>
        <c:lblAlgn val="ctr"/>
        <c:lblOffset val="100"/>
        <c:noMultiLvlLbl val="0"/>
      </c:catAx>
      <c:valAx>
        <c:axId val="-214476928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Corrected Hours</a:t>
                </a:r>
              </a:p>
            </c:rich>
          </c:tx>
          <c:layout>
            <c:manualLayout>
              <c:xMode val="edge"/>
              <c:yMode val="edge"/>
              <c:x val="0.0057679354792481"/>
              <c:y val="0.3795689407437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4772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Data'!$E$20</c:f>
              <c:strCache>
                <c:ptCount val="1"/>
                <c:pt idx="0">
                  <c:v>Burned Total</c:v>
                </c:pt>
              </c:strCache>
            </c:strRef>
          </c:tx>
          <c:invertIfNegative val="0"/>
          <c:cat>
            <c:strRef>
              <c:f>'Burndown Data'!$B$21:$B$31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Data'!$E$21:$E$31</c:f>
              <c:numCache>
                <c:formatCode>0</c:formatCode>
                <c:ptCount val="11"/>
                <c:pt idx="0">
                  <c:v>0.0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79832"/>
        <c:axId val="2090876808"/>
      </c:barChart>
      <c:lineChart>
        <c:grouping val="standard"/>
        <c:varyColors val="0"/>
        <c:ser>
          <c:idx val="1"/>
          <c:order val="1"/>
          <c:tx>
            <c:strRef>
              <c:f>'Burndown Data'!$H$20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'Burndown Data'!$H$21:$H$31</c:f>
              <c:numCache>
                <c:formatCode>0</c:formatCode>
                <c:ptCount val="11"/>
                <c:pt idx="0">
                  <c:v>76.80000000000001</c:v>
                </c:pt>
                <c:pt idx="1">
                  <c:v>76.80000000000001</c:v>
                </c:pt>
                <c:pt idx="2">
                  <c:v>76.80000000000001</c:v>
                </c:pt>
                <c:pt idx="3">
                  <c:v>76.80000000000001</c:v>
                </c:pt>
                <c:pt idx="4">
                  <c:v>76.80000000000001</c:v>
                </c:pt>
                <c:pt idx="5">
                  <c:v>76.80000000000001</c:v>
                </c:pt>
                <c:pt idx="6">
                  <c:v>76.80000000000001</c:v>
                </c:pt>
                <c:pt idx="7">
                  <c:v>76.80000000000001</c:v>
                </c:pt>
                <c:pt idx="8">
                  <c:v>76.80000000000001</c:v>
                </c:pt>
                <c:pt idx="9">
                  <c:v>76.80000000000001</c:v>
                </c:pt>
                <c:pt idx="10">
                  <c:v>76.80000000000001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9832"/>
        <c:axId val="2090876808"/>
      </c:lineChart>
      <c:catAx>
        <c:axId val="2090879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876808"/>
        <c:crosses val="autoZero"/>
        <c:auto val="1"/>
        <c:lblAlgn val="ctr"/>
        <c:lblOffset val="100"/>
        <c:noMultiLvlLbl val="0"/>
      </c:catAx>
      <c:valAx>
        <c:axId val="209087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Remaining 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879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139700</xdr:rowOff>
    </xdr:from>
    <xdr:to>
      <xdr:col>15</xdr:col>
      <xdr:colOff>38100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15</xdr:col>
      <xdr:colOff>63500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workbookViewId="0">
      <selection activeCell="C7" sqref="C7"/>
    </sheetView>
  </sheetViews>
  <sheetFormatPr baseColWidth="10" defaultRowHeight="15" x14ac:dyDescent="0"/>
  <cols>
    <col min="2" max="2" width="26.1640625" bestFit="1" customWidth="1"/>
    <col min="3" max="3" width="11.83203125" bestFit="1" customWidth="1"/>
    <col min="5" max="5" width="26.1640625" bestFit="1" customWidth="1"/>
    <col min="6" max="14" width="6.1640625" customWidth="1"/>
    <col min="15" max="15" width="8.5" customWidth="1"/>
  </cols>
  <sheetData>
    <row r="3" spans="2:17" ht="89">
      <c r="B3" s="2" t="s">
        <v>22</v>
      </c>
      <c r="E3" s="10" t="s">
        <v>6</v>
      </c>
      <c r="F3" s="11" t="s">
        <v>10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37</v>
      </c>
      <c r="L3" s="11" t="s">
        <v>37</v>
      </c>
      <c r="M3" s="11" t="s">
        <v>37</v>
      </c>
      <c r="N3" s="11" t="s">
        <v>37</v>
      </c>
      <c r="O3" s="11" t="s">
        <v>13</v>
      </c>
      <c r="P3" s="11" t="s">
        <v>12</v>
      </c>
      <c r="Q3" s="12" t="s">
        <v>38</v>
      </c>
    </row>
    <row r="4" spans="2:17">
      <c r="E4" s="9" t="s">
        <v>14</v>
      </c>
      <c r="F4" s="9">
        <v>0</v>
      </c>
      <c r="G4" s="9">
        <v>8</v>
      </c>
      <c r="H4" s="9">
        <v>8</v>
      </c>
      <c r="I4" s="9">
        <v>8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32">
        <f>SUM(Avaiability!$F4:$N4)</f>
        <v>24</v>
      </c>
      <c r="P4" s="55">
        <f t="shared" ref="P4:P14" si="0">O4*$C$13</f>
        <v>2.0250000000000004</v>
      </c>
      <c r="Q4" s="46">
        <f t="shared" ref="Q4:Q13" si="1">O4*C$18</f>
        <v>19.200000000000003</v>
      </c>
    </row>
    <row r="5" spans="2:17">
      <c r="B5" t="s">
        <v>20</v>
      </c>
      <c r="C5" s="41" t="s">
        <v>33</v>
      </c>
      <c r="E5" s="8" t="s">
        <v>15</v>
      </c>
      <c r="F5" s="8">
        <v>8</v>
      </c>
      <c r="G5" s="8">
        <v>8</v>
      </c>
      <c r="H5" s="8">
        <v>8</v>
      </c>
      <c r="I5" s="8">
        <v>7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33">
        <f>SUM(Avaiability!$F5:$N5)</f>
        <v>31</v>
      </c>
      <c r="P5" s="56">
        <f t="shared" si="0"/>
        <v>2.6156250000000001</v>
      </c>
      <c r="Q5" s="47">
        <f t="shared" si="1"/>
        <v>24.8</v>
      </c>
    </row>
    <row r="6" spans="2:17">
      <c r="B6" t="s">
        <v>31</v>
      </c>
      <c r="C6" s="41" t="s">
        <v>50</v>
      </c>
      <c r="E6" s="9" t="s">
        <v>16</v>
      </c>
      <c r="F6" s="9">
        <v>8</v>
      </c>
      <c r="G6" s="9">
        <v>8</v>
      </c>
      <c r="H6" s="9">
        <v>8</v>
      </c>
      <c r="I6" s="9">
        <v>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32">
        <f>SUM(Avaiability!$F6:$N6)</f>
        <v>31</v>
      </c>
      <c r="P6" s="55">
        <f t="shared" si="0"/>
        <v>2.6156250000000001</v>
      </c>
      <c r="Q6" s="46">
        <f t="shared" si="1"/>
        <v>24.8</v>
      </c>
    </row>
    <row r="7" spans="2:17">
      <c r="C7" s="42"/>
      <c r="E7" s="8" t="s">
        <v>17</v>
      </c>
      <c r="F7" s="8">
        <v>4</v>
      </c>
      <c r="G7" s="8">
        <v>8</v>
      </c>
      <c r="H7" s="8">
        <v>8</v>
      </c>
      <c r="I7" s="8">
        <v>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33">
        <f>SUM(Avaiability!$F7:$N7)</f>
        <v>27</v>
      </c>
      <c r="P7" s="56">
        <f t="shared" si="0"/>
        <v>2.2781250000000002</v>
      </c>
      <c r="Q7" s="47">
        <f t="shared" si="1"/>
        <v>21.6</v>
      </c>
    </row>
    <row r="8" spans="2:17">
      <c r="B8" t="s">
        <v>26</v>
      </c>
      <c r="C8" s="41">
        <v>4</v>
      </c>
      <c r="E8" s="9" t="s">
        <v>18</v>
      </c>
      <c r="F8" s="9">
        <v>8</v>
      </c>
      <c r="G8" s="9">
        <v>0</v>
      </c>
      <c r="H8" s="9">
        <v>8</v>
      </c>
      <c r="I8" s="9">
        <v>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32">
        <f>SUM(Avaiability!$F8:$N8)</f>
        <v>23</v>
      </c>
      <c r="P8" s="55">
        <f t="shared" si="0"/>
        <v>1.940625</v>
      </c>
      <c r="Q8" s="46">
        <f t="shared" si="1"/>
        <v>18.400000000000002</v>
      </c>
    </row>
    <row r="9" spans="2:17">
      <c r="B9" t="s">
        <v>27</v>
      </c>
      <c r="C9" s="41">
        <v>2</v>
      </c>
      <c r="E9" s="8" t="s">
        <v>14</v>
      </c>
      <c r="F9" s="8">
        <v>8</v>
      </c>
      <c r="G9" s="8">
        <v>8</v>
      </c>
      <c r="H9" s="8">
        <v>8</v>
      </c>
      <c r="I9" s="8">
        <v>7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33">
        <f>SUM(Avaiability!$F9:$N9)</f>
        <v>31</v>
      </c>
      <c r="P9" s="56">
        <f t="shared" si="0"/>
        <v>2.6156250000000001</v>
      </c>
      <c r="Q9" s="47">
        <f t="shared" si="1"/>
        <v>24.8</v>
      </c>
    </row>
    <row r="10" spans="2:17">
      <c r="C10" s="42"/>
      <c r="E10" s="9" t="s">
        <v>15</v>
      </c>
      <c r="F10" s="9">
        <v>8</v>
      </c>
      <c r="G10" s="9">
        <v>8</v>
      </c>
      <c r="H10" s="9">
        <v>8</v>
      </c>
      <c r="I10" s="9">
        <v>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32">
        <f>SUM(Avaiability!$F10:$N10)</f>
        <v>31</v>
      </c>
      <c r="P10" s="55">
        <f t="shared" si="0"/>
        <v>2.6156250000000001</v>
      </c>
      <c r="Q10" s="46">
        <f t="shared" si="1"/>
        <v>24.8</v>
      </c>
    </row>
    <row r="11" spans="2:17">
      <c r="B11" t="s">
        <v>30</v>
      </c>
      <c r="C11" s="45">
        <v>27</v>
      </c>
      <c r="E11" s="8" t="s">
        <v>16</v>
      </c>
      <c r="F11" s="8">
        <v>8</v>
      </c>
      <c r="G11" s="8">
        <v>8</v>
      </c>
      <c r="H11" s="8">
        <v>8</v>
      </c>
      <c r="I11" s="8">
        <v>8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33">
        <f>SUM(Avaiability!$F11:$N11)</f>
        <v>32</v>
      </c>
      <c r="P11" s="56">
        <f t="shared" si="0"/>
        <v>2.7</v>
      </c>
      <c r="Q11" s="47">
        <f t="shared" si="1"/>
        <v>25.6</v>
      </c>
    </row>
    <row r="12" spans="2:17">
      <c r="B12" t="s">
        <v>4</v>
      </c>
      <c r="C12" s="44">
        <f>C11/C8/C9</f>
        <v>3.375</v>
      </c>
      <c r="E12" s="9" t="s">
        <v>17</v>
      </c>
      <c r="F12" s="9">
        <v>8</v>
      </c>
      <c r="G12" s="9">
        <v>8</v>
      </c>
      <c r="H12" s="9">
        <v>8</v>
      </c>
      <c r="I12" s="9">
        <v>8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32">
        <f>SUM(Avaiability!$F12:$N12)</f>
        <v>32</v>
      </c>
      <c r="P12" s="55">
        <f t="shared" si="0"/>
        <v>2.7</v>
      </c>
      <c r="Q12" s="46">
        <f t="shared" si="1"/>
        <v>25.6</v>
      </c>
    </row>
    <row r="13" spans="2:17">
      <c r="B13" t="s">
        <v>28</v>
      </c>
      <c r="C13" s="44">
        <f>C12/40</f>
        <v>8.4375000000000006E-2</v>
      </c>
      <c r="E13" s="34" t="s">
        <v>18</v>
      </c>
      <c r="F13" s="34">
        <v>8</v>
      </c>
      <c r="G13" s="34">
        <v>0</v>
      </c>
      <c r="H13" s="34">
        <v>8</v>
      </c>
      <c r="I13" s="34">
        <v>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5">
        <f>SUM(Avaiability!$F13:$N13)</f>
        <v>24</v>
      </c>
      <c r="P13" s="57">
        <f t="shared" si="0"/>
        <v>2.0250000000000004</v>
      </c>
      <c r="Q13" s="48">
        <f t="shared" si="1"/>
        <v>19.200000000000003</v>
      </c>
    </row>
    <row r="14" spans="2:17">
      <c r="B14" t="s">
        <v>25</v>
      </c>
      <c r="C14" s="38">
        <f>O14/(40*C9*C8)</f>
        <v>0.89375000000000004</v>
      </c>
      <c r="E14" s="13" t="s">
        <v>5</v>
      </c>
      <c r="F14" s="13">
        <f>SUM(F4:F13)</f>
        <v>68</v>
      </c>
      <c r="G14" s="13">
        <f t="shared" ref="G14:N14" si="2">SUM(G4:G13)</f>
        <v>64</v>
      </c>
      <c r="H14" s="13">
        <f t="shared" si="2"/>
        <v>80</v>
      </c>
      <c r="I14" s="13">
        <f t="shared" si="2"/>
        <v>74</v>
      </c>
      <c r="J14" s="13">
        <f t="shared" si="2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>SUM(Avaiability!$F14:$N14)</f>
        <v>286</v>
      </c>
      <c r="P14" s="49">
        <f t="shared" si="0"/>
        <v>24.131250000000001</v>
      </c>
      <c r="Q14" s="49">
        <f>SUM(Q4:Q13)</f>
        <v>228.8</v>
      </c>
    </row>
    <row r="15" spans="2:17">
      <c r="B15" t="s">
        <v>29</v>
      </c>
      <c r="C15" s="37">
        <f>C11*C14</f>
        <v>24.131250000000001</v>
      </c>
    </row>
    <row r="16" spans="2:17">
      <c r="B16" t="s">
        <v>32</v>
      </c>
      <c r="C16" s="43"/>
    </row>
    <row r="18" spans="2:3">
      <c r="B18" t="s">
        <v>39</v>
      </c>
      <c r="C18" s="43">
        <v>0.8</v>
      </c>
    </row>
    <row r="19" spans="2:3">
      <c r="B19" t="s">
        <v>40</v>
      </c>
      <c r="C19" s="58">
        <v>130</v>
      </c>
    </row>
    <row r="21" spans="2:3">
      <c r="B21" t="s">
        <v>42</v>
      </c>
      <c r="C21" s="59">
        <v>0.3</v>
      </c>
    </row>
    <row r="22" spans="2:3">
      <c r="C22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F26" sqref="F26"/>
    </sheetView>
  </sheetViews>
  <sheetFormatPr baseColWidth="10" defaultRowHeight="15" x14ac:dyDescent="0"/>
  <cols>
    <col min="2" max="2" width="17.1640625" bestFit="1" customWidth="1"/>
    <col min="3" max="3" width="11.5" customWidth="1"/>
    <col min="4" max="4" width="17.83203125" customWidth="1"/>
    <col min="5" max="5" width="21.33203125" customWidth="1"/>
    <col min="7" max="7" width="19.6640625" bestFit="1" customWidth="1"/>
  </cols>
  <sheetData>
    <row r="3" spans="2:11" s="18" customFormat="1" ht="20">
      <c r="B3" s="17" t="s">
        <v>8</v>
      </c>
      <c r="C3" s="39">
        <f>Avaiability!Q14*(1-Avaiability!$C$21)</f>
        <v>160.16</v>
      </c>
      <c r="D3" s="17"/>
      <c r="E3" s="52">
        <v>152</v>
      </c>
      <c r="F3" s="17"/>
      <c r="G3" s="17"/>
      <c r="H3" s="17"/>
      <c r="J3" s="19" t="s">
        <v>7</v>
      </c>
      <c r="K3" s="19"/>
    </row>
    <row r="4" spans="2:11">
      <c r="B4" s="4" t="s">
        <v>3</v>
      </c>
      <c r="C4" s="5" t="s">
        <v>1</v>
      </c>
      <c r="D4" s="5"/>
      <c r="E4" s="5" t="s">
        <v>23</v>
      </c>
      <c r="F4" s="5" t="s">
        <v>0</v>
      </c>
      <c r="G4" s="5" t="s">
        <v>24</v>
      </c>
      <c r="H4" s="6" t="s">
        <v>9</v>
      </c>
      <c r="J4" s="14" t="s">
        <v>11</v>
      </c>
      <c r="K4" s="14" t="s">
        <v>2</v>
      </c>
    </row>
    <row r="5" spans="2:11">
      <c r="B5" s="3" t="s">
        <v>52</v>
      </c>
      <c r="C5" s="53">
        <f>Avaiability!Q4*(1-Avaiability!$C$21)</f>
        <v>13.440000000000001</v>
      </c>
      <c r="D5" s="3"/>
      <c r="E5" s="53">
        <f>E3</f>
        <v>152</v>
      </c>
      <c r="F5" s="15">
        <v>0</v>
      </c>
      <c r="G5" s="50">
        <f>IF(F5="","",E5-F5+J5)</f>
        <v>152</v>
      </c>
      <c r="H5" s="26">
        <f>IF(F5="",NA(),MAX(0,G5-E5))</f>
        <v>0</v>
      </c>
      <c r="J5" s="21">
        <v>0</v>
      </c>
      <c r="K5" s="28">
        <f>H5</f>
        <v>0</v>
      </c>
    </row>
    <row r="6" spans="2:11">
      <c r="B6" s="7" t="str">
        <f>Avaiability!E5</f>
        <v>Tuesday</v>
      </c>
      <c r="C6" s="54">
        <f>Avaiability!Q5*(1-Avaiability!$C$21)</f>
        <v>17.36</v>
      </c>
      <c r="D6" s="7"/>
      <c r="E6" s="54">
        <f t="shared" ref="E6:E15" si="0">MAX(0,E5-C5+J5)</f>
        <v>138.56</v>
      </c>
      <c r="F6" s="20">
        <v>5</v>
      </c>
      <c r="G6" s="51">
        <f>IF(F6="","",MAX(0,G5-F6+J6))</f>
        <v>147</v>
      </c>
      <c r="H6" s="27">
        <f>IF(F6="",NA(),G6-E6)</f>
        <v>8.4399999999999977</v>
      </c>
      <c r="J6" s="22">
        <v>0</v>
      </c>
      <c r="K6" s="29">
        <f t="shared" ref="K6:K15" si="1">H6</f>
        <v>8.4399999999999977</v>
      </c>
    </row>
    <row r="7" spans="2:11">
      <c r="B7" s="3" t="str">
        <f>Avaiability!E6</f>
        <v>Wednesday</v>
      </c>
      <c r="C7" s="53">
        <f>Avaiability!Q6*(1-Avaiability!$C$21)</f>
        <v>17.36</v>
      </c>
      <c r="D7" s="3"/>
      <c r="E7" s="53">
        <f t="shared" si="0"/>
        <v>121.2</v>
      </c>
      <c r="F7" s="16">
        <f>5+1+1+1+2+2+7+3+1+2+4-1</f>
        <v>28</v>
      </c>
      <c r="G7" s="50">
        <f t="shared" ref="G7:G15" si="2">IF(F7="","",MAX(0,G6-F7+J7))</f>
        <v>119</v>
      </c>
      <c r="H7" s="26">
        <f t="shared" ref="H7:H15" si="3">IF(F7="",NA(),G7-E7)</f>
        <v>-2.2000000000000028</v>
      </c>
      <c r="J7" s="22">
        <v>0</v>
      </c>
      <c r="K7" s="28">
        <f t="shared" si="1"/>
        <v>-2.2000000000000028</v>
      </c>
    </row>
    <row r="8" spans="2:11">
      <c r="B8" s="7" t="str">
        <f>Avaiability!E7</f>
        <v>Thursday</v>
      </c>
      <c r="C8" s="54">
        <f>Avaiability!Q7*(1-Avaiability!$C$21)</f>
        <v>15.12</v>
      </c>
      <c r="D8" s="7"/>
      <c r="E8" s="54">
        <f t="shared" si="0"/>
        <v>103.84</v>
      </c>
      <c r="F8" s="16">
        <f>2+9+5</f>
        <v>16</v>
      </c>
      <c r="G8" s="51">
        <f>IF(F8="","",MAX(0,G7-F8+J8))</f>
        <v>103</v>
      </c>
      <c r="H8" s="27">
        <f t="shared" si="3"/>
        <v>-0.84000000000000341</v>
      </c>
      <c r="J8" s="22">
        <v>0</v>
      </c>
      <c r="K8" s="29">
        <f t="shared" si="1"/>
        <v>-0.84000000000000341</v>
      </c>
    </row>
    <row r="9" spans="2:11">
      <c r="B9" s="3" t="str">
        <f>Avaiability!E8</f>
        <v>Friday</v>
      </c>
      <c r="C9" s="53">
        <f>Avaiability!Q8*(1-Avaiability!$C$21)</f>
        <v>12.88</v>
      </c>
      <c r="D9" s="3"/>
      <c r="E9" s="53">
        <f t="shared" si="0"/>
        <v>88.72</v>
      </c>
      <c r="F9" s="16">
        <f>1+1+1+1+1+3+1+1</f>
        <v>10</v>
      </c>
      <c r="G9" s="50">
        <f t="shared" si="2"/>
        <v>93</v>
      </c>
      <c r="H9" s="26">
        <f t="shared" si="3"/>
        <v>4.2800000000000011</v>
      </c>
      <c r="J9" s="22">
        <v>0</v>
      </c>
      <c r="K9" s="28">
        <f t="shared" si="1"/>
        <v>4.2800000000000011</v>
      </c>
    </row>
    <row r="10" spans="2:11">
      <c r="B10" s="7" t="str">
        <f>Avaiability!E9</f>
        <v>Monday</v>
      </c>
      <c r="C10" s="54">
        <f>Avaiability!Q9*(1-Avaiability!$C$21)</f>
        <v>17.36</v>
      </c>
      <c r="D10" s="7"/>
      <c r="E10" s="54">
        <f t="shared" si="0"/>
        <v>75.84</v>
      </c>
      <c r="F10" s="20"/>
      <c r="G10" s="51" t="str">
        <f t="shared" si="2"/>
        <v/>
      </c>
      <c r="H10" s="27" t="e">
        <f t="shared" si="3"/>
        <v>#N/A</v>
      </c>
      <c r="J10" s="22">
        <v>0</v>
      </c>
      <c r="K10" s="29" t="e">
        <f t="shared" si="1"/>
        <v>#N/A</v>
      </c>
    </row>
    <row r="11" spans="2:11">
      <c r="B11" s="3" t="str">
        <f>Avaiability!E10</f>
        <v>Tuesday</v>
      </c>
      <c r="C11" s="53">
        <f>Avaiability!Q10*(1-Avaiability!$C$21)</f>
        <v>17.36</v>
      </c>
      <c r="D11" s="3"/>
      <c r="E11" s="53">
        <f t="shared" si="0"/>
        <v>58.480000000000004</v>
      </c>
      <c r="F11" s="16"/>
      <c r="G11" s="50" t="str">
        <f t="shared" si="2"/>
        <v/>
      </c>
      <c r="H11" s="26" t="e">
        <f t="shared" si="3"/>
        <v>#N/A</v>
      </c>
      <c r="J11" s="22">
        <v>0</v>
      </c>
      <c r="K11" s="28" t="e">
        <f t="shared" si="1"/>
        <v>#N/A</v>
      </c>
    </row>
    <row r="12" spans="2:11">
      <c r="B12" s="7" t="str">
        <f>Avaiability!E11</f>
        <v>Wednesday</v>
      </c>
      <c r="C12" s="54">
        <f>Avaiability!Q11*(1-Avaiability!$C$21)</f>
        <v>17.919999999999998</v>
      </c>
      <c r="D12" s="7"/>
      <c r="E12" s="54">
        <f t="shared" si="0"/>
        <v>41.120000000000005</v>
      </c>
      <c r="F12" s="20"/>
      <c r="G12" s="51" t="str">
        <f t="shared" si="2"/>
        <v/>
      </c>
      <c r="H12" s="27" t="e">
        <f t="shared" si="3"/>
        <v>#N/A</v>
      </c>
      <c r="J12" s="22">
        <v>0</v>
      </c>
      <c r="K12" s="29" t="e">
        <f t="shared" si="1"/>
        <v>#N/A</v>
      </c>
    </row>
    <row r="13" spans="2:11" s="18" customFormat="1" ht="15" customHeight="1">
      <c r="B13" s="3" t="str">
        <f>Avaiability!E12</f>
        <v>Thursday</v>
      </c>
      <c r="C13" s="53">
        <f>Avaiability!Q12*(1-Avaiability!$C$21)</f>
        <v>17.919999999999998</v>
      </c>
      <c r="D13" s="3"/>
      <c r="E13" s="53">
        <f t="shared" si="0"/>
        <v>23.200000000000006</v>
      </c>
      <c r="F13" s="16"/>
      <c r="G13" s="50" t="str">
        <f t="shared" si="2"/>
        <v/>
      </c>
      <c r="H13" s="26" t="e">
        <f t="shared" si="3"/>
        <v>#N/A</v>
      </c>
      <c r="J13" s="22">
        <v>0</v>
      </c>
      <c r="K13" s="28" t="e">
        <f t="shared" si="1"/>
        <v>#N/A</v>
      </c>
    </row>
    <row r="14" spans="2:11">
      <c r="B14" s="7" t="str">
        <f>Avaiability!E13</f>
        <v>Friday</v>
      </c>
      <c r="C14" s="54">
        <f>Avaiability!Q13*(1-Avaiability!$C$21)</f>
        <v>13.440000000000001</v>
      </c>
      <c r="D14" s="7"/>
      <c r="E14" s="54">
        <f t="shared" ref="E14" si="4">MAX(0,E13-C13+J13)</f>
        <v>5.2800000000000082</v>
      </c>
      <c r="F14" s="20"/>
      <c r="G14" s="51" t="str">
        <f t="shared" si="2"/>
        <v/>
      </c>
      <c r="H14" s="27" t="e">
        <f t="shared" si="3"/>
        <v>#N/A</v>
      </c>
      <c r="J14" s="22">
        <v>0</v>
      </c>
      <c r="K14" s="29" t="e">
        <f t="shared" si="1"/>
        <v>#N/A</v>
      </c>
    </row>
    <row r="15" spans="2:11">
      <c r="B15" s="3" t="s">
        <v>51</v>
      </c>
      <c r="C15" s="53">
        <v>0</v>
      </c>
      <c r="D15" s="3"/>
      <c r="E15" s="53">
        <f t="shared" si="0"/>
        <v>0</v>
      </c>
      <c r="F15" s="24"/>
      <c r="G15" s="50" t="str">
        <f t="shared" si="2"/>
        <v/>
      </c>
      <c r="H15" s="26" t="e">
        <f t="shared" si="3"/>
        <v>#N/A</v>
      </c>
      <c r="J15" s="23">
        <v>0</v>
      </c>
      <c r="K15" s="28" t="e">
        <f t="shared" si="1"/>
        <v>#N/A</v>
      </c>
    </row>
    <row r="19" spans="2:8" ht="20">
      <c r="B19" s="17" t="s">
        <v>41</v>
      </c>
      <c r="C19" s="39">
        <f>Avaiability!Q14*Avaiability!C21+C3-E3</f>
        <v>76.800000000000011</v>
      </c>
      <c r="D19" s="17"/>
      <c r="E19" s="52">
        <f>Avaiability!C35</f>
        <v>0</v>
      </c>
      <c r="F19" s="17"/>
      <c r="G19" s="17"/>
      <c r="H19" s="17"/>
    </row>
    <row r="20" spans="2:8">
      <c r="B20" s="4" t="s">
        <v>3</v>
      </c>
      <c r="C20" s="5" t="s">
        <v>1</v>
      </c>
      <c r="D20" s="5"/>
      <c r="E20" s="5" t="s">
        <v>48</v>
      </c>
      <c r="F20" s="5" t="s">
        <v>0</v>
      </c>
      <c r="G20" s="5" t="s">
        <v>24</v>
      </c>
      <c r="H20" s="6" t="s">
        <v>43</v>
      </c>
    </row>
    <row r="21" spans="2:8">
      <c r="B21" s="3" t="s">
        <v>52</v>
      </c>
      <c r="C21" s="53">
        <f>Avaiability!Q20</f>
        <v>0</v>
      </c>
      <c r="D21" s="3"/>
      <c r="E21" s="53">
        <f>IF(F21="","",E19+F21)</f>
        <v>0</v>
      </c>
      <c r="F21" s="15">
        <v>0</v>
      </c>
      <c r="G21" s="50">
        <f>IF(F21="","",C19-F21)</f>
        <v>76.800000000000011</v>
      </c>
      <c r="H21" s="26">
        <f>C19</f>
        <v>76.800000000000011</v>
      </c>
    </row>
    <row r="22" spans="2:8">
      <c r="B22" s="7" t="str">
        <f>Avaiability!E5</f>
        <v>Tuesday</v>
      </c>
      <c r="C22" s="54">
        <f>Avaiability!Q21</f>
        <v>0</v>
      </c>
      <c r="D22" s="7"/>
      <c r="E22" s="54">
        <f t="shared" ref="E22:E27" si="5">IF(F22="","",E21+F22)</f>
        <v>8</v>
      </c>
      <c r="F22" s="20">
        <f>2+2+4</f>
        <v>8</v>
      </c>
      <c r="G22" s="51">
        <f>IF(F22="","",MAX(0,G21-F22))</f>
        <v>68.800000000000011</v>
      </c>
      <c r="H22" s="27">
        <f>H21</f>
        <v>76.800000000000011</v>
      </c>
    </row>
    <row r="23" spans="2:8">
      <c r="B23" s="3" t="str">
        <f>Avaiability!E6</f>
        <v>Wednesday</v>
      </c>
      <c r="C23" s="53">
        <f>Avaiability!Q22</f>
        <v>0</v>
      </c>
      <c r="D23" s="3"/>
      <c r="E23" s="53">
        <f t="shared" si="5"/>
        <v>10</v>
      </c>
      <c r="F23" s="16">
        <v>2</v>
      </c>
      <c r="G23" s="50">
        <f t="shared" ref="G23:G31" si="6">IF(F23="","",MAX(0,G22-F23+J23))</f>
        <v>66.800000000000011</v>
      </c>
      <c r="H23" s="26">
        <f t="shared" ref="H23:H31" si="7">H22</f>
        <v>76.800000000000011</v>
      </c>
    </row>
    <row r="24" spans="2:8">
      <c r="B24" s="7" t="str">
        <f>Avaiability!E7</f>
        <v>Thursday</v>
      </c>
      <c r="C24" s="54">
        <f>Avaiability!Q23</f>
        <v>0</v>
      </c>
      <c r="D24" s="7"/>
      <c r="E24" s="54">
        <f t="shared" si="5"/>
        <v>16</v>
      </c>
      <c r="F24" s="16">
        <f>2+2+2</f>
        <v>6</v>
      </c>
      <c r="G24" s="51">
        <f t="shared" si="6"/>
        <v>60.800000000000011</v>
      </c>
      <c r="H24" s="27">
        <f t="shared" si="7"/>
        <v>76.800000000000011</v>
      </c>
    </row>
    <row r="25" spans="2:8">
      <c r="B25" s="3" t="str">
        <f>Avaiability!E8</f>
        <v>Friday</v>
      </c>
      <c r="C25" s="53">
        <f>Avaiability!Q24</f>
        <v>0</v>
      </c>
      <c r="D25" s="3"/>
      <c r="E25" s="53">
        <f t="shared" si="5"/>
        <v>19</v>
      </c>
      <c r="F25" s="16">
        <v>3</v>
      </c>
      <c r="G25" s="50">
        <f t="shared" si="6"/>
        <v>57.800000000000011</v>
      </c>
      <c r="H25" s="26">
        <f t="shared" si="7"/>
        <v>76.800000000000011</v>
      </c>
    </row>
    <row r="26" spans="2:8">
      <c r="B26" s="7" t="str">
        <f>Avaiability!E9</f>
        <v>Monday</v>
      </c>
      <c r="C26" s="54">
        <f>Avaiability!Q25</f>
        <v>0</v>
      </c>
      <c r="D26" s="7"/>
      <c r="E26" s="54" t="str">
        <f t="shared" si="5"/>
        <v/>
      </c>
      <c r="F26" s="20"/>
      <c r="G26" s="51" t="str">
        <f t="shared" si="6"/>
        <v/>
      </c>
      <c r="H26" s="27">
        <f t="shared" si="7"/>
        <v>76.800000000000011</v>
      </c>
    </row>
    <row r="27" spans="2:8">
      <c r="B27" s="3" t="str">
        <f>Avaiability!E10</f>
        <v>Tuesday</v>
      </c>
      <c r="C27" s="53">
        <f>Avaiability!Q26</f>
        <v>0</v>
      </c>
      <c r="D27" s="3"/>
      <c r="E27" s="53" t="str">
        <f t="shared" si="5"/>
        <v/>
      </c>
      <c r="F27" s="16"/>
      <c r="G27" s="50" t="str">
        <f t="shared" si="6"/>
        <v/>
      </c>
      <c r="H27" s="26">
        <f t="shared" si="7"/>
        <v>76.800000000000011</v>
      </c>
    </row>
    <row r="28" spans="2:8">
      <c r="B28" s="7" t="str">
        <f>Avaiability!E11</f>
        <v>Wednesday</v>
      </c>
      <c r="C28" s="54">
        <f>Avaiability!Q27</f>
        <v>0</v>
      </c>
      <c r="D28" s="7"/>
      <c r="E28" s="54" t="str">
        <f>IF(F28="","",E27+F28)</f>
        <v/>
      </c>
      <c r="F28" s="20"/>
      <c r="G28" s="51" t="str">
        <f t="shared" si="6"/>
        <v/>
      </c>
      <c r="H28" s="27">
        <f t="shared" si="7"/>
        <v>76.800000000000011</v>
      </c>
    </row>
    <row r="29" spans="2:8">
      <c r="B29" s="3" t="str">
        <f>Avaiability!E12</f>
        <v>Thursday</v>
      </c>
      <c r="C29" s="53">
        <f>Avaiability!Q28</f>
        <v>0</v>
      </c>
      <c r="D29" s="3"/>
      <c r="E29" s="53" t="str">
        <f t="shared" ref="E29:E31" si="8">IF(F29="","",E28+F29)</f>
        <v/>
      </c>
      <c r="F29" s="16"/>
      <c r="G29" s="50" t="str">
        <f t="shared" si="6"/>
        <v/>
      </c>
      <c r="H29" s="26">
        <f t="shared" si="7"/>
        <v>76.800000000000011</v>
      </c>
    </row>
    <row r="30" spans="2:8">
      <c r="B30" s="7" t="str">
        <f>Avaiability!E13</f>
        <v>Friday</v>
      </c>
      <c r="C30" s="54">
        <f>Avaiability!Q29</f>
        <v>0</v>
      </c>
      <c r="D30" s="7"/>
      <c r="E30" s="54" t="str">
        <f t="shared" si="8"/>
        <v/>
      </c>
      <c r="F30" s="20"/>
      <c r="G30" s="51" t="str">
        <f t="shared" si="6"/>
        <v/>
      </c>
      <c r="H30" s="27">
        <f t="shared" si="7"/>
        <v>76.800000000000011</v>
      </c>
    </row>
    <row r="31" spans="2:8">
      <c r="B31" s="3" t="s">
        <v>51</v>
      </c>
      <c r="C31" s="53">
        <v>0</v>
      </c>
      <c r="D31" s="3"/>
      <c r="E31" s="53" t="str">
        <f t="shared" si="8"/>
        <v/>
      </c>
      <c r="F31" s="24"/>
      <c r="G31" s="50" t="str">
        <f t="shared" si="6"/>
        <v/>
      </c>
      <c r="H31" s="26">
        <f t="shared" si="7"/>
        <v>76.800000000000011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workbookViewId="0">
      <selection activeCell="S32" sqref="S32"/>
    </sheetView>
  </sheetViews>
  <sheetFormatPr baseColWidth="10" defaultRowHeight="15" x14ac:dyDescent="0"/>
  <cols>
    <col min="1" max="1" width="1.6640625" customWidth="1"/>
    <col min="2" max="2" width="19.6640625" customWidth="1"/>
    <col min="3" max="3" width="34" customWidth="1"/>
    <col min="4" max="4" width="12" customWidth="1"/>
    <col min="7" max="7" width="4.1640625" customWidth="1"/>
    <col min="8" max="8" width="11.6640625" customWidth="1"/>
    <col min="10" max="10" width="3.83203125" customWidth="1"/>
    <col min="13" max="13" width="3.1640625" customWidth="1"/>
    <col min="16" max="16" width="1.1640625" customWidth="1"/>
  </cols>
  <sheetData>
    <row r="2" spans="2:15" ht="30">
      <c r="B2" s="25" t="str">
        <f>Avaiability!C5</f>
        <v>Shine</v>
      </c>
      <c r="C2" s="25" t="s">
        <v>21</v>
      </c>
      <c r="D2" s="25"/>
      <c r="E2" s="30" t="s">
        <v>19</v>
      </c>
      <c r="F2" s="31" t="str">
        <f>Avaiability!C6</f>
        <v>16.1.4</v>
      </c>
      <c r="G2" s="1"/>
      <c r="H2" s="30" t="s">
        <v>46</v>
      </c>
      <c r="I2" s="40" t="s">
        <v>49</v>
      </c>
      <c r="J2" s="1"/>
      <c r="K2" s="30" t="s">
        <v>47</v>
      </c>
      <c r="L2" s="40">
        <f>'Burndown Data'!E3+SUM('Burndown Data'!J5:J15)-O2</f>
        <v>152</v>
      </c>
      <c r="M2" s="1"/>
      <c r="N2" s="30"/>
      <c r="O2" s="31"/>
    </row>
  </sheetData>
  <phoneticPr fontId="6" type="noConversion"/>
  <pageMargins left="0.75000000000000011" right="0.75000000000000011" top="1" bottom="1" header="0.5" footer="0.5"/>
  <pageSetup paperSize="9" scale="7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topLeftCell="A2" workbookViewId="0">
      <selection activeCell="J45" sqref="J45"/>
    </sheetView>
  </sheetViews>
  <sheetFormatPr baseColWidth="10" defaultRowHeight="15" x14ac:dyDescent="0"/>
  <cols>
    <col min="1" max="1" width="2.6640625" customWidth="1"/>
    <col min="2" max="2" width="17.6640625" customWidth="1"/>
    <col min="3" max="3" width="30.1640625" bestFit="1" customWidth="1"/>
    <col min="16" max="16" width="3" customWidth="1"/>
  </cols>
  <sheetData>
    <row r="2" spans="2:15" ht="30">
      <c r="B2" s="25" t="str">
        <f>Avaiability!C5</f>
        <v>Shine</v>
      </c>
      <c r="C2" s="25" t="s">
        <v>45</v>
      </c>
      <c r="D2" s="25"/>
      <c r="E2" s="30" t="s">
        <v>19</v>
      </c>
      <c r="F2" s="31" t="str">
        <f>Avaiability!C6</f>
        <v>16.1.4</v>
      </c>
      <c r="G2" s="1"/>
      <c r="H2" s="30" t="s">
        <v>43</v>
      </c>
      <c r="I2" s="40">
        <f>'Burndown Data'!C19</f>
        <v>76.800000000000011</v>
      </c>
      <c r="J2" s="1"/>
      <c r="K2" s="30" t="s">
        <v>44</v>
      </c>
      <c r="L2" s="40">
        <f>MAX('Burndown Data'!F21:F31)</f>
        <v>8</v>
      </c>
      <c r="M2" s="1"/>
      <c r="N2" s="30" t="s">
        <v>24</v>
      </c>
      <c r="O2" s="40">
        <f>MIN('Burndown Data'!G21:G31)</f>
        <v>57.800000000000011</v>
      </c>
    </row>
  </sheetData>
  <phoneticPr fontId="6" type="noConversion"/>
  <pageMargins left="0.75" right="0.75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Avaiability</vt:lpstr>
      <vt:lpstr>Burndown Data</vt:lpstr>
      <vt:lpstr>Burndown Chart</vt:lpstr>
      <vt:lpstr>Support Chart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 Philips</dc:creator>
  <cp:lastModifiedBy>Philips Philips</cp:lastModifiedBy>
  <cp:lastPrinted>2016-02-04T08:58:27Z</cp:lastPrinted>
  <dcterms:created xsi:type="dcterms:W3CDTF">2014-07-24T13:05:35Z</dcterms:created>
  <dcterms:modified xsi:type="dcterms:W3CDTF">2016-02-12T10:04:05Z</dcterms:modified>
</cp:coreProperties>
</file>