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620"/>
  </bookViews>
  <sheets>
    <sheet name="Revised Datas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<sst xmlns="http://schemas.openxmlformats.org/spreadsheetml/2006/main" count="852" uniqueCount="483">
  <si>
    <r>
      <rPr>
        <sz val="11"/>
        <color theme="1"/>
        <rFont val="Aptos Narrow"/>
        <charset val="134"/>
        <scheme val="minor"/>
      </rPr>
      <t>HFACS (GMI)-1</t>
    </r>
    <r>
      <rPr>
        <sz val="12"/>
        <color theme="1"/>
        <rFont val="Aptos Narrow"/>
        <charset val="134"/>
        <scheme val="minor"/>
      </rPr>
      <t>st</t>
    </r>
    <r>
      <rPr>
        <sz val="11"/>
        <color theme="1"/>
        <rFont val="Aptos Narrow"/>
        <charset val="134"/>
        <scheme val="minor"/>
      </rPr>
      <t xml:space="preserve"> Tier</t>
    </r>
  </si>
  <si>
    <t>HFACS (GMI)-2nd Tier</t>
  </si>
  <si>
    <t>HFACS (GMI)-3nd Tier</t>
  </si>
  <si>
    <t>DATE</t>
  </si>
  <si>
    <t>INCIDENT DESCRIPTION</t>
  </si>
  <si>
    <t>OPERATOR'S AGE</t>
  </si>
  <si>
    <t>WORKING EXPERIENCE</t>
  </si>
  <si>
    <t>TIME OF INCIDENT</t>
  </si>
  <si>
    <t>EQUIPMENT INVOLVED</t>
  </si>
  <si>
    <t>DIRECT CAUSE</t>
  </si>
  <si>
    <t>Human_Errors</t>
  </si>
  <si>
    <t>ROOT CAUSE</t>
  </si>
  <si>
    <t>COMPONENT DAMAGED</t>
  </si>
  <si>
    <t>COST OF DAMAGED COMPONENT ($)</t>
  </si>
  <si>
    <t>MEAN TIME TO REPAIR (HRS)</t>
  </si>
  <si>
    <t>EQUIPMENT DOWNTIME (HRS)</t>
  </si>
  <si>
    <t>EXPECED HOURLY PRODUCTIVITY OF EQUIPMENT (BCM)</t>
  </si>
  <si>
    <t>REVENUE (PRODUCTION) LOST ($)</t>
  </si>
  <si>
    <r>
      <rPr>
        <sz val="11"/>
        <color theme="1"/>
        <rFont val="Aptos Narrow"/>
        <charset val="134"/>
        <scheme val="minor"/>
      </rPr>
      <t xml:space="preserve"> CLASSIFICATION </t>
    </r>
    <r>
      <rPr>
        <b/>
        <sz val="11"/>
        <color theme="1"/>
        <rFont val="Aptos Narrow"/>
        <charset val="134"/>
        <scheme val="minor"/>
      </rPr>
      <t>BASED ON SHIFT</t>
    </r>
  </si>
  <si>
    <r>
      <rPr>
        <sz val="11"/>
        <color theme="1"/>
        <rFont val="Aptos Narrow"/>
        <charset val="134"/>
        <scheme val="minor"/>
      </rPr>
      <t xml:space="preserve"> CLASSIFICATION </t>
    </r>
    <r>
      <rPr>
        <b/>
        <sz val="11"/>
        <color theme="1"/>
        <rFont val="Aptos Narrow"/>
        <charset val="134"/>
        <scheme val="minor"/>
      </rPr>
      <t>OPERATOR EXPERIENCE</t>
    </r>
  </si>
  <si>
    <r>
      <rPr>
        <sz val="11"/>
        <color theme="1"/>
        <rFont val="Aptos Narrow"/>
        <charset val="134"/>
        <scheme val="minor"/>
      </rPr>
      <t xml:space="preserve"> CLASSIFICATION </t>
    </r>
    <r>
      <rPr>
        <b/>
        <sz val="11"/>
        <color theme="1"/>
        <rFont val="Aptos Narrow"/>
        <charset val="134"/>
        <scheme val="minor"/>
      </rPr>
      <t>BASED ON SUB-SYSTEM DAMAGED</t>
    </r>
  </si>
  <si>
    <r>
      <rPr>
        <sz val="11"/>
        <color theme="1"/>
        <rFont val="Aptos Narrow"/>
        <charset val="134"/>
        <scheme val="minor"/>
      </rPr>
      <t xml:space="preserve"> CLASSIFICATION </t>
    </r>
    <r>
      <rPr>
        <b/>
        <sz val="11"/>
        <color theme="1"/>
        <rFont val="Aptos Narrow"/>
        <charset val="134"/>
        <scheme val="minor"/>
      </rPr>
      <t>BASED ON  DAMAGED EQUIPMENT</t>
    </r>
  </si>
  <si>
    <r>
      <rPr>
        <sz val="11"/>
        <color theme="1"/>
        <rFont val="Aptos Narrow"/>
        <charset val="134"/>
        <scheme val="minor"/>
      </rPr>
      <t xml:space="preserve"> CLASSIFICATION </t>
    </r>
    <r>
      <rPr>
        <b/>
        <sz val="11"/>
        <color theme="1"/>
        <rFont val="Aptos Narrow"/>
        <charset val="134"/>
        <scheme val="minor"/>
      </rPr>
      <t>BASED ON  SEVERITY OF INCIDENT</t>
    </r>
  </si>
  <si>
    <r>
      <rPr>
        <sz val="11"/>
        <color theme="1"/>
        <rFont val="Aptos Narrow"/>
        <charset val="134"/>
        <scheme val="minor"/>
      </rPr>
      <t xml:space="preserve"> CLASSIFICATION </t>
    </r>
    <r>
      <rPr>
        <b/>
        <sz val="11"/>
        <color theme="1"/>
        <rFont val="Aptos Narrow"/>
        <charset val="134"/>
        <scheme val="minor"/>
      </rPr>
      <t>BASED ON  CAUSE</t>
    </r>
  </si>
  <si>
    <t>ACTIVE FAILURES</t>
  </si>
  <si>
    <t>LATENT CONDITIONS</t>
  </si>
  <si>
    <t>Operator's Act</t>
  </si>
  <si>
    <t>Workplace/Individual Conditions</t>
  </si>
  <si>
    <t>Organizational Factors</t>
  </si>
  <si>
    <t>18 February, 2016</t>
  </si>
  <si>
    <r>
      <rPr>
        <sz val="10"/>
        <rFont val="Arial"/>
        <charset val="134"/>
      </rPr>
      <t xml:space="preserve"> At about 12:45 pm, Whilst Dump Truck Operator,</t>
    </r>
    <r>
      <rPr>
        <b/>
        <sz val="10"/>
        <rFont val="Arial"/>
        <charset val="134"/>
      </rPr>
      <t xml:space="preserve"> Noel Ocloo,</t>
    </r>
    <r>
      <rPr>
        <sz val="10"/>
        <rFont val="Arial"/>
        <charset val="134"/>
      </rPr>
      <t xml:space="preserve"> of E&amp;P truck 68 was descending a hill between Rex and Amoada pit access road , he lost control and veered off the road and the truck fell on the operator's side, causing damages to the frame and chasis, mirrors, steps lader, lights, handrails, sensors and axle and deferrential component. There was no injury to the operator. Alcohol test proved negative but drug test was positive </t>
    </r>
    <r>
      <rPr>
        <b/>
        <sz val="10"/>
        <rFont val="Arial"/>
        <charset val="134"/>
      </rPr>
      <t xml:space="preserve">The operator is 39 years old has 4 years of experience as a dump Truck operator </t>
    </r>
  </si>
  <si>
    <t>Dump Truck</t>
  </si>
  <si>
    <t xml:space="preserve">1. Failed to report microsleep symtoms
2. Non-compliance with standards and procedures     </t>
  </si>
  <si>
    <t xml:space="preserve">Operating under the influence of phychoactive drugs </t>
  </si>
  <si>
    <t>Frames &amp; chasis, side mirrors, step ladder,handrails, axle and deferentials</t>
  </si>
  <si>
    <t>Day</t>
  </si>
  <si>
    <t>B</t>
  </si>
  <si>
    <t>Multiple Subsystems</t>
  </si>
  <si>
    <t>MAJOR</t>
  </si>
  <si>
    <t>Human Factor</t>
  </si>
  <si>
    <r>
      <rPr>
        <b/>
        <sz val="11"/>
        <color theme="1"/>
        <rFont val="Aptos Narrow"/>
        <charset val="134"/>
        <scheme val="minor"/>
      </rPr>
      <t>Contravention-</t>
    </r>
    <r>
      <rPr>
        <sz val="11"/>
        <color theme="1"/>
        <rFont val="Aptos Narrow"/>
        <charset val="134"/>
        <scheme val="minor"/>
      </rPr>
      <t>Operating under the influence of phychoactive drugs</t>
    </r>
  </si>
  <si>
    <r>
      <rPr>
        <sz val="10"/>
        <color theme="1"/>
        <rFont val="Arial"/>
        <charset val="134"/>
      </rPr>
      <t>At about 2:00 AM Whilst</t>
    </r>
    <r>
      <rPr>
        <b/>
        <sz val="10"/>
        <color theme="1"/>
        <rFont val="Arial"/>
        <charset val="134"/>
      </rPr>
      <t xml:space="preserve"> Enock Boadu</t>
    </r>
    <r>
      <rPr>
        <sz val="10"/>
        <color theme="1"/>
        <rFont val="Arial"/>
        <charset val="134"/>
      </rPr>
      <t xml:space="preserve"> an Excavator Operator was assigned to EX-39 to mine low grade material  at the secondary crusher, in the process of mining, the blind side glass got shattered by a dislodged rock debris from high bench face. Drug and alcohol test was negative. </t>
    </r>
    <r>
      <rPr>
        <b/>
        <sz val="10"/>
        <color theme="1"/>
        <rFont val="Arial"/>
        <charset val="134"/>
      </rPr>
      <t>The operator is 41 years old, with 6 years of experience as an excavator operator</t>
    </r>
  </si>
  <si>
    <t>2:00am</t>
  </si>
  <si>
    <t>Excavator</t>
  </si>
  <si>
    <t>1.  Poor communication
2.  Improper position for task</t>
  </si>
  <si>
    <t>Improper bench design and slope angle compliance, with posible undercut mining</t>
  </si>
  <si>
    <t>Side glass</t>
  </si>
  <si>
    <t>Dayworks/ Equipment Hire</t>
  </si>
  <si>
    <t>Night</t>
  </si>
  <si>
    <t>C</t>
  </si>
  <si>
    <t>CABIN/ INTERFACE</t>
  </si>
  <si>
    <t>MINOR</t>
  </si>
  <si>
    <r>
      <rPr>
        <b/>
        <sz val="11"/>
        <color theme="1"/>
        <rFont val="Aptos Narrow"/>
        <charset val="134"/>
        <scheme val="minor"/>
      </rPr>
      <t>Leadership flaw</t>
    </r>
    <r>
      <rPr>
        <sz val="11"/>
        <color theme="1"/>
        <rFont val="Aptos Narrow"/>
        <charset val="134"/>
        <scheme val="minor"/>
      </rPr>
      <t>-Inadequate task assessment by supervisor prior to assignment</t>
    </r>
  </si>
  <si>
    <r>
      <rPr>
        <sz val="10"/>
        <rFont val="Arial"/>
        <charset val="134"/>
      </rPr>
      <t xml:space="preserve">While </t>
    </r>
    <r>
      <rPr>
        <b/>
        <sz val="10"/>
        <rFont val="Arial"/>
        <charset val="134"/>
      </rPr>
      <t xml:space="preserve">Abdul K. Mohammed </t>
    </r>
    <r>
      <rPr>
        <sz val="10"/>
        <rFont val="Arial"/>
        <charset val="134"/>
      </rPr>
      <t xml:space="preserve">at about 1:20pm, was hauling waste rock material from Pond dump to Amoanda for haul road construction, the  position7 tyre of E&amp;P tipper Truck (RT73) got burst. The truck was safely parked, with no injury. Drug and Alcohol test conducted was negative. </t>
    </r>
    <r>
      <rPr>
        <b/>
        <sz val="10"/>
        <rFont val="Arial"/>
        <charset val="134"/>
      </rPr>
      <t>The operator is 46 years old, with 5 years of experience as a dump truck operator</t>
    </r>
    <r>
      <rPr>
        <sz val="10"/>
        <rFont val="Arial"/>
        <charset val="134"/>
      </rPr>
      <t xml:space="preserve">
</t>
    </r>
  </si>
  <si>
    <t>01:20pm</t>
  </si>
  <si>
    <t xml:space="preserve">Run over spilled sharp debris of rocks </t>
  </si>
  <si>
    <t>Retreaded tyre depth due to skipped planned maintenace tyre checks</t>
  </si>
  <si>
    <t>Tyre</t>
  </si>
  <si>
    <t>UNDDERCARRIAGE</t>
  </si>
  <si>
    <r>
      <rPr>
        <b/>
        <sz val="11"/>
        <color theme="1"/>
        <rFont val="Aptos Narrow"/>
        <charset val="134"/>
        <scheme val="minor"/>
      </rPr>
      <t>Leadership flaw</t>
    </r>
    <r>
      <rPr>
        <sz val="11"/>
        <color theme="1"/>
        <rFont val="Aptos Narrow"/>
        <charset val="134"/>
        <scheme val="minor"/>
      </rPr>
      <t>- Inadequate planned maintenance and inspection on tyres</t>
    </r>
  </si>
  <si>
    <t>23rd August 2016</t>
  </si>
  <si>
    <r>
      <rPr>
        <sz val="10"/>
        <rFont val="Arial"/>
        <charset val="134"/>
      </rPr>
      <t xml:space="preserve">At about 03:44 am, While  </t>
    </r>
    <r>
      <rPr>
        <b/>
        <sz val="10"/>
        <rFont val="Arial"/>
        <charset val="134"/>
      </rPr>
      <t>Salisu Alhassan</t>
    </r>
    <r>
      <rPr>
        <sz val="10"/>
        <rFont val="Arial"/>
        <charset val="134"/>
      </rPr>
      <t xml:space="preserve"> hauling ore from Amoanda pit to Rompad, E&amp;P truck 66 operator heard a loud noise from under the truck and immediately felt some imbalance in the truck movement. The operator parked safely off the haul road and realised the position 9&amp;10 tyres have all been detatched/removed. Drug and alcohol test conducted was negative. </t>
    </r>
    <r>
      <rPr>
        <b/>
        <sz val="10"/>
        <rFont val="Arial"/>
        <charset val="134"/>
      </rPr>
      <t>The operator is 41 years old with 4 years of experience on dump truck operation</t>
    </r>
    <r>
      <rPr>
        <sz val="10"/>
        <rFont val="Arial"/>
        <charset val="134"/>
      </rPr>
      <t xml:space="preserve"> </t>
    </r>
  </si>
  <si>
    <t>03:44am</t>
  </si>
  <si>
    <t>Incorrect torqueing of wheel nuts (lug nuts) – under-tightening
Failure to re-torque after initial operation and lnproper pre-start checks</t>
  </si>
  <si>
    <t xml:space="preserve">1. Stretched wheel studs from repeated over-torqueing  Improper  pre-use inspections for wheel nuts, rims, and tyre pressure
2. No post-maintenance torque checks or re-inspections
3. Lack of predictive maintenance routines </t>
  </si>
  <si>
    <t>Tyre shaft</t>
  </si>
  <si>
    <t>MECHANICAL</t>
  </si>
  <si>
    <t>MODERATE</t>
  </si>
  <si>
    <r>
      <rPr>
        <b/>
        <sz val="11"/>
        <color theme="1"/>
        <rFont val="Aptos Narrow"/>
        <charset val="134"/>
        <scheme val="minor"/>
      </rPr>
      <t>Leadership flaw</t>
    </r>
    <r>
      <rPr>
        <sz val="11"/>
        <color theme="1"/>
        <rFont val="Aptos Narrow"/>
        <charset val="134"/>
        <scheme val="minor"/>
      </rPr>
      <t xml:space="preserve">- Inadequate planned maintenance and inspection </t>
    </r>
  </si>
  <si>
    <r>
      <rPr>
        <sz val="10"/>
        <rFont val="Arial"/>
        <charset val="134"/>
      </rPr>
      <t xml:space="preserve">Fire was seen emanating from engine compactment of EX 29 whilst the operator </t>
    </r>
    <r>
      <rPr>
        <b/>
        <sz val="10"/>
        <rFont val="Arial"/>
        <charset val="134"/>
      </rPr>
      <t>Richard Bediako</t>
    </r>
    <r>
      <rPr>
        <sz val="10"/>
        <rFont val="Arial"/>
        <charset val="134"/>
      </rPr>
      <t xml:space="preserve"> was tramming  to bench after blast. A portable fire extinguisher was used to put out the fire. There were some few damages to pump hydraulic hoses. There was no injury recorded. </t>
    </r>
    <r>
      <rPr>
        <b/>
        <sz val="10"/>
        <rFont val="Arial"/>
        <charset val="134"/>
      </rPr>
      <t>The operator is 43 years with 3 years of experience in excavator operation.</t>
    </r>
  </si>
  <si>
    <t>4:45pm</t>
  </si>
  <si>
    <t>Hydraulic hose burst</t>
  </si>
  <si>
    <t>Excessive Pressure Surges (Hydraulic Shock)</t>
  </si>
  <si>
    <t>Hydraulic hose</t>
  </si>
  <si>
    <t>MECHANICAL FAILURE</t>
  </si>
  <si>
    <r>
      <rPr>
        <b/>
        <sz val="11"/>
        <color theme="1"/>
        <rFont val="Aptos Narrow"/>
        <charset val="134"/>
        <scheme val="minor"/>
      </rPr>
      <t>Technological Environment-</t>
    </r>
    <r>
      <rPr>
        <sz val="11"/>
        <color theme="1"/>
        <rFont val="Aptos Narrow"/>
        <charset val="134"/>
        <scheme val="minor"/>
      </rPr>
      <t xml:space="preserve"> Mechanical failure(Hydraulic hose burst)</t>
    </r>
    <r>
      <rPr>
        <sz val="11"/>
        <color rgb="FFFF0000"/>
        <rFont val="Aptos Narrow"/>
        <charset val="134"/>
        <scheme val="minor"/>
      </rPr>
      <t>-</t>
    </r>
    <r>
      <rPr>
        <b/>
        <i/>
        <sz val="11"/>
        <color rgb="FFFF0000"/>
        <rFont val="Aptos Narrow"/>
        <charset val="134"/>
        <scheme val="minor"/>
      </rPr>
      <t>Fire</t>
    </r>
  </si>
  <si>
    <t>14th July 2017</t>
  </si>
  <si>
    <r>
      <rPr>
        <sz val="10"/>
        <rFont val="Arial"/>
        <charset val="134"/>
      </rPr>
      <t xml:space="preserve">At about 6:50 pm, Whilst Stephen Frimpong operator of Excavator (Ex 35)was loading Tipper truck at Tomento East Stocpile, the Operator saw smoke emanating from the Engine compartment. He switched off the engine of the excavator and used a portable fire extinguisher to quench the fire. There was no injury. </t>
    </r>
    <r>
      <rPr>
        <b/>
        <sz val="10"/>
        <rFont val="Arial"/>
        <charset val="134"/>
      </rPr>
      <t>The operator is 38 years with 4 years of experience on excavator operating</t>
    </r>
  </si>
  <si>
    <t xml:space="preserve"> Oil leakage</t>
  </si>
  <si>
    <t>Faulty or incorrectly crimped fittings</t>
  </si>
  <si>
    <t xml:space="preserve">Hydraulic hose </t>
  </si>
  <si>
    <t>24th July 1017</t>
  </si>
  <si>
    <r>
      <rPr>
        <sz val="10"/>
        <rFont val="Arial"/>
        <charset val="134"/>
      </rPr>
      <t xml:space="preserve">At about 1:30 AM Whilst hauling material from Tomento East Stockpile to rompad with truck RT 81, the operator, </t>
    </r>
    <r>
      <rPr>
        <b/>
        <sz val="10"/>
        <rFont val="Arial"/>
        <charset val="134"/>
      </rPr>
      <t>Benard Barnes</t>
    </r>
    <r>
      <rPr>
        <sz val="10"/>
        <rFont val="Arial"/>
        <charset val="134"/>
      </rPr>
      <t xml:space="preserve"> saw fire emanating from the position four hob bearing. He parked safely, switched off the engine and used a portable fire extinguisher to quench the fire. There was no injury. </t>
    </r>
    <r>
      <rPr>
        <b/>
        <sz val="10"/>
        <rFont val="Arial"/>
        <charset val="134"/>
      </rPr>
      <t>The operator is 35 years old with 4 years of experience in dump truck operations</t>
    </r>
  </si>
  <si>
    <t>Worn-out brake pads and poor break adjustment</t>
  </si>
  <si>
    <t>Continuous contact of brake components with the wheel (brake not fully releasing)</t>
  </si>
  <si>
    <t>Hob bearing</t>
  </si>
  <si>
    <t>14th October 2017</t>
  </si>
  <si>
    <r>
      <rPr>
        <sz val="10"/>
        <rFont val="Arial"/>
        <charset val="134"/>
      </rPr>
      <t xml:space="preserve">Dump truck operator, </t>
    </r>
    <r>
      <rPr>
        <b/>
        <sz val="10"/>
        <rFont val="Arial"/>
        <charset val="134"/>
      </rPr>
      <t>Iddrisu Isaka,</t>
    </r>
    <r>
      <rPr>
        <sz val="10"/>
        <rFont val="Arial"/>
        <charset val="134"/>
      </rPr>
      <t xml:space="preserve"> smelled unusual scent in his cabin.He stopped to check and realized smoke and fire were coming out from the exhaust side of the truck.He quickly used his portable fire extinguisher. Cat 777 water truck  together with  portable fire extinguishers were used to quench the fire. Thesre was no injury. There were damages to hydraulic hoses and turbo charger attachement. </t>
    </r>
    <r>
      <rPr>
        <b/>
        <sz val="10"/>
        <rFont val="Arial"/>
        <charset val="134"/>
      </rPr>
      <t>The operator is 46 years with 8 years of experience on dump truck operations</t>
    </r>
    <r>
      <rPr>
        <sz val="10"/>
        <rFont val="Arial"/>
        <charset val="134"/>
      </rPr>
      <t xml:space="preserve">
</t>
    </r>
  </si>
  <si>
    <t xml:space="preserve">Hose burst
</t>
  </si>
  <si>
    <t>Hydraulic oil splashed onto the exhaust and turbo of the truck</t>
  </si>
  <si>
    <t>Turbo charger attachments and hydraulic hoses</t>
  </si>
  <si>
    <t>ELECTRICAL</t>
  </si>
  <si>
    <t>30th November,2018</t>
  </si>
  <si>
    <r>
      <rPr>
        <b/>
        <sz val="10"/>
        <rFont val="Arial"/>
        <charset val="134"/>
      </rPr>
      <t>Michael Owusu and Albert Agyare,</t>
    </r>
    <r>
      <rPr>
        <sz val="10"/>
        <rFont val="Arial"/>
        <charset val="134"/>
      </rPr>
      <t xml:space="preserve"> The blind side of dump truck DT108 made contact with articulated dump truck ADT72 in the Amoanda pit around the 876mRL. 
Preliminary investigations revealed that, DT108 had taken load from EX39 and was ascending the ramp while ADT72 was travelling in the opposite direction. Albert Agyare, the operator of the ADT 72, was distracted by a phone call he atrended to, resulting in driving out of lane, causing side collision.
The fire suppression bottle and hand rail on ADT 72 were damaged with a damage to side mirror and dent to the 777 Dump Truck. Drug and alcohol test conducted on both operators were negative.
</t>
    </r>
    <r>
      <rPr>
        <b/>
        <sz val="10"/>
        <rFont val="Arial"/>
        <charset val="134"/>
      </rPr>
      <t>Micheal Owusu is 43 years with 4 years experience in dump truck operation, whiles Albert Agyare is 39 years with 5 years of experience in dump truck operation.</t>
    </r>
  </si>
  <si>
    <t>43, 39</t>
  </si>
  <si>
    <t>4,5</t>
  </si>
  <si>
    <t>DT108 &amp; ADT</t>
  </si>
  <si>
    <t>Albert Agyare, the operator of the ADT 72, was distracted by a phone call he attended to whiles desending the ramp</t>
  </si>
  <si>
    <t>Distraction from a phone call whiles operating / decending ramp</t>
  </si>
  <si>
    <t>Fire supression system bottle, hand rail and side mirror</t>
  </si>
  <si>
    <t>MULTIPLE SYSTEMS</t>
  </si>
  <si>
    <r>
      <rPr>
        <b/>
        <sz val="11"/>
        <color theme="1"/>
        <rFont val="Aptos Narrow"/>
        <charset val="134"/>
        <scheme val="minor"/>
      </rPr>
      <t>Contravention</t>
    </r>
    <r>
      <rPr>
        <sz val="11"/>
        <color theme="1"/>
        <rFont val="Aptos Narrow"/>
        <charset val="134"/>
        <scheme val="minor"/>
      </rPr>
      <t>-Procedure non-compliance(</t>
    </r>
    <r>
      <rPr>
        <i/>
        <sz val="11"/>
        <color theme="1"/>
        <rFont val="Aptos Narrow"/>
        <charset val="134"/>
        <scheme val="minor"/>
      </rPr>
      <t>Phone usage)</t>
    </r>
  </si>
  <si>
    <t>8th December, 2018</t>
  </si>
  <si>
    <t>At about 8:30 pm, A portion of the west wall of Amoanda Pit (Bobby Cut) failed. An estimated volume of about 12,500 m3 of rock debris failed from the 918 to 885 mRL working bench.
The failed rock debris made contact with a Hitachi 1900 excavator (EX48) which was mining on the 885mRL bench resulting in damage to a few outer components of the excavator. There was no injury to the operator</t>
  </si>
  <si>
    <t>N/A</t>
  </si>
  <si>
    <t xml:space="preserve"> 20:30 PM</t>
  </si>
  <si>
    <t>1. Weak tensional forces causing rock mass of the Amoanda Pit west wall to dislodge
2. The section of the Amoanda Pit west wall that failed is within the transitional material making it susceptible to failure
3. The bedding plane served as the release plane making the wall more susceptible to fail
4. The oblique intersection between the fault (68/49) and the bedding planes (40/95) caused the section of the pit wall to fail</t>
  </si>
  <si>
    <t>Hand rail, rear glass, Fire Supression system bottle</t>
  </si>
  <si>
    <t>Geotechnical Factors</t>
  </si>
  <si>
    <r>
      <rPr>
        <b/>
        <sz val="11"/>
        <color theme="1"/>
        <rFont val="Aptos Narrow"/>
        <charset val="134"/>
        <scheme val="minor"/>
      </rPr>
      <t>Leadership flaw</t>
    </r>
    <r>
      <rPr>
        <sz val="11"/>
        <color theme="1"/>
        <rFont val="Aptos Narrow"/>
        <charset val="134"/>
        <scheme val="minor"/>
      </rPr>
      <t>- Improper assessment and establishment of buffer exclusive zone</t>
    </r>
  </si>
  <si>
    <t>HSE(DATA)</t>
  </si>
  <si>
    <r>
      <rPr>
        <sz val="10"/>
        <rFont val="Arial"/>
        <charset val="134"/>
      </rPr>
      <t xml:space="preserve">At about </t>
    </r>
    <r>
      <rPr>
        <b/>
        <sz val="10"/>
        <rFont val="Arial"/>
        <charset val="134"/>
      </rPr>
      <t>12:30 am (Night Shift)</t>
    </r>
    <r>
      <rPr>
        <sz val="10"/>
        <rFont val="Arial"/>
        <charset val="134"/>
      </rPr>
      <t xml:space="preserve"> on night shift,E&amp;P truck RT90 was positioned to tip ore at the ROM pad floor. In the process, E&amp;P truck RT92 drove across the front of RT90 and the tail end of the RT92 bucket made contact with Cabin of RT90 causing damage to the Cowl and front parts. Drug and Alcohol test on both operators was negative. </t>
    </r>
    <r>
      <rPr>
        <b/>
        <sz val="10"/>
        <rFont val="Arial"/>
        <charset val="134"/>
      </rPr>
      <t>Samuel Frimpong, RT90 operator is 45 years old and have 3 years of experience, whiles Issaka Mumuni, RT 92 Operator is 48 years with 7 years experience of operating Road Trucks.</t>
    </r>
  </si>
  <si>
    <t>46 &amp; 48</t>
  </si>
  <si>
    <t>3 &amp; 7</t>
  </si>
  <si>
    <t>Dump Truck (RT 90, RT 92)</t>
  </si>
  <si>
    <t xml:space="preserve">1. RT 92 drove too close to RT 90 and made contact with its blind side
2. RT 90 didn’t take cogninance of RT92
</t>
  </si>
  <si>
    <t>Poor judjement and lack of situational awareness</t>
  </si>
  <si>
    <t>Cabin</t>
  </si>
  <si>
    <t>NIGHT</t>
  </si>
  <si>
    <t>DUMP TRUCK</t>
  </si>
  <si>
    <t>HUMAN FACTOR</t>
  </si>
  <si>
    <r>
      <rPr>
        <b/>
        <sz val="11"/>
        <color theme="1"/>
        <rFont val="Aptos Narrow"/>
        <charset val="134"/>
        <scheme val="minor"/>
      </rPr>
      <t>Lapse</t>
    </r>
    <r>
      <rPr>
        <sz val="11"/>
        <color theme="1"/>
        <rFont val="Aptos Narrow"/>
        <charset val="134"/>
        <scheme val="minor"/>
      </rPr>
      <t>- Misjudged distance</t>
    </r>
  </si>
  <si>
    <r>
      <rPr>
        <b/>
        <sz val="11"/>
        <color theme="1"/>
        <rFont val="Aptos Narrow"/>
        <charset val="134"/>
        <scheme val="minor"/>
      </rPr>
      <t>Causal code: Lapse</t>
    </r>
    <r>
      <rPr>
        <sz val="11"/>
        <color theme="1"/>
        <rFont val="Aptos Narrow"/>
        <charset val="134"/>
        <scheme val="minor"/>
      </rPr>
      <t>- Misjudged distance</t>
    </r>
  </si>
  <si>
    <t>HME MAINTENANCE DATA</t>
  </si>
  <si>
    <r>
      <rPr>
        <sz val="10"/>
        <rFont val="Arial"/>
        <charset val="134"/>
      </rPr>
      <t xml:space="preserve">At about </t>
    </r>
    <r>
      <rPr>
        <b/>
        <sz val="10"/>
        <rFont val="Arial"/>
        <charset val="134"/>
      </rPr>
      <t>10:36 pm (Night Shift)</t>
    </r>
    <r>
      <rPr>
        <sz val="10"/>
        <rFont val="Arial"/>
        <charset val="134"/>
      </rPr>
      <t xml:space="preserve"> Excavator (Ex48) operated by Shamsudeen Mohammed at the south west portion of the Damang Pit Cut back, whiles grubbing load for dump truck RH30 also operated by Michael Cudjoe, suddenly a rock mass peeled
off the west wall on the same working bench (822mRL) and hit the bucket cylinders of EX48.
Damages were to the two bucket cylinders of the excavator. </t>
    </r>
    <r>
      <rPr>
        <b/>
        <sz val="10"/>
        <rFont val="Arial"/>
        <charset val="134"/>
      </rPr>
      <t>There was no injury. The excavator operator is 48 years old with 12 years of experience in excavating</t>
    </r>
    <r>
      <rPr>
        <sz val="10"/>
        <rFont val="Arial"/>
        <charset val="134"/>
      </rPr>
      <t>,</t>
    </r>
  </si>
  <si>
    <t>Excavator (EX-48)</t>
  </si>
  <si>
    <t>1. The base of the rock mass was exposed during mining activities by EX48
2.There was indication of water seepage throgh the area where the rock mass peeled off</t>
  </si>
  <si>
    <t>1. Insufficient Risk Assessment to accertain the potential rock mass fall.                                                      2. Undercutting to expose rock mass</t>
  </si>
  <si>
    <t>2 Bucket Cylinders</t>
  </si>
  <si>
    <t>D</t>
  </si>
  <si>
    <t>HYDRAULIC</t>
  </si>
  <si>
    <t>EXCAVATOR</t>
  </si>
  <si>
    <t>CATASTROPHIC</t>
  </si>
  <si>
    <r>
      <rPr>
        <b/>
        <sz val="11"/>
        <color theme="1"/>
        <rFont val="Aptos Narrow"/>
        <charset val="134"/>
        <scheme val="minor"/>
      </rPr>
      <t xml:space="preserve">Mistake- </t>
    </r>
    <r>
      <rPr>
        <sz val="11"/>
        <color theme="1"/>
        <rFont val="Aptos Narrow"/>
        <charset val="134"/>
        <scheme val="minor"/>
      </rPr>
      <t>Faiure to do a comprehensive risk assessment and call for geotechnical guidance on mining close to highwall</t>
    </r>
  </si>
  <si>
    <r>
      <rPr>
        <b/>
        <sz val="11"/>
        <color theme="1"/>
        <rFont val="Aptos Narrow"/>
        <charset val="134"/>
        <scheme val="minor"/>
      </rPr>
      <t>Causal code;Leadership flaw</t>
    </r>
    <r>
      <rPr>
        <sz val="11"/>
        <color theme="1"/>
        <rFont val="Aptos Narrow"/>
        <charset val="134"/>
        <scheme val="minor"/>
      </rPr>
      <t>-Failure to provide adequate instruction about task, Inadequate risk assessment (high wall failure)</t>
    </r>
  </si>
  <si>
    <t>HSE-DATA</t>
  </si>
  <si>
    <r>
      <rPr>
        <sz val="10"/>
        <rFont val="Arial"/>
        <charset val="134"/>
      </rPr>
      <t xml:space="preserve">At about </t>
    </r>
    <r>
      <rPr>
        <b/>
        <sz val="10"/>
        <rFont val="Arial"/>
        <charset val="134"/>
      </rPr>
      <t>8:00 am (Day Shift)</t>
    </r>
    <r>
      <rPr>
        <sz val="10"/>
        <rFont val="Arial"/>
        <charset val="134"/>
      </rPr>
      <t xml:space="preserve">, An ADT Operator for E&amp;P had his truck (ADT 72) bucket dislodged while dumping material at the FETSF North West Embanakment. </t>
    </r>
    <r>
      <rPr>
        <b/>
        <sz val="10"/>
        <rFont val="Arial"/>
        <charset val="134"/>
      </rPr>
      <t>The Operator is 38 years old and has 2 Years experience in operation ADT</t>
    </r>
  </si>
  <si>
    <t>Articulated Dump Truck (DT-72)</t>
  </si>
  <si>
    <t>Undulating and Soft ground conditions</t>
  </si>
  <si>
    <t xml:space="preserve">The soft ground  conditon caused imbalance in course of tipping.This caused the bucket of truck to dislodge </t>
  </si>
  <si>
    <t>Hoist Cylinder bent</t>
  </si>
  <si>
    <t>DAY</t>
  </si>
  <si>
    <t>A</t>
  </si>
  <si>
    <t>ARTICULATED DUMP TRUCK</t>
  </si>
  <si>
    <t>ENVIRONMENTAL FACTOR</t>
  </si>
  <si>
    <r>
      <rPr>
        <b/>
        <sz val="11"/>
        <color theme="1"/>
        <rFont val="Aptos Narrow"/>
        <charset val="134"/>
        <scheme val="minor"/>
      </rPr>
      <t>Leadership flaw</t>
    </r>
    <r>
      <rPr>
        <sz val="11"/>
        <color theme="1"/>
        <rFont val="Aptos Narrow"/>
        <charset val="134"/>
        <scheme val="minor"/>
      </rPr>
      <t xml:space="preserve">-Inadequate task assessment by supervisor </t>
    </r>
    <r>
      <rPr>
        <b/>
        <sz val="11"/>
        <color theme="1"/>
        <rFont val="Aptos Narrow"/>
        <charset val="134"/>
        <scheme val="minor"/>
      </rPr>
      <t>(</t>
    </r>
    <r>
      <rPr>
        <sz val="11"/>
        <color theme="1"/>
        <rFont val="Aptos Narrow"/>
        <charset val="134"/>
        <scheme val="minor"/>
      </rPr>
      <t>soft grounds condition</t>
    </r>
    <r>
      <rPr>
        <b/>
        <sz val="11"/>
        <color theme="1"/>
        <rFont val="Aptos Narrow"/>
        <charset val="134"/>
        <scheme val="minor"/>
      </rPr>
      <t>)</t>
    </r>
  </si>
  <si>
    <r>
      <rPr>
        <b/>
        <sz val="11"/>
        <color theme="1"/>
        <rFont val="Aptos Narrow"/>
        <charset val="134"/>
        <scheme val="minor"/>
      </rPr>
      <t>Causal code;Mistake</t>
    </r>
    <r>
      <rPr>
        <sz val="11"/>
        <color theme="1"/>
        <rFont val="Aptos Narrow"/>
        <charset val="134"/>
        <scheme val="minor"/>
      </rPr>
      <t>-Inadequate task assessment (soft grounds condition)</t>
    </r>
  </si>
  <si>
    <t>HME-DATA</t>
  </si>
  <si>
    <r>
      <rPr>
        <sz val="10"/>
        <rFont val="Arial"/>
        <charset val="134"/>
      </rPr>
      <t>At about</t>
    </r>
    <r>
      <rPr>
        <b/>
        <sz val="10"/>
        <rFont val="Arial"/>
        <charset val="134"/>
      </rPr>
      <t xml:space="preserve"> 17:30 pm (Day Shift) </t>
    </r>
    <r>
      <rPr>
        <sz val="10"/>
        <rFont val="Arial"/>
        <charset val="134"/>
      </rPr>
      <t>Dump truck RH28 operated by Daniel Sarfo took load from excavator 72 at the East Cutback on 819 mRL bench. After moving about 10 meters from the excavator the truck position 6 tyre burst flipping some rocks around the tyre on the 819 mRL bench which resulted in some rocks flying, hitting the excavator 72 windscreen cracking it and also punching a nearby drill rig 23 windscreen.                                                           The Operator is</t>
    </r>
    <r>
      <rPr>
        <b/>
        <sz val="10"/>
        <rFont val="Arial"/>
        <charset val="134"/>
      </rPr>
      <t xml:space="preserve"> 41 years of age</t>
    </r>
    <r>
      <rPr>
        <sz val="10"/>
        <rFont val="Arial"/>
        <charset val="134"/>
      </rPr>
      <t xml:space="preserve"> with has</t>
    </r>
    <r>
      <rPr>
        <b/>
        <sz val="10"/>
        <rFont val="Arial"/>
        <charset val="134"/>
      </rPr>
      <t xml:space="preserve"> 4 years experience in Dump Truck Operating</t>
    </r>
  </si>
  <si>
    <t>Dump Truck, Excavator, Drill Rig (RH-28, EX-72, DR-23)</t>
  </si>
  <si>
    <t>1. Lack of Visual Inspection by the laser attendant after dozer leveling floors.                         2. Failure to compact pit floors after cleaning up by dozer</t>
  </si>
  <si>
    <t>Poor pit floor condition(Sharp rock which caused a cut in the tyre)</t>
  </si>
  <si>
    <t>Windcreeen of Excavator 72 and Drill Rig 23</t>
  </si>
  <si>
    <t>MULTIPLE SUB-SYSTEMS</t>
  </si>
  <si>
    <t>MULTIPLE EQUIPMENT</t>
  </si>
  <si>
    <r>
      <rPr>
        <b/>
        <sz val="11"/>
        <color theme="1"/>
        <rFont val="Aptos Narrow"/>
        <charset val="134"/>
        <scheme val="minor"/>
      </rPr>
      <t>Physical Environment</t>
    </r>
    <r>
      <rPr>
        <sz val="11"/>
        <color theme="1"/>
        <rFont val="Aptos Narrow"/>
        <charset val="134"/>
        <scheme val="minor"/>
      </rPr>
      <t>-Inadequate pit floor maintenance(tyre burst)</t>
    </r>
  </si>
  <si>
    <r>
      <rPr>
        <b/>
        <sz val="11"/>
        <color theme="1"/>
        <rFont val="Aptos Narrow"/>
        <charset val="134"/>
        <scheme val="minor"/>
      </rPr>
      <t>Causal code;Physical Environment</t>
    </r>
    <r>
      <rPr>
        <sz val="11"/>
        <color theme="1"/>
        <rFont val="Aptos Narrow"/>
        <charset val="134"/>
        <scheme val="minor"/>
      </rPr>
      <t>-Inadequate pit floor maintenance(tyre burst)</t>
    </r>
  </si>
  <si>
    <t>PRODUCTION -DATA</t>
  </si>
  <si>
    <r>
      <rPr>
        <sz val="10"/>
        <rFont val="Arial"/>
        <charset val="134"/>
      </rPr>
      <t xml:space="preserve">On Sunday, March 22, 2020 at about 2:54pm (Day Shift), PW Mining International Limitted( E&amp;P third party contractor) Dump Truck 68, operated by Foster Obeng, after crossing the boom gate with waste material from west cutback pit to Huni Waste Dump, veered off and climbed the battered face of huni waste dump and fell on its roof with all the tyres facing up. The operator had abrasion on his left arm. He was transported to the mine clininc and was discharge later in the day. Alcohol and drug test conducted was negative. </t>
    </r>
    <r>
      <rPr>
        <b/>
        <sz val="10"/>
        <rFont val="Arial"/>
        <charset val="134"/>
      </rPr>
      <t>The operator is 43 years old and has 4 years of experience in operating dump truck</t>
    </r>
  </si>
  <si>
    <t>Dump Truck 68</t>
  </si>
  <si>
    <t>1. The operator experienced micro sleep symptoms       2. The operator failed to report fatigue to his supervisor</t>
  </si>
  <si>
    <t>1. Operating whiles fatigued                              2.No Installed Fatigue Monitoring System for real time monitoring and prompting (failed defence)</t>
  </si>
  <si>
    <t>Guard rails, shattered cabin door and windsreen glass,Blind side mirrors, dents on the bucket, canopy and other servicing component</t>
  </si>
  <si>
    <t>STRUCTURAL</t>
  </si>
  <si>
    <t xml:space="preserve">HUMAN FACTOR </t>
  </si>
  <si>
    <r>
      <rPr>
        <b/>
        <sz val="11"/>
        <color theme="1"/>
        <rFont val="Aptos Narrow"/>
        <charset val="134"/>
        <scheme val="minor"/>
      </rPr>
      <t>Mistake;</t>
    </r>
    <r>
      <rPr>
        <sz val="11"/>
        <color theme="1"/>
        <rFont val="Aptos Narrow"/>
        <charset val="134"/>
        <scheme val="minor"/>
      </rPr>
      <t xml:space="preserve"> Operating whiles fatiged</t>
    </r>
  </si>
  <si>
    <r>
      <rPr>
        <b/>
        <sz val="11"/>
        <color theme="1"/>
        <rFont val="Aptos Narrow"/>
        <charset val="134"/>
        <scheme val="minor"/>
      </rPr>
      <t>Causal code;Adverse physiological mental state</t>
    </r>
    <r>
      <rPr>
        <sz val="11"/>
        <color theme="1"/>
        <rFont val="Aptos Narrow"/>
        <charset val="134"/>
        <scheme val="minor"/>
      </rPr>
      <t xml:space="preserve">- Operating whiles fatigued                </t>
    </r>
    <r>
      <rPr>
        <b/>
        <sz val="11"/>
        <color theme="1"/>
        <rFont val="Aptos Narrow"/>
        <charset val="134"/>
        <scheme val="minor"/>
      </rPr>
      <t>Causal code;Technological Environment</t>
    </r>
    <r>
      <rPr>
        <sz val="11"/>
        <color theme="1"/>
        <rFont val="Aptos Narrow"/>
        <charset val="134"/>
        <scheme val="minor"/>
      </rPr>
      <t>:(</t>
    </r>
    <r>
      <rPr>
        <i/>
        <sz val="11"/>
        <color theme="1"/>
        <rFont val="Aptos Narrow"/>
        <charset val="134"/>
        <scheme val="minor"/>
      </rPr>
      <t>Absence of fatigue monitoring system</t>
    </r>
    <r>
      <rPr>
        <sz val="11"/>
        <color theme="1"/>
        <rFont val="Aptos Narrow"/>
        <charset val="134"/>
        <scheme val="minor"/>
      </rPr>
      <t>)</t>
    </r>
  </si>
  <si>
    <r>
      <rPr>
        <sz val="10"/>
        <rFont val="Arial"/>
        <charset val="134"/>
      </rPr>
      <t xml:space="preserve">On Friday, 3rd April, 2020 around 21:00hrs (Night Shift), the operator of AMS excavator (EX-72), third party sub contractor to E&amp;P felt some fine falling particles within the cabin have made contact with the face. It was later realised that, the particles were actually from the windscreen which had shattered. There was no injury. </t>
    </r>
    <r>
      <rPr>
        <b/>
        <sz val="10"/>
        <rFont val="Arial"/>
        <charset val="134"/>
      </rPr>
      <t>The operator is 45 years old and has 6 years of experience in excavator operating</t>
    </r>
  </si>
  <si>
    <t>Excavator (Ex-72)</t>
  </si>
  <si>
    <t>Vibrational Impact</t>
  </si>
  <si>
    <t>Projectiled rock particle during mining</t>
  </si>
  <si>
    <t>Windcreeen of Excavator 72</t>
  </si>
  <si>
    <t xml:space="preserve">OPERATIONAL </t>
  </si>
  <si>
    <r>
      <rPr>
        <b/>
        <sz val="11"/>
        <color theme="1"/>
        <rFont val="Aptos Narrow"/>
        <charset val="134"/>
        <scheme val="minor"/>
      </rPr>
      <t>Physical Environment</t>
    </r>
    <r>
      <rPr>
        <sz val="11"/>
        <color theme="1"/>
        <rFont val="Aptos Narrow"/>
        <charset val="134"/>
        <scheme val="minor"/>
      </rPr>
      <t>-Impact from projected rock</t>
    </r>
  </si>
  <si>
    <r>
      <rPr>
        <b/>
        <sz val="11"/>
        <color theme="1"/>
        <rFont val="Aptos Narrow"/>
        <charset val="134"/>
        <scheme val="minor"/>
      </rPr>
      <t>Causal code;Physical Environmen</t>
    </r>
    <r>
      <rPr>
        <sz val="11"/>
        <color theme="1"/>
        <rFont val="Aptos Narrow"/>
        <charset val="134"/>
        <scheme val="minor"/>
      </rPr>
      <t xml:space="preserve">t-Vibrational Impact </t>
    </r>
    <r>
      <rPr>
        <i/>
        <sz val="11"/>
        <color theme="1"/>
        <rFont val="Aptos Narrow"/>
        <charset val="134"/>
        <scheme val="minor"/>
      </rPr>
      <t>(Windscreen shatter</t>
    </r>
    <r>
      <rPr>
        <sz val="11"/>
        <color theme="1"/>
        <rFont val="Aptos Narrow"/>
        <charset val="134"/>
        <scheme val="minor"/>
      </rPr>
      <t>)</t>
    </r>
  </si>
  <si>
    <r>
      <rPr>
        <sz val="10"/>
        <rFont val="Arial"/>
        <charset val="134"/>
      </rPr>
      <t xml:space="preserve">On Saturday 11th April, 2020 around 08:00am (Day Shift), Operator of PW dump truck DT132 while decending the main west cutback ramp to the DPCB, he lost control and run into the high wall. Preliminary investigations at the scene reveals that the truck skidded over a distance of about 30 meters before hitting the wall. The operator was sent to the mine clinic immediately. Alcohol and drug test conducted on the operator proves negative. There was No injury sustained by the operator. </t>
    </r>
    <r>
      <rPr>
        <b/>
        <sz val="10"/>
        <rFont val="Arial"/>
        <charset val="134"/>
      </rPr>
      <t>The Operator is 45 years old and a multi skilled, having worked as Dump truck and Dozer Operator for approximately 13 years with different companies.</t>
    </r>
  </si>
  <si>
    <t>Dump Truck (DT-132)</t>
  </si>
  <si>
    <t xml:space="preserve">1.Non adherance to traffic management plan on the ramp                                                                                2.Inappropriate operation and speeding of dump truck.                                                                                                            3. Late application of brakes                                                       4. Complacency and failure to adhere to SOP             </t>
  </si>
  <si>
    <t>Improper Gear Selection (D-Mode)</t>
  </si>
  <si>
    <t>Fire Supression System, Blind Side Mirror and Damage dent to the Dump Truck frame</t>
  </si>
  <si>
    <r>
      <rPr>
        <b/>
        <sz val="11"/>
        <color theme="1"/>
        <rFont val="Aptos Narrow"/>
        <charset val="134"/>
        <scheme val="minor"/>
      </rPr>
      <t>Contravention-</t>
    </r>
    <r>
      <rPr>
        <sz val="11"/>
        <color theme="1"/>
        <rFont val="Aptos Narrow"/>
        <charset val="134"/>
        <scheme val="minor"/>
      </rPr>
      <t>Procedure non-compliance(</t>
    </r>
    <r>
      <rPr>
        <i/>
        <sz val="11"/>
        <color theme="1"/>
        <rFont val="Aptos Narrow"/>
        <charset val="134"/>
        <scheme val="minor"/>
      </rPr>
      <t>Improper gear selection)</t>
    </r>
  </si>
  <si>
    <r>
      <rPr>
        <b/>
        <sz val="11"/>
        <color theme="1"/>
        <rFont val="Aptos Narrow"/>
        <charset val="134"/>
        <scheme val="minor"/>
      </rPr>
      <t>Causal code; Contravention-</t>
    </r>
    <r>
      <rPr>
        <sz val="11"/>
        <color theme="1"/>
        <rFont val="Aptos Narrow"/>
        <charset val="134"/>
        <scheme val="minor"/>
      </rPr>
      <t>Procedure non-compliance(Improper gear selection)</t>
    </r>
  </si>
  <si>
    <r>
      <rPr>
        <sz val="10"/>
        <rFont val="Arial"/>
        <charset val="134"/>
      </rPr>
      <t xml:space="preserve">On Teusday, 5th May, 2020 at about 12:10 pm (Day Shift), the operator of AMS dump Truck 74 whilst ascennding the ramp with load from the pit to Huni Waste dump saw smoke emanating from the engine compartment of the dump truck. The operator turned off the engine and activated the portable fire extinguisher to put off the fire. The fire immediately engulfed the operator's cabin with smoke and burnt down the cab of the dump truck. There was no injury sustained by the operator. Alcohol and drug test conducted was negative. </t>
    </r>
    <r>
      <rPr>
        <b/>
        <sz val="10"/>
        <rFont val="Arial"/>
        <charset val="134"/>
      </rPr>
      <t>The operator is 39 years old with 6 years of experience as a dump truck operator</t>
    </r>
  </si>
  <si>
    <t>12:10PM</t>
  </si>
  <si>
    <t>AMS Dump Truck 74</t>
  </si>
  <si>
    <t>1. The operator panicked, hence he could not activate the fire supression system.                      2. Irregular routine and planned inspection of the electrical layout on equipment</t>
  </si>
  <si>
    <t>Short circuit of the electrical system behind the operator's seat in the carbin</t>
  </si>
  <si>
    <t>Operator's cabin</t>
  </si>
  <si>
    <r>
      <rPr>
        <b/>
        <sz val="11"/>
        <color theme="1"/>
        <rFont val="Aptos Narrow"/>
        <charset val="134"/>
        <scheme val="minor"/>
      </rPr>
      <t>Technological Environment</t>
    </r>
    <r>
      <rPr>
        <sz val="11"/>
        <color theme="1"/>
        <rFont val="Aptos Narrow"/>
        <charset val="134"/>
        <scheme val="minor"/>
      </rPr>
      <t>- Electrical system failure-</t>
    </r>
    <r>
      <rPr>
        <b/>
        <i/>
        <sz val="11"/>
        <color rgb="FFFF0000"/>
        <rFont val="Aptos Narrow"/>
        <charset val="134"/>
        <scheme val="minor"/>
      </rPr>
      <t>Fire</t>
    </r>
  </si>
  <si>
    <r>
      <rPr>
        <b/>
        <sz val="11"/>
        <color theme="1"/>
        <rFont val="Aptos Narrow"/>
        <charset val="134"/>
        <scheme val="minor"/>
      </rPr>
      <t>Causal code;Technological Environment</t>
    </r>
    <r>
      <rPr>
        <sz val="11"/>
        <color theme="1"/>
        <rFont val="Aptos Narrow"/>
        <charset val="134"/>
        <scheme val="minor"/>
      </rPr>
      <t>- Electrical system failure-</t>
    </r>
    <r>
      <rPr>
        <b/>
        <i/>
        <sz val="11"/>
        <color rgb="FFFF0000"/>
        <rFont val="Aptos Narrow"/>
        <charset val="134"/>
        <scheme val="minor"/>
      </rPr>
      <t>Fire</t>
    </r>
  </si>
  <si>
    <r>
      <rPr>
        <sz val="10"/>
        <rFont val="Arial"/>
        <charset val="134"/>
      </rPr>
      <t>At about</t>
    </r>
    <r>
      <rPr>
        <b/>
        <sz val="10"/>
        <rFont val="Arial"/>
        <charset val="134"/>
      </rPr>
      <t xml:space="preserve"> 9:30 pm (Night Shift)</t>
    </r>
    <r>
      <rPr>
        <sz val="10"/>
        <rFont val="Arial"/>
        <charset val="134"/>
      </rPr>
      <t xml:space="preserve">, While lowering the tray after tipping into the crusher bin, the operator of dump truck DT15 saw unusual smoke emanating from the back of his cabin. The team available at the ROMPAD supported the operator to put the fire under control with portable fire extinguishers. There was no injury sustained by the operator. Alcohol and drug test conducted were negative. </t>
    </r>
    <r>
      <rPr>
        <b/>
        <sz val="10"/>
        <rFont val="Arial"/>
        <charset val="134"/>
      </rPr>
      <t>The operator is 44 years with 4 years of experience dump truck operation.</t>
    </r>
  </si>
  <si>
    <t>Dump Truck DT-15</t>
  </si>
  <si>
    <t>Failed "O" ring seal on the bucket lift cylinder hose, hence splashed heated hydraulic oil on the surface of the heated turbocharger</t>
  </si>
  <si>
    <t>Connectors wiring</t>
  </si>
  <si>
    <r>
      <rPr>
        <b/>
        <sz val="11"/>
        <color theme="1"/>
        <rFont val="Aptos Narrow"/>
        <charset val="134"/>
        <scheme val="minor"/>
      </rPr>
      <t>Technological Environment</t>
    </r>
    <r>
      <rPr>
        <sz val="11"/>
        <color theme="1"/>
        <rFont val="Aptos Narrow"/>
        <charset val="134"/>
        <scheme val="minor"/>
      </rPr>
      <t>- Mechanical failure (Oil splash from hose burst)-</t>
    </r>
    <r>
      <rPr>
        <b/>
        <i/>
        <sz val="11"/>
        <color rgb="FFFF0000"/>
        <rFont val="Aptos Narrow"/>
        <charset val="134"/>
        <scheme val="minor"/>
      </rPr>
      <t>Fire</t>
    </r>
  </si>
  <si>
    <r>
      <rPr>
        <b/>
        <sz val="11"/>
        <color theme="1"/>
        <rFont val="Aptos Narrow"/>
        <charset val="134"/>
        <scheme val="minor"/>
      </rPr>
      <t>Causal code;Technological Environment</t>
    </r>
    <r>
      <rPr>
        <sz val="11"/>
        <color theme="1"/>
        <rFont val="Aptos Narrow"/>
        <charset val="134"/>
        <scheme val="minor"/>
      </rPr>
      <t>- Mechanical failure (Oil splash from hose burst)-</t>
    </r>
    <r>
      <rPr>
        <b/>
        <i/>
        <sz val="11"/>
        <color rgb="FFFF0000"/>
        <rFont val="Aptos Narrow"/>
        <charset val="134"/>
        <scheme val="minor"/>
      </rPr>
      <t>Fire</t>
    </r>
  </si>
  <si>
    <r>
      <rPr>
        <sz val="10"/>
        <rFont val="Arial"/>
        <charset val="134"/>
      </rPr>
      <t xml:space="preserve">At about 12:34 am (Night Shift), whilst Alex Nkatia a drill rig operator was drilling at the South West of the DPCB, when fire erupted after a burst hose on Drill Rig( DR-20) spilled oil unto a heated turbocharger.The operator and the group of mechnics around used portable fire extinguishers to control fire. </t>
    </r>
    <r>
      <rPr>
        <b/>
        <sz val="10"/>
        <rFont val="Arial"/>
        <charset val="134"/>
      </rPr>
      <t>The operator is 34 yeaes of age and has 3 years of experience in drill rig operation.</t>
    </r>
  </si>
  <si>
    <t>Drill Rig-DR20)</t>
  </si>
  <si>
    <t>Posible Installation of substandard hydraulic hoses</t>
  </si>
  <si>
    <t>Connectors and wiring harness</t>
  </si>
  <si>
    <t>DRILL RIG</t>
  </si>
  <si>
    <t>MAINTENANCE</t>
  </si>
  <si>
    <r>
      <rPr>
        <b/>
        <sz val="11"/>
        <color theme="1"/>
        <rFont val="Aptos Narrow"/>
        <charset val="134"/>
        <scheme val="minor"/>
      </rPr>
      <t>Leadership flaw</t>
    </r>
    <r>
      <rPr>
        <sz val="11"/>
        <color theme="1"/>
        <rFont val="Aptos Narrow"/>
        <charset val="134"/>
        <scheme val="minor"/>
      </rPr>
      <t>-Failure to use fit for purpose compenent</t>
    </r>
    <r>
      <rPr>
        <b/>
        <i/>
        <sz val="11"/>
        <color theme="1"/>
        <rFont val="Aptos Narrow"/>
        <charset val="134"/>
        <scheme val="minor"/>
      </rPr>
      <t>-</t>
    </r>
    <r>
      <rPr>
        <b/>
        <i/>
        <sz val="11"/>
        <color rgb="FFFF0000"/>
        <rFont val="Aptos Narrow"/>
        <charset val="134"/>
        <scheme val="minor"/>
      </rPr>
      <t>Fire</t>
    </r>
  </si>
  <si>
    <r>
      <rPr>
        <b/>
        <sz val="11"/>
        <color theme="1"/>
        <rFont val="Aptos Narrow"/>
        <charset val="134"/>
        <scheme val="minor"/>
      </rPr>
      <t>Causal code;Management decision</t>
    </r>
    <r>
      <rPr>
        <sz val="11"/>
        <color theme="1"/>
        <rFont val="Aptos Narrow"/>
        <charset val="134"/>
        <scheme val="minor"/>
      </rPr>
      <t>-Failure to use fit for purpose compenent</t>
    </r>
    <r>
      <rPr>
        <b/>
        <i/>
        <sz val="11"/>
        <color theme="1"/>
        <rFont val="Aptos Narrow"/>
        <charset val="134"/>
        <scheme val="minor"/>
      </rPr>
      <t>-</t>
    </r>
    <r>
      <rPr>
        <b/>
        <i/>
        <sz val="11"/>
        <color rgb="FFFF0000"/>
        <rFont val="Aptos Narrow"/>
        <charset val="134"/>
        <scheme val="minor"/>
      </rPr>
      <t>Fire</t>
    </r>
  </si>
  <si>
    <r>
      <rPr>
        <sz val="10"/>
        <rFont val="Arial"/>
        <charset val="134"/>
      </rPr>
      <t>At about 5:30 am (Night Shift) AMS Liebherr 9250 Excavator (EX58) operated by Kamara A. Razak was tramming from south-west to the Northern part of DPCB. Whilst tramming, the operator observed smoke emanating from the engine compartment. He activated the fire suppression system to extinguish the fire immediately. There was no injury sustained by the operator.</t>
    </r>
    <r>
      <rPr>
        <b/>
        <sz val="10"/>
        <rFont val="Arial"/>
        <charset val="134"/>
      </rPr>
      <t xml:space="preserve"> The operator is 39 years old with 6 years of experience in excavator operating</t>
    </r>
  </si>
  <si>
    <t>Excavator (EX-58)</t>
  </si>
  <si>
    <t>Radiator fan pump motor ceased due to low fan pump pressure resulting in excessive vapour as a result of radiator overheating.</t>
  </si>
  <si>
    <t>Expelled fire supression content</t>
  </si>
  <si>
    <r>
      <rPr>
        <b/>
        <sz val="11"/>
        <color theme="1"/>
        <rFont val="Aptos Narrow"/>
        <charset val="134"/>
        <scheme val="minor"/>
      </rPr>
      <t>Technological Environment-</t>
    </r>
    <r>
      <rPr>
        <sz val="11"/>
        <color theme="1"/>
        <rFont val="Aptos Narrow"/>
        <charset val="134"/>
        <scheme val="minor"/>
      </rPr>
      <t xml:space="preserve"> Mechanical failure(radiator pump)</t>
    </r>
    <r>
      <rPr>
        <sz val="11"/>
        <color rgb="FFFF0000"/>
        <rFont val="Aptos Narrow"/>
        <charset val="134"/>
        <scheme val="minor"/>
      </rPr>
      <t>-</t>
    </r>
    <r>
      <rPr>
        <b/>
        <i/>
        <sz val="11"/>
        <color rgb="FFFF0000"/>
        <rFont val="Aptos Narrow"/>
        <charset val="134"/>
        <scheme val="minor"/>
      </rPr>
      <t>Fire</t>
    </r>
  </si>
  <si>
    <r>
      <rPr>
        <b/>
        <sz val="11"/>
        <color theme="1"/>
        <rFont val="Aptos Narrow"/>
        <charset val="134"/>
        <scheme val="minor"/>
      </rPr>
      <t>Causal code;Technological Environment-</t>
    </r>
    <r>
      <rPr>
        <sz val="11"/>
        <color theme="1"/>
        <rFont val="Aptos Narrow"/>
        <charset val="134"/>
        <scheme val="minor"/>
      </rPr>
      <t xml:space="preserve"> Mechanical failure(radiator pump)</t>
    </r>
    <r>
      <rPr>
        <sz val="11"/>
        <color rgb="FFFF0000"/>
        <rFont val="Aptos Narrow"/>
        <charset val="134"/>
        <scheme val="minor"/>
      </rPr>
      <t>-</t>
    </r>
    <r>
      <rPr>
        <b/>
        <i/>
        <sz val="11"/>
        <color rgb="FFFF0000"/>
        <rFont val="Aptos Narrow"/>
        <charset val="134"/>
        <scheme val="minor"/>
      </rPr>
      <t>Fire</t>
    </r>
  </si>
  <si>
    <r>
      <rPr>
        <sz val="10"/>
        <rFont val="Arial"/>
        <charset val="134"/>
      </rPr>
      <t xml:space="preserve">On Sunday,August 16, 2020 around </t>
    </r>
    <r>
      <rPr>
        <b/>
        <sz val="10"/>
        <rFont val="Arial"/>
        <charset val="134"/>
      </rPr>
      <t>11:50 am(Day Shift)</t>
    </r>
    <r>
      <rPr>
        <sz val="10"/>
        <rFont val="Arial"/>
        <charset val="134"/>
      </rPr>
      <t xml:space="preserve">, AMS CAT992K Wheel Loader (LO 722) operated by Kofi Kwakye could not reverese after scooping load at the ROMPAD. This eventually led to the engine shutting down. Shortly afterwards, he saw smoke emanating from the engine compartment. He used the portable fire extinguisher to put off the fire. Traces of oil from the RH engine valve covers, which leaked onto the RH manifold center section sparked the fire. The fire then extended to the main engine harness and its connectors to the engine ECM. There was no injury recorded. </t>
    </r>
    <r>
      <rPr>
        <b/>
        <sz val="10"/>
        <rFont val="Arial"/>
        <charset val="134"/>
      </rPr>
      <t>The operator is 45 years old with 7 years experience in Loader operating</t>
    </r>
    <r>
      <rPr>
        <sz val="10"/>
        <rFont val="Arial"/>
        <charset val="134"/>
      </rPr>
      <t>.</t>
    </r>
  </si>
  <si>
    <t>AMS CAT992K Loader (LO-722)</t>
  </si>
  <si>
    <t>Faulty Fire Supression System</t>
  </si>
  <si>
    <t>Traces of oil from the RH engine valve covers leaked onto the RH manifold center section to spark the fire</t>
  </si>
  <si>
    <t>Engine harness with connector to ECM</t>
  </si>
  <si>
    <t>LOADER</t>
  </si>
  <si>
    <r>
      <rPr>
        <b/>
        <sz val="11"/>
        <color theme="1"/>
        <rFont val="Aptos Narrow"/>
        <charset val="134"/>
        <scheme val="minor"/>
      </rPr>
      <t>Technological Environment</t>
    </r>
    <r>
      <rPr>
        <sz val="11"/>
        <color theme="1"/>
        <rFont val="Aptos Narrow"/>
        <charset val="134"/>
        <scheme val="minor"/>
      </rPr>
      <t>- Mechanical failure(engine valve)-</t>
    </r>
    <r>
      <rPr>
        <b/>
        <i/>
        <sz val="11"/>
        <color rgb="FFFF0000"/>
        <rFont val="Aptos Narrow"/>
        <charset val="134"/>
        <scheme val="minor"/>
      </rPr>
      <t>Fire</t>
    </r>
  </si>
  <si>
    <r>
      <rPr>
        <b/>
        <sz val="11"/>
        <color theme="1"/>
        <rFont val="Aptos Narrow"/>
        <charset val="134"/>
        <scheme val="minor"/>
      </rPr>
      <t>Causal code;Technological Environment</t>
    </r>
    <r>
      <rPr>
        <sz val="11"/>
        <color theme="1"/>
        <rFont val="Aptos Narrow"/>
        <charset val="134"/>
        <scheme val="minor"/>
      </rPr>
      <t>- Mechanical failure(engine valve)-</t>
    </r>
    <r>
      <rPr>
        <b/>
        <i/>
        <sz val="11"/>
        <color rgb="FFFF0000"/>
        <rFont val="Aptos Narrow"/>
        <charset val="134"/>
        <scheme val="minor"/>
      </rPr>
      <t>Fire</t>
    </r>
  </si>
  <si>
    <r>
      <rPr>
        <sz val="10"/>
        <rFont val="Arial"/>
        <charset val="134"/>
      </rPr>
      <t xml:space="preserve">On Friday August 28th, 2020 around 11:45am, whilst descending into the West Cutback Pit on the main ramp, the operator of AMS Dump Truck 89 veered off and drove into the windrow on the other lane of the ramp. Alcohol and drug tests conducted proved negative. There was no Injury recorded. </t>
    </r>
    <r>
      <rPr>
        <b/>
        <sz val="10"/>
        <rFont val="Arial"/>
        <charset val="134"/>
      </rPr>
      <t>The Operator is 38 years old and have 5 years of experience as a dump Truck Operator</t>
    </r>
  </si>
  <si>
    <t>Dump Truck 89</t>
  </si>
  <si>
    <t xml:space="preserve">The Operator was speeding whiles decending the ramp </t>
  </si>
  <si>
    <t xml:space="preserve">Distraction from  Making Call with Mobile Phone whiles Operating dump truck  </t>
  </si>
  <si>
    <t>Dented bumper, dented L/H ladder, ripped off R/H step ladder, dented R/H handrails and dented chock holder.</t>
  </si>
  <si>
    <r>
      <rPr>
        <b/>
        <sz val="11"/>
        <color theme="1"/>
        <rFont val="Aptos Narrow"/>
        <charset val="134"/>
        <scheme val="minor"/>
      </rPr>
      <t>Causal code;Contravention</t>
    </r>
    <r>
      <rPr>
        <sz val="11"/>
        <color theme="1"/>
        <rFont val="Aptos Narrow"/>
        <charset val="134"/>
        <scheme val="minor"/>
      </rPr>
      <t>-Procedure non-compliance(</t>
    </r>
    <r>
      <rPr>
        <i/>
        <sz val="11"/>
        <color theme="1"/>
        <rFont val="Aptos Narrow"/>
        <charset val="134"/>
        <scheme val="minor"/>
      </rPr>
      <t>Phone usage)</t>
    </r>
  </si>
  <si>
    <r>
      <rPr>
        <sz val="10"/>
        <rFont val="Arial"/>
        <charset val="134"/>
      </rPr>
      <t xml:space="preserve">On the 6th of September, 2020 at about 5:00 am, Whilst the dump Truck Operator Justice Nana Boah, operating PW Dump Truck DT99 was decending the main west ramp to the DPCB pit, he skidded and rammed into the tailof E&amp;P Dump Truck DT120, causing damage to the operator's cabin of PW Dump Truck DT99. Drug and Alcohol test conducted proved negative.  </t>
    </r>
    <r>
      <rPr>
        <b/>
        <sz val="10"/>
        <rFont val="Arial"/>
        <charset val="134"/>
      </rPr>
      <t>The operator is 48 years old and has 3 years of experience in dump Truck Operations</t>
    </r>
  </si>
  <si>
    <t>PW Dump Truck DT99 and E&amp;P DT120</t>
  </si>
  <si>
    <t>1. Not adherance to the traffic management plan on the ramp                                         2. Inappropriate operation and speeding on the ramp</t>
  </si>
  <si>
    <t>Improper gear selection-the operator engaged the Automatic Retarder Control (ARC), throughout the descend on the drive mode instead of selecting 3rd gear according to the SOP.</t>
  </si>
  <si>
    <r>
      <rPr>
        <b/>
        <sz val="11"/>
        <color theme="1"/>
        <rFont val="Aptos Narrow"/>
        <charset val="134"/>
        <scheme val="minor"/>
      </rPr>
      <t>Contravention-</t>
    </r>
    <r>
      <rPr>
        <sz val="11"/>
        <color theme="1"/>
        <rFont val="Aptos Narrow"/>
        <charset val="134"/>
        <scheme val="minor"/>
      </rPr>
      <t>Procedure non-compliance (</t>
    </r>
    <r>
      <rPr>
        <i/>
        <sz val="11"/>
        <color theme="1"/>
        <rFont val="Aptos Narrow"/>
        <charset val="134"/>
        <scheme val="minor"/>
      </rPr>
      <t>improper gear selection)</t>
    </r>
  </si>
  <si>
    <r>
      <rPr>
        <b/>
        <sz val="11"/>
        <color theme="1"/>
        <rFont val="Aptos Narrow"/>
        <charset val="134"/>
        <scheme val="minor"/>
      </rPr>
      <t>Causal code;Contravention-</t>
    </r>
    <r>
      <rPr>
        <sz val="11"/>
        <color theme="1"/>
        <rFont val="Aptos Narrow"/>
        <charset val="134"/>
        <scheme val="minor"/>
      </rPr>
      <t>Procedure non-compliance (</t>
    </r>
    <r>
      <rPr>
        <i/>
        <sz val="11"/>
        <color theme="1"/>
        <rFont val="Aptos Narrow"/>
        <charset val="134"/>
        <scheme val="minor"/>
      </rPr>
      <t>improper gear selection)</t>
    </r>
  </si>
  <si>
    <t>HSE DATA</t>
  </si>
  <si>
    <r>
      <rPr>
        <sz val="10"/>
        <rFont val="Arial"/>
        <charset val="134"/>
      </rPr>
      <t>AMS dump truck 854 Operator (Robert Ananga) took waste material from EX58 at Damang Pit Cutback around</t>
    </r>
    <r>
      <rPr>
        <b/>
        <sz val="10"/>
        <rFont val="Arial"/>
        <charset val="134"/>
      </rPr>
      <t xml:space="preserve"> 8:10 pm (Night Shift)</t>
    </r>
    <r>
      <rPr>
        <sz val="10"/>
        <rFont val="Arial"/>
        <charset val="134"/>
      </rPr>
      <t xml:space="preserve">. Whilst ascending the ramp out of the pit, the Operator saw smoke emanating from the engine compartment through the blind side mirror. He immediately engaged the fire suppression system to control the smoke. There was no injury to the operator. </t>
    </r>
    <r>
      <rPr>
        <b/>
        <sz val="10"/>
        <rFont val="Arial"/>
        <charset val="134"/>
      </rPr>
      <t>The operator is 48 years old and has 10 years of experience in Dump Truck operation</t>
    </r>
  </si>
  <si>
    <t>Dump Truck (DT-854)</t>
  </si>
  <si>
    <t>Punctured Hose</t>
  </si>
  <si>
    <t>Hose from the brake charge filter made contact with the rear end of the chaarge pump, hence oil sprayed around the left side of the engine and make contact with the hot turbo surface</t>
  </si>
  <si>
    <t>Hose &amp; Fire Supression System</t>
  </si>
  <si>
    <r>
      <rPr>
        <b/>
        <sz val="11"/>
        <color theme="1"/>
        <rFont val="Aptos Narrow"/>
        <charset val="134"/>
        <scheme val="minor"/>
      </rPr>
      <t>Technological Environment-</t>
    </r>
    <r>
      <rPr>
        <sz val="11"/>
        <color theme="1"/>
        <rFont val="Aptos Narrow"/>
        <charset val="134"/>
        <scheme val="minor"/>
      </rPr>
      <t xml:space="preserve"> Mechanical failure(Punctured hose)-</t>
    </r>
    <r>
      <rPr>
        <b/>
        <i/>
        <sz val="11"/>
        <color rgb="FFFF0000"/>
        <rFont val="Aptos Narrow"/>
        <charset val="134"/>
        <scheme val="minor"/>
      </rPr>
      <t>Fire</t>
    </r>
  </si>
  <si>
    <r>
      <rPr>
        <b/>
        <sz val="11"/>
        <color theme="1"/>
        <rFont val="Aptos Narrow"/>
        <charset val="134"/>
        <scheme val="minor"/>
      </rPr>
      <t>Causal code;Technological Environment-</t>
    </r>
    <r>
      <rPr>
        <sz val="11"/>
        <color theme="1"/>
        <rFont val="Aptos Narrow"/>
        <charset val="134"/>
        <scheme val="minor"/>
      </rPr>
      <t xml:space="preserve"> Mechanical failure(Punctured hose)-</t>
    </r>
    <r>
      <rPr>
        <b/>
        <i/>
        <sz val="11"/>
        <color rgb="FFFF0000"/>
        <rFont val="Aptos Narrow"/>
        <charset val="134"/>
        <scheme val="minor"/>
      </rPr>
      <t>Fire</t>
    </r>
  </si>
  <si>
    <r>
      <rPr>
        <sz val="11"/>
        <rFont val="Arial"/>
        <charset val="134"/>
      </rPr>
      <t>At about</t>
    </r>
    <r>
      <rPr>
        <b/>
        <sz val="11"/>
        <rFont val="Arial"/>
        <charset val="134"/>
      </rPr>
      <t xml:space="preserve"> 9:10am( Day Shift)</t>
    </r>
    <r>
      <rPr>
        <sz val="11"/>
        <rFont val="Arial"/>
        <charset val="134"/>
      </rPr>
      <t>, Francis Amuzu was assigned to Dump Truck 37 to load under EX 16 at Finger 5 at the bench on 741 east. When the truck was loaded and about to move, the Dump Truck Operator heard a loud noise . The Excavator operator was instructed to offload the truck and he realized the position 3 tyre has burst and the two side mirror on position 2 were cracked after he dismounted the truck to inspect. There was no injury recorded, drug and alcohol tests conducted was negative.</t>
    </r>
    <r>
      <rPr>
        <b/>
        <sz val="11"/>
        <rFont val="Arial"/>
        <charset val="134"/>
      </rPr>
      <t xml:space="preserve"> The operator is 47 years with 10 years of experience in dump truck operation</t>
    </r>
  </si>
  <si>
    <t xml:space="preserve">Dump Truck                                                                    (RH 37)                                       </t>
  </si>
  <si>
    <t>Sharp rocks and undulating floor condition impact</t>
  </si>
  <si>
    <t>Tyre cuts from a sharp rocks</t>
  </si>
  <si>
    <t>Tyre and Side Mirror Crack</t>
  </si>
  <si>
    <r>
      <rPr>
        <b/>
        <sz val="11"/>
        <color theme="1"/>
        <rFont val="Aptos Narrow"/>
        <charset val="134"/>
        <scheme val="minor"/>
      </rPr>
      <t>Physical Environment-</t>
    </r>
    <r>
      <rPr>
        <sz val="11"/>
        <color theme="1"/>
        <rFont val="Aptos Narrow"/>
        <charset val="134"/>
        <scheme val="minor"/>
      </rPr>
      <t>Inadequate pit floor maintenance (</t>
    </r>
    <r>
      <rPr>
        <i/>
        <sz val="11"/>
        <color theme="1"/>
        <rFont val="Aptos Narrow"/>
        <charset val="134"/>
        <scheme val="minor"/>
      </rPr>
      <t>Tyre burst</t>
    </r>
    <r>
      <rPr>
        <sz val="11"/>
        <color theme="1"/>
        <rFont val="Aptos Narrow"/>
        <charset val="134"/>
        <scheme val="minor"/>
      </rPr>
      <t>)</t>
    </r>
  </si>
  <si>
    <r>
      <rPr>
        <b/>
        <sz val="11"/>
        <color theme="1"/>
        <rFont val="Aptos Narrow"/>
        <charset val="134"/>
        <scheme val="minor"/>
      </rPr>
      <t>Causal code;Physical Environment-</t>
    </r>
    <r>
      <rPr>
        <sz val="11"/>
        <color theme="1"/>
        <rFont val="Aptos Narrow"/>
        <charset val="134"/>
        <scheme val="minor"/>
      </rPr>
      <t>Inadequate pit floor maintenance (</t>
    </r>
    <r>
      <rPr>
        <i/>
        <sz val="11"/>
        <color theme="1"/>
        <rFont val="Aptos Narrow"/>
        <charset val="134"/>
        <scheme val="minor"/>
      </rPr>
      <t>Tyre burst</t>
    </r>
    <r>
      <rPr>
        <sz val="11"/>
        <color theme="1"/>
        <rFont val="Aptos Narrow"/>
        <charset val="134"/>
        <scheme val="minor"/>
      </rPr>
      <t>)</t>
    </r>
  </si>
  <si>
    <r>
      <rPr>
        <sz val="11"/>
        <color theme="1"/>
        <rFont val="Aptos Narrow"/>
        <charset val="134"/>
        <scheme val="minor"/>
      </rPr>
      <t xml:space="preserve">At about </t>
    </r>
    <r>
      <rPr>
        <b/>
        <sz val="11"/>
        <color theme="1"/>
        <rFont val="Aptos Narrow"/>
        <charset val="134"/>
        <scheme val="minor"/>
      </rPr>
      <t>5:00pm (Day Shift)</t>
    </r>
    <r>
      <rPr>
        <sz val="11"/>
        <color theme="1"/>
        <rFont val="Aptos Narrow"/>
        <charset val="134"/>
        <scheme val="minor"/>
      </rPr>
      <t xml:space="preserve">,  Francis Cobbinah, a dump truck operator was assigned to Dump Truck 119 at the Huni pit to load under Excavator 68. He stepped down to inspect the truck and realized there is a slight dent on the differential and Position 3 suspension. </t>
    </r>
    <r>
      <rPr>
        <b/>
        <sz val="11"/>
        <color theme="1"/>
        <rFont val="Aptos Narrow"/>
        <charset val="134"/>
        <scheme val="minor"/>
      </rPr>
      <t>The operator is 35 years old with 5 years of experience in dump truck operation</t>
    </r>
  </si>
  <si>
    <t xml:space="preserve">Dump Truck                                                                    (DT 119)                                       </t>
  </si>
  <si>
    <t>Possible impact from a rock boulder in the pit during loading</t>
  </si>
  <si>
    <t>Lack of situational awareness</t>
  </si>
  <si>
    <t xml:space="preserve">Differencial and  Position 3 Suspension                                                                                 </t>
  </si>
  <si>
    <r>
      <rPr>
        <b/>
        <sz val="11"/>
        <color theme="1"/>
        <rFont val="Aptos Narrow"/>
        <charset val="134"/>
        <scheme val="minor"/>
      </rPr>
      <t>Slip</t>
    </r>
    <r>
      <rPr>
        <sz val="11"/>
        <color theme="1"/>
        <rFont val="Aptos Narrow"/>
        <charset val="134"/>
        <scheme val="minor"/>
      </rPr>
      <t>- Lack of concentration and inspection at working areas</t>
    </r>
  </si>
  <si>
    <r>
      <rPr>
        <b/>
        <sz val="11"/>
        <color theme="1"/>
        <rFont val="Aptos Narrow"/>
        <charset val="134"/>
        <scheme val="minor"/>
      </rPr>
      <t>Causal code;Mistake-</t>
    </r>
    <r>
      <rPr>
        <sz val="11"/>
        <color theme="1"/>
        <rFont val="Aptos Narrow"/>
        <charset val="134"/>
        <scheme val="minor"/>
      </rPr>
      <t xml:space="preserve"> Failure to check and monitor</t>
    </r>
  </si>
  <si>
    <r>
      <rPr>
        <sz val="10"/>
        <rFont val="Arial"/>
        <charset val="134"/>
      </rPr>
      <t xml:space="preserve">E&amp;P dump truck RH25 Operator (Laminie Fuseini) took F1 material from EX48 at Damang Pit Cut Back around </t>
    </r>
    <r>
      <rPr>
        <b/>
        <sz val="10"/>
        <rFont val="Arial"/>
        <charset val="134"/>
      </rPr>
      <t>4:40pm (Day Shift)</t>
    </r>
    <r>
      <rPr>
        <sz val="10"/>
        <rFont val="Arial"/>
        <charset val="134"/>
      </rPr>
      <t xml:space="preserve">. At the Stockpile pad on the F1 Annex dump with the load still in the truck, the Operator saw smoke emanating from the engine compartment on his blind side. He switched off the engine and immediately engaged the fire suppression system. Drug and alcohol test conducted were negative. </t>
    </r>
    <r>
      <rPr>
        <b/>
        <sz val="10"/>
        <rFont val="Arial"/>
        <charset val="134"/>
      </rPr>
      <t>The operator is 42 years, with 12 years experience in dump truck operation</t>
    </r>
  </si>
  <si>
    <t>Dump Truck (RH-25)</t>
  </si>
  <si>
    <t xml:space="preserve">Oil hose got burst, hence splashed oil on the surface of the heated turbocharger in the engine compartment resulting in smoke </t>
  </si>
  <si>
    <t>Sudden hose rapture</t>
  </si>
  <si>
    <t>Hydraulic Hose/ Fire Supression System</t>
  </si>
  <si>
    <r>
      <rPr>
        <b/>
        <sz val="11"/>
        <color theme="1"/>
        <rFont val="Aptos Narrow"/>
        <charset val="134"/>
        <scheme val="minor"/>
      </rPr>
      <t>Technological Environment-</t>
    </r>
    <r>
      <rPr>
        <sz val="11"/>
        <color theme="1"/>
        <rFont val="Aptos Narrow"/>
        <charset val="134"/>
        <scheme val="minor"/>
      </rPr>
      <t xml:space="preserve"> Mechanical failure(hose rapture)-</t>
    </r>
    <r>
      <rPr>
        <b/>
        <i/>
        <sz val="11"/>
        <color rgb="FFFF0000"/>
        <rFont val="Aptos Narrow"/>
        <charset val="134"/>
        <scheme val="minor"/>
      </rPr>
      <t>Fire</t>
    </r>
  </si>
  <si>
    <r>
      <rPr>
        <b/>
        <sz val="11"/>
        <color theme="1"/>
        <rFont val="Aptos Narrow"/>
        <charset val="134"/>
        <scheme val="minor"/>
      </rPr>
      <t>Causal code;Technological Environment-</t>
    </r>
    <r>
      <rPr>
        <sz val="11"/>
        <color theme="1"/>
        <rFont val="Aptos Narrow"/>
        <charset val="134"/>
        <scheme val="minor"/>
      </rPr>
      <t xml:space="preserve"> Mechanical failure(hose rapture)-</t>
    </r>
    <r>
      <rPr>
        <b/>
        <i/>
        <sz val="11"/>
        <color rgb="FFFF0000"/>
        <rFont val="Aptos Narrow"/>
        <charset val="134"/>
        <scheme val="minor"/>
      </rPr>
      <t>Fire</t>
    </r>
  </si>
  <si>
    <r>
      <rPr>
        <sz val="11"/>
        <rFont val="Calibri"/>
        <charset val="134"/>
      </rPr>
      <t xml:space="preserve">Ernerst Kwame Mano was assigned to Dump Truck 123 to dump load at the Rompad Finger 1 at around </t>
    </r>
    <r>
      <rPr>
        <b/>
        <sz val="11"/>
        <rFont val="Calibri"/>
        <charset val="134"/>
      </rPr>
      <t>3:30am(Night Shift)</t>
    </r>
    <r>
      <rPr>
        <sz val="11"/>
        <rFont val="Calibri"/>
        <charset val="134"/>
      </rPr>
      <t xml:space="preserve">. He realized a crack in the differential mirror positioned at the down side when after dumping the load. </t>
    </r>
    <r>
      <rPr>
        <b/>
        <sz val="11"/>
        <rFont val="Calibri"/>
        <charset val="134"/>
      </rPr>
      <t>The operator is 34 years old with 2 years of experience in dump truck operation</t>
    </r>
  </si>
  <si>
    <t xml:space="preserve">Dump Truck                                                                    (DT 123)                                       </t>
  </si>
  <si>
    <t>Projected rock particle in the process of dumping</t>
  </si>
  <si>
    <t>Projected rock particle</t>
  </si>
  <si>
    <t xml:space="preserve"> Differential Mirror</t>
  </si>
  <si>
    <t>INSIGNIFICANT</t>
  </si>
  <si>
    <r>
      <rPr>
        <b/>
        <sz val="11"/>
        <color theme="1"/>
        <rFont val="Aptos Narrow"/>
        <charset val="134"/>
        <scheme val="minor"/>
      </rPr>
      <t>Physical Environment-</t>
    </r>
    <r>
      <rPr>
        <sz val="11"/>
        <color theme="1"/>
        <rFont val="Aptos Narrow"/>
        <charset val="134"/>
        <scheme val="minor"/>
      </rPr>
      <t xml:space="preserve">Vibrational Impact- </t>
    </r>
    <r>
      <rPr>
        <i/>
        <sz val="11"/>
        <color theme="1"/>
        <rFont val="Aptos Narrow"/>
        <charset val="134"/>
        <scheme val="minor"/>
      </rPr>
      <t>Mirror shatter</t>
    </r>
  </si>
  <si>
    <r>
      <rPr>
        <b/>
        <sz val="11"/>
        <color theme="1"/>
        <rFont val="Aptos Narrow"/>
        <charset val="134"/>
        <scheme val="minor"/>
      </rPr>
      <t>Causal code;Physical Environment-</t>
    </r>
    <r>
      <rPr>
        <sz val="11"/>
        <color theme="1"/>
        <rFont val="Aptos Narrow"/>
        <charset val="134"/>
        <scheme val="minor"/>
      </rPr>
      <t xml:space="preserve">Vibrational Impact- </t>
    </r>
    <r>
      <rPr>
        <i/>
        <sz val="11"/>
        <color theme="1"/>
        <rFont val="Aptos Narrow"/>
        <charset val="134"/>
        <scheme val="minor"/>
      </rPr>
      <t>Mirror shatter</t>
    </r>
  </si>
  <si>
    <t>PRODUCTION MINE PLANNING (DATA)</t>
  </si>
  <si>
    <r>
      <rPr>
        <sz val="10"/>
        <rFont val="Arial"/>
        <charset val="134"/>
      </rPr>
      <t>On Sunday, March 7, 2021 at about</t>
    </r>
    <r>
      <rPr>
        <b/>
        <sz val="10"/>
        <rFont val="Arial"/>
        <charset val="134"/>
      </rPr>
      <t xml:space="preserve"> 5:20 am (Night Shift)</t>
    </r>
    <r>
      <rPr>
        <sz val="10"/>
        <rFont val="Arial"/>
        <charset val="134"/>
      </rPr>
      <t xml:space="preserve">, PW Mining International Limited (E&amp;P Third Party Contractor) Dump Truck 65, operated by Anthony Acquah, veered off and made contact with high wall whilst ascending the main pit ramp. Alcohol and drug tesst conducted on the operator was negative and there was no injury to the operator. </t>
    </r>
    <r>
      <rPr>
        <b/>
        <sz val="10"/>
        <rFont val="Arial"/>
        <charset val="134"/>
      </rPr>
      <t>The Operator is 42 years old with 7 years of experience in dump truck operation</t>
    </r>
  </si>
  <si>
    <t>Dump Truck (DT-65)</t>
  </si>
  <si>
    <t xml:space="preserve">
1. The operator failed to report his fatigue status to the shift supervisor when he started experiencing micro-sleep symptoms
2. There was no fatigue monitoring system in DT 65 at alert the operator       </t>
  </si>
  <si>
    <t>Unavailability of Fatigue Monitoring System (OAS-HV), for real time monitoring</t>
  </si>
  <si>
    <t>Blind side Rails, lights  &amp; Mirrors</t>
  </si>
  <si>
    <r>
      <rPr>
        <sz val="11"/>
        <rFont val="Calibri"/>
        <charset val="134"/>
      </rPr>
      <t xml:space="preserve">At about </t>
    </r>
    <r>
      <rPr>
        <b/>
        <sz val="11"/>
        <rFont val="Calibri"/>
        <charset val="134"/>
      </rPr>
      <t>10:00pm (Night Shift)</t>
    </r>
    <r>
      <rPr>
        <sz val="11"/>
        <rFont val="Calibri"/>
        <charset val="134"/>
      </rPr>
      <t xml:space="preserve">, Matthew Antwi was assigned to Excavator 48 at the North Cut Back pit to mine  wall clean up material. In the process of turning to fetch the material, the excavator's hand rails at the counter weight had contact with the tail of the Dump Truck and got damaged.There was no injury. Drug and Alcohol test conducted was negative. </t>
    </r>
    <r>
      <rPr>
        <b/>
        <sz val="11"/>
        <rFont val="Calibri"/>
        <charset val="134"/>
      </rPr>
      <t>The operator is 46 years old with 11 years of experience in excavator operation</t>
    </r>
  </si>
  <si>
    <t>Improper Excavation Procedure ( Absence of sentry to monitor operations close to high wall)</t>
  </si>
  <si>
    <t>Damaged hand rail</t>
  </si>
  <si>
    <r>
      <rPr>
        <b/>
        <sz val="11"/>
        <color theme="1"/>
        <rFont val="Aptos Narrow"/>
        <charset val="134"/>
        <scheme val="minor"/>
      </rPr>
      <t>Mistake</t>
    </r>
    <r>
      <rPr>
        <sz val="11"/>
        <color theme="1"/>
        <rFont val="Aptos Narrow"/>
        <charset val="134"/>
        <scheme val="minor"/>
      </rPr>
      <t xml:space="preserve">- Failure to check and monitor- </t>
    </r>
    <r>
      <rPr>
        <b/>
        <sz val="11"/>
        <color theme="1"/>
        <rFont val="Aptos Narrow"/>
        <charset val="134"/>
        <scheme val="minor"/>
      </rPr>
      <t>Excavator-Dump Truck impact</t>
    </r>
    <r>
      <rPr>
        <sz val="11"/>
        <color theme="1"/>
        <rFont val="Aptos Narrow"/>
        <charset val="134"/>
        <scheme val="minor"/>
      </rPr>
      <t xml:space="preserve"> (</t>
    </r>
    <r>
      <rPr>
        <i/>
        <sz val="11"/>
        <color theme="1"/>
        <rFont val="Aptos Narrow"/>
        <charset val="134"/>
        <scheme val="minor"/>
      </rPr>
      <t>Hand rail damage</t>
    </r>
    <r>
      <rPr>
        <sz val="11"/>
        <color theme="1"/>
        <rFont val="Aptos Narrow"/>
        <charset val="134"/>
        <scheme val="minor"/>
      </rPr>
      <t>)</t>
    </r>
  </si>
  <si>
    <r>
      <rPr>
        <b/>
        <sz val="11"/>
        <color theme="1"/>
        <rFont val="Aptos Narrow"/>
        <charset val="134"/>
        <scheme val="minor"/>
      </rPr>
      <t>Causal code;Mistake</t>
    </r>
    <r>
      <rPr>
        <sz val="11"/>
        <color theme="1"/>
        <rFont val="Aptos Narrow"/>
        <charset val="134"/>
        <scheme val="minor"/>
      </rPr>
      <t>- Failure to check and monitor (</t>
    </r>
    <r>
      <rPr>
        <i/>
        <sz val="11"/>
        <color theme="1"/>
        <rFont val="Aptos Narrow"/>
        <charset val="134"/>
        <scheme val="minor"/>
      </rPr>
      <t>Hand rail damage</t>
    </r>
    <r>
      <rPr>
        <sz val="11"/>
        <color theme="1"/>
        <rFont val="Aptos Narrow"/>
        <charset val="134"/>
        <scheme val="minor"/>
      </rPr>
      <t>)</t>
    </r>
  </si>
  <si>
    <r>
      <rPr>
        <sz val="10"/>
        <rFont val="Arial"/>
        <charset val="134"/>
      </rPr>
      <t xml:space="preserve">On 19th April, 2021 around </t>
    </r>
    <r>
      <rPr>
        <b/>
        <sz val="10"/>
        <rFont val="Arial"/>
        <charset val="134"/>
      </rPr>
      <t>23:30 hrs (Night Shift)</t>
    </r>
    <r>
      <rPr>
        <sz val="10"/>
        <rFont val="Arial"/>
        <charset val="134"/>
      </rPr>
      <t xml:space="preserve">. A hydraulic hose on AMS truck 852 hoist cylinder got burst and spilled oil onto the heated exhaust and turbocharger. This resulted smoke emanating from the components during tipping at the waste dump. The operator shut the engine off and activated the fire suppression system. Drug and Alcohol test conducted was negative. There was no injury to the operator. </t>
    </r>
    <r>
      <rPr>
        <b/>
        <sz val="10"/>
        <rFont val="Arial"/>
        <charset val="134"/>
      </rPr>
      <t>The operator is 38 years old with 4 years of experience in dump truck operation</t>
    </r>
  </si>
  <si>
    <t>Dump Truck (DT-852)</t>
  </si>
  <si>
    <t>1. Rubbing of loose hose against surfaces causes the hose to burst, hence, splashed oil on the surface of the heated exhaust and the turbocharger in the engine compartment. This resulted in the emanation of smoke from the components.</t>
  </si>
  <si>
    <t xml:space="preserve">Fire Supresion System </t>
  </si>
  <si>
    <r>
      <rPr>
        <b/>
        <sz val="11"/>
        <color theme="1"/>
        <rFont val="Aptos Narrow"/>
        <charset val="134"/>
        <scheme val="minor"/>
      </rPr>
      <t>Technological Environmen</t>
    </r>
    <r>
      <rPr>
        <sz val="11"/>
        <color theme="1"/>
        <rFont val="Aptos Narrow"/>
        <charset val="134"/>
        <scheme val="minor"/>
      </rPr>
      <t>t- Mechanical failure(Hose burst unto turbo charger)</t>
    </r>
    <r>
      <rPr>
        <b/>
        <i/>
        <sz val="11"/>
        <color rgb="FFFF0000"/>
        <rFont val="Aptos Narrow"/>
        <charset val="134"/>
        <scheme val="minor"/>
      </rPr>
      <t>-Fire</t>
    </r>
  </si>
  <si>
    <r>
      <rPr>
        <b/>
        <sz val="11"/>
        <color theme="1"/>
        <rFont val="Aptos Narrow"/>
        <charset val="134"/>
        <scheme val="minor"/>
      </rPr>
      <t>Causal code;Technological Environmen</t>
    </r>
    <r>
      <rPr>
        <sz val="11"/>
        <color theme="1"/>
        <rFont val="Aptos Narrow"/>
        <charset val="134"/>
        <scheme val="minor"/>
      </rPr>
      <t>t- Mechanical failure(Hose burst unto turbo charger)</t>
    </r>
    <r>
      <rPr>
        <b/>
        <i/>
        <sz val="11"/>
        <color rgb="FFFF0000"/>
        <rFont val="Aptos Narrow"/>
        <charset val="134"/>
        <scheme val="minor"/>
      </rPr>
      <t>-Fire</t>
    </r>
  </si>
  <si>
    <r>
      <rPr>
        <sz val="10"/>
        <rFont val="Arial"/>
        <charset val="134"/>
      </rPr>
      <t>On the 9th May 2021 at about</t>
    </r>
    <r>
      <rPr>
        <b/>
        <sz val="10"/>
        <rFont val="Arial"/>
        <charset val="134"/>
      </rPr>
      <t xml:space="preserve"> 03:20 am (Night Shift), </t>
    </r>
    <r>
      <rPr>
        <sz val="10"/>
        <rFont val="Arial"/>
        <charset val="134"/>
      </rPr>
      <t xml:space="preserve">George Berdie, a Dump Truck operator of AMS Dump Truck-DT89, Whiles ascending the ramp with loaded material from the 723mRL onto the 732mRL in-pit ramp, dozed off and went into the incoming lane, and rammed into an AMS DT852 operated by Ebenezer Godwin Aduonu, which was decending into the pit. There was no injury to both operators, Drug and Alcohol test conducted was negative. </t>
    </r>
    <r>
      <rPr>
        <b/>
        <sz val="10"/>
        <rFont val="Arial"/>
        <charset val="134"/>
      </rPr>
      <t>George Berdie is 41 years old and has 6 years of experirience in Dump Truck Operation, and Ebenezer Godwin is 45 years old with 5 years of experience in Dump Truck Operation.</t>
    </r>
  </si>
  <si>
    <t>AMS Dump Truck-DT89 &amp; AMS DT852</t>
  </si>
  <si>
    <t>1. Ineffective annual leave rostering for operators.                     2. DT 89 Operator failed to report his fatigue status to the shift supervisor hence,breach of the fatigue management procedure.                      3.DT 89 Operator did not dismount his truck during the break period to stretch up muscles by taking some walk to regain alertness</t>
  </si>
  <si>
    <t xml:space="preserve">1. Operating whiles fatigued (failure on the operator's part to report fatigue            2.Unavailability of effective (OAS-HV) fatigue management system in haul trucks(failed defense).     </t>
  </si>
  <si>
    <t>Cabin windscreen, Guard rails, Ladder and dents on frames</t>
  </si>
  <si>
    <r>
      <rPr>
        <b/>
        <sz val="11"/>
        <color theme="1"/>
        <rFont val="Aptos Narrow"/>
        <charset val="134"/>
        <scheme val="minor"/>
      </rPr>
      <t>Causal code;Adverse physiological mental state</t>
    </r>
    <r>
      <rPr>
        <sz val="11"/>
        <color theme="1"/>
        <rFont val="Aptos Narrow"/>
        <charset val="134"/>
        <scheme val="minor"/>
      </rPr>
      <t xml:space="preserve">- Operating whiles fatigued                </t>
    </r>
    <r>
      <rPr>
        <b/>
        <sz val="11"/>
        <color theme="1"/>
        <rFont val="Aptos Narrow"/>
        <charset val="134"/>
        <scheme val="minor"/>
      </rPr>
      <t>Causal code</t>
    </r>
    <r>
      <rPr>
        <sz val="11"/>
        <color theme="1"/>
        <rFont val="Aptos Narrow"/>
        <charset val="134"/>
        <scheme val="minor"/>
      </rPr>
      <t>;</t>
    </r>
    <r>
      <rPr>
        <b/>
        <sz val="11"/>
        <color theme="1"/>
        <rFont val="Aptos Narrow"/>
        <charset val="134"/>
        <scheme val="minor"/>
      </rPr>
      <t>Technological Environment</t>
    </r>
    <r>
      <rPr>
        <sz val="11"/>
        <color theme="1"/>
        <rFont val="Aptos Narrow"/>
        <charset val="134"/>
        <scheme val="minor"/>
      </rPr>
      <t>:(</t>
    </r>
    <r>
      <rPr>
        <i/>
        <sz val="11"/>
        <color theme="1"/>
        <rFont val="Aptos Narrow"/>
        <charset val="134"/>
        <scheme val="minor"/>
      </rPr>
      <t>Absence of fatigue monitoring system</t>
    </r>
    <r>
      <rPr>
        <sz val="11"/>
        <color theme="1"/>
        <rFont val="Aptos Narrow"/>
        <charset val="134"/>
        <scheme val="minor"/>
      </rPr>
      <t>)</t>
    </r>
  </si>
  <si>
    <r>
      <rPr>
        <sz val="11"/>
        <rFont val="Calibri"/>
        <charset val="134"/>
      </rPr>
      <t xml:space="preserve">At about </t>
    </r>
    <r>
      <rPr>
        <b/>
        <sz val="11"/>
        <rFont val="Calibri"/>
        <charset val="134"/>
      </rPr>
      <t>4:00am( Night shift)</t>
    </r>
    <r>
      <rPr>
        <sz val="11"/>
        <rFont val="Calibri"/>
        <charset val="134"/>
      </rPr>
      <t xml:space="preserve">, Felix Mensah was assigned to Excavator 55 to feed Dump Truck 68 at the tailings storage facility. During the process of loading, he raised the excavator bucket when the Dump Truck was reversing. He later realized a windscreen crack as a result of side collision with the Dump Truck. </t>
    </r>
    <r>
      <rPr>
        <b/>
        <sz val="11"/>
        <rFont val="Calibri"/>
        <charset val="134"/>
      </rPr>
      <t>The Excavator operator is 51 year old with 12 years of experience in dump truck operation, whiles the Dump Truck is 46 years old, with 7 years of experience in dump truck operation</t>
    </r>
  </si>
  <si>
    <t>Excavator (EX-55)</t>
  </si>
  <si>
    <t>1. Poor Illumination at the loading area          2. Lack of Communication between the dump truck and excavator operator</t>
  </si>
  <si>
    <t>Misjudgement by the dump truck operator while reversing</t>
  </si>
  <si>
    <t>Damaged windscreen</t>
  </si>
  <si>
    <t>dayworks/ Equipment Hire</t>
  </si>
  <si>
    <r>
      <rPr>
        <b/>
        <sz val="11"/>
        <color theme="1"/>
        <rFont val="Aptos Narrow"/>
        <charset val="134"/>
        <scheme val="minor"/>
      </rPr>
      <t>Slips</t>
    </r>
    <r>
      <rPr>
        <sz val="11"/>
        <color theme="1"/>
        <rFont val="Aptos Narrow"/>
        <charset val="134"/>
        <scheme val="minor"/>
      </rPr>
      <t xml:space="preserve">-Improper reverse manuvre </t>
    </r>
    <r>
      <rPr>
        <i/>
        <sz val="11"/>
        <color theme="1"/>
        <rFont val="Aptos Narrow"/>
        <charset val="134"/>
        <scheme val="minor"/>
      </rPr>
      <t>(Windsreen shatter)</t>
    </r>
  </si>
  <si>
    <r>
      <rPr>
        <b/>
        <sz val="11"/>
        <color theme="1"/>
        <rFont val="Aptos Narrow"/>
        <charset val="134"/>
        <scheme val="minor"/>
      </rPr>
      <t>Causal code;Slips</t>
    </r>
    <r>
      <rPr>
        <sz val="11"/>
        <color theme="1"/>
        <rFont val="Aptos Narrow"/>
        <charset val="134"/>
        <scheme val="minor"/>
      </rPr>
      <t xml:space="preserve">-Improper reverse manuvre </t>
    </r>
    <r>
      <rPr>
        <i/>
        <sz val="11"/>
        <color theme="1"/>
        <rFont val="Aptos Narrow"/>
        <charset val="134"/>
        <scheme val="minor"/>
      </rPr>
      <t>(Windsreen shatter)</t>
    </r>
  </si>
  <si>
    <r>
      <rPr>
        <sz val="10"/>
        <rFont val="Arial"/>
        <charset val="134"/>
      </rPr>
      <t xml:space="preserve">At about </t>
    </r>
    <r>
      <rPr>
        <b/>
        <sz val="10"/>
        <rFont val="Arial"/>
        <charset val="134"/>
      </rPr>
      <t>9:20 am (Day Shift)</t>
    </r>
    <r>
      <rPr>
        <sz val="10"/>
        <rFont val="Arial"/>
        <charset val="134"/>
      </rPr>
      <t xml:space="preserve">, E&amp;P Dozer 53 whilst pushing to level material on the mining floor of  EX 16 on the northwest of DPCB rock block dislodged from the lower portion of the  wall and made contact with the Dozer 53 causing a minor damage to the dozer.
No injury was recorded. </t>
    </r>
    <r>
      <rPr>
        <b/>
        <sz val="10"/>
        <rFont val="Arial"/>
        <charset val="134"/>
      </rPr>
      <t>The operator is 41 years old with 9 years of experience in Dozer operating</t>
    </r>
    <r>
      <rPr>
        <sz val="10"/>
        <rFont val="Arial"/>
        <charset val="134"/>
      </rPr>
      <t xml:space="preserve">
</t>
    </r>
  </si>
  <si>
    <t>Dozer, Excavator (DZ-53, EX-16)</t>
  </si>
  <si>
    <t>1. The slip was facilitated by frequent vibration of Dozer 53 cleaning under the high wall</t>
  </si>
  <si>
    <t xml:space="preserve">1.The section of the wall that slipped  is as a result of two planes which obliquely intersect within the slope face making the rock mass susceptible to failure
2.Ground water ingress into the rock structures causing a reduction in the rock shear strength
</t>
  </si>
  <si>
    <t>Structure</t>
  </si>
  <si>
    <r>
      <rPr>
        <b/>
        <sz val="11"/>
        <color theme="1"/>
        <rFont val="Aptos Narrow"/>
        <charset val="134"/>
        <scheme val="minor"/>
      </rPr>
      <t>Physical Environment</t>
    </r>
    <r>
      <rPr>
        <sz val="11"/>
        <color theme="1"/>
        <rFont val="Aptos Narrow"/>
        <charset val="134"/>
        <scheme val="minor"/>
      </rPr>
      <t xml:space="preserve">-shear stresses on high wall, causing inadvertent rockfall </t>
    </r>
  </si>
  <si>
    <r>
      <rPr>
        <b/>
        <sz val="11"/>
        <color theme="1"/>
        <rFont val="Aptos Narrow"/>
        <charset val="134"/>
        <scheme val="minor"/>
      </rPr>
      <t>Causal code;Physical Environment</t>
    </r>
    <r>
      <rPr>
        <sz val="11"/>
        <color theme="1"/>
        <rFont val="Aptos Narrow"/>
        <charset val="134"/>
        <scheme val="minor"/>
      </rPr>
      <t xml:space="preserve">-Vibrational Impact </t>
    </r>
    <r>
      <rPr>
        <i/>
        <sz val="11"/>
        <color theme="1"/>
        <rFont val="Aptos Narrow"/>
        <charset val="134"/>
        <scheme val="minor"/>
      </rPr>
      <t>(structural deformity/impact</t>
    </r>
    <r>
      <rPr>
        <sz val="11"/>
        <color theme="1"/>
        <rFont val="Aptos Narrow"/>
        <charset val="134"/>
        <scheme val="minor"/>
      </rPr>
      <t>)</t>
    </r>
  </si>
  <si>
    <r>
      <rPr>
        <sz val="11"/>
        <color theme="1"/>
        <rFont val="Aptos Narrow"/>
        <charset val="134"/>
        <scheme val="minor"/>
      </rPr>
      <t>At about</t>
    </r>
    <r>
      <rPr>
        <b/>
        <sz val="11"/>
        <color theme="1"/>
        <rFont val="Aptos Narrow"/>
        <charset val="134"/>
        <scheme val="minor"/>
      </rPr>
      <t xml:space="preserve"> 8:50pm (night shift)</t>
    </r>
    <r>
      <rPr>
        <sz val="11"/>
        <color theme="1"/>
        <rFont val="Aptos Narrow"/>
        <charset val="134"/>
        <scheme val="minor"/>
      </rPr>
      <t xml:space="preserve">,  Albert Jerry Quainoo was assigned to operate Dump Truck 123, being loaded under Excavator (EX-19) at the Damang West Cut Back . Whiles ascending to the ramp at the last switch back, he saw Dump Truck 119 descending the ramp to the pit . He realiazed a crack on the windscreen caused by a falling rock when he stopped to give way to truck 119.
No injury was sustained. </t>
    </r>
    <r>
      <rPr>
        <b/>
        <sz val="11"/>
        <color theme="1"/>
        <rFont val="Aptos Narrow"/>
        <charset val="134"/>
        <scheme val="minor"/>
      </rPr>
      <t>The Dump truck operator of DT-123 is 40 years old, with 5 years of experience as a dump truck operator, whiles the operator of the dump truck DT-119 is 39 years with 6 years of experience in dump truck operation.</t>
    </r>
  </si>
  <si>
    <t>1. Traffic vibration whiles ascending the ramp.                             2. Projected rock particle by the dump truck 119</t>
  </si>
  <si>
    <t>Rock spills on the ramps</t>
  </si>
  <si>
    <r>
      <rPr>
        <b/>
        <sz val="11"/>
        <color theme="1"/>
        <rFont val="Aptos Narrow"/>
        <charset val="134"/>
        <scheme val="minor"/>
      </rPr>
      <t>Physical Environment</t>
    </r>
    <r>
      <rPr>
        <sz val="11"/>
        <color theme="1"/>
        <rFont val="Aptos Narrow"/>
        <charset val="134"/>
        <scheme val="minor"/>
      </rPr>
      <t xml:space="preserve">-Vibrational Impact </t>
    </r>
    <r>
      <rPr>
        <i/>
        <sz val="11"/>
        <color theme="1"/>
        <rFont val="Aptos Narrow"/>
        <charset val="134"/>
        <scheme val="minor"/>
      </rPr>
      <t>(Windscreen shatter</t>
    </r>
    <r>
      <rPr>
        <sz val="11"/>
        <color theme="1"/>
        <rFont val="Aptos Narrow"/>
        <charset val="134"/>
        <scheme val="minor"/>
      </rPr>
      <t>)</t>
    </r>
  </si>
  <si>
    <r>
      <rPr>
        <b/>
        <sz val="11"/>
        <color theme="1"/>
        <rFont val="Aptos Narrow"/>
        <charset val="134"/>
        <scheme val="minor"/>
      </rPr>
      <t>Causal code;Physical Environment</t>
    </r>
    <r>
      <rPr>
        <sz val="11"/>
        <color theme="1"/>
        <rFont val="Aptos Narrow"/>
        <charset val="134"/>
        <scheme val="minor"/>
      </rPr>
      <t xml:space="preserve">-Vibrational Impact </t>
    </r>
    <r>
      <rPr>
        <i/>
        <sz val="11"/>
        <color theme="1"/>
        <rFont val="Aptos Narrow"/>
        <charset val="134"/>
        <scheme val="minor"/>
      </rPr>
      <t>(Windscreen shatter</t>
    </r>
    <r>
      <rPr>
        <sz val="11"/>
        <color theme="1"/>
        <rFont val="Aptos Narrow"/>
        <charset val="134"/>
        <scheme val="minor"/>
      </rPr>
      <t>)</t>
    </r>
  </si>
  <si>
    <r>
      <rPr>
        <sz val="10"/>
        <rFont val="Arial"/>
        <charset val="134"/>
      </rPr>
      <t xml:space="preserve">At about </t>
    </r>
    <r>
      <rPr>
        <b/>
        <sz val="10"/>
        <rFont val="Arial"/>
        <charset val="134"/>
      </rPr>
      <t>4:34 pm( Day Shift)</t>
    </r>
    <r>
      <rPr>
        <sz val="10"/>
        <rFont val="Arial"/>
        <charset val="134"/>
      </rPr>
      <t xml:space="preserve"> While operating E&amp;P excavator EX27, Felix Boakye (excavator operator) saw fumes emanating from the engine compartment. He stopped the engine and activated the fire suppression system on the machine. There was no injury. </t>
    </r>
    <r>
      <rPr>
        <b/>
        <sz val="10"/>
        <rFont val="Arial"/>
        <charset val="134"/>
      </rPr>
      <t>The Operator is 38 years old with 11 years of experience in excavator operator.</t>
    </r>
  </si>
  <si>
    <t>Excavator (EX-27)</t>
  </si>
  <si>
    <t>The turbo charger shaft got broken resulted in internal turbine robbing against the turbine housing which created excessive heat and eventually gener</t>
  </si>
  <si>
    <t>Turbo Charger &amp; Fire Supression System</t>
  </si>
  <si>
    <r>
      <rPr>
        <b/>
        <sz val="11"/>
        <color theme="1"/>
        <rFont val="Aptos Narrow"/>
        <charset val="134"/>
        <scheme val="minor"/>
      </rPr>
      <t>Technological Environment</t>
    </r>
    <r>
      <rPr>
        <sz val="11"/>
        <color theme="1"/>
        <rFont val="Aptos Narrow"/>
        <charset val="134"/>
        <scheme val="minor"/>
      </rPr>
      <t>- Mechanical failure (turbo charger shaft)</t>
    </r>
    <r>
      <rPr>
        <b/>
        <i/>
        <sz val="11"/>
        <color rgb="FFFF0000"/>
        <rFont val="Aptos Narrow"/>
        <charset val="134"/>
        <scheme val="minor"/>
      </rPr>
      <t>-Fire</t>
    </r>
  </si>
  <si>
    <r>
      <rPr>
        <b/>
        <sz val="11"/>
        <color theme="1"/>
        <rFont val="Aptos Narrow"/>
        <charset val="134"/>
        <scheme val="minor"/>
      </rPr>
      <t>Causal code;Technological Environment</t>
    </r>
    <r>
      <rPr>
        <sz val="11"/>
        <color theme="1"/>
        <rFont val="Aptos Narrow"/>
        <charset val="134"/>
        <scheme val="minor"/>
      </rPr>
      <t>- Mechanical failure (turbo charger shaft)</t>
    </r>
    <r>
      <rPr>
        <b/>
        <i/>
        <sz val="11"/>
        <color rgb="FFFF0000"/>
        <rFont val="Aptos Narrow"/>
        <charset val="134"/>
        <scheme val="minor"/>
      </rPr>
      <t>-Fire</t>
    </r>
  </si>
  <si>
    <r>
      <rPr>
        <sz val="10"/>
        <rFont val="Arial"/>
        <charset val="134"/>
      </rPr>
      <t xml:space="preserve">On the 23rd of December 2021, at about </t>
    </r>
    <r>
      <rPr>
        <b/>
        <sz val="10"/>
        <rFont val="Arial"/>
        <charset val="134"/>
      </rPr>
      <t>3:20am (Night Shift)</t>
    </r>
    <r>
      <rPr>
        <sz val="10"/>
        <rFont val="Arial"/>
        <charset val="134"/>
      </rPr>
      <t xml:space="preserve">Dump truck # 125 had its position 3 tire burst. This occurred after the truck had gone through a repaired works on the air-condition at the workshop. The Operator conducted walkaround inspection on the truck and he mounted into the carbin and started the engine to continue his normal operation when he heard an unusual loud noise. He got down to check and realized that the position 3 tire had burst. </t>
    </r>
    <r>
      <rPr>
        <sz val="10"/>
        <rFont val="Arial"/>
        <charset val="134"/>
      </rPr>
      <t xml:space="preserve"> </t>
    </r>
    <r>
      <rPr>
        <b/>
        <sz val="10"/>
        <rFont val="Arial"/>
        <charset val="134"/>
      </rPr>
      <t>The Operator's age is not known, but have 4 years of experience in Dump Truck Operation.</t>
    </r>
  </si>
  <si>
    <t>Not known</t>
  </si>
  <si>
    <t>Dump Truck (DT-125)</t>
  </si>
  <si>
    <t xml:space="preserve">An impact caused a bulge on the tyre that resulted in tyre separation leading to a burst	</t>
  </si>
  <si>
    <t>UNDERCARRIAGE</t>
  </si>
  <si>
    <r>
      <rPr>
        <b/>
        <sz val="11"/>
        <color theme="1"/>
        <rFont val="Aptos Narrow"/>
        <charset val="134"/>
        <scheme val="minor"/>
      </rPr>
      <t>Physical Environment</t>
    </r>
    <r>
      <rPr>
        <sz val="11"/>
        <color theme="1"/>
        <rFont val="Aptos Narrow"/>
        <charset val="134"/>
        <scheme val="minor"/>
      </rPr>
      <t>-Inadequate pit floor maintenance (Tyre burst)</t>
    </r>
  </si>
  <si>
    <r>
      <rPr>
        <b/>
        <sz val="11"/>
        <color theme="1"/>
        <rFont val="Aptos Narrow"/>
        <charset val="134"/>
        <scheme val="minor"/>
      </rPr>
      <t>Causal code;Physical Environment</t>
    </r>
    <r>
      <rPr>
        <sz val="11"/>
        <color theme="1"/>
        <rFont val="Aptos Narrow"/>
        <charset val="134"/>
        <scheme val="minor"/>
      </rPr>
      <t>-Inadequate pit floor maintenance (Tyre burst)</t>
    </r>
  </si>
  <si>
    <t xml:space="preserve">PRODUCTION DATA </t>
  </si>
  <si>
    <r>
      <rPr>
        <sz val="11"/>
        <color theme="1"/>
        <rFont val="Calibri"/>
        <charset val="134"/>
      </rPr>
      <t xml:space="preserve">At about </t>
    </r>
    <r>
      <rPr>
        <b/>
        <sz val="11"/>
        <color theme="1"/>
        <rFont val="Calibri"/>
        <charset val="134"/>
      </rPr>
      <t>5:30 pm(Day Shift)</t>
    </r>
    <r>
      <rPr>
        <sz val="11"/>
        <color theme="1"/>
        <rFont val="Calibri"/>
        <charset val="134"/>
      </rPr>
      <t xml:space="preserve">, Ebenezer Cobinnah, a dump truck operator of 785 dump truck 44, parked at the go line after operations and realised the blind side driving mirror is shattered. No injury sustained. Drug and alcohol test was negative. </t>
    </r>
    <r>
      <rPr>
        <b/>
        <sz val="11"/>
        <color theme="1"/>
        <rFont val="Calibri"/>
        <charset val="134"/>
      </rPr>
      <t>The operator is 37 years old, with 4 yeares of experience as a dump truck operator</t>
    </r>
  </si>
  <si>
    <t>Dump Truck  785DT-44</t>
  </si>
  <si>
    <t>Slight Impact to Object upon assessment. Possibly scratch on highwall</t>
  </si>
  <si>
    <t>Narrow access at some portions on the ramp. Operating out of lane/ Distractive driving by a call whiles responding to a 2-way radio call</t>
  </si>
  <si>
    <t>Driving Mirror</t>
  </si>
  <si>
    <r>
      <rPr>
        <b/>
        <sz val="11"/>
        <color theme="1"/>
        <rFont val="Aptos Narrow"/>
        <charset val="134"/>
        <scheme val="minor"/>
      </rPr>
      <t xml:space="preserve">Mistake- </t>
    </r>
    <r>
      <rPr>
        <sz val="11"/>
        <color theme="1"/>
        <rFont val="Aptos Narrow"/>
        <charset val="134"/>
        <scheme val="minor"/>
      </rPr>
      <t>Distractive driving out of lane</t>
    </r>
  </si>
  <si>
    <r>
      <rPr>
        <b/>
        <sz val="11"/>
        <rFont val="Aptos Narrow"/>
        <charset val="134"/>
        <scheme val="minor"/>
      </rPr>
      <t>Causal code;Physical Environment</t>
    </r>
    <r>
      <rPr>
        <sz val="11"/>
        <rFont val="Aptos Narrow"/>
        <charset val="134"/>
        <scheme val="minor"/>
      </rPr>
      <t>-Inadequate road design/narrow roads (</t>
    </r>
    <r>
      <rPr>
        <i/>
        <sz val="11"/>
        <rFont val="Aptos Narrow"/>
        <charset val="134"/>
        <scheme val="minor"/>
      </rPr>
      <t>Mirror shatter)</t>
    </r>
  </si>
  <si>
    <t>HME- MAINTENANCE DATA</t>
  </si>
  <si>
    <r>
      <rPr>
        <sz val="11"/>
        <color theme="1"/>
        <rFont val="Calibri"/>
        <charset val="134"/>
      </rPr>
      <t xml:space="preserve">At about </t>
    </r>
    <r>
      <rPr>
        <b/>
        <sz val="11"/>
        <color theme="1"/>
        <rFont val="Calibri"/>
        <charset val="134"/>
      </rPr>
      <t>3:00 PM (Day Shift)</t>
    </r>
    <r>
      <rPr>
        <sz val="11"/>
        <color theme="1"/>
        <rFont val="Calibri"/>
        <charset val="134"/>
      </rPr>
      <t xml:space="preserve">, Isaac K Nyame, an operator of Drill Rig 65, was tramming after blast from the west to the North-East of the Damang Cut Back Pit (DPCB), in the process of tramming, the folded mast made a contact to the windscreen guard, causing cracks in the windscreen. No injury sustained. Drug and alcohol test conducted was negative. </t>
    </r>
    <r>
      <rPr>
        <b/>
        <sz val="11"/>
        <color theme="1"/>
        <rFont val="Calibri"/>
        <charset val="134"/>
      </rPr>
      <t>The operator is 38 years old, with 2 years of experience as a driller and 2 years experience as an offsider</t>
    </r>
  </si>
  <si>
    <t>Drill Rig         (DR-65)</t>
  </si>
  <si>
    <t>Tramming on Undulating pit floors conditions</t>
  </si>
  <si>
    <t>Not tramming according to prevailing road condition due to blasting evacuation time</t>
  </si>
  <si>
    <t>Windscreen</t>
  </si>
  <si>
    <r>
      <rPr>
        <b/>
        <sz val="11"/>
        <color theme="1"/>
        <rFont val="Aptos Narrow"/>
        <charset val="134"/>
        <scheme val="minor"/>
      </rPr>
      <t xml:space="preserve">Slip- </t>
    </r>
    <r>
      <rPr>
        <sz val="11"/>
        <color theme="1"/>
        <rFont val="Aptos Narrow"/>
        <charset val="134"/>
        <scheme val="minor"/>
      </rPr>
      <t>Fast tramming due to blasting evacuation process</t>
    </r>
  </si>
  <si>
    <r>
      <rPr>
        <b/>
        <sz val="11"/>
        <color theme="1"/>
        <rFont val="Aptos Narrow"/>
        <charset val="134"/>
        <scheme val="minor"/>
      </rPr>
      <t>Causal code;Physical Environment</t>
    </r>
    <r>
      <rPr>
        <sz val="11"/>
        <color theme="1"/>
        <rFont val="Aptos Narrow"/>
        <charset val="134"/>
        <scheme val="minor"/>
      </rPr>
      <t>-Inadequate road design/undulating roads (</t>
    </r>
    <r>
      <rPr>
        <i/>
        <sz val="11"/>
        <color theme="1"/>
        <rFont val="Aptos Narrow"/>
        <charset val="134"/>
        <scheme val="minor"/>
      </rPr>
      <t>wind screen shatter)</t>
    </r>
  </si>
  <si>
    <t>HSE (DATA)</t>
  </si>
  <si>
    <r>
      <rPr>
        <sz val="11"/>
        <color theme="1"/>
        <rFont val="Aptos Narrow"/>
        <charset val="134"/>
        <scheme val="minor"/>
      </rPr>
      <t xml:space="preserve">At about </t>
    </r>
    <r>
      <rPr>
        <b/>
        <sz val="11"/>
        <color theme="1"/>
        <rFont val="Aptos Narrow"/>
        <charset val="134"/>
        <scheme val="minor"/>
      </rPr>
      <t>11:15 am (Day Shift)</t>
    </r>
    <r>
      <rPr>
        <sz val="11"/>
        <color theme="1"/>
        <rFont val="Aptos Narrow"/>
        <charset val="134"/>
        <scheme val="minor"/>
      </rPr>
      <t xml:space="preserve">, While Moses Kwaesi Ansah an excavator operator was loading battered material with Excavator (EX-66) at the northern part of the Damang Cut back pit, in the process of tramming back to swing, a rock boulder got trapped in the track on the excavator, causing damage to the access ladder. No injury was sustained, drug and alcohol tests conducted was negative. </t>
    </r>
    <r>
      <rPr>
        <b/>
        <sz val="11"/>
        <color theme="1"/>
        <rFont val="Aptos Narrow"/>
        <charset val="134"/>
        <scheme val="minor"/>
      </rPr>
      <t>The opersator is 43 years old, with 7 years of experience as an excavator operator</t>
    </r>
  </si>
  <si>
    <t>Excavator EX-66</t>
  </si>
  <si>
    <t>1. Trapped rock boulder in the tracks                                          2. Inaddequate supervision by the production shift supervisor to allocate body sentry in monitoring mining operations close to the highwall, as the SOP clearly states</t>
  </si>
  <si>
    <t>Lack of situational awarenes and poor supervision</t>
  </si>
  <si>
    <t>Access Ladder</t>
  </si>
  <si>
    <r>
      <rPr>
        <b/>
        <sz val="11"/>
        <color theme="1"/>
        <rFont val="Aptos Narrow"/>
        <charset val="134"/>
        <scheme val="minor"/>
      </rPr>
      <t xml:space="preserve">Slip; </t>
    </r>
    <r>
      <rPr>
        <sz val="11"/>
        <color theme="1"/>
        <rFont val="Aptos Narrow"/>
        <charset val="134"/>
        <scheme val="minor"/>
      </rPr>
      <t>lack of situational awareness (lack of progressive undercarriage inspection)</t>
    </r>
  </si>
  <si>
    <r>
      <rPr>
        <b/>
        <sz val="11"/>
        <rFont val="Aptos Narrow"/>
        <charset val="134"/>
        <scheme val="minor"/>
      </rPr>
      <t>Causal code;Leadership flaw</t>
    </r>
    <r>
      <rPr>
        <sz val="11"/>
        <rFont val="Aptos Narrow"/>
        <charset val="134"/>
        <scheme val="minor"/>
      </rPr>
      <t>- Inadequate supervision (</t>
    </r>
    <r>
      <rPr>
        <i/>
        <sz val="11"/>
        <rFont val="Aptos Narrow"/>
        <charset val="134"/>
        <scheme val="minor"/>
      </rPr>
      <t>Access lader damage</t>
    </r>
    <r>
      <rPr>
        <sz val="11"/>
        <rFont val="Aptos Narrow"/>
        <charset val="134"/>
        <scheme val="minor"/>
      </rPr>
      <t>)</t>
    </r>
  </si>
  <si>
    <r>
      <rPr>
        <sz val="11"/>
        <color theme="1"/>
        <rFont val="Aptos Narrow"/>
        <charset val="134"/>
        <scheme val="minor"/>
      </rPr>
      <t xml:space="preserve">At about </t>
    </r>
    <r>
      <rPr>
        <b/>
        <sz val="11"/>
        <color theme="1"/>
        <rFont val="Aptos Narrow"/>
        <charset val="134"/>
        <scheme val="minor"/>
      </rPr>
      <t>3:45 pm (Day Shift)</t>
    </r>
    <r>
      <rPr>
        <sz val="11"/>
        <color theme="1"/>
        <rFont val="Aptos Narrow"/>
        <charset val="134"/>
        <scheme val="minor"/>
      </rPr>
      <t>, whiles George Essumang a Dump Truck operator on Dump truck (RH148) was being loaded by Excavator (EX-59), a rock fell from the bucket and strike the top driving mirror on the blind side of the truck, causing damage to the driving mirror. There was no injury sustained. Drug and alcohol test conducted was negative.</t>
    </r>
    <r>
      <rPr>
        <b/>
        <sz val="11"/>
        <color theme="1"/>
        <rFont val="Aptos Narrow"/>
        <charset val="134"/>
        <scheme val="minor"/>
      </rPr>
      <t xml:space="preserve"> The operator is 43 years old with 7 years experience of excavator operation.</t>
    </r>
  </si>
  <si>
    <t>Dump Truck (RH 148)</t>
  </si>
  <si>
    <t>Improper loading procedure</t>
  </si>
  <si>
    <t>Improper loading procedure/ Overloading of dump truck</t>
  </si>
  <si>
    <r>
      <rPr>
        <b/>
        <sz val="11"/>
        <color theme="1"/>
        <rFont val="Aptos Narrow"/>
        <charset val="134"/>
        <scheme val="minor"/>
      </rPr>
      <t>Contravention</t>
    </r>
    <r>
      <rPr>
        <sz val="11"/>
        <color theme="1"/>
        <rFont val="Aptos Narrow"/>
        <charset val="134"/>
        <scheme val="minor"/>
      </rPr>
      <t xml:space="preserve">; Procedural Noncompliance( </t>
    </r>
    <r>
      <rPr>
        <i/>
        <sz val="11"/>
        <color theme="1"/>
        <rFont val="Aptos Narrow"/>
        <charset val="134"/>
        <scheme val="minor"/>
      </rPr>
      <t>improper loading by Excavator Operator)-Mirror shatter</t>
    </r>
  </si>
  <si>
    <r>
      <rPr>
        <b/>
        <sz val="11"/>
        <color theme="1"/>
        <rFont val="Aptos Narrow"/>
        <charset val="134"/>
        <scheme val="minor"/>
      </rPr>
      <t>Causal code;Contravention</t>
    </r>
    <r>
      <rPr>
        <sz val="11"/>
        <color theme="1"/>
        <rFont val="Aptos Narrow"/>
        <charset val="134"/>
        <scheme val="minor"/>
      </rPr>
      <t xml:space="preserve">; Procedural Noncompliance( </t>
    </r>
    <r>
      <rPr>
        <i/>
        <sz val="11"/>
        <color theme="1"/>
        <rFont val="Aptos Narrow"/>
        <charset val="134"/>
        <scheme val="minor"/>
      </rPr>
      <t>improper loading by Excavator Operator)-Mirror shatter</t>
    </r>
  </si>
  <si>
    <r>
      <rPr>
        <sz val="10"/>
        <rFont val="Arial"/>
        <charset val="134"/>
      </rPr>
      <t xml:space="preserve">Around </t>
    </r>
    <r>
      <rPr>
        <b/>
        <sz val="10"/>
        <rFont val="Arial"/>
        <charset val="134"/>
      </rPr>
      <t>10:00am (Day Shift)</t>
    </r>
    <r>
      <rPr>
        <sz val="10"/>
        <rFont val="Arial"/>
        <charset val="134"/>
      </rPr>
      <t xml:space="preserve"> E&amp;P drill rig DR16 operated by Isaac Bukari was assigned to drill some over size rock (boulders) at Huni pit on the 936mRL. In the process of maneuvering to drill the next boulder, the rig made contact with one of the boulders behind it. No injury was sustained. Alcohol and drug tests were negative</t>
    </r>
    <r>
      <rPr>
        <sz val="10"/>
        <rFont val="Arial"/>
        <charset val="134"/>
      </rPr>
      <t>.</t>
    </r>
    <r>
      <rPr>
        <b/>
        <sz val="10"/>
        <rFont val="Arial"/>
        <charset val="134"/>
      </rPr>
      <t xml:space="preserve"> The operator is 46 years old with 1 year 6 month experience as a driller and 2 years as a drilling offsider.</t>
    </r>
  </si>
  <si>
    <t>Drill Rig (DR-16)</t>
  </si>
  <si>
    <t xml:space="preserve">1. Breach of Standard operating procedure for Drill rig operation
2. Lack of concentration
3.The offsider was assigned multi-tasks. (Spotting of ADT to tip scarts and offsiding of drill rigs)	</t>
  </si>
  <si>
    <t>Lack of situational awarenes</t>
  </si>
  <si>
    <t>Engine Hood and Dent to engine compartmemt cover</t>
  </si>
  <si>
    <r>
      <rPr>
        <b/>
        <sz val="11"/>
        <color theme="1"/>
        <rFont val="Aptos Narrow"/>
        <charset val="134"/>
        <scheme val="minor"/>
      </rPr>
      <t>Slip</t>
    </r>
    <r>
      <rPr>
        <sz val="11"/>
        <color theme="1"/>
        <rFont val="Aptos Narrow"/>
        <charset val="134"/>
        <scheme val="minor"/>
      </rPr>
      <t>- Lack of concentration (Impact damage to engine compartment)</t>
    </r>
  </si>
  <si>
    <r>
      <rPr>
        <b/>
        <sz val="11"/>
        <color theme="1"/>
        <rFont val="Aptos Narrow"/>
        <charset val="134"/>
        <scheme val="minor"/>
      </rPr>
      <t>Causal code;Slip</t>
    </r>
    <r>
      <rPr>
        <sz val="11"/>
        <color theme="1"/>
        <rFont val="Aptos Narrow"/>
        <charset val="134"/>
        <scheme val="minor"/>
      </rPr>
      <t>- Lack of concentration (Impact damage to engine compartment)</t>
    </r>
  </si>
  <si>
    <r>
      <rPr>
        <sz val="11"/>
        <color theme="1"/>
        <rFont val="Aptos Narrow"/>
        <charset val="134"/>
        <scheme val="minor"/>
      </rPr>
      <t xml:space="preserve">At about </t>
    </r>
    <r>
      <rPr>
        <b/>
        <sz val="11"/>
        <color theme="1"/>
        <rFont val="Aptos Narrow"/>
        <charset val="134"/>
        <scheme val="minor"/>
      </rPr>
      <t>4:10 AM (Night Shift)</t>
    </r>
    <r>
      <rPr>
        <sz val="11"/>
        <color theme="1"/>
        <rFont val="Aptos Narrow"/>
        <charset val="134"/>
        <scheme val="minor"/>
      </rPr>
      <t xml:space="preserve">, Williams Tawiah an excavator operator was assigned to Excavator 11 to mine laterite(Clay) material at the huni waste dump, in the process of mining, there was a sudden shattering noise, causing the side glass of the excavator to shatter. No Injury sustained, drug and alcohol test conducted was negative. </t>
    </r>
    <r>
      <rPr>
        <b/>
        <sz val="11"/>
        <color theme="1"/>
        <rFont val="Aptos Narrow"/>
        <charset val="134"/>
        <scheme val="minor"/>
      </rPr>
      <t>The operator is 37 years old, with 5 years of experience in excavator operating.</t>
    </r>
  </si>
  <si>
    <t>Excavator      (EX-11)</t>
  </si>
  <si>
    <t>Excessive vibration</t>
  </si>
  <si>
    <t>Expired Mirror adhesive substance</t>
  </si>
  <si>
    <t>Side Mirror</t>
  </si>
  <si>
    <r>
      <rPr>
        <b/>
        <sz val="11"/>
        <color theme="1"/>
        <rFont val="Aptos Narrow"/>
        <charset val="134"/>
        <scheme val="minor"/>
      </rPr>
      <t>Leadership flaw</t>
    </r>
    <r>
      <rPr>
        <sz val="11"/>
        <color theme="1"/>
        <rFont val="Aptos Narrow"/>
        <charset val="134"/>
        <scheme val="minor"/>
      </rPr>
      <t>- Inadequate planned maintenance and inspection (</t>
    </r>
    <r>
      <rPr>
        <i/>
        <sz val="11"/>
        <color theme="1"/>
        <rFont val="Aptos Narrow"/>
        <charset val="134"/>
        <scheme val="minor"/>
      </rPr>
      <t>Mirror damage</t>
    </r>
    <r>
      <rPr>
        <sz val="11"/>
        <color theme="1"/>
        <rFont val="Aptos Narrow"/>
        <charset val="134"/>
        <scheme val="minor"/>
      </rPr>
      <t>)</t>
    </r>
  </si>
  <si>
    <r>
      <rPr>
        <b/>
        <sz val="11"/>
        <color theme="1"/>
        <rFont val="Aptos Narrow"/>
        <charset val="134"/>
        <scheme val="minor"/>
      </rPr>
      <t>Causal code;Leadership flaw</t>
    </r>
    <r>
      <rPr>
        <sz val="11"/>
        <color theme="1"/>
        <rFont val="Aptos Narrow"/>
        <charset val="134"/>
        <scheme val="minor"/>
      </rPr>
      <t>- Inadequate planned maintenence (</t>
    </r>
    <r>
      <rPr>
        <i/>
        <sz val="11"/>
        <color theme="1"/>
        <rFont val="Aptos Narrow"/>
        <charset val="134"/>
        <scheme val="minor"/>
      </rPr>
      <t>Mirror damage</t>
    </r>
    <r>
      <rPr>
        <sz val="11"/>
        <color theme="1"/>
        <rFont val="Aptos Narrow"/>
        <charset val="134"/>
        <scheme val="minor"/>
      </rPr>
      <t>)</t>
    </r>
  </si>
  <si>
    <r>
      <rPr>
        <sz val="11"/>
        <color theme="1"/>
        <rFont val="Aptos Narrow"/>
        <charset val="134"/>
        <scheme val="minor"/>
      </rPr>
      <t xml:space="preserve"> Richard Anobil an Excavator operator was assigned to excavator EX-68 to mine material on the bench At about</t>
    </r>
    <r>
      <rPr>
        <b/>
        <sz val="11"/>
        <color theme="1"/>
        <rFont val="Aptos Narrow"/>
        <charset val="134"/>
        <scheme val="minor"/>
      </rPr>
      <t xml:space="preserve"> 9:45 pm (Night Shift)</t>
    </r>
    <r>
      <rPr>
        <sz val="11"/>
        <color theme="1"/>
        <rFont val="Aptos Narrow"/>
        <charset val="134"/>
        <scheme val="minor"/>
      </rPr>
      <t xml:space="preserve">, after parking the equipment to dismount for chop change  the window glass got broken. No injury sustained. </t>
    </r>
    <r>
      <rPr>
        <b/>
        <sz val="11"/>
        <color theme="1"/>
        <rFont val="Aptos Narrow"/>
        <charset val="134"/>
        <scheme val="minor"/>
      </rPr>
      <t>The operator is 39 years old, with 7 years of experience as an excavator operator</t>
    </r>
  </si>
  <si>
    <t>Excavator     (EX-68)</t>
  </si>
  <si>
    <t>Direct impact by a helmet to the side glass</t>
  </si>
  <si>
    <t>Personal belongings (Helmet strike the glass)</t>
  </si>
  <si>
    <t>Window glass</t>
  </si>
  <si>
    <r>
      <rPr>
        <b/>
        <sz val="11"/>
        <color theme="1"/>
        <rFont val="Aptos Narrow"/>
        <charset val="134"/>
        <scheme val="minor"/>
      </rPr>
      <t>Slip</t>
    </r>
    <r>
      <rPr>
        <sz val="11"/>
        <color theme="1"/>
        <rFont val="Aptos Narrow"/>
        <charset val="134"/>
        <scheme val="minor"/>
      </rPr>
      <t>-Physical force exertion (Operator stricked helmet to window glss)</t>
    </r>
  </si>
  <si>
    <r>
      <rPr>
        <b/>
        <sz val="11"/>
        <color theme="1"/>
        <rFont val="Aptos Narrow"/>
        <charset val="134"/>
        <scheme val="minor"/>
      </rPr>
      <t>Causal code;Slip</t>
    </r>
    <r>
      <rPr>
        <sz val="11"/>
        <color theme="1"/>
        <rFont val="Aptos Narrow"/>
        <charset val="134"/>
        <scheme val="minor"/>
      </rPr>
      <t>-Physical force exertion (Operator stricked helmet to window glss)</t>
    </r>
  </si>
  <si>
    <r>
      <rPr>
        <sz val="11"/>
        <color theme="1"/>
        <rFont val="Aptos Narrow"/>
        <charset val="134"/>
        <scheme val="minor"/>
      </rPr>
      <t xml:space="preserve">On the 10th July 2022, Fredrick Buabeng, an Excavator Operator was assinged to Excavator( EX-51) to batter the south eastern high wall at the Damang Pit Cut back at about </t>
    </r>
    <r>
      <rPr>
        <b/>
        <sz val="11"/>
        <color theme="1"/>
        <rFont val="Aptos Narrow"/>
        <charset val="134"/>
        <scheme val="minor"/>
      </rPr>
      <t>3:00am (Night Shift)</t>
    </r>
    <r>
      <rPr>
        <sz val="11"/>
        <color theme="1"/>
        <rFont val="Aptos Narrow"/>
        <charset val="134"/>
        <scheme val="minor"/>
      </rPr>
      <t xml:space="preserve">, in the process of battering, the blind side glass got smashed. No injury was sustained. </t>
    </r>
    <r>
      <rPr>
        <b/>
        <sz val="11"/>
        <color theme="1"/>
        <rFont val="Aptos Narrow"/>
        <charset val="134"/>
        <scheme val="minor"/>
      </rPr>
      <t>The Operator is 41 years, with 6 years of experience in excavator operating</t>
    </r>
  </si>
  <si>
    <t>Excavator      (EX-51)</t>
  </si>
  <si>
    <t>1. Excessive vibration and impact from projectiled rock from the highwall.                   2. No body sentry was assigned to monitor operations close to highwall, which is a breach in the SOP</t>
  </si>
  <si>
    <t>Hard batterd face causing excessive vibration during operation</t>
  </si>
  <si>
    <t>Carbin side glass</t>
  </si>
  <si>
    <r>
      <rPr>
        <b/>
        <sz val="11"/>
        <color theme="1"/>
        <rFont val="Aptos Narrow"/>
        <charset val="134"/>
        <scheme val="minor"/>
      </rPr>
      <t>Physical Environment</t>
    </r>
    <r>
      <rPr>
        <sz val="11"/>
        <color theme="1"/>
        <rFont val="Aptos Narrow"/>
        <charset val="134"/>
        <scheme val="minor"/>
      </rPr>
      <t xml:space="preserve">-Vibrational Impact </t>
    </r>
    <r>
      <rPr>
        <i/>
        <sz val="11"/>
        <color theme="1"/>
        <rFont val="Aptos Narrow"/>
        <charset val="134"/>
        <scheme val="minor"/>
      </rPr>
      <t>(Side glass shatter</t>
    </r>
    <r>
      <rPr>
        <sz val="11"/>
        <color theme="1"/>
        <rFont val="Aptos Narrow"/>
        <charset val="134"/>
        <scheme val="minor"/>
      </rPr>
      <t>)</t>
    </r>
  </si>
  <si>
    <r>
      <rPr>
        <b/>
        <sz val="11"/>
        <color theme="1"/>
        <rFont val="Aptos Narrow"/>
        <charset val="134"/>
        <scheme val="minor"/>
      </rPr>
      <t>Causal code;Physical Environment</t>
    </r>
    <r>
      <rPr>
        <sz val="11"/>
        <color theme="1"/>
        <rFont val="Aptos Narrow"/>
        <charset val="134"/>
        <scheme val="minor"/>
      </rPr>
      <t xml:space="preserve">-Vibrational Impact </t>
    </r>
    <r>
      <rPr>
        <i/>
        <sz val="11"/>
        <color theme="1"/>
        <rFont val="Aptos Narrow"/>
        <charset val="134"/>
        <scheme val="minor"/>
      </rPr>
      <t>(Side glass shatter</t>
    </r>
    <r>
      <rPr>
        <sz val="11"/>
        <color theme="1"/>
        <rFont val="Aptos Narrow"/>
        <charset val="134"/>
        <scheme val="minor"/>
      </rPr>
      <t>)</t>
    </r>
  </si>
  <si>
    <r>
      <rPr>
        <sz val="11"/>
        <color theme="1"/>
        <rFont val="Aptos Narrow"/>
        <charset val="134"/>
        <scheme val="minor"/>
      </rPr>
      <t xml:space="preserve">At </t>
    </r>
    <r>
      <rPr>
        <b/>
        <sz val="11"/>
        <color theme="1"/>
        <rFont val="Aptos Narrow"/>
        <charset val="134"/>
        <scheme val="minor"/>
      </rPr>
      <t>12:45pm(Night Shift)</t>
    </r>
    <r>
      <rPr>
        <sz val="11"/>
        <color theme="1"/>
        <rFont val="Aptos Narrow"/>
        <charset val="134"/>
        <scheme val="minor"/>
      </rPr>
      <t xml:space="preserve">, a Dump Truck operator called Albert Jerry Quainoo was assigned to Dump Truck 123 at the Huni pit to be loaded under Excavator( EX-58). A rock from the excavator fell and broke the differential glass of the Dump Truck. There was no injury sustained. </t>
    </r>
    <r>
      <rPr>
        <b/>
        <sz val="11"/>
        <color theme="1"/>
        <rFont val="Aptos Narrow"/>
        <charset val="134"/>
        <scheme val="minor"/>
      </rPr>
      <t>The operator is 39 years old, with 7 years of experience in dump truck opearting</t>
    </r>
  </si>
  <si>
    <t>Dump Truck                                                                                                                 DT(123)</t>
  </si>
  <si>
    <t xml:space="preserve">1. Mined boulder slipped from bucket (selective mining procedure was breached)   </t>
  </si>
  <si>
    <t>1. Flipped boulder from loaded bucket in the process of loading</t>
  </si>
  <si>
    <t>Differential glass</t>
  </si>
  <si>
    <r>
      <rPr>
        <b/>
        <sz val="11"/>
        <color theme="1"/>
        <rFont val="Aptos Narrow"/>
        <charset val="134"/>
        <scheme val="minor"/>
      </rPr>
      <t>Slip</t>
    </r>
    <r>
      <rPr>
        <sz val="11"/>
        <color theme="1"/>
        <rFont val="Aptos Narrow"/>
        <charset val="134"/>
        <scheme val="minor"/>
      </rPr>
      <t>- Improper loading (Flipped rock in the process of loading)</t>
    </r>
  </si>
  <si>
    <r>
      <rPr>
        <b/>
        <sz val="11"/>
        <color theme="1"/>
        <rFont val="Aptos Narrow"/>
        <charset val="134"/>
        <scheme val="minor"/>
      </rPr>
      <t>Causal code;Slip</t>
    </r>
    <r>
      <rPr>
        <sz val="11"/>
        <color theme="1"/>
        <rFont val="Aptos Narrow"/>
        <charset val="134"/>
        <scheme val="minor"/>
      </rPr>
      <t>- Improper loading (Flipped rock in the process of loading)</t>
    </r>
  </si>
  <si>
    <r>
      <rPr>
        <sz val="11"/>
        <color theme="1"/>
        <rFont val="Aptos Narrow"/>
        <charset val="134"/>
        <scheme val="minor"/>
      </rPr>
      <t xml:space="preserve">At about </t>
    </r>
    <r>
      <rPr>
        <b/>
        <sz val="11"/>
        <color theme="1"/>
        <rFont val="Aptos Narrow"/>
        <charset val="134"/>
        <scheme val="minor"/>
      </rPr>
      <t>1:00 am (Night Shift)</t>
    </r>
    <r>
      <rPr>
        <sz val="11"/>
        <color theme="1"/>
        <rFont val="Aptos Narrow"/>
        <charset val="134"/>
        <scheme val="minor"/>
      </rPr>
      <t>,Kwabena Addei  was assigned to swap an operator on Excavator 57 at the Huni pit. During the process of operating,  he realized the boom performance was slow and grounded the equipment. He found out that the cylinder boom is broken. No injury was recorded.</t>
    </r>
    <r>
      <rPr>
        <b/>
        <sz val="11"/>
        <color theme="1"/>
        <rFont val="Aptos Narrow"/>
        <charset val="134"/>
        <scheme val="minor"/>
      </rPr>
      <t xml:space="preserve"> The operator is 39 years old, with 4 years of experience in excavator operating</t>
    </r>
  </si>
  <si>
    <t>Excavator                                                                                                             (EX57)</t>
  </si>
  <si>
    <t xml:space="preserve">1. Visible signs of scratch on the cylinder, as a result of posible direct impact.               2. The blasted muck was hard for smooth digging.                  </t>
  </si>
  <si>
    <t xml:space="preserve">1. Vibrational impact to the boom cylinder as a result of hard digging conditions.            </t>
  </si>
  <si>
    <t xml:space="preserve">Broken cylinder boom </t>
  </si>
  <si>
    <r>
      <rPr>
        <b/>
        <sz val="11"/>
        <color theme="1"/>
        <rFont val="Aptos Narrow"/>
        <charset val="134"/>
        <scheme val="minor"/>
      </rPr>
      <t>Physical Environment</t>
    </r>
    <r>
      <rPr>
        <sz val="11"/>
        <color theme="1"/>
        <rFont val="Aptos Narrow"/>
        <charset val="134"/>
        <scheme val="minor"/>
      </rPr>
      <t xml:space="preserve">-Vibrational Impact </t>
    </r>
    <r>
      <rPr>
        <i/>
        <sz val="11"/>
        <color theme="1"/>
        <rFont val="Aptos Narrow"/>
        <charset val="134"/>
        <scheme val="minor"/>
      </rPr>
      <t>(broken boom cylinder as a result of hard digging</t>
    </r>
    <r>
      <rPr>
        <sz val="11"/>
        <color theme="1"/>
        <rFont val="Aptos Narrow"/>
        <charset val="134"/>
        <scheme val="minor"/>
      </rPr>
      <t>)</t>
    </r>
  </si>
  <si>
    <r>
      <rPr>
        <b/>
        <sz val="11"/>
        <color theme="1"/>
        <rFont val="Aptos Narrow"/>
        <charset val="134"/>
        <scheme val="minor"/>
      </rPr>
      <t>Causal code;Physical Environment</t>
    </r>
    <r>
      <rPr>
        <sz val="11"/>
        <color theme="1"/>
        <rFont val="Aptos Narrow"/>
        <charset val="134"/>
        <scheme val="minor"/>
      </rPr>
      <t xml:space="preserve">-Vibrational Impact </t>
    </r>
    <r>
      <rPr>
        <i/>
        <sz val="11"/>
        <color theme="1"/>
        <rFont val="Aptos Narrow"/>
        <charset val="134"/>
        <scheme val="minor"/>
      </rPr>
      <t>(broken boom cylinder as a result of hard digging</t>
    </r>
    <r>
      <rPr>
        <sz val="11"/>
        <color theme="1"/>
        <rFont val="Aptos Narrow"/>
        <charset val="134"/>
        <scheme val="minor"/>
      </rPr>
      <t>)</t>
    </r>
  </si>
  <si>
    <r>
      <rPr>
        <sz val="11"/>
        <color theme="1"/>
        <rFont val="Aptos Narrow"/>
        <charset val="134"/>
        <scheme val="minor"/>
      </rPr>
      <t xml:space="preserve">Godfred Bukroh who was a community trainee was assigned to Dump Truck 102 at about </t>
    </r>
    <r>
      <rPr>
        <b/>
        <sz val="11"/>
        <color theme="1"/>
        <rFont val="Aptos Narrow"/>
        <charset val="134"/>
        <scheme val="minor"/>
      </rPr>
      <t xml:space="preserve">11:20 am(Day Shift) </t>
    </r>
    <r>
      <rPr>
        <sz val="11"/>
        <color theme="1"/>
        <rFont val="Aptos Narrow"/>
        <charset val="134"/>
        <scheme val="minor"/>
      </rPr>
      <t xml:space="preserve">during the process of turning after dumping at the FETSF dumping area, the truck bogged. He was prompted by the dump controller that the ladder had been damaged. There was no injury recorded, drug and alcohol test conducted proves negative. </t>
    </r>
    <r>
      <rPr>
        <b/>
        <sz val="11"/>
        <color theme="1"/>
        <rFont val="Aptos Narrow"/>
        <charset val="134"/>
        <scheme val="minor"/>
      </rPr>
      <t>The operator is 35 years old with less than 6 month of experience in dump truck operation</t>
    </r>
  </si>
  <si>
    <t>11:20AM</t>
  </si>
  <si>
    <t>Dump Truck                                                                                                                 DT(102)</t>
  </si>
  <si>
    <t>1. The extent of dumping floor area was not delineated with cones or any markings.</t>
  </si>
  <si>
    <t>1. Inadequate experience in dump truck operations at the FETSF working area</t>
  </si>
  <si>
    <t>Access ladder</t>
  </si>
  <si>
    <r>
      <rPr>
        <b/>
        <sz val="11"/>
        <color theme="1"/>
        <rFont val="Aptos Narrow"/>
        <charset val="134"/>
        <scheme val="minor"/>
      </rPr>
      <t>Leadership flaw</t>
    </r>
    <r>
      <rPr>
        <sz val="11"/>
        <color theme="1"/>
        <rFont val="Aptos Narrow"/>
        <charset val="134"/>
        <scheme val="minor"/>
      </rPr>
      <t>- Inadequate instruction and training</t>
    </r>
  </si>
  <si>
    <r>
      <rPr>
        <b/>
        <sz val="11"/>
        <color theme="1"/>
        <rFont val="Aptos Narrow"/>
        <charset val="134"/>
        <scheme val="minor"/>
      </rPr>
      <t>Causal code;Leadership flaw</t>
    </r>
    <r>
      <rPr>
        <sz val="11"/>
        <color theme="1"/>
        <rFont val="Aptos Narrow"/>
        <charset val="134"/>
        <scheme val="minor"/>
      </rPr>
      <t>- Inadequate instruction and training (</t>
    </r>
    <r>
      <rPr>
        <i/>
        <sz val="11"/>
        <color theme="1"/>
        <rFont val="Aptos Narrow"/>
        <charset val="134"/>
        <scheme val="minor"/>
      </rPr>
      <t>Access lader damage</t>
    </r>
    <r>
      <rPr>
        <sz val="11"/>
        <color theme="1"/>
        <rFont val="Aptos Narrow"/>
        <charset val="134"/>
        <scheme val="minor"/>
      </rPr>
      <t>)</t>
    </r>
  </si>
  <si>
    <r>
      <rPr>
        <sz val="11"/>
        <color theme="1"/>
        <rFont val="Aptos Narrow"/>
        <charset val="134"/>
        <scheme val="minor"/>
      </rPr>
      <t xml:space="preserve">At about </t>
    </r>
    <r>
      <rPr>
        <b/>
        <sz val="11"/>
        <color theme="1"/>
        <rFont val="Aptos Narrow"/>
        <charset val="134"/>
        <scheme val="minor"/>
      </rPr>
      <t>6:30 pm( Night Shift)</t>
    </r>
    <r>
      <rPr>
        <sz val="11"/>
        <color theme="1"/>
        <rFont val="Aptos Narrow"/>
        <charset val="134"/>
        <scheme val="minor"/>
      </rPr>
      <t xml:space="preserve"> after Kasim Amadu had conducted his pre-start checks on the excavator 61, the operator after mounting the carbin, failed to fold the access ladder, and in the process of operating he was promted before realizing the ladder had damaged. No injury was sustained, drug and alcohol test conducted was negative.</t>
    </r>
    <r>
      <rPr>
        <b/>
        <sz val="11"/>
        <color theme="1"/>
        <rFont val="Aptos Narrow"/>
        <charset val="134"/>
        <scheme val="minor"/>
      </rPr>
      <t xml:space="preserve"> The operator is 44 years old, with 10 years of experience in excavtor operations</t>
    </r>
  </si>
  <si>
    <t>Excavator                                                                                                             (EX 61)</t>
  </si>
  <si>
    <t>1. Lack of situational awarenes                                    2. Forgetfulness and time pressure by the supervisor to mount on bench to start mining</t>
  </si>
  <si>
    <t>1. Forgetfulness on the part of the operator due to imposed pressure to start mining.                2. Faulty automated locking system on released access ladder.</t>
  </si>
  <si>
    <r>
      <rPr>
        <b/>
        <sz val="11"/>
        <color theme="1"/>
        <rFont val="Aptos Narrow"/>
        <charset val="134"/>
        <scheme val="minor"/>
      </rPr>
      <t>Lapse</t>
    </r>
    <r>
      <rPr>
        <sz val="11"/>
        <color theme="1"/>
        <rFont val="Aptos Narrow"/>
        <charset val="134"/>
        <scheme val="minor"/>
      </rPr>
      <t>-Failure to inspect and monitor-</t>
    </r>
    <r>
      <rPr>
        <b/>
        <sz val="11"/>
        <color theme="1"/>
        <rFont val="Aptos Narrow"/>
        <charset val="134"/>
        <scheme val="minor"/>
      </rPr>
      <t>forgetfulness</t>
    </r>
    <r>
      <rPr>
        <sz val="11"/>
        <color theme="1"/>
        <rFont val="Aptos Narrow"/>
        <charset val="134"/>
        <scheme val="minor"/>
      </rPr>
      <t xml:space="preserve"> </t>
    </r>
    <r>
      <rPr>
        <b/>
        <sz val="11"/>
        <color theme="1"/>
        <rFont val="Aptos Narrow"/>
        <charset val="134"/>
        <scheme val="minor"/>
      </rPr>
      <t>(</t>
    </r>
    <r>
      <rPr>
        <i/>
        <sz val="11"/>
        <color theme="1"/>
        <rFont val="Aptos Narrow"/>
        <charset val="134"/>
        <scheme val="minor"/>
      </rPr>
      <t>Ladder damage</t>
    </r>
    <r>
      <rPr>
        <b/>
        <sz val="11"/>
        <color theme="1"/>
        <rFont val="Aptos Narrow"/>
        <charset val="134"/>
        <scheme val="minor"/>
      </rPr>
      <t>)</t>
    </r>
  </si>
  <si>
    <r>
      <rPr>
        <b/>
        <sz val="11"/>
        <color theme="1"/>
        <rFont val="Aptos Narrow"/>
        <charset val="134"/>
        <scheme val="minor"/>
      </rPr>
      <t>Causal code;Mistake</t>
    </r>
    <r>
      <rPr>
        <sz val="11"/>
        <color theme="1"/>
        <rFont val="Aptos Narrow"/>
        <charset val="134"/>
        <scheme val="minor"/>
      </rPr>
      <t>-Failure to inspect and monitor (Ladder damage)</t>
    </r>
  </si>
  <si>
    <r>
      <rPr>
        <sz val="11"/>
        <color theme="1"/>
        <rFont val="Aptos Narrow"/>
        <charset val="134"/>
        <scheme val="minor"/>
      </rPr>
      <t xml:space="preserve">At about </t>
    </r>
    <r>
      <rPr>
        <b/>
        <sz val="11"/>
        <color theme="1"/>
        <rFont val="Aptos Narrow"/>
        <charset val="134"/>
        <scheme val="minor"/>
      </rPr>
      <t>5:05 am (Night Shift)</t>
    </r>
    <r>
      <rPr>
        <sz val="11"/>
        <color theme="1"/>
        <rFont val="Aptos Narrow"/>
        <charset val="134"/>
        <scheme val="minor"/>
      </rPr>
      <t xml:space="preserve">, Jerry Acheampong, a  truck operator of  dump truck 143, was receiving loads from Excavator 57 at the Huni pit. During operations Jerry heard an unsual noise which led to him inspecting the equipment to  realise the left side driving mirror is shattered. No injury was sustained. </t>
    </r>
    <r>
      <rPr>
        <b/>
        <sz val="11"/>
        <color theme="1"/>
        <rFont val="Aptos Narrow"/>
        <charset val="134"/>
        <scheme val="minor"/>
      </rPr>
      <t>The operator is 42 years old, with 7 years of experience in dump truck operation</t>
    </r>
  </si>
  <si>
    <t>Dump Truck                                                                                                                 DT(143)</t>
  </si>
  <si>
    <t>Impact from projected piece of rock, during mining operations</t>
  </si>
  <si>
    <t>Projected piece of splashed rocks during mining activities</t>
  </si>
  <si>
    <t>Side Driving Mirror</t>
  </si>
  <si>
    <r>
      <rPr>
        <b/>
        <sz val="11"/>
        <color theme="1"/>
        <rFont val="Aptos Narrow"/>
        <charset val="134"/>
        <scheme val="minor"/>
      </rPr>
      <t>Contravention</t>
    </r>
    <r>
      <rPr>
        <sz val="11"/>
        <color theme="1"/>
        <rFont val="Aptos Narrow"/>
        <charset val="134"/>
        <scheme val="minor"/>
      </rPr>
      <t xml:space="preserve">; Procedural Noncompliance( </t>
    </r>
    <r>
      <rPr>
        <i/>
        <sz val="11"/>
        <color theme="1"/>
        <rFont val="Aptos Narrow"/>
        <charset val="134"/>
        <scheme val="minor"/>
      </rPr>
      <t>improper loading by Excavator Operator)</t>
    </r>
    <r>
      <rPr>
        <sz val="11"/>
        <color theme="1"/>
        <rFont val="Aptos Narrow"/>
        <charset val="134"/>
        <scheme val="minor"/>
      </rPr>
      <t>-</t>
    </r>
    <r>
      <rPr>
        <i/>
        <sz val="11"/>
        <color theme="1"/>
        <rFont val="Aptos Narrow"/>
        <charset val="134"/>
        <scheme val="minor"/>
      </rPr>
      <t>Mirror shatter</t>
    </r>
  </si>
  <si>
    <r>
      <rPr>
        <b/>
        <sz val="11"/>
        <color theme="1"/>
        <rFont val="Aptos Narrow"/>
        <charset val="134"/>
        <scheme val="minor"/>
      </rPr>
      <t>Causal code;Contravention</t>
    </r>
    <r>
      <rPr>
        <sz val="11"/>
        <color theme="1"/>
        <rFont val="Aptos Narrow"/>
        <charset val="134"/>
        <scheme val="minor"/>
      </rPr>
      <t xml:space="preserve">; Procedural Noncompliance( </t>
    </r>
    <r>
      <rPr>
        <i/>
        <sz val="11"/>
        <color theme="1"/>
        <rFont val="Aptos Narrow"/>
        <charset val="134"/>
        <scheme val="minor"/>
      </rPr>
      <t>improper loading by Excavator Operator)</t>
    </r>
    <r>
      <rPr>
        <sz val="11"/>
        <color theme="1"/>
        <rFont val="Aptos Narrow"/>
        <charset val="134"/>
        <scheme val="minor"/>
      </rPr>
      <t>-</t>
    </r>
    <r>
      <rPr>
        <i/>
        <sz val="11"/>
        <color theme="1"/>
        <rFont val="Aptos Narrow"/>
        <charset val="134"/>
        <scheme val="minor"/>
      </rPr>
      <t>Mirror shatter</t>
    </r>
  </si>
  <si>
    <r>
      <rPr>
        <sz val="11"/>
        <color theme="1"/>
        <rFont val="Aptos Narrow"/>
        <charset val="134"/>
        <scheme val="minor"/>
      </rPr>
      <t>At about</t>
    </r>
    <r>
      <rPr>
        <b/>
        <sz val="11"/>
        <color theme="1"/>
        <rFont val="Aptos Narrow"/>
        <charset val="134"/>
        <scheme val="minor"/>
      </rPr>
      <t xml:space="preserve"> 1:30 am (Night Shift)</t>
    </r>
    <r>
      <rPr>
        <sz val="11"/>
        <color theme="1"/>
        <rFont val="Aptos Narrow"/>
        <charset val="134"/>
        <scheme val="minor"/>
      </rPr>
      <t xml:space="preserve">, a Loader operator called Idrisu  Issaka  was assigned to Loader 02 to load Dump Truck 124 . During the process of loading the truck operator alerted him of his cracked side mirror.  There was no injury sustained. </t>
    </r>
    <r>
      <rPr>
        <b/>
        <sz val="11"/>
        <color theme="1"/>
        <rFont val="Aptos Narrow"/>
        <charset val="134"/>
        <scheme val="minor"/>
      </rPr>
      <t>The operator is 44 yeaers old, with 6 years of experience in Loader operation</t>
    </r>
  </si>
  <si>
    <t>Loader                                                                                   (LO 02)</t>
  </si>
  <si>
    <t>Vibrational impact</t>
  </si>
  <si>
    <t xml:space="preserve">Weak adhesion of adhesive substance as a result of excessive vibration </t>
  </si>
  <si>
    <r>
      <rPr>
        <sz val="11"/>
        <color theme="1"/>
        <rFont val="Aptos Narrow"/>
        <charset val="134"/>
        <scheme val="minor"/>
      </rPr>
      <t xml:space="preserve">Ebenezer Armoh  was assigned to volvo 72 for rehandling works at the TSF around </t>
    </r>
    <r>
      <rPr>
        <b/>
        <sz val="11"/>
        <color theme="1"/>
        <rFont val="Aptos Narrow"/>
        <charset val="134"/>
        <scheme val="minor"/>
      </rPr>
      <t>3:15am (Night Shift)</t>
    </r>
    <r>
      <rPr>
        <sz val="11"/>
        <color theme="1"/>
        <rFont val="Aptos Narrow"/>
        <charset val="134"/>
        <scheme val="minor"/>
      </rPr>
      <t xml:space="preserve">. During the loading under Loader 12, he realized a the driving side mirror had cracked as a result of a fallen rock. No injury was sustained, </t>
    </r>
    <r>
      <rPr>
        <b/>
        <sz val="11"/>
        <color theme="1"/>
        <rFont val="Aptos Narrow"/>
        <charset val="134"/>
        <scheme val="minor"/>
      </rPr>
      <t>the operator is 39 years old, with 3 years of eaperience in ADT operation</t>
    </r>
  </si>
  <si>
    <t>Volvo  72</t>
  </si>
  <si>
    <t>Impact from projected rock particle</t>
  </si>
  <si>
    <t>1. Impact from projected rock particle             2. Improper loading by the loader, for not evenly  distributing load into the bucket</t>
  </si>
  <si>
    <t>HSE</t>
  </si>
  <si>
    <r>
      <rPr>
        <sz val="11"/>
        <rFont val="Aptos Narrow"/>
        <charset val="134"/>
        <scheme val="minor"/>
      </rPr>
      <t xml:space="preserve">At about </t>
    </r>
    <r>
      <rPr>
        <b/>
        <sz val="11"/>
        <rFont val="Aptos Narrow"/>
        <charset val="134"/>
        <scheme val="minor"/>
      </rPr>
      <t>11:35 pm (Night Shift)</t>
    </r>
    <r>
      <rPr>
        <sz val="11"/>
        <rFont val="Aptos Narrow"/>
        <charset val="134"/>
        <scheme val="minor"/>
      </rPr>
      <t xml:space="preserve">, whiles Sumaila Forson, an Excavator operator assigned to Excavator (EX-57) was mining from the 879RL bench, the track of the excavator removed, and in the process of swinging to properly position for the maintenance team to attend to the equipment, the operator forgot to fold the ladder, causing damage to the excavator ladder. There was no injury recorded. Drug and alcohol test conducted was negative. </t>
    </r>
    <r>
      <rPr>
        <b/>
        <sz val="11"/>
        <rFont val="Aptos Narrow"/>
        <charset val="134"/>
        <scheme val="minor"/>
      </rPr>
      <t>The operator is 44 years old, with 9 years of experience in excavator operating</t>
    </r>
  </si>
  <si>
    <t>Excavator (EX-57)</t>
  </si>
  <si>
    <t>1. Inadequate risk assesment              2.Lack of Situational Awareness</t>
  </si>
  <si>
    <t>Faulty automatic interlocking of  access ladder, causing excavator inability to swing when the is unfolded</t>
  </si>
  <si>
    <t>Access and Egress Ladder</t>
  </si>
  <si>
    <r>
      <rPr>
        <b/>
        <sz val="11"/>
        <color theme="1"/>
        <rFont val="Aptos Narrow"/>
        <charset val="134"/>
        <scheme val="minor"/>
      </rPr>
      <t>Causal code; Mistake</t>
    </r>
    <r>
      <rPr>
        <sz val="11"/>
        <color theme="1"/>
        <rFont val="Aptos Narrow"/>
        <charset val="134"/>
        <scheme val="minor"/>
      </rPr>
      <t>-Failure to inspect and monitor (</t>
    </r>
    <r>
      <rPr>
        <i/>
        <sz val="11"/>
        <color theme="1"/>
        <rFont val="Aptos Narrow"/>
        <charset val="134"/>
        <scheme val="minor"/>
      </rPr>
      <t>Ladder damage)</t>
    </r>
  </si>
  <si>
    <t>HME MAINTENANCE (DATA)</t>
  </si>
  <si>
    <r>
      <rPr>
        <sz val="11"/>
        <rFont val="Aptos Narrow"/>
        <charset val="134"/>
        <scheme val="minor"/>
      </rPr>
      <t>At about</t>
    </r>
    <r>
      <rPr>
        <b/>
        <sz val="11"/>
        <rFont val="Aptos Narrow"/>
        <charset val="134"/>
        <scheme val="minor"/>
      </rPr>
      <t xml:space="preserve"> 4:05 pm (Day Shift)</t>
    </r>
    <r>
      <rPr>
        <sz val="11"/>
        <rFont val="Aptos Narrow"/>
        <charset val="134"/>
        <scheme val="minor"/>
      </rPr>
      <t xml:space="preserve">, Richmond Anan who was assigned to DT-158, Just after dumping  material at the crusher front, from Huni pit, realised smoke emanating from the engine compartment area. He activated the fire suppression system to control the fire. No Injury was recorded. </t>
    </r>
    <r>
      <rPr>
        <b/>
        <sz val="11"/>
        <rFont val="Aptos Narrow"/>
        <charset val="134"/>
        <scheme val="minor"/>
      </rPr>
      <t>The operator is 38 years old, with 6 years of experience in dump truck operations</t>
    </r>
  </si>
  <si>
    <t>Dump Truck DT158</t>
  </si>
  <si>
    <t>Short Circuit and irregular planned maintenance</t>
  </si>
  <si>
    <t xml:space="preserve">Short Circuit and fuel leaks splash unto turbo compartment </t>
  </si>
  <si>
    <t>ECM wiring and discharged fire supression content</t>
  </si>
  <si>
    <t>MAINTENANCE LAPSE</t>
  </si>
  <si>
    <r>
      <rPr>
        <b/>
        <sz val="11"/>
        <color theme="1"/>
        <rFont val="Aptos Narrow"/>
        <charset val="134"/>
        <scheme val="minor"/>
      </rPr>
      <t>Technological Environment</t>
    </r>
    <r>
      <rPr>
        <sz val="11"/>
        <color theme="1"/>
        <rFont val="Aptos Narrow"/>
        <charset val="134"/>
        <scheme val="minor"/>
      </rPr>
      <t>- Electrical short circuit-</t>
    </r>
    <r>
      <rPr>
        <b/>
        <i/>
        <sz val="11"/>
        <color rgb="FFFF0000"/>
        <rFont val="Aptos Narrow"/>
        <charset val="134"/>
        <scheme val="minor"/>
      </rPr>
      <t xml:space="preserve"> Fire</t>
    </r>
  </si>
  <si>
    <r>
      <rPr>
        <b/>
        <sz val="11"/>
        <color theme="1"/>
        <rFont val="Aptos Narrow"/>
        <charset val="134"/>
        <scheme val="minor"/>
      </rPr>
      <t>Causal code; Technological Environment</t>
    </r>
    <r>
      <rPr>
        <sz val="11"/>
        <color theme="1"/>
        <rFont val="Aptos Narrow"/>
        <charset val="134"/>
        <scheme val="minor"/>
      </rPr>
      <t>- Electrical short circuit-</t>
    </r>
    <r>
      <rPr>
        <b/>
        <i/>
        <sz val="11"/>
        <color rgb="FFFF0000"/>
        <rFont val="Aptos Narrow"/>
        <charset val="134"/>
        <scheme val="minor"/>
      </rPr>
      <t xml:space="preserve"> Fire</t>
    </r>
  </si>
  <si>
    <t>MINING PRODUCTION DATA</t>
  </si>
  <si>
    <r>
      <rPr>
        <sz val="11"/>
        <rFont val="Aptos Narrow"/>
        <charset val="134"/>
        <scheme val="minor"/>
      </rPr>
      <t xml:space="preserve">At about 10:00 pm (Night Shift), Joseph Baidoo, an assigned operator to Dozer 48 was working (Leveling bench floors) at the ROMPAD. In the process of reversing, to be aware of his suroundings, he tuned to look back and inadvertently his hand striked the fire supression system knob, causing FSS content to be activated and released. No injury was sustained. Drug and Alcohol test conducted was negative. </t>
    </r>
    <r>
      <rPr>
        <b/>
        <sz val="11"/>
        <rFont val="Aptos Narrow"/>
        <charset val="134"/>
        <scheme val="minor"/>
      </rPr>
      <t>The operator is 36 years old, with 7 years of experience in Dozer operations.</t>
    </r>
  </si>
  <si>
    <t>Track Dozer  (DZ-48)</t>
  </si>
  <si>
    <t xml:space="preserve">Operating Maneuvreing </t>
  </si>
  <si>
    <t>Blocked or clogged air filters restricting airflow and increasing engine temperature.</t>
  </si>
  <si>
    <t>Fire Supression Content Discharge</t>
  </si>
  <si>
    <t>DOZER</t>
  </si>
  <si>
    <r>
      <rPr>
        <b/>
        <sz val="11"/>
        <color theme="1"/>
        <rFont val="Aptos Narrow"/>
        <charset val="134"/>
        <scheme val="minor"/>
      </rPr>
      <t>Technological Environment</t>
    </r>
    <r>
      <rPr>
        <sz val="11"/>
        <color theme="1"/>
        <rFont val="Aptos Narrow"/>
        <charset val="134"/>
        <scheme val="minor"/>
      </rPr>
      <t>- Mechanical failure (High Engine temperature)-</t>
    </r>
    <r>
      <rPr>
        <b/>
        <i/>
        <sz val="11"/>
        <color rgb="FFFF0000"/>
        <rFont val="Aptos Narrow"/>
        <charset val="134"/>
        <scheme val="minor"/>
      </rPr>
      <t>Fire</t>
    </r>
  </si>
  <si>
    <r>
      <rPr>
        <b/>
        <sz val="11"/>
        <color theme="1"/>
        <rFont val="Aptos Narrow"/>
        <charset val="134"/>
        <scheme val="minor"/>
      </rPr>
      <t>Causal code; Technological Environment</t>
    </r>
    <r>
      <rPr>
        <sz val="11"/>
        <color theme="1"/>
        <rFont val="Aptos Narrow"/>
        <charset val="134"/>
        <scheme val="minor"/>
      </rPr>
      <t>- Mechanical failure (High Engine temperature)-</t>
    </r>
    <r>
      <rPr>
        <b/>
        <i/>
        <sz val="11"/>
        <color rgb="FFFF0000"/>
        <rFont val="Aptos Narrow"/>
        <charset val="134"/>
        <scheme val="minor"/>
      </rPr>
      <t>Fire</t>
    </r>
  </si>
  <si>
    <r>
      <rPr>
        <sz val="11"/>
        <rFont val="Aptos Narrow"/>
        <charset val="134"/>
        <scheme val="minor"/>
      </rPr>
      <t xml:space="preserve">At about </t>
    </r>
    <r>
      <rPr>
        <b/>
        <sz val="11"/>
        <rFont val="Aptos Narrow"/>
        <charset val="134"/>
        <scheme val="minor"/>
      </rPr>
      <t>12:30 am (Night Shift)</t>
    </r>
    <r>
      <rPr>
        <sz val="11"/>
        <rFont val="Aptos Narrow"/>
        <charset val="134"/>
        <scheme val="minor"/>
      </rPr>
      <t xml:space="preserve">, Iddrisu Salifu an operator assigned to Dozer 48, after hours of work, parked for break, and just as he dismounted the dozer, he observed traces of fire with smoke from the engine compartment. He activated the fire suppression system to extinguish the fire. No injury was sustained, drug and alcohol conducted was negative. </t>
    </r>
    <r>
      <rPr>
        <b/>
        <sz val="11"/>
        <rFont val="Aptos Narrow"/>
        <charset val="134"/>
        <scheme val="minor"/>
      </rPr>
      <t>The operator is 47 years old, with 8 years of experience in dozer operation.</t>
    </r>
  </si>
  <si>
    <t>Turbo charger failure, causing excessive heat built-up</t>
  </si>
  <si>
    <t>Cooling system failure leading to overheating of engine component</t>
  </si>
  <si>
    <t>Discharged fire supression content, Hoses and harness connectors</t>
  </si>
  <si>
    <t>Day works/ equipment plat hire</t>
  </si>
  <si>
    <t>ELECTRICAL FAILURE</t>
  </si>
  <si>
    <r>
      <rPr>
        <b/>
        <sz val="11"/>
        <color theme="1"/>
        <rFont val="Aptos Narrow"/>
        <charset val="134"/>
        <scheme val="minor"/>
      </rPr>
      <t>Technological Environment</t>
    </r>
    <r>
      <rPr>
        <sz val="11"/>
        <color theme="1"/>
        <rFont val="Aptos Narrow"/>
        <charset val="134"/>
        <scheme val="minor"/>
      </rPr>
      <t>- Mechanical failure (</t>
    </r>
    <r>
      <rPr>
        <i/>
        <sz val="11"/>
        <color theme="1"/>
        <rFont val="Aptos Narrow"/>
        <charset val="134"/>
        <scheme val="minor"/>
      </rPr>
      <t>Overheating of component)-</t>
    </r>
    <r>
      <rPr>
        <b/>
        <i/>
        <sz val="11"/>
        <color rgb="FFFF0000"/>
        <rFont val="Aptos Narrow"/>
        <charset val="134"/>
        <scheme val="minor"/>
      </rPr>
      <t xml:space="preserve"> Fire</t>
    </r>
  </si>
  <si>
    <r>
      <rPr>
        <b/>
        <sz val="11"/>
        <color theme="1"/>
        <rFont val="Aptos Narrow"/>
        <charset val="134"/>
        <scheme val="minor"/>
      </rPr>
      <t>Causal code;Technological Environment</t>
    </r>
    <r>
      <rPr>
        <sz val="11"/>
        <color theme="1"/>
        <rFont val="Aptos Narrow"/>
        <charset val="134"/>
        <scheme val="minor"/>
      </rPr>
      <t>- Mechanical failure (</t>
    </r>
    <r>
      <rPr>
        <i/>
        <sz val="11"/>
        <color theme="1"/>
        <rFont val="Aptos Narrow"/>
        <charset val="134"/>
        <scheme val="minor"/>
      </rPr>
      <t>Overheating of component)-</t>
    </r>
    <r>
      <rPr>
        <b/>
        <i/>
        <sz val="11"/>
        <color rgb="FFFF0000"/>
        <rFont val="Aptos Narrow"/>
        <charset val="134"/>
        <scheme val="minor"/>
      </rPr>
      <t xml:space="preserve"> Fire</t>
    </r>
  </si>
  <si>
    <r>
      <rPr>
        <sz val="11"/>
        <rFont val="Aptos Narrow"/>
        <charset val="134"/>
        <scheme val="minor"/>
      </rPr>
      <t xml:space="preserve">At about </t>
    </r>
    <r>
      <rPr>
        <b/>
        <sz val="11"/>
        <rFont val="Aptos Narrow"/>
        <charset val="134"/>
        <scheme val="minor"/>
      </rPr>
      <t>11:59 am (Day Shift)</t>
    </r>
    <r>
      <rPr>
        <sz val="11"/>
        <rFont val="Aptos Narrow"/>
        <charset val="134"/>
        <scheme val="minor"/>
      </rPr>
      <t xml:space="preserve">, in the process of hauling laterite for road maintenance at AGL townsite facility. Ernest Kwame Manu, a truck operator was tasked to to take laterite materials from huni waste dump to town site for road maintenance. After dumping the first load, Emmanuel Yamoah-Asante (PC1) intructed him not to use a long reverse for the rest of the work activity. Emmanuel then decided to escort Ernest to dump the second load. In the cause of escorting the truck (RT86) operated by Ernest, the position 5 tyre and the rim of the truck (RT86) got damaged when it ran against one of the culvert head walls at an intersection. </t>
    </r>
    <r>
      <rPr>
        <b/>
        <sz val="11"/>
        <rFont val="Aptos Narrow"/>
        <charset val="134"/>
        <scheme val="minor"/>
      </rPr>
      <t>The operator is 44 years, with 10 years of experience thin dump truck operations</t>
    </r>
  </si>
  <si>
    <t>Dump Truck (RT86)</t>
  </si>
  <si>
    <t xml:space="preserve">1. Operator not familiar with the working route       2. Inadequate assessment of the turning radius   </t>
  </si>
  <si>
    <t>The route was not assessed by the team before the task (poor supervision on the part of the PC1)</t>
  </si>
  <si>
    <t>Tyres and Rim</t>
  </si>
  <si>
    <t>Dayworks/Equipment  hire</t>
  </si>
  <si>
    <r>
      <rPr>
        <b/>
        <sz val="11"/>
        <color theme="1"/>
        <rFont val="Aptos Narrow"/>
        <charset val="134"/>
        <scheme val="minor"/>
      </rPr>
      <t xml:space="preserve">Mistake- </t>
    </r>
    <r>
      <rPr>
        <sz val="11"/>
        <color theme="1"/>
        <rFont val="Aptos Narrow"/>
        <charset val="134"/>
        <scheme val="minor"/>
      </rPr>
      <t>Inadequate task planning and assessment by the PC 1</t>
    </r>
  </si>
  <si>
    <r>
      <rPr>
        <b/>
        <sz val="11"/>
        <color theme="1"/>
        <rFont val="Aptos Narrow"/>
        <charset val="134"/>
        <scheme val="minor"/>
      </rPr>
      <t>Cause Code; Leadership flaw</t>
    </r>
    <r>
      <rPr>
        <sz val="11"/>
        <color theme="1"/>
        <rFont val="Aptos Narrow"/>
        <charset val="134"/>
        <scheme val="minor"/>
      </rPr>
      <t>- Inadequate work planning by PC1 (Tyre and Rim</t>
    </r>
    <r>
      <rPr>
        <i/>
        <sz val="11"/>
        <color theme="1"/>
        <rFont val="Aptos Narrow"/>
        <charset val="134"/>
        <scheme val="minor"/>
      </rPr>
      <t xml:space="preserve"> damage</t>
    </r>
    <r>
      <rPr>
        <sz val="11"/>
        <color theme="1"/>
        <rFont val="Aptos Narrow"/>
        <charset val="134"/>
        <scheme val="minor"/>
      </rPr>
      <t>)</t>
    </r>
  </si>
  <si>
    <r>
      <rPr>
        <sz val="11"/>
        <rFont val="Aptos Narrow"/>
        <charset val="134"/>
        <scheme val="minor"/>
      </rPr>
      <t xml:space="preserve">At about </t>
    </r>
    <r>
      <rPr>
        <b/>
        <sz val="11"/>
        <rFont val="Aptos Narrow"/>
        <charset val="134"/>
        <scheme val="minor"/>
      </rPr>
      <t>7:50 PM (Night Shift)</t>
    </r>
    <r>
      <rPr>
        <sz val="11"/>
        <rFont val="Aptos Narrow"/>
        <charset val="134"/>
        <scheme val="minor"/>
      </rPr>
      <t>, Marcus Louissien an assigned excavator operator to EX-79, was mining on a bench face at the FETSF Zone D material. There were dust generation from the muck material, the supervisor called on water cart to suppress dust on the bench, in the process of sprinkling water to supress the dust, splash of rock particles/debis striked the side door glass causing it to shatter. No injury was sustained.</t>
    </r>
    <r>
      <rPr>
        <b/>
        <sz val="11"/>
        <rFont val="Aptos Narrow"/>
        <charset val="134"/>
        <scheme val="minor"/>
      </rPr>
      <t xml:space="preserve"> The Excavator Operator 42 years with 6 years of experience in excavator operations, whiles the Water cart operator is 43 years old with 7 years of experience in dump truck operation and 2 years experience in operating water cart.</t>
    </r>
  </si>
  <si>
    <t>Excavator (EX-79)</t>
  </si>
  <si>
    <t>Splash of rock debris unto equipment glass</t>
  </si>
  <si>
    <t>Impact from spalshed debris</t>
  </si>
  <si>
    <t>Side door glass</t>
  </si>
  <si>
    <r>
      <rPr>
        <b/>
        <sz val="11"/>
        <color theme="1"/>
        <rFont val="Aptos Narrow"/>
        <charset val="134"/>
        <scheme val="minor"/>
      </rPr>
      <t>Physical Environment</t>
    </r>
    <r>
      <rPr>
        <sz val="11"/>
        <color theme="1"/>
        <rFont val="Aptos Narrow"/>
        <charset val="134"/>
        <scheme val="minor"/>
      </rPr>
      <t>-Splash of Fine rock debis on bench</t>
    </r>
  </si>
  <si>
    <r>
      <rPr>
        <b/>
        <sz val="11"/>
        <color theme="1"/>
        <rFont val="Aptos Narrow"/>
        <charset val="134"/>
        <scheme val="minor"/>
      </rPr>
      <t>Causal code;Physical Environment</t>
    </r>
    <r>
      <rPr>
        <sz val="11"/>
        <color theme="1"/>
        <rFont val="Aptos Narrow"/>
        <charset val="134"/>
        <scheme val="minor"/>
      </rPr>
      <t>-Splash of Fine rock debis on bench</t>
    </r>
  </si>
  <si>
    <t>Insignificant: &lt;$1K (INCIDENT SEVERITY)</t>
  </si>
  <si>
    <t>Legends:</t>
  </si>
  <si>
    <t>A: 0-2 years (OPERATORS EXPERIENCE)</t>
  </si>
  <si>
    <t>Minor : $1K - $10K</t>
  </si>
  <si>
    <t xml:space="preserve">B: 3-5 years </t>
  </si>
  <si>
    <t>Moderate: $10K - $100K</t>
  </si>
  <si>
    <t xml:space="preserve">C: 6-10 years </t>
  </si>
  <si>
    <t>Major: $100K - $1M</t>
  </si>
  <si>
    <t xml:space="preserve">D: 11-15 years </t>
  </si>
  <si>
    <t>Catastrophic: &gt;$1M</t>
  </si>
  <si>
    <t xml:space="preserve">E: 15+ years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</si>
</sst>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15">
    <numFmt numFmtId="7" formatCode="&quot;$&quot;#,##0.00_);\(&quot;$&quot;#,##0.00\)"/>
    <numFmt numFmtId="42" formatCode="_(&quot;$&quot;* #,##0_);_(&quot;$&quot;* \(#,##0\);_(&quot;$&quot;* &quot;-&quot;_);_(@_)"/>
    <numFmt numFmtId="44" formatCode="_(&quot;$&quot;* #,##0.00_);_(&quot;$&quot;* \(#,##0.00\);_(&quot;$&quot;* &quot;-&quot;??_);_(@_)"/>
    <numFmt numFmtId="176" formatCode="_-* #,##0.00_-;\-* #,##0.00_-;_-* &quot;-&quot;??_-;_-@_-"/>
    <numFmt numFmtId="177" formatCode="_ * #,##0_ ;_ * \-#,##0_ ;_ * &quot;-&quot;_ ;_ @_ "/>
    <numFmt numFmtId="178" formatCode="&quot;$&quot;#,##0.00"/>
    <numFmt numFmtId="179" formatCode="[$-409]hh:mm:ss\ AM/PM;@"/>
    <numFmt numFmtId="180" formatCode="dd\ mmmm\,\ yyyy"/>
    <numFmt numFmtId="181" formatCode="d\ mmmm\,\ yyyy"/>
    <numFmt numFmtId="182" formatCode="h:mm;@"/>
    <numFmt numFmtId="183" formatCode="[$-F800]dddd\,\ mmmm\ dd\,\ yyyy"/>
    <numFmt numFmtId="184" formatCode="h:mm\ AM/PM"/>
    <numFmt numFmtId="185" formatCode="[$-F400]h:mm:ss\ AM/PM"/>
    <numFmt numFmtId="186" formatCode="[$-1C09]dd\ mmmm\ yyyy;@"/>
    <numFmt numFmtId="187" formatCode="_(* #,##0_);_(* \(#,##0\);_(* &quot;-&quot;??_);_(@_)"/>
  </numFmts>
  <fonts count="42">
    <font>
      <sz val="11"/>
      <color theme="1"/>
      <name val="Aptos Narrow"/>
      <charset val="134"/>
      <scheme val="minor"/>
    </font>
    <font>
      <sz val="10"/>
      <name val="Arial"/>
      <charset val="134"/>
    </font>
    <font>
      <sz val="10"/>
      <color theme="1"/>
      <name val="Arial"/>
      <charset val="134"/>
    </font>
    <font>
      <sz val="11"/>
      <name val="Aptos Narrow"/>
      <charset val="134"/>
      <scheme val="minor"/>
    </font>
    <font>
      <sz val="11"/>
      <name val="Arial"/>
      <charset val="134"/>
    </font>
    <font>
      <sz val="11"/>
      <name val="Calibri"/>
      <charset val="134"/>
    </font>
    <font>
      <sz val="11"/>
      <color theme="1"/>
      <name val="Calibri"/>
      <charset val="134"/>
    </font>
    <font>
      <b/>
      <i/>
      <sz val="11"/>
      <color theme="1"/>
      <name val="Aptos Narrow"/>
      <charset val="134"/>
      <scheme val="minor"/>
    </font>
    <font>
      <b/>
      <sz val="11"/>
      <color theme="1"/>
      <name val="Aptos Narrow"/>
      <charset val="134"/>
      <scheme val="minor"/>
    </font>
    <font>
      <b/>
      <sz val="11"/>
      <color rgb="FFFF0000"/>
      <name val="Aptos Narrow"/>
      <charset val="134"/>
      <scheme val="minor"/>
    </font>
    <font>
      <sz val="11"/>
      <color rgb="FFFF0000"/>
      <name val="Aptos Narrow"/>
      <charset val="134"/>
      <scheme val="minor"/>
    </font>
    <font>
      <sz val="12"/>
      <color theme="1"/>
      <name val="Aptos Narrow"/>
      <charset val="134"/>
      <scheme val="minor"/>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2"/>
      <name val="Times New Roman"/>
      <charset val="134"/>
    </font>
    <font>
      <b/>
      <sz val="11"/>
      <color theme="1"/>
      <name val="Calibri"/>
      <charset val="134"/>
    </font>
    <font>
      <b/>
      <i/>
      <sz val="11"/>
      <color rgb="FFFF0000"/>
      <name val="Aptos Narrow"/>
      <charset val="134"/>
      <scheme val="minor"/>
    </font>
    <font>
      <b/>
      <sz val="11"/>
      <name val="Aptos Narrow"/>
      <charset val="134"/>
      <scheme val="minor"/>
    </font>
    <font>
      <i/>
      <sz val="11"/>
      <color theme="1"/>
      <name val="Aptos Narrow"/>
      <charset val="134"/>
      <scheme val="minor"/>
    </font>
    <font>
      <b/>
      <sz val="10"/>
      <name val="Arial"/>
      <charset val="134"/>
    </font>
    <font>
      <i/>
      <sz val="11"/>
      <name val="Aptos Narrow"/>
      <charset val="134"/>
      <scheme val="minor"/>
    </font>
    <font>
      <b/>
      <sz val="10"/>
      <color theme="1"/>
      <name val="Arial"/>
      <charset val="134"/>
    </font>
    <font>
      <b/>
      <sz val="11"/>
      <name val="Calibri"/>
      <charset val="134"/>
    </font>
    <font>
      <b/>
      <sz val="11"/>
      <name val="Arial"/>
      <charset val="134"/>
    </font>
  </fonts>
  <fills count="45">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8" tint="0.399975585192419"/>
        <bgColor indexed="64"/>
      </patternFill>
    </fill>
    <fill>
      <patternFill patternType="solid">
        <fgColor rgb="FF00B0F0"/>
        <bgColor indexed="64"/>
      </patternFill>
    </fill>
    <fill>
      <patternFill patternType="solid">
        <fgColor theme="0"/>
        <bgColor rgb="FFDBEEF3"/>
      </patternFill>
    </fill>
    <fill>
      <patternFill patternType="solid">
        <fgColor rgb="FF00B050"/>
        <bgColor indexed="64"/>
      </patternFill>
    </fill>
    <fill>
      <patternFill patternType="solid">
        <fgColor theme="0"/>
        <bgColor rgb="FFB6DDE8"/>
      </patternFill>
    </fill>
    <fill>
      <patternFill patternType="solid">
        <fgColor rgb="FFFFFF00"/>
        <bgColor indexed="64"/>
      </patternFill>
    </fill>
    <fill>
      <patternFill patternType="solid">
        <fgColor rgb="FFFF0000"/>
        <bgColor indexed="64"/>
      </patternFill>
    </fill>
    <fill>
      <patternFill patternType="solid">
        <fgColor theme="5" tint="0.399975585192419"/>
        <bgColor indexed="64"/>
      </patternFill>
    </fill>
    <fill>
      <patternFill patternType="solid">
        <fgColor theme="0" tint="-0.249977111117893"/>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14"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0" fillId="0" borderId="0" applyNumberFormat="0" applyFill="0" applyBorder="0" applyAlignment="0" applyProtection="0">
      <alignment vertical="center"/>
    </xf>
    <xf numFmtId="0" fontId="21" fillId="15" borderId="11" applyNumberFormat="0" applyAlignment="0" applyProtection="0">
      <alignment vertical="center"/>
    </xf>
    <xf numFmtId="0" fontId="22" fillId="16" borderId="12" applyNumberFormat="0" applyAlignment="0" applyProtection="0">
      <alignment vertical="center"/>
    </xf>
    <xf numFmtId="0" fontId="23" fillId="16" borderId="11" applyNumberFormat="0" applyAlignment="0" applyProtection="0">
      <alignment vertical="center"/>
    </xf>
    <xf numFmtId="0" fontId="24" fillId="17" borderId="13" applyNumberFormat="0" applyAlignment="0" applyProtection="0">
      <alignment vertical="center"/>
    </xf>
    <xf numFmtId="0" fontId="25" fillId="0" borderId="14" applyNumberFormat="0" applyFill="0" applyAlignment="0" applyProtection="0">
      <alignment vertical="center"/>
    </xf>
    <xf numFmtId="0" fontId="26" fillId="0" borderId="15" applyNumberFormat="0" applyFill="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0" fillId="35" borderId="0" applyNumberFormat="0" applyBorder="0" applyAlignment="0" applyProtection="0"/>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31" fillId="38" borderId="0" applyNumberFormat="0" applyBorder="0" applyAlignment="0" applyProtection="0">
      <alignment vertical="center"/>
    </xf>
    <xf numFmtId="0" fontId="31" fillId="39" borderId="0" applyNumberFormat="0" applyBorder="0" applyAlignment="0" applyProtection="0">
      <alignment vertical="center"/>
    </xf>
    <xf numFmtId="0" fontId="30" fillId="40" borderId="0" applyNumberFormat="0" applyBorder="0" applyAlignment="0" applyProtection="0">
      <alignment vertical="center"/>
    </xf>
    <xf numFmtId="0" fontId="30" fillId="41" borderId="0" applyNumberFormat="0" applyBorder="0" applyAlignment="0" applyProtection="0">
      <alignment vertical="center"/>
    </xf>
    <xf numFmtId="0" fontId="31" fillId="42" borderId="0" applyNumberFormat="0" applyBorder="0" applyAlignment="0" applyProtection="0">
      <alignment vertical="center"/>
    </xf>
    <xf numFmtId="0" fontId="31" fillId="43" borderId="0" applyNumberFormat="0" applyBorder="0" applyAlignment="0" applyProtection="0">
      <alignment vertical="center"/>
    </xf>
    <xf numFmtId="0" fontId="30" fillId="44" borderId="0" applyNumberFormat="0" applyBorder="0" applyAlignment="0" applyProtection="0">
      <alignment vertical="center"/>
    </xf>
    <xf numFmtId="0" fontId="32" fillId="0" borderId="0"/>
    <xf numFmtId="0" fontId="1" fillId="0" borderId="0"/>
  </cellStyleXfs>
  <cellXfs count="120">
    <xf numFmtId="0" fontId="0" fillId="0" borderId="0" xfId="0"/>
    <xf numFmtId="0" fontId="0" fillId="2" borderId="1" xfId="0" applyFill="1" applyBorder="1"/>
    <xf numFmtId="0" fontId="0" fillId="2" borderId="0" xfId="0" applyFill="1"/>
    <xf numFmtId="0" fontId="0" fillId="3" borderId="0" xfId="0" applyFill="1"/>
    <xf numFmtId="0" fontId="0" fillId="0" borderId="0" xfId="0" applyAlignment="1">
      <alignment horizontal="center"/>
    </xf>
    <xf numFmtId="178" fontId="0" fillId="0" borderId="0" xfId="0" applyNumberFormat="1"/>
    <xf numFmtId="178" fontId="0" fillId="0" borderId="0" xfId="0" applyNumberFormat="1" applyAlignment="1">
      <alignment vertical="center"/>
    </xf>
    <xf numFmtId="0" fontId="0" fillId="0" borderId="0" xfId="0" applyAlignment="1">
      <alignment horizontal="center" vertical="center"/>
    </xf>
    <xf numFmtId="0" fontId="0" fillId="4" borderId="0" xfId="0" applyFill="1" applyAlignment="1">
      <alignment horizontal="center" vertical="center"/>
    </xf>
    <xf numFmtId="0" fontId="0" fillId="0" borderId="2" xfId="0" applyBorder="1" applyAlignment="1">
      <alignment horizontal="center" vertical="top" wrapText="1"/>
    </xf>
    <xf numFmtId="0" fontId="0" fillId="5" borderId="1" xfId="0" applyFill="1" applyBorder="1" applyAlignment="1">
      <alignment horizontal="center" vertical="center" wrapText="1"/>
    </xf>
    <xf numFmtId="0" fontId="0" fillId="2" borderId="1" xfId="0" applyFill="1" applyBorder="1" applyAlignment="1">
      <alignment horizontal="center" vertical="top" wrapText="1"/>
    </xf>
    <xf numFmtId="0" fontId="1" fillId="0" borderId="1" xfId="0" applyFont="1" applyBorder="1" applyAlignment="1">
      <alignment horizontal="center" vertical="center" wrapText="1"/>
    </xf>
    <xf numFmtId="0" fontId="0" fillId="2" borderId="1" xfId="0" applyFill="1" applyBorder="1" applyAlignment="1">
      <alignment horizontal="center" vertical="center" wrapText="1"/>
    </xf>
    <xf numFmtId="179" fontId="1" fillId="0" borderId="1" xfId="0" applyNumberFormat="1" applyFont="1" applyBorder="1" applyAlignment="1">
      <alignment horizontal="center" vertical="center" wrapText="1"/>
    </xf>
    <xf numFmtId="0" fontId="0" fillId="2" borderId="3" xfId="0" applyFill="1" applyBorder="1" applyAlignment="1">
      <alignment horizontal="center" vertical="top" wrapText="1"/>
    </xf>
    <xf numFmtId="180"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20" fontId="1" fillId="0" borderId="1" xfId="50" applyNumberFormat="1" applyBorder="1" applyAlignment="1">
      <alignment horizontal="center" vertical="center" wrapText="1"/>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wrapText="1"/>
    </xf>
    <xf numFmtId="20" fontId="1" fillId="0" borderId="1" xfId="0" applyNumberFormat="1" applyFont="1" applyBorder="1" applyAlignment="1">
      <alignment horizontal="center" vertical="center" wrapText="1"/>
    </xf>
    <xf numFmtId="181" fontId="1" fillId="0" borderId="1" xfId="0" applyNumberFormat="1" applyFont="1" applyBorder="1" applyAlignment="1">
      <alignment horizontal="center" vertical="center" wrapText="1"/>
    </xf>
    <xf numFmtId="182" fontId="1" fillId="0" borderId="1" xfId="49" applyNumberFormat="1" applyFont="1" applyBorder="1" applyAlignment="1">
      <alignment horizontal="center" vertical="center" wrapText="1"/>
    </xf>
    <xf numFmtId="181" fontId="1" fillId="2" borderId="1" xfId="0" applyNumberFormat="1" applyFont="1" applyFill="1" applyBorder="1" applyAlignment="1">
      <alignment horizontal="center" vertical="center" wrapText="1"/>
    </xf>
    <xf numFmtId="182" fontId="1" fillId="2" borderId="1" xfId="49" applyNumberFormat="1" applyFont="1" applyFill="1" applyBorder="1" applyAlignment="1">
      <alignment horizontal="center" vertical="center" wrapText="1"/>
    </xf>
    <xf numFmtId="20" fontId="1" fillId="2" borderId="1" xfId="0" applyNumberFormat="1" applyFont="1" applyFill="1" applyBorder="1" applyAlignment="1">
      <alignment horizontal="center" vertical="center" wrapText="1"/>
    </xf>
    <xf numFmtId="183" fontId="1" fillId="0" borderId="1" xfId="0" applyNumberFormat="1" applyFont="1" applyBorder="1" applyAlignment="1">
      <alignment horizontal="center" vertical="center" wrapText="1"/>
    </xf>
    <xf numFmtId="184" fontId="1" fillId="0" borderId="1" xfId="0" applyNumberFormat="1" applyFont="1" applyBorder="1" applyAlignment="1">
      <alignment horizontal="center" vertical="center" wrapText="1"/>
    </xf>
    <xf numFmtId="185" fontId="1" fillId="0" borderId="1" xfId="0" applyNumberFormat="1" applyFont="1" applyBorder="1" applyAlignment="1">
      <alignment horizontal="center" vertical="center" wrapText="1"/>
    </xf>
    <xf numFmtId="0" fontId="0" fillId="0" borderId="1" xfId="0" applyBorder="1" applyAlignment="1">
      <alignment horizontal="center" vertical="center"/>
    </xf>
    <xf numFmtId="186" fontId="1" fillId="0" borderId="1" xfId="0" applyNumberFormat="1" applyFont="1" applyBorder="1" applyAlignment="1">
      <alignment horizontal="center" vertical="center" wrapText="1"/>
    </xf>
    <xf numFmtId="0" fontId="1" fillId="0" borderId="1" xfId="50" applyBorder="1" applyAlignment="1">
      <alignment horizontal="center" vertical="center" wrapText="1"/>
    </xf>
    <xf numFmtId="186" fontId="1" fillId="0" borderId="1" xfId="0" applyNumberFormat="1" applyFont="1" applyBorder="1" applyAlignment="1">
      <alignment horizontal="center" vertical="center" wrapText="1"/>
    </xf>
    <xf numFmtId="179" fontId="1" fillId="0" borderId="1" xfId="0" applyNumberFormat="1" applyFont="1" applyBorder="1" applyAlignment="1">
      <alignment horizontal="center" vertical="center" wrapText="1"/>
    </xf>
    <xf numFmtId="0" fontId="0" fillId="3" borderId="1" xfId="0" applyFill="1" applyBorder="1" applyAlignment="1">
      <alignment horizontal="center" vertical="top" wrapText="1"/>
    </xf>
    <xf numFmtId="0" fontId="0" fillId="5" borderId="1" xfId="0" applyFill="1" applyBorder="1" applyAlignment="1">
      <alignment horizontal="center" vertical="top" wrapText="1"/>
    </xf>
    <xf numFmtId="15" fontId="0" fillId="0" borderId="1" xfId="0" applyNumberFormat="1" applyBorder="1" applyAlignment="1">
      <alignment horizontal="center" vertical="top" wrapText="1"/>
    </xf>
    <xf numFmtId="0" fontId="1" fillId="6" borderId="1" xfId="0" applyFont="1" applyFill="1" applyBorder="1" applyAlignment="1">
      <alignment vertical="top" wrapText="1"/>
    </xf>
    <xf numFmtId="184" fontId="0" fillId="0" borderId="1" xfId="0" applyNumberFormat="1" applyBorder="1" applyAlignment="1">
      <alignment horizontal="center" vertical="center"/>
    </xf>
    <xf numFmtId="0" fontId="0" fillId="0" borderId="1" xfId="0" applyBorder="1" applyAlignment="1">
      <alignment horizontal="center" vertical="top" wrapText="1"/>
    </xf>
    <xf numFmtId="0" fontId="1" fillId="6" borderId="1" xfId="50" applyFill="1" applyBorder="1" applyAlignment="1">
      <alignment horizontal="left" vertical="top" wrapText="1"/>
    </xf>
    <xf numFmtId="0" fontId="0" fillId="7" borderId="1" xfId="0"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50" applyFill="1" applyBorder="1" applyAlignment="1">
      <alignment horizontal="left" vertical="top" wrapText="1"/>
    </xf>
    <xf numFmtId="0" fontId="1" fillId="6" borderId="1" xfId="0" applyFont="1" applyFill="1" applyBorder="1" applyAlignment="1">
      <alignment horizontal="left" vertical="top" wrapText="1"/>
    </xf>
    <xf numFmtId="0" fontId="3" fillId="2" borderId="1" xfId="39" applyFont="1" applyFill="1" applyBorder="1" applyAlignment="1">
      <alignment horizontal="center" vertical="top" wrapText="1"/>
    </xf>
    <xf numFmtId="0" fontId="0" fillId="9" borderId="1" xfId="0" applyFill="1" applyBorder="1" applyAlignment="1">
      <alignment horizontal="center" vertical="top" wrapText="1"/>
    </xf>
    <xf numFmtId="15" fontId="0" fillId="2" borderId="1" xfId="0" applyNumberFormat="1" applyFill="1" applyBorder="1" applyAlignment="1">
      <alignment horizontal="center" vertical="top" wrapText="1"/>
    </xf>
    <xf numFmtId="0" fontId="3" fillId="2" borderId="1" xfId="39" applyFont="1" applyFill="1" applyBorder="1" applyAlignment="1">
      <alignment horizontal="left" vertical="top" wrapText="1"/>
    </xf>
    <xf numFmtId="0" fontId="4" fillId="2" borderId="1" xfId="39" applyFont="1" applyFill="1" applyBorder="1" applyAlignment="1">
      <alignment horizontal="left" vertical="top" wrapText="1"/>
    </xf>
    <xf numFmtId="0" fontId="0" fillId="0" borderId="1" xfId="0" applyBorder="1" applyAlignment="1">
      <alignment horizontal="left" vertical="top" wrapText="1"/>
    </xf>
    <xf numFmtId="0" fontId="1" fillId="6" borderId="1" xfId="50" applyFill="1" applyBorder="1" applyAlignment="1">
      <alignment horizontal="center" vertical="top" wrapText="1"/>
    </xf>
    <xf numFmtId="0" fontId="5" fillId="2" borderId="1" xfId="39" applyFont="1" applyFill="1" applyBorder="1" applyAlignment="1">
      <alignment horizontal="left" vertical="top" wrapText="1"/>
    </xf>
    <xf numFmtId="0" fontId="1" fillId="8" borderId="1" xfId="50" applyFill="1" applyBorder="1" applyAlignment="1">
      <alignment horizontal="center" vertical="top" wrapText="1"/>
    </xf>
    <xf numFmtId="0" fontId="6" fillId="2" borderId="1" xfId="0" applyFont="1" applyFill="1" applyBorder="1" applyAlignment="1">
      <alignment horizontal="left" vertical="top" wrapText="1"/>
    </xf>
    <xf numFmtId="0" fontId="0" fillId="0" borderId="4" xfId="0" applyBorder="1" applyAlignment="1">
      <alignment horizontal="center" vertical="center"/>
    </xf>
    <xf numFmtId="58" fontId="3" fillId="2" borderId="1" xfId="39" applyNumberFormat="1" applyFont="1" applyFill="1" applyBorder="1" applyAlignment="1">
      <alignment horizontal="left" vertical="top" wrapText="1"/>
    </xf>
    <xf numFmtId="58" fontId="3" fillId="2" borderId="1" xfId="39" applyNumberFormat="1" applyFont="1" applyFill="1" applyBorder="1" applyAlignment="1">
      <alignment horizontal="center" vertical="top" wrapText="1"/>
    </xf>
    <xf numFmtId="184" fontId="0" fillId="2" borderId="1" xfId="0" applyNumberFormat="1" applyFill="1" applyBorder="1" applyAlignment="1">
      <alignment horizontal="center" vertical="top" wrapText="1"/>
    </xf>
    <xf numFmtId="0" fontId="7" fillId="0" borderId="1" xfId="0" applyFont="1" applyBorder="1"/>
    <xf numFmtId="0" fontId="0" fillId="7" borderId="1" xfId="0" applyFill="1" applyBorder="1" applyAlignment="1">
      <alignment horizontal="center" vertical="center" wrapText="1"/>
    </xf>
    <xf numFmtId="178" fontId="0" fillId="7" borderId="1" xfId="0" applyNumberFormat="1" applyFill="1" applyBorder="1" applyAlignment="1">
      <alignment horizontal="center" vertical="center" wrapText="1"/>
    </xf>
    <xf numFmtId="0" fontId="0" fillId="10" borderId="1" xfId="0" applyFill="1" applyBorder="1" applyAlignment="1">
      <alignment horizontal="center" vertical="center" wrapText="1"/>
    </xf>
    <xf numFmtId="0" fontId="0" fillId="9" borderId="1" xfId="0" applyFill="1" applyBorder="1" applyAlignment="1">
      <alignment horizontal="center" vertical="center" wrapText="1"/>
    </xf>
    <xf numFmtId="178" fontId="8" fillId="10" borderId="1" xfId="0" applyNumberFormat="1" applyFont="1" applyFill="1" applyBorder="1" applyAlignment="1">
      <alignment horizontal="center" vertical="center" wrapText="1"/>
    </xf>
    <xf numFmtId="0" fontId="0" fillId="2" borderId="1" xfId="0" applyFill="1" applyBorder="1" applyAlignment="1">
      <alignment horizontal="center" vertical="center"/>
    </xf>
    <xf numFmtId="178" fontId="0" fillId="2" borderId="1" xfId="0" applyNumberFormat="1" applyFill="1" applyBorder="1" applyAlignment="1">
      <alignment horizontal="center" vertical="center" wrapText="1"/>
    </xf>
    <xf numFmtId="178" fontId="9" fillId="2"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78" fontId="0" fillId="3" borderId="1" xfId="0" applyNumberFormat="1" applyFill="1" applyBorder="1" applyAlignment="1">
      <alignment horizontal="center" vertical="top" wrapText="1"/>
    </xf>
    <xf numFmtId="178" fontId="8" fillId="3" borderId="1" xfId="0" applyNumberFormat="1" applyFont="1" applyFill="1" applyBorder="1" applyAlignment="1">
      <alignment horizontal="center" vertical="center" wrapText="1"/>
    </xf>
    <xf numFmtId="178" fontId="0" fillId="0" borderId="1" xfId="0" applyNumberFormat="1" applyBorder="1" applyAlignment="1">
      <alignment horizontal="center" vertical="top" wrapText="1"/>
    </xf>
    <xf numFmtId="176" fontId="0" fillId="0" borderId="1" xfId="1" applyFont="1" applyBorder="1" applyAlignment="1">
      <alignment horizontal="center" vertical="top" wrapText="1"/>
    </xf>
    <xf numFmtId="178" fontId="10" fillId="0" borderId="1" xfId="1" applyNumberFormat="1" applyFont="1" applyBorder="1" applyAlignment="1">
      <alignment horizontal="center" vertical="center" wrapText="1"/>
    </xf>
    <xf numFmtId="178" fontId="0" fillId="2" borderId="1" xfId="0" applyNumberFormat="1" applyFill="1" applyBorder="1" applyAlignment="1">
      <alignment horizontal="center" vertical="top" wrapText="1"/>
    </xf>
    <xf numFmtId="178" fontId="10" fillId="2" borderId="1" xfId="1" applyNumberFormat="1" applyFont="1" applyFill="1" applyBorder="1" applyAlignment="1">
      <alignment horizontal="center" vertical="center" wrapText="1"/>
    </xf>
    <xf numFmtId="176" fontId="0" fillId="2" borderId="1" xfId="1" applyFont="1" applyFill="1" applyBorder="1" applyAlignment="1">
      <alignment horizontal="center" vertical="top" wrapText="1"/>
    </xf>
    <xf numFmtId="178" fontId="10" fillId="0" borderId="1" xfId="1" applyNumberFormat="1" applyFont="1" applyFill="1" applyBorder="1" applyAlignment="1">
      <alignment horizontal="center" vertical="center" wrapText="1"/>
    </xf>
    <xf numFmtId="187" fontId="0" fillId="0" borderId="1" xfId="1" applyNumberFormat="1" applyFont="1" applyBorder="1" applyAlignment="1">
      <alignment horizontal="center" vertical="top" wrapText="1"/>
    </xf>
    <xf numFmtId="0" fontId="3" fillId="2" borderId="1" xfId="39" applyNumberFormat="1" applyFont="1" applyFill="1" applyBorder="1" applyAlignment="1">
      <alignment horizontal="center" vertical="top" wrapText="1"/>
    </xf>
    <xf numFmtId="0" fontId="8" fillId="0" borderId="0" xfId="0" applyFont="1" applyAlignment="1">
      <alignment horizontal="center"/>
    </xf>
    <xf numFmtId="178" fontId="0" fillId="9" borderId="0" xfId="0" applyNumberFormat="1" applyFill="1" applyAlignment="1">
      <alignment vertical="center"/>
    </xf>
    <xf numFmtId="0" fontId="0" fillId="11"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center" vertical="center"/>
    </xf>
    <xf numFmtId="0" fontId="1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0" xfId="0" applyAlignment="1">
      <alignment horizontal="center" vertical="top" wrapText="1"/>
    </xf>
    <xf numFmtId="0" fontId="0" fillId="0" borderId="1" xfId="0" applyBorder="1" applyAlignment="1">
      <alignment horizontal="center"/>
    </xf>
    <xf numFmtId="0" fontId="0" fillId="0" borderId="0" xfId="0" applyAlignment="1">
      <alignment horizontal="left" vertical="top" wrapText="1"/>
    </xf>
    <xf numFmtId="0" fontId="0" fillId="2" borderId="1" xfId="0" applyFill="1" applyBorder="1" applyAlignment="1">
      <alignment vertical="center" wrapText="1"/>
    </xf>
    <xf numFmtId="0" fontId="8" fillId="0" borderId="1" xfId="0" applyFont="1" applyBorder="1" applyAlignment="1">
      <alignment horizontal="center" vertical="top" wrapText="1"/>
    </xf>
    <xf numFmtId="0" fontId="0" fillId="2" borderId="5" xfId="0" applyFill="1" applyBorder="1" applyAlignment="1">
      <alignment vertical="center" wrapText="1"/>
    </xf>
    <xf numFmtId="0" fontId="0" fillId="0" borderId="5" xfId="0" applyBorder="1" applyAlignment="1">
      <alignment horizontal="center" vertical="center" wrapText="1"/>
    </xf>
    <xf numFmtId="0" fontId="0" fillId="0" borderId="5" xfId="0" applyBorder="1" applyAlignment="1">
      <alignment horizontal="center" vertical="top" wrapText="1"/>
    </xf>
    <xf numFmtId="0" fontId="0" fillId="12" borderId="1" xfId="0" applyFill="1" applyBorder="1" applyAlignment="1">
      <alignment vertical="center" wrapText="1"/>
    </xf>
    <xf numFmtId="0" fontId="0" fillId="12" borderId="1" xfId="0" applyFill="1" applyBorder="1" applyAlignment="1">
      <alignment vertical="center"/>
    </xf>
    <xf numFmtId="0" fontId="0" fillId="4"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3"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vertical="center"/>
    </xf>
    <xf numFmtId="0" fontId="0" fillId="4" borderId="0" xfId="0" applyFill="1" applyAlignment="1">
      <alignment vertical="center" wrapText="1"/>
    </xf>
    <xf numFmtId="0" fontId="0" fillId="0" borderId="0" xfId="0" applyAlignment="1">
      <alignment vertical="center"/>
    </xf>
    <xf numFmtId="0" fontId="0" fillId="4" borderId="0" xfId="0" applyFill="1" applyAlignment="1">
      <alignment horizontal="center" vertical="center" wrapText="1"/>
    </xf>
    <xf numFmtId="0" fontId="0" fillId="2" borderId="1" xfId="0" applyFill="1" applyBorder="1" applyAlignment="1">
      <alignment vertical="center"/>
    </xf>
    <xf numFmtId="0" fontId="3" fillId="0" borderId="1" xfId="0" applyFont="1" applyBorder="1" applyAlignment="1">
      <alignment vertical="center" wrapText="1"/>
    </xf>
    <xf numFmtId="0" fontId="0" fillId="4" borderId="1" xfId="0" applyFill="1" applyBorder="1" applyAlignment="1">
      <alignment vertical="center" wrapText="1"/>
    </xf>
    <xf numFmtId="0" fontId="0" fillId="2" borderId="6" xfId="0" applyFill="1" applyBorder="1" applyAlignment="1">
      <alignment vertical="center"/>
    </xf>
    <xf numFmtId="0" fontId="0" fillId="4" borderId="5" xfId="0" applyFill="1" applyBorder="1" applyAlignment="1">
      <alignment horizontal="center" vertical="center" wrapText="1"/>
    </xf>
    <xf numFmtId="0" fontId="0" fillId="2" borderId="7" xfId="0" applyFill="1" applyBorder="1" applyAlignment="1">
      <alignment vertical="center"/>
    </xf>
    <xf numFmtId="0" fontId="0" fillId="2" borderId="5" xfId="0" applyFill="1" applyBorder="1" applyAlignment="1">
      <alignment vertical="center"/>
    </xf>
    <xf numFmtId="7" fontId="0" fillId="0" borderId="0" xfId="0" applyNumberFormat="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3" xfId="49"/>
    <cellStyle name="Normal_ACC STATS" xfId="50"/>
  </cellStyles>
  <dxfs count="7">
    <dxf>
      <fill>
        <patternFill patternType="solid">
          <fgColor rgb="FFB6DDE8"/>
          <bgColor rgb="FFB6DDE8"/>
        </patternFill>
      </fill>
    </dxf>
    <dxf>
      <fill>
        <patternFill patternType="solid">
          <fgColor rgb="FFB6DDE8"/>
          <bgColor rgb="FFB6DDE8"/>
        </patternFill>
      </fill>
    </dxf>
    <dxf>
      <font>
        <b val="1"/>
        <color rgb="FFFFFFFF"/>
      </font>
      <fill>
        <patternFill patternType="solid">
          <fgColor rgb="FF4BACC6"/>
          <bgColor rgb="FF4BACC6"/>
        </patternFill>
      </fill>
    </dxf>
    <dxf>
      <font>
        <b val="1"/>
        <color rgb="FFFFFFFF"/>
      </font>
      <fill>
        <patternFill patternType="solid">
          <fgColor rgb="FF4BACC6"/>
          <bgColor rgb="FF4BACC6"/>
        </patternFill>
      </fill>
    </dxf>
    <dxf>
      <font>
        <b val="1"/>
        <color rgb="FFFFFFFF"/>
      </font>
      <fill>
        <patternFill patternType="solid">
          <fgColor rgb="FF4BACC6"/>
          <bgColor rgb="FF4BACC6"/>
        </patternFill>
      </fill>
      <border>
        <top style="thick">
          <color rgb="FFFFFFFF"/>
        </top>
      </border>
    </dxf>
    <dxf>
      <font>
        <b val="1"/>
        <color rgb="FFFFFFFF"/>
      </font>
      <fill>
        <patternFill patternType="solid">
          <fgColor rgb="FF4BACC6"/>
          <bgColor rgb="FF4BACC6"/>
        </patternFill>
      </fill>
      <border>
        <bottom style="thick">
          <color rgb="FFFFFFFF"/>
        </bottom>
      </border>
    </dxf>
    <dxf>
      <font>
        <color rgb="FF000000"/>
      </font>
      <fill>
        <patternFill patternType="solid">
          <fgColor rgb="FFDBEEF3"/>
          <bgColor rgb="FFDBEEF3"/>
        </patternFill>
      </fill>
      <border>
        <vertical style="thin">
          <color rgb="FFFFFFFF"/>
        </vertical>
        <horizontal style="thin">
          <color rgb="FFFFFFFF"/>
        </horizontal>
      </border>
    </dxf>
  </dxfs>
  <tableStyles count="1" defaultTableStyle="TableStyleMedium2" defaultPivotStyle="PivotStyleLight16">
    <tableStyle name="TableStyleMedium13 2" pivot="0" count="7" xr9:uid="{7346CB13-57F5-42FA-AAC4-CF77113BE4BB}">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8"/>
  <sheetViews>
    <sheetView tabSelected="1" topLeftCell="M2" workbookViewId="0">
      <pane ySplit="1" topLeftCell="A28" activePane="bottomLeft" state="frozen"/>
      <selection/>
      <selection pane="bottomLeft" activeCell="U28" sqref="U28"/>
    </sheetView>
  </sheetViews>
  <sheetFormatPr defaultColWidth="13.45" defaultRowHeight="80.5" customHeight="1"/>
  <cols>
    <col min="1" max="1" width="13.45" hidden="1" customWidth="1"/>
    <col min="2" max="2" width="16.3666666666667" customWidth="1"/>
    <col min="3" max="3" width="51.725" customWidth="1"/>
    <col min="4" max="4" width="11.6333333333333" customWidth="1"/>
    <col min="5" max="5" width="13.1833333333333" customWidth="1"/>
    <col min="6" max="6" width="12.0916666666667" customWidth="1"/>
    <col min="7" max="7" width="15.8166666666667" customWidth="1"/>
    <col min="8" max="8" width="41.2666666666667" customWidth="1"/>
    <col min="9" max="9" width="8.18333333333333" style="4" customWidth="1"/>
    <col min="10" max="10" width="44.0916666666667" customWidth="1"/>
    <col min="11" max="11" width="14.9083333333333" customWidth="1"/>
    <col min="12" max="12" width="11.8166666666667" style="5" customWidth="1"/>
    <col min="13" max="13" width="12.45" customWidth="1"/>
    <col min="14" max="14" width="18" customWidth="1"/>
    <col min="15" max="15" width="19.1833333333333" customWidth="1"/>
    <col min="16" max="16" width="16.2666666666667" style="6" customWidth="1"/>
    <col min="17" max="17" width="14.45" customWidth="1"/>
    <col min="18" max="18" width="14.2666666666667" customWidth="1"/>
    <col min="19" max="19" width="14.1833333333333" customWidth="1"/>
    <col min="20" max="20" width="15" customWidth="1"/>
    <col min="21" max="21" width="17.1833333333333" customWidth="1"/>
    <col min="22" max="22" width="18.0916666666667" customWidth="1"/>
    <col min="23" max="23" width="18.0916666666667" style="4" customWidth="1"/>
    <col min="24" max="24" width="21.45" style="7" customWidth="1"/>
    <col min="25" max="25" width="21.45" style="8" customWidth="1"/>
    <col min="26" max="26" width="20.6333333333333" hidden="1" customWidth="1"/>
    <col min="27" max="27" width="19.2666666666667" hidden="1" customWidth="1"/>
    <col min="28" max="28" width="18.1833333333333" hidden="1" customWidth="1"/>
  </cols>
  <sheetData>
    <row r="1" ht="33" customHeight="1" spans="26:28">
      <c r="Z1" s="100" t="s">
        <v>0</v>
      </c>
      <c r="AA1" s="100" t="s">
        <v>1</v>
      </c>
      <c r="AB1" s="101" t="s">
        <v>2</v>
      </c>
    </row>
    <row r="2" ht="78" customHeight="1" spans="1:28">
      <c r="A2" s="9"/>
      <c r="B2" s="10" t="s">
        <v>3</v>
      </c>
      <c r="C2" s="10" t="s">
        <v>4</v>
      </c>
      <c r="D2" s="10" t="s">
        <v>5</v>
      </c>
      <c r="E2" s="10" t="s">
        <v>6</v>
      </c>
      <c r="F2" s="10" t="s">
        <v>7</v>
      </c>
      <c r="G2" s="10" t="s">
        <v>8</v>
      </c>
      <c r="H2" s="10" t="s">
        <v>9</v>
      </c>
      <c r="I2" s="10" t="s">
        <v>10</v>
      </c>
      <c r="J2" s="10" t="s">
        <v>11</v>
      </c>
      <c r="K2" s="61" t="s">
        <v>12</v>
      </c>
      <c r="L2" s="62" t="s">
        <v>13</v>
      </c>
      <c r="M2" s="63" t="s">
        <v>14</v>
      </c>
      <c r="N2" s="63" t="s">
        <v>15</v>
      </c>
      <c r="O2" s="64" t="s">
        <v>16</v>
      </c>
      <c r="P2" s="65" t="s">
        <v>17</v>
      </c>
      <c r="Q2" s="85" t="s">
        <v>18</v>
      </c>
      <c r="R2" s="85" t="s">
        <v>19</v>
      </c>
      <c r="S2" s="85" t="s">
        <v>20</v>
      </c>
      <c r="T2" s="85" t="s">
        <v>21</v>
      </c>
      <c r="U2" s="85" t="s">
        <v>22</v>
      </c>
      <c r="V2" s="85" t="s">
        <v>23</v>
      </c>
      <c r="W2" s="86" t="s">
        <v>24</v>
      </c>
      <c r="X2" s="86" t="s">
        <v>25</v>
      </c>
      <c r="Y2" s="102"/>
      <c r="Z2" s="103" t="s">
        <v>26</v>
      </c>
      <c r="AA2" s="104" t="s">
        <v>27</v>
      </c>
      <c r="AB2" s="104" t="s">
        <v>28</v>
      </c>
    </row>
    <row r="3" s="1" customFormat="1" ht="133.5" customHeight="1" spans="1:28">
      <c r="A3" s="11"/>
      <c r="B3" s="12" t="s">
        <v>29</v>
      </c>
      <c r="C3" s="12" t="s">
        <v>30</v>
      </c>
      <c r="D3" s="13">
        <v>39</v>
      </c>
      <c r="E3" s="13">
        <v>4</v>
      </c>
      <c r="F3" s="14">
        <v>0.53125</v>
      </c>
      <c r="G3" s="13" t="s">
        <v>31</v>
      </c>
      <c r="H3" s="12" t="s">
        <v>32</v>
      </c>
      <c r="I3" s="13">
        <v>1</v>
      </c>
      <c r="J3" s="66" t="s">
        <v>33</v>
      </c>
      <c r="K3" s="13" t="s">
        <v>34</v>
      </c>
      <c r="L3" s="67">
        <v>6980</v>
      </c>
      <c r="M3" s="13">
        <v>48</v>
      </c>
      <c r="N3" s="13">
        <v>458</v>
      </c>
      <c r="O3" s="13">
        <f>49.8*N3</f>
        <v>22808.4</v>
      </c>
      <c r="P3" s="68">
        <f>8.06*O3</f>
        <v>183835.704</v>
      </c>
      <c r="Q3" s="13" t="s">
        <v>35</v>
      </c>
      <c r="R3" s="13" t="s">
        <v>36</v>
      </c>
      <c r="S3" s="13" t="s">
        <v>37</v>
      </c>
      <c r="T3" s="13" t="s">
        <v>31</v>
      </c>
      <c r="U3" s="13" t="s">
        <v>38</v>
      </c>
      <c r="V3" s="13" t="s">
        <v>39</v>
      </c>
      <c r="W3" s="69" t="s">
        <v>40</v>
      </c>
      <c r="X3" s="13"/>
      <c r="Y3" s="13"/>
      <c r="Z3" s="66"/>
      <c r="AA3" s="13"/>
      <c r="AB3" s="13"/>
    </row>
    <row r="4" s="2" customFormat="1" ht="113" customHeight="1" spans="1:28">
      <c r="A4" s="15"/>
      <c r="B4" s="16">
        <v>42481</v>
      </c>
      <c r="C4" s="17" t="s">
        <v>41</v>
      </c>
      <c r="D4" s="13">
        <v>43</v>
      </c>
      <c r="E4" s="13">
        <v>6</v>
      </c>
      <c r="F4" s="18" t="s">
        <v>42</v>
      </c>
      <c r="G4" s="13" t="s">
        <v>43</v>
      </c>
      <c r="H4" s="19" t="s">
        <v>44</v>
      </c>
      <c r="I4" s="13">
        <v>0</v>
      </c>
      <c r="J4" s="13" t="s">
        <v>45</v>
      </c>
      <c r="K4" s="13" t="s">
        <v>46</v>
      </c>
      <c r="L4" s="67">
        <v>390</v>
      </c>
      <c r="M4" s="13">
        <v>1</v>
      </c>
      <c r="N4" s="13">
        <v>3</v>
      </c>
      <c r="O4" s="69" t="s">
        <v>47</v>
      </c>
      <c r="P4" s="68">
        <f>351*N4</f>
        <v>1053</v>
      </c>
      <c r="Q4" s="13" t="s">
        <v>48</v>
      </c>
      <c r="R4" s="13" t="s">
        <v>49</v>
      </c>
      <c r="S4" s="69" t="s">
        <v>50</v>
      </c>
      <c r="T4" s="13" t="s">
        <v>43</v>
      </c>
      <c r="U4" s="13" t="s">
        <v>51</v>
      </c>
      <c r="V4" s="13" t="s">
        <v>39</v>
      </c>
      <c r="W4" s="13"/>
      <c r="X4" s="69" t="s">
        <v>52</v>
      </c>
      <c r="Y4" s="105"/>
      <c r="Z4" s="106"/>
      <c r="AA4" s="105"/>
      <c r="AB4" s="105"/>
    </row>
    <row r="5" s="2" customFormat="1" ht="116.5" customHeight="1" spans="1:28">
      <c r="A5" s="11"/>
      <c r="B5" s="20">
        <v>42557</v>
      </c>
      <c r="C5" s="19" t="s">
        <v>53</v>
      </c>
      <c r="D5" s="13">
        <v>46</v>
      </c>
      <c r="E5" s="13">
        <v>5</v>
      </c>
      <c r="F5" s="21" t="s">
        <v>54</v>
      </c>
      <c r="G5" s="13" t="s">
        <v>31</v>
      </c>
      <c r="H5" s="13" t="s">
        <v>55</v>
      </c>
      <c r="I5" s="13">
        <v>0</v>
      </c>
      <c r="J5" s="19" t="s">
        <v>56</v>
      </c>
      <c r="K5" s="13" t="s">
        <v>57</v>
      </c>
      <c r="L5" s="67">
        <v>2780</v>
      </c>
      <c r="M5" s="13">
        <v>1</v>
      </c>
      <c r="N5" s="13">
        <v>6</v>
      </c>
      <c r="O5" s="13" t="s">
        <v>47</v>
      </c>
      <c r="P5" s="68">
        <f>189*N5</f>
        <v>1134</v>
      </c>
      <c r="Q5" s="13" t="s">
        <v>35</v>
      </c>
      <c r="R5" s="13" t="s">
        <v>36</v>
      </c>
      <c r="S5" s="13" t="s">
        <v>58</v>
      </c>
      <c r="T5" s="13" t="s">
        <v>31</v>
      </c>
      <c r="U5" s="13" t="s">
        <v>51</v>
      </c>
      <c r="V5" s="13" t="s">
        <v>39</v>
      </c>
      <c r="W5" s="13"/>
      <c r="X5" s="69" t="s">
        <v>59</v>
      </c>
      <c r="Y5" s="13"/>
      <c r="Z5" s="66"/>
      <c r="AA5" s="13"/>
      <c r="AB5" s="13"/>
    </row>
    <row r="6" s="2" customFormat="1" ht="105" customHeight="1" spans="1:28">
      <c r="A6" s="11"/>
      <c r="B6" s="22" t="s">
        <v>60</v>
      </c>
      <c r="C6" s="23" t="s">
        <v>61</v>
      </c>
      <c r="D6" s="13">
        <v>41</v>
      </c>
      <c r="E6" s="13">
        <v>4</v>
      </c>
      <c r="F6" s="21" t="s">
        <v>62</v>
      </c>
      <c r="G6" s="13" t="s">
        <v>31</v>
      </c>
      <c r="H6" s="19" t="s">
        <v>63</v>
      </c>
      <c r="I6" s="13">
        <v>0</v>
      </c>
      <c r="J6" s="69" t="s">
        <v>64</v>
      </c>
      <c r="K6" s="13" t="s">
        <v>65</v>
      </c>
      <c r="L6" s="67">
        <v>3900</v>
      </c>
      <c r="M6" s="13">
        <v>11</v>
      </c>
      <c r="N6" s="13">
        <v>54</v>
      </c>
      <c r="O6" s="13" t="s">
        <v>47</v>
      </c>
      <c r="P6" s="68">
        <f>189*N6</f>
        <v>10206</v>
      </c>
      <c r="Q6" s="13" t="s">
        <v>48</v>
      </c>
      <c r="R6" s="87" t="s">
        <v>36</v>
      </c>
      <c r="S6" s="13" t="s">
        <v>66</v>
      </c>
      <c r="T6" s="13" t="s">
        <v>31</v>
      </c>
      <c r="U6" s="13" t="s">
        <v>67</v>
      </c>
      <c r="V6" s="13" t="s">
        <v>39</v>
      </c>
      <c r="W6" s="13"/>
      <c r="X6" s="69" t="s">
        <v>68</v>
      </c>
      <c r="Y6" s="13"/>
      <c r="Z6" s="66"/>
      <c r="AA6" s="13"/>
      <c r="AB6" s="13"/>
    </row>
    <row r="7" s="2" customFormat="1" ht="90.5" customHeight="1" spans="1:28">
      <c r="A7" s="11"/>
      <c r="B7" s="24">
        <v>42617</v>
      </c>
      <c r="C7" s="25" t="s">
        <v>69</v>
      </c>
      <c r="D7" s="13">
        <v>43</v>
      </c>
      <c r="E7" s="13">
        <v>3</v>
      </c>
      <c r="F7" s="26" t="s">
        <v>70</v>
      </c>
      <c r="G7" s="13" t="s">
        <v>43</v>
      </c>
      <c r="H7" s="13" t="s">
        <v>71</v>
      </c>
      <c r="I7" s="13">
        <v>0</v>
      </c>
      <c r="J7" s="70" t="s">
        <v>72</v>
      </c>
      <c r="K7" s="13" t="s">
        <v>73</v>
      </c>
      <c r="L7" s="67">
        <v>120</v>
      </c>
      <c r="M7" s="13">
        <v>2</v>
      </c>
      <c r="N7" s="13">
        <v>4</v>
      </c>
      <c r="O7" s="13">
        <f>N7*449</f>
        <v>1796</v>
      </c>
      <c r="P7" s="68">
        <f>O7*(4.12+5.16)/2</f>
        <v>8333.44</v>
      </c>
      <c r="Q7" s="13" t="s">
        <v>35</v>
      </c>
      <c r="R7" s="87" t="s">
        <v>36</v>
      </c>
      <c r="S7" s="13" t="s">
        <v>66</v>
      </c>
      <c r="T7" s="13" t="s">
        <v>43</v>
      </c>
      <c r="U7" s="13" t="s">
        <v>51</v>
      </c>
      <c r="V7" s="69" t="s">
        <v>74</v>
      </c>
      <c r="W7" s="13"/>
      <c r="X7" s="69" t="s">
        <v>75</v>
      </c>
      <c r="Y7" s="13"/>
      <c r="Z7" s="66"/>
      <c r="AA7" s="13"/>
      <c r="AB7" s="13"/>
    </row>
    <row r="8" s="2" customFormat="1" ht="103" customHeight="1" spans="1:28">
      <c r="A8" s="11"/>
      <c r="B8" s="27" t="s">
        <v>76</v>
      </c>
      <c r="C8" s="12" t="s">
        <v>77</v>
      </c>
      <c r="D8" s="13">
        <v>38</v>
      </c>
      <c r="E8" s="13">
        <v>4</v>
      </c>
      <c r="F8" s="28">
        <v>0.784722222222222</v>
      </c>
      <c r="G8" s="13" t="s">
        <v>43</v>
      </c>
      <c r="H8" s="19" t="s">
        <v>78</v>
      </c>
      <c r="I8" s="13">
        <v>0</v>
      </c>
      <c r="J8" s="30" t="s">
        <v>79</v>
      </c>
      <c r="K8" s="13" t="s">
        <v>80</v>
      </c>
      <c r="L8" s="67">
        <v>120</v>
      </c>
      <c r="M8" s="13">
        <v>1.5</v>
      </c>
      <c r="N8" s="13">
        <v>2</v>
      </c>
      <c r="O8" s="13">
        <f>449*N8</f>
        <v>898</v>
      </c>
      <c r="P8" s="68">
        <f>O8*(4.12+5.16)/2</f>
        <v>4166.72</v>
      </c>
      <c r="Q8" s="13" t="s">
        <v>48</v>
      </c>
      <c r="R8" s="13" t="s">
        <v>36</v>
      </c>
      <c r="S8" s="13" t="s">
        <v>66</v>
      </c>
      <c r="T8" s="13" t="s">
        <v>43</v>
      </c>
      <c r="U8" s="13" t="s">
        <v>51</v>
      </c>
      <c r="V8" s="69" t="s">
        <v>74</v>
      </c>
      <c r="W8" s="13"/>
      <c r="X8" s="69" t="s">
        <v>75</v>
      </c>
      <c r="Y8" s="13"/>
      <c r="Z8" s="66"/>
      <c r="AA8" s="13"/>
      <c r="AB8" s="13"/>
    </row>
    <row r="9" s="2" customFormat="1" ht="109.5" customHeight="1" spans="1:28">
      <c r="A9" s="11"/>
      <c r="B9" s="13" t="s">
        <v>81</v>
      </c>
      <c r="C9" s="19" t="s">
        <v>82</v>
      </c>
      <c r="D9" s="13">
        <v>35</v>
      </c>
      <c r="E9" s="13">
        <v>4</v>
      </c>
      <c r="F9" s="29">
        <v>0.0625</v>
      </c>
      <c r="G9" s="13" t="s">
        <v>31</v>
      </c>
      <c r="H9" s="30" t="s">
        <v>83</v>
      </c>
      <c r="I9" s="13">
        <v>0</v>
      </c>
      <c r="J9" s="71" t="s">
        <v>84</v>
      </c>
      <c r="K9" s="13" t="s">
        <v>85</v>
      </c>
      <c r="L9" s="67">
        <v>696</v>
      </c>
      <c r="M9" s="13">
        <v>5</v>
      </c>
      <c r="N9" s="13">
        <v>25</v>
      </c>
      <c r="O9" s="69" t="s">
        <v>47</v>
      </c>
      <c r="P9" s="68">
        <f>189*N9</f>
        <v>4725</v>
      </c>
      <c r="Q9" s="13" t="s">
        <v>48</v>
      </c>
      <c r="R9" s="13" t="s">
        <v>36</v>
      </c>
      <c r="S9" s="13" t="s">
        <v>66</v>
      </c>
      <c r="T9" s="13" t="s">
        <v>31</v>
      </c>
      <c r="U9" s="13" t="s">
        <v>51</v>
      </c>
      <c r="V9" s="69" t="s">
        <v>74</v>
      </c>
      <c r="W9" s="13"/>
      <c r="X9" s="69" t="s">
        <v>59</v>
      </c>
      <c r="Y9" s="13"/>
      <c r="Z9" s="66"/>
      <c r="AA9" s="13"/>
      <c r="AB9" s="13"/>
    </row>
    <row r="10" s="2" customFormat="1" ht="128" customHeight="1" spans="1:28">
      <c r="A10" s="11"/>
      <c r="B10" s="31" t="s">
        <v>86</v>
      </c>
      <c r="C10" s="12" t="s">
        <v>87</v>
      </c>
      <c r="D10" s="13">
        <v>46</v>
      </c>
      <c r="E10" s="13">
        <v>8</v>
      </c>
      <c r="F10" s="14">
        <v>0.847222222222222</v>
      </c>
      <c r="G10" s="13" t="s">
        <v>31</v>
      </c>
      <c r="H10" s="32" t="s">
        <v>88</v>
      </c>
      <c r="I10" s="13">
        <v>0</v>
      </c>
      <c r="J10" s="13" t="s">
        <v>89</v>
      </c>
      <c r="K10" s="13" t="s">
        <v>90</v>
      </c>
      <c r="L10" s="67">
        <v>5040</v>
      </c>
      <c r="M10" s="13">
        <v>22</v>
      </c>
      <c r="N10" s="13">
        <v>54</v>
      </c>
      <c r="O10" s="69" t="s">
        <v>47</v>
      </c>
      <c r="P10" s="68">
        <f>189*N10</f>
        <v>10206</v>
      </c>
      <c r="Q10" s="13" t="s">
        <v>48</v>
      </c>
      <c r="R10" s="13" t="s">
        <v>49</v>
      </c>
      <c r="S10" s="13" t="s">
        <v>91</v>
      </c>
      <c r="T10" s="13" t="s">
        <v>31</v>
      </c>
      <c r="U10" s="13" t="s">
        <v>67</v>
      </c>
      <c r="V10" s="69" t="s">
        <v>74</v>
      </c>
      <c r="W10" s="13"/>
      <c r="X10" s="69" t="s">
        <v>75</v>
      </c>
      <c r="Y10" s="13"/>
      <c r="Z10" s="66"/>
      <c r="AA10" s="13"/>
      <c r="AB10" s="13"/>
    </row>
    <row r="11" s="2" customFormat="1" ht="212.5" customHeight="1" spans="1:28">
      <c r="A11" s="11"/>
      <c r="B11" s="33" t="s">
        <v>92</v>
      </c>
      <c r="C11" s="19" t="s">
        <v>93</v>
      </c>
      <c r="D11" s="13" t="s">
        <v>94</v>
      </c>
      <c r="E11" s="13" t="s">
        <v>95</v>
      </c>
      <c r="F11" s="34">
        <v>0.145833333333333</v>
      </c>
      <c r="G11" s="12" t="s">
        <v>96</v>
      </c>
      <c r="H11" s="13" t="s">
        <v>97</v>
      </c>
      <c r="I11" s="13">
        <v>1</v>
      </c>
      <c r="J11" s="13" t="s">
        <v>98</v>
      </c>
      <c r="K11" s="13" t="s">
        <v>99</v>
      </c>
      <c r="L11" s="67">
        <v>5890</v>
      </c>
      <c r="M11" s="13">
        <v>15</v>
      </c>
      <c r="N11" s="13">
        <v>72</v>
      </c>
      <c r="O11" s="69" t="s">
        <v>47</v>
      </c>
      <c r="P11" s="68">
        <f>146.5*N11</f>
        <v>10548</v>
      </c>
      <c r="Q11" s="13" t="s">
        <v>48</v>
      </c>
      <c r="R11" s="13">
        <v>5</v>
      </c>
      <c r="S11" s="13" t="s">
        <v>100</v>
      </c>
      <c r="T11" s="13" t="s">
        <v>31</v>
      </c>
      <c r="U11" s="13" t="s">
        <v>67</v>
      </c>
      <c r="V11" s="88" t="s">
        <v>39</v>
      </c>
      <c r="W11" s="69" t="s">
        <v>101</v>
      </c>
      <c r="X11" s="13"/>
      <c r="Y11" s="13"/>
      <c r="Z11" s="66"/>
      <c r="AA11" s="13"/>
      <c r="AB11" s="13"/>
    </row>
    <row r="12" s="2" customFormat="1" ht="143.5" customHeight="1" spans="1:28">
      <c r="A12" s="11"/>
      <c r="B12" s="31" t="s">
        <v>102</v>
      </c>
      <c r="C12" s="12" t="s">
        <v>103</v>
      </c>
      <c r="D12" s="13" t="s">
        <v>104</v>
      </c>
      <c r="E12" s="13" t="s">
        <v>104</v>
      </c>
      <c r="F12" s="21" t="s">
        <v>105</v>
      </c>
      <c r="G12" s="13" t="s">
        <v>43</v>
      </c>
      <c r="H12" s="13"/>
      <c r="I12" s="13">
        <v>0</v>
      </c>
      <c r="J12" s="32" t="s">
        <v>106</v>
      </c>
      <c r="K12" s="13" t="s">
        <v>107</v>
      </c>
      <c r="L12" s="67">
        <v>4890</v>
      </c>
      <c r="M12" s="13">
        <v>10</v>
      </c>
      <c r="N12" s="13">
        <v>48</v>
      </c>
      <c r="O12" s="13">
        <f>499*N12</f>
        <v>23952</v>
      </c>
      <c r="P12" s="68">
        <f>O12*(4.13+5.29)</f>
        <v>225627.84</v>
      </c>
      <c r="Q12" s="13" t="s">
        <v>48</v>
      </c>
      <c r="R12" s="13" t="s">
        <v>104</v>
      </c>
      <c r="S12" s="13" t="s">
        <v>100</v>
      </c>
      <c r="T12" s="13" t="s">
        <v>43</v>
      </c>
      <c r="U12" s="13" t="s">
        <v>38</v>
      </c>
      <c r="V12" s="13" t="s">
        <v>108</v>
      </c>
      <c r="W12" s="13"/>
      <c r="X12" s="69" t="s">
        <v>109</v>
      </c>
      <c r="Y12" s="13"/>
      <c r="Z12" s="66"/>
      <c r="AA12" s="13"/>
      <c r="AB12" s="13"/>
    </row>
    <row r="13" s="3" customFormat="1" ht="43" customHeight="1" spans="1:28">
      <c r="A13" s="35"/>
      <c r="B13" s="35"/>
      <c r="C13" s="35"/>
      <c r="D13" s="35"/>
      <c r="E13" s="35"/>
      <c r="F13" s="35"/>
      <c r="G13" s="35"/>
      <c r="H13" s="35"/>
      <c r="I13" s="35"/>
      <c r="J13" s="35"/>
      <c r="K13" s="35"/>
      <c r="L13" s="72"/>
      <c r="M13" s="35"/>
      <c r="N13" s="35"/>
      <c r="O13" s="35"/>
      <c r="P13" s="73"/>
      <c r="Q13" s="89"/>
      <c r="R13" s="35"/>
      <c r="S13" s="35"/>
      <c r="T13" s="89"/>
      <c r="U13" s="35"/>
      <c r="V13" s="89"/>
      <c r="W13" s="89"/>
      <c r="X13" s="89"/>
      <c r="Y13" s="89"/>
      <c r="Z13" s="107"/>
      <c r="AA13" s="89"/>
      <c r="AB13" s="89"/>
    </row>
    <row r="14" ht="154.5" customHeight="1" spans="1:28">
      <c r="A14" s="36" t="s">
        <v>110</v>
      </c>
      <c r="B14" s="37">
        <v>43551</v>
      </c>
      <c r="C14" s="38" t="s">
        <v>111</v>
      </c>
      <c r="D14" s="30" t="s">
        <v>112</v>
      </c>
      <c r="E14" s="30" t="s">
        <v>113</v>
      </c>
      <c r="F14" s="39">
        <v>0.0208333333333333</v>
      </c>
      <c r="G14" s="40" t="s">
        <v>114</v>
      </c>
      <c r="H14" s="41" t="s">
        <v>115</v>
      </c>
      <c r="I14" s="52">
        <v>1</v>
      </c>
      <c r="J14" s="40" t="s">
        <v>116</v>
      </c>
      <c r="K14" s="40" t="s">
        <v>117</v>
      </c>
      <c r="L14" s="74">
        <v>18000</v>
      </c>
      <c r="M14" s="40">
        <v>36</v>
      </c>
      <c r="N14" s="40">
        <f>(24*85%*7)</f>
        <v>142.8</v>
      </c>
      <c r="O14" s="75">
        <f>N14*24.3</f>
        <v>3470.04</v>
      </c>
      <c r="P14" s="76">
        <f>2.2*O14</f>
        <v>7634.088</v>
      </c>
      <c r="Q14" s="40" t="s">
        <v>118</v>
      </c>
      <c r="R14" s="40" t="s">
        <v>49</v>
      </c>
      <c r="S14" s="40" t="s">
        <v>50</v>
      </c>
      <c r="T14" s="40" t="s">
        <v>119</v>
      </c>
      <c r="U14" s="40" t="s">
        <v>51</v>
      </c>
      <c r="V14" s="40" t="s">
        <v>120</v>
      </c>
      <c r="W14" s="90" t="s">
        <v>121</v>
      </c>
      <c r="X14" s="69"/>
      <c r="Y14" s="86"/>
      <c r="Z14" s="90" t="s">
        <v>122</v>
      </c>
      <c r="AA14" s="108"/>
      <c r="AB14" s="108"/>
    </row>
    <row r="15" ht="187.5" customHeight="1" spans="1:28">
      <c r="A15" s="42" t="s">
        <v>123</v>
      </c>
      <c r="B15" s="37">
        <v>43815</v>
      </c>
      <c r="C15" s="43" t="s">
        <v>124</v>
      </c>
      <c r="D15" s="30">
        <v>48</v>
      </c>
      <c r="E15" s="30">
        <v>12</v>
      </c>
      <c r="F15" s="39">
        <v>0.941666666666667</v>
      </c>
      <c r="G15" s="40" t="s">
        <v>125</v>
      </c>
      <c r="H15" s="44" t="s">
        <v>126</v>
      </c>
      <c r="I15" s="54">
        <v>1</v>
      </c>
      <c r="J15" s="51" t="s">
        <v>127</v>
      </c>
      <c r="K15" s="40" t="s">
        <v>128</v>
      </c>
      <c r="L15" s="74">
        <v>160000</v>
      </c>
      <c r="M15" s="40">
        <v>24</v>
      </c>
      <c r="N15" s="40">
        <f>(24*85%*33)</f>
        <v>673.2</v>
      </c>
      <c r="O15" s="75">
        <f>N15*453</f>
        <v>304959.6</v>
      </c>
      <c r="P15" s="76">
        <f>O15*(4.69+5.56)/2</f>
        <v>1562917.95</v>
      </c>
      <c r="Q15" s="40" t="s">
        <v>118</v>
      </c>
      <c r="R15" s="40" t="s">
        <v>129</v>
      </c>
      <c r="S15" s="40" t="s">
        <v>130</v>
      </c>
      <c r="T15" s="40" t="s">
        <v>131</v>
      </c>
      <c r="U15" s="40" t="s">
        <v>132</v>
      </c>
      <c r="V15" s="91" t="s">
        <v>120</v>
      </c>
      <c r="W15" s="92" t="s">
        <v>133</v>
      </c>
      <c r="X15" s="90"/>
      <c r="Y15" s="109"/>
      <c r="Z15" s="110"/>
      <c r="AA15" s="90" t="s">
        <v>134</v>
      </c>
      <c r="AB15" s="108"/>
    </row>
    <row r="16" customHeight="1" spans="1:28">
      <c r="A16" s="36" t="s">
        <v>135</v>
      </c>
      <c r="B16" s="37">
        <v>43844</v>
      </c>
      <c r="C16" s="45" t="s">
        <v>136</v>
      </c>
      <c r="D16" s="30">
        <v>38</v>
      </c>
      <c r="E16" s="30">
        <v>2</v>
      </c>
      <c r="F16" s="39">
        <v>0.333333333333333</v>
      </c>
      <c r="G16" s="40" t="s">
        <v>137</v>
      </c>
      <c r="H16" s="46" t="s">
        <v>138</v>
      </c>
      <c r="I16" s="46">
        <v>0</v>
      </c>
      <c r="J16" s="45" t="s">
        <v>139</v>
      </c>
      <c r="K16" s="40" t="s">
        <v>140</v>
      </c>
      <c r="L16" s="74">
        <v>6000</v>
      </c>
      <c r="M16" s="40">
        <v>6</v>
      </c>
      <c r="N16" s="40">
        <v>10</v>
      </c>
      <c r="O16" s="40" t="s">
        <v>47</v>
      </c>
      <c r="P16" s="76">
        <f>10*145.5</f>
        <v>1455</v>
      </c>
      <c r="Q16" s="40" t="s">
        <v>141</v>
      </c>
      <c r="R16" s="40" t="s">
        <v>142</v>
      </c>
      <c r="S16" s="40" t="s">
        <v>130</v>
      </c>
      <c r="T16" s="40" t="s">
        <v>143</v>
      </c>
      <c r="U16" s="40" t="s">
        <v>51</v>
      </c>
      <c r="V16" s="91" t="s">
        <v>144</v>
      </c>
      <c r="W16" s="93"/>
      <c r="X16" s="90" t="s">
        <v>145</v>
      </c>
      <c r="Y16" s="86"/>
      <c r="Z16" s="90" t="s">
        <v>146</v>
      </c>
      <c r="AA16" s="90"/>
      <c r="AB16" s="108"/>
    </row>
    <row r="17" ht="204.65" customHeight="1" spans="1:28">
      <c r="A17" s="42" t="s">
        <v>147</v>
      </c>
      <c r="B17" s="37">
        <v>43869</v>
      </c>
      <c r="C17" s="45" t="s">
        <v>148</v>
      </c>
      <c r="D17" s="30">
        <v>41</v>
      </c>
      <c r="E17" s="30">
        <v>4</v>
      </c>
      <c r="F17" s="39">
        <v>0.729166666666667</v>
      </c>
      <c r="G17" s="40" t="s">
        <v>149</v>
      </c>
      <c r="H17" s="46" t="s">
        <v>150</v>
      </c>
      <c r="I17" s="46">
        <v>0</v>
      </c>
      <c r="J17" s="45" t="s">
        <v>151</v>
      </c>
      <c r="K17" s="40" t="s">
        <v>152</v>
      </c>
      <c r="L17" s="74">
        <v>11000</v>
      </c>
      <c r="M17" s="40">
        <v>4</v>
      </c>
      <c r="N17" s="40">
        <v>7</v>
      </c>
      <c r="O17" s="40" t="s">
        <v>47</v>
      </c>
      <c r="P17" s="76">
        <f>353*N17</f>
        <v>2471</v>
      </c>
      <c r="Q17" s="40" t="s">
        <v>141</v>
      </c>
      <c r="R17" s="40" t="s">
        <v>36</v>
      </c>
      <c r="S17" s="40" t="s">
        <v>153</v>
      </c>
      <c r="T17" s="40" t="s">
        <v>154</v>
      </c>
      <c r="U17" s="40" t="s">
        <v>51</v>
      </c>
      <c r="V17" s="91" t="s">
        <v>144</v>
      </c>
      <c r="W17" s="40"/>
      <c r="X17" s="90" t="s">
        <v>155</v>
      </c>
      <c r="Y17" s="86"/>
      <c r="Z17" s="108"/>
      <c r="AA17" s="90" t="s">
        <v>156</v>
      </c>
      <c r="AB17" s="108"/>
    </row>
    <row r="18" ht="208" customHeight="1" spans="1:28">
      <c r="A18" s="47" t="s">
        <v>157</v>
      </c>
      <c r="B18" s="48">
        <v>43912</v>
      </c>
      <c r="C18" s="45" t="s">
        <v>158</v>
      </c>
      <c r="D18" s="30">
        <v>43</v>
      </c>
      <c r="E18" s="30">
        <v>4</v>
      </c>
      <c r="F18" s="39">
        <v>0.620833333333333</v>
      </c>
      <c r="G18" s="11" t="s">
        <v>159</v>
      </c>
      <c r="H18" s="46" t="s">
        <v>160</v>
      </c>
      <c r="I18" s="46">
        <v>1</v>
      </c>
      <c r="J18" s="45" t="s">
        <v>161</v>
      </c>
      <c r="K18" s="11" t="s">
        <v>162</v>
      </c>
      <c r="L18" s="77">
        <v>30200</v>
      </c>
      <c r="M18" s="11">
        <v>10.2</v>
      </c>
      <c r="N18" s="11">
        <v>12.7</v>
      </c>
      <c r="O18" s="40" t="s">
        <v>47</v>
      </c>
      <c r="P18" s="78">
        <f>N18*160</f>
        <v>2032</v>
      </c>
      <c r="Q18" s="40" t="s">
        <v>141</v>
      </c>
      <c r="R18" s="40" t="s">
        <v>36</v>
      </c>
      <c r="S18" s="40" t="s">
        <v>163</v>
      </c>
      <c r="T18" s="40" t="s">
        <v>119</v>
      </c>
      <c r="U18" s="40" t="s">
        <v>51</v>
      </c>
      <c r="V18" s="91" t="s">
        <v>164</v>
      </c>
      <c r="W18" s="94" t="s">
        <v>165</v>
      </c>
      <c r="X18" s="69"/>
      <c r="Y18" s="111"/>
      <c r="Z18" s="110"/>
      <c r="AA18" s="90" t="s">
        <v>166</v>
      </c>
      <c r="AB18" s="90"/>
    </row>
    <row r="19" ht="130.5" customHeight="1" spans="1:28">
      <c r="A19" s="40"/>
      <c r="B19" s="37">
        <v>43924</v>
      </c>
      <c r="C19" s="43" t="s">
        <v>167</v>
      </c>
      <c r="D19" s="30">
        <v>45</v>
      </c>
      <c r="E19" s="30">
        <v>6</v>
      </c>
      <c r="F19" s="39">
        <v>0.875</v>
      </c>
      <c r="G19" s="40" t="s">
        <v>168</v>
      </c>
      <c r="H19" s="46" t="s">
        <v>169</v>
      </c>
      <c r="I19" s="46">
        <v>0</v>
      </c>
      <c r="J19" s="45" t="s">
        <v>170</v>
      </c>
      <c r="K19" s="40" t="s">
        <v>171</v>
      </c>
      <c r="L19" s="74">
        <v>11200</v>
      </c>
      <c r="M19" s="40">
        <v>4</v>
      </c>
      <c r="N19" s="40">
        <v>11</v>
      </c>
      <c r="O19" s="40" t="s">
        <v>47</v>
      </c>
      <c r="P19" s="76">
        <f>353*N19</f>
        <v>3883</v>
      </c>
      <c r="Q19" s="40" t="s">
        <v>118</v>
      </c>
      <c r="R19" s="40" t="s">
        <v>49</v>
      </c>
      <c r="S19" s="40" t="s">
        <v>50</v>
      </c>
      <c r="T19" s="40" t="s">
        <v>131</v>
      </c>
      <c r="U19" s="40" t="s">
        <v>51</v>
      </c>
      <c r="V19" s="91" t="s">
        <v>172</v>
      </c>
      <c r="W19" s="40"/>
      <c r="X19" s="90" t="s">
        <v>173</v>
      </c>
      <c r="Y19" s="86"/>
      <c r="Z19" s="108"/>
      <c r="AA19" s="90" t="s">
        <v>174</v>
      </c>
      <c r="AB19" s="108"/>
    </row>
    <row r="20" ht="176.5" customHeight="1" spans="1:28">
      <c r="A20" s="11"/>
      <c r="B20" s="37">
        <v>43932</v>
      </c>
      <c r="C20" s="43" t="s">
        <v>175</v>
      </c>
      <c r="D20" s="30">
        <v>45</v>
      </c>
      <c r="E20" s="30">
        <v>13</v>
      </c>
      <c r="F20" s="39">
        <v>0.333333333333333</v>
      </c>
      <c r="G20" s="40" t="s">
        <v>176</v>
      </c>
      <c r="H20" s="49" t="s">
        <v>177</v>
      </c>
      <c r="I20" s="46">
        <v>1</v>
      </c>
      <c r="J20" s="45" t="s">
        <v>178</v>
      </c>
      <c r="K20" s="40" t="s">
        <v>179</v>
      </c>
      <c r="L20" s="74">
        <v>25000</v>
      </c>
      <c r="M20" s="40">
        <v>24</v>
      </c>
      <c r="N20" s="40">
        <v>24</v>
      </c>
      <c r="O20" s="75">
        <f>N20*45.7</f>
        <v>1096.8</v>
      </c>
      <c r="P20" s="76">
        <f>O20*5.19</f>
        <v>5692.392</v>
      </c>
      <c r="Q20" s="40" t="s">
        <v>141</v>
      </c>
      <c r="R20" s="40" t="s">
        <v>129</v>
      </c>
      <c r="S20" s="40" t="s">
        <v>153</v>
      </c>
      <c r="T20" s="40" t="s">
        <v>119</v>
      </c>
      <c r="U20" s="40" t="s">
        <v>51</v>
      </c>
      <c r="V20" s="91" t="s">
        <v>164</v>
      </c>
      <c r="W20" s="90" t="s">
        <v>180</v>
      </c>
      <c r="X20" s="69"/>
      <c r="Y20" s="86"/>
      <c r="Z20" s="90" t="s">
        <v>181</v>
      </c>
      <c r="AA20" s="108"/>
      <c r="AB20" s="108"/>
    </row>
    <row r="21" ht="187.5" customHeight="1" spans="1:28">
      <c r="A21" s="11"/>
      <c r="B21" s="48">
        <v>43956</v>
      </c>
      <c r="C21" s="43" t="s">
        <v>182</v>
      </c>
      <c r="D21" s="30">
        <v>39</v>
      </c>
      <c r="E21" s="30">
        <v>6</v>
      </c>
      <c r="F21" s="39" t="s">
        <v>183</v>
      </c>
      <c r="G21" s="11" t="s">
        <v>184</v>
      </c>
      <c r="H21" s="46" t="s">
        <v>185</v>
      </c>
      <c r="I21" s="46">
        <v>0</v>
      </c>
      <c r="J21" s="45" t="s">
        <v>186</v>
      </c>
      <c r="K21" s="11" t="s">
        <v>187</v>
      </c>
      <c r="L21" s="77">
        <v>52130</v>
      </c>
      <c r="M21" s="11">
        <v>94</v>
      </c>
      <c r="N21" s="11">
        <f>(16.5*85%)*24</f>
        <v>336.6</v>
      </c>
      <c r="O21" s="11" t="s">
        <v>47</v>
      </c>
      <c r="P21" s="78">
        <f>N21*142</f>
        <v>47797.2</v>
      </c>
      <c r="Q21" s="40" t="s">
        <v>141</v>
      </c>
      <c r="R21" s="40" t="s">
        <v>49</v>
      </c>
      <c r="S21" s="40" t="s">
        <v>50</v>
      </c>
      <c r="T21" s="40" t="s">
        <v>119</v>
      </c>
      <c r="U21" s="40" t="s">
        <v>67</v>
      </c>
      <c r="V21" s="91" t="s">
        <v>164</v>
      </c>
      <c r="W21" s="40"/>
      <c r="X21" s="90" t="s">
        <v>188</v>
      </c>
      <c r="Y21" s="86"/>
      <c r="Z21" s="90"/>
      <c r="AA21" s="90" t="s">
        <v>189</v>
      </c>
      <c r="AB21" s="108"/>
    </row>
    <row r="22" ht="141.5" customHeight="1" spans="1:28">
      <c r="A22" s="11"/>
      <c r="B22" s="48">
        <v>44008</v>
      </c>
      <c r="C22" s="43" t="s">
        <v>190</v>
      </c>
      <c r="D22" s="30">
        <v>44</v>
      </c>
      <c r="E22" s="30">
        <v>4</v>
      </c>
      <c r="F22" s="39">
        <v>0.895833333333333</v>
      </c>
      <c r="G22" s="11" t="s">
        <v>191</v>
      </c>
      <c r="H22" s="46"/>
      <c r="I22" s="46">
        <v>0</v>
      </c>
      <c r="J22" s="45" t="s">
        <v>192</v>
      </c>
      <c r="K22" s="11" t="s">
        <v>193</v>
      </c>
      <c r="L22" s="77">
        <v>990</v>
      </c>
      <c r="M22" s="11">
        <v>26</v>
      </c>
      <c r="N22" s="11">
        <f>(7*85%)*24</f>
        <v>142.8</v>
      </c>
      <c r="O22" s="79">
        <f>N22*43</f>
        <v>6140.4</v>
      </c>
      <c r="P22" s="78">
        <f>O22*4.86</f>
        <v>29842.344</v>
      </c>
      <c r="Q22" s="40" t="s">
        <v>118</v>
      </c>
      <c r="R22" s="40" t="s">
        <v>36</v>
      </c>
      <c r="S22" s="40" t="s">
        <v>91</v>
      </c>
      <c r="T22" s="40" t="s">
        <v>119</v>
      </c>
      <c r="U22" s="40" t="s">
        <v>67</v>
      </c>
      <c r="V22" s="91" t="s">
        <v>74</v>
      </c>
      <c r="W22" s="40"/>
      <c r="X22" s="90" t="s">
        <v>194</v>
      </c>
      <c r="Y22" s="86"/>
      <c r="Z22" s="108"/>
      <c r="AA22" s="90" t="s">
        <v>195</v>
      </c>
      <c r="AB22" s="108"/>
    </row>
    <row r="23" ht="143.15" customHeight="1" spans="1:28">
      <c r="A23" s="11"/>
      <c r="B23" s="48">
        <v>44009</v>
      </c>
      <c r="C23" s="43" t="s">
        <v>196</v>
      </c>
      <c r="D23" s="30">
        <v>34</v>
      </c>
      <c r="E23" s="30">
        <v>3</v>
      </c>
      <c r="F23" s="39">
        <v>0.0236111111111111</v>
      </c>
      <c r="G23" s="11" t="s">
        <v>197</v>
      </c>
      <c r="H23" s="46"/>
      <c r="I23" s="46">
        <v>0</v>
      </c>
      <c r="J23" s="45" t="s">
        <v>198</v>
      </c>
      <c r="K23" s="11" t="s">
        <v>199</v>
      </c>
      <c r="L23" s="77">
        <v>980</v>
      </c>
      <c r="M23" s="11">
        <v>7</v>
      </c>
      <c r="N23" s="11">
        <v>15</v>
      </c>
      <c r="O23" s="79">
        <f>(22*3.5*3.5*6)*N23</f>
        <v>24255</v>
      </c>
      <c r="P23" s="78">
        <f>O23*2.08</f>
        <v>50450.4</v>
      </c>
      <c r="Q23" s="40" t="s">
        <v>118</v>
      </c>
      <c r="R23" s="40" t="s">
        <v>36</v>
      </c>
      <c r="S23" s="40" t="s">
        <v>91</v>
      </c>
      <c r="T23" s="40" t="s">
        <v>200</v>
      </c>
      <c r="U23" s="40" t="s">
        <v>67</v>
      </c>
      <c r="V23" s="91" t="s">
        <v>201</v>
      </c>
      <c r="W23" s="40"/>
      <c r="X23" s="90" t="s">
        <v>202</v>
      </c>
      <c r="Y23" s="86"/>
      <c r="Z23" s="108"/>
      <c r="AA23" s="90"/>
      <c r="AB23" s="90" t="s">
        <v>203</v>
      </c>
    </row>
    <row r="24" ht="129" customHeight="1" spans="1:28">
      <c r="A24" s="11"/>
      <c r="B24" s="48">
        <v>44056</v>
      </c>
      <c r="C24" s="43" t="s">
        <v>204</v>
      </c>
      <c r="D24" s="30">
        <v>39</v>
      </c>
      <c r="E24" s="30">
        <v>6</v>
      </c>
      <c r="F24" s="39">
        <v>0.229166666666667</v>
      </c>
      <c r="G24" s="11" t="s">
        <v>205</v>
      </c>
      <c r="H24" s="46"/>
      <c r="I24" s="46">
        <v>0</v>
      </c>
      <c r="J24" s="45" t="s">
        <v>206</v>
      </c>
      <c r="K24" s="11" t="s">
        <v>207</v>
      </c>
      <c r="L24" s="77">
        <v>500</v>
      </c>
      <c r="M24" s="11">
        <v>4</v>
      </c>
      <c r="N24" s="11">
        <v>13</v>
      </c>
      <c r="O24" s="79">
        <f>420*N24</f>
        <v>5460</v>
      </c>
      <c r="P24" s="78">
        <f>O24*5.43</f>
        <v>29647.8</v>
      </c>
      <c r="Q24" s="40" t="s">
        <v>118</v>
      </c>
      <c r="R24" s="40" t="s">
        <v>49</v>
      </c>
      <c r="S24" s="40" t="s">
        <v>66</v>
      </c>
      <c r="T24" s="40" t="s">
        <v>131</v>
      </c>
      <c r="U24" s="40" t="s">
        <v>67</v>
      </c>
      <c r="V24" s="91" t="s">
        <v>74</v>
      </c>
      <c r="W24" s="40"/>
      <c r="X24" s="90" t="s">
        <v>208</v>
      </c>
      <c r="Y24" s="86"/>
      <c r="Z24" s="108"/>
      <c r="AA24" s="90" t="s">
        <v>209</v>
      </c>
      <c r="AB24" s="108"/>
    </row>
    <row r="25" ht="188.5" customHeight="1" spans="1:28">
      <c r="A25" s="11"/>
      <c r="B25" s="48">
        <v>44059</v>
      </c>
      <c r="C25" s="43" t="s">
        <v>210</v>
      </c>
      <c r="D25" s="30">
        <v>45</v>
      </c>
      <c r="E25" s="30">
        <v>7</v>
      </c>
      <c r="F25" s="39">
        <v>0.493055555555556</v>
      </c>
      <c r="G25" s="11" t="s">
        <v>211</v>
      </c>
      <c r="H25" s="46" t="s">
        <v>212</v>
      </c>
      <c r="I25" s="46">
        <v>0</v>
      </c>
      <c r="J25" s="45" t="s">
        <v>213</v>
      </c>
      <c r="K25" s="11" t="s">
        <v>214</v>
      </c>
      <c r="L25" s="77">
        <v>1100</v>
      </c>
      <c r="M25" s="11">
        <v>13</v>
      </c>
      <c r="N25" s="11">
        <v>18</v>
      </c>
      <c r="O25" s="11" t="s">
        <v>47</v>
      </c>
      <c r="P25" s="78">
        <f>230*18</f>
        <v>4140</v>
      </c>
      <c r="Q25" s="40" t="s">
        <v>141</v>
      </c>
      <c r="R25" s="40" t="s">
        <v>49</v>
      </c>
      <c r="S25" s="40" t="s">
        <v>66</v>
      </c>
      <c r="T25" s="40" t="s">
        <v>215</v>
      </c>
      <c r="U25" s="40" t="s">
        <v>51</v>
      </c>
      <c r="V25" s="91" t="s">
        <v>74</v>
      </c>
      <c r="W25" s="40"/>
      <c r="X25" s="90" t="s">
        <v>216</v>
      </c>
      <c r="Y25" s="86"/>
      <c r="Z25" s="108"/>
      <c r="AA25" s="90" t="s">
        <v>217</v>
      </c>
      <c r="AB25" s="108"/>
    </row>
    <row r="26" ht="117" customHeight="1" spans="1:28">
      <c r="A26" s="11"/>
      <c r="B26" s="48">
        <v>44071</v>
      </c>
      <c r="C26" s="43" t="s">
        <v>218</v>
      </c>
      <c r="D26" s="30">
        <v>38</v>
      </c>
      <c r="E26" s="30">
        <v>5</v>
      </c>
      <c r="F26" s="39">
        <v>0.489583333333333</v>
      </c>
      <c r="G26" s="11" t="s">
        <v>219</v>
      </c>
      <c r="H26" s="46" t="s">
        <v>220</v>
      </c>
      <c r="I26" s="46">
        <v>1</v>
      </c>
      <c r="J26" s="45" t="s">
        <v>221</v>
      </c>
      <c r="K26" s="11" t="s">
        <v>222</v>
      </c>
      <c r="L26" s="77">
        <v>2000</v>
      </c>
      <c r="M26" s="11">
        <v>12</v>
      </c>
      <c r="N26" s="11">
        <f>6*85%*24</f>
        <v>122.4</v>
      </c>
      <c r="O26" s="40" t="s">
        <v>47</v>
      </c>
      <c r="P26" s="78">
        <f>N26*142</f>
        <v>17380.8</v>
      </c>
      <c r="Q26" s="40" t="s">
        <v>141</v>
      </c>
      <c r="R26" s="40" t="s">
        <v>36</v>
      </c>
      <c r="S26" s="40" t="s">
        <v>163</v>
      </c>
      <c r="T26" s="40" t="s">
        <v>119</v>
      </c>
      <c r="U26" s="40" t="s">
        <v>67</v>
      </c>
      <c r="V26" s="91" t="s">
        <v>164</v>
      </c>
      <c r="W26" s="90" t="s">
        <v>101</v>
      </c>
      <c r="X26" s="69"/>
      <c r="Y26" s="86"/>
      <c r="Z26" s="90" t="s">
        <v>223</v>
      </c>
      <c r="AA26" s="108"/>
      <c r="AB26" s="108"/>
    </row>
    <row r="27" ht="127" customHeight="1" spans="1:28">
      <c r="A27" s="11"/>
      <c r="B27" s="48">
        <v>44080</v>
      </c>
      <c r="C27" s="43" t="s">
        <v>224</v>
      </c>
      <c r="D27" s="30">
        <v>48</v>
      </c>
      <c r="E27" s="30">
        <v>3</v>
      </c>
      <c r="F27" s="39">
        <v>0.208333333333333</v>
      </c>
      <c r="G27" s="11" t="s">
        <v>225</v>
      </c>
      <c r="H27" s="46" t="s">
        <v>226</v>
      </c>
      <c r="I27" s="46">
        <v>1</v>
      </c>
      <c r="J27" s="45" t="s">
        <v>227</v>
      </c>
      <c r="K27" s="11" t="s">
        <v>187</v>
      </c>
      <c r="L27" s="77">
        <v>31000</v>
      </c>
      <c r="M27" s="11">
        <v>17</v>
      </c>
      <c r="N27" s="11">
        <f>25*85%*24</f>
        <v>510</v>
      </c>
      <c r="O27" s="11" t="s">
        <v>47</v>
      </c>
      <c r="P27" s="78">
        <f>N27*125</f>
        <v>63750</v>
      </c>
      <c r="Q27" s="40" t="s">
        <v>118</v>
      </c>
      <c r="R27" s="40" t="s">
        <v>36</v>
      </c>
      <c r="S27" s="40" t="s">
        <v>50</v>
      </c>
      <c r="T27" s="40" t="s">
        <v>119</v>
      </c>
      <c r="U27" s="40" t="s">
        <v>67</v>
      </c>
      <c r="V27" s="91" t="s">
        <v>164</v>
      </c>
      <c r="W27" s="90" t="s">
        <v>228</v>
      </c>
      <c r="X27" s="69"/>
      <c r="Y27" s="86"/>
      <c r="Z27" s="90" t="s">
        <v>229</v>
      </c>
      <c r="AA27" s="108"/>
      <c r="AB27" s="108"/>
    </row>
    <row r="28" ht="130.5" customHeight="1" spans="1:28">
      <c r="A28" s="36" t="s">
        <v>230</v>
      </c>
      <c r="B28" s="37">
        <v>44223</v>
      </c>
      <c r="C28" s="44" t="s">
        <v>231</v>
      </c>
      <c r="D28" s="30">
        <v>48</v>
      </c>
      <c r="E28" s="30">
        <v>10</v>
      </c>
      <c r="F28" s="39">
        <v>0.840277777777778</v>
      </c>
      <c r="G28" s="40" t="s">
        <v>232</v>
      </c>
      <c r="H28" s="40" t="s">
        <v>233</v>
      </c>
      <c r="I28" s="40">
        <v>0</v>
      </c>
      <c r="J28" s="44" t="s">
        <v>234</v>
      </c>
      <c r="K28" s="40" t="s">
        <v>235</v>
      </c>
      <c r="L28" s="74">
        <v>2300</v>
      </c>
      <c r="M28" s="40">
        <v>4</v>
      </c>
      <c r="N28" s="40">
        <v>28.9</v>
      </c>
      <c r="O28" s="40" t="s">
        <v>47</v>
      </c>
      <c r="P28" s="76">
        <f>N28*142</f>
        <v>4103.8</v>
      </c>
      <c r="Q28" s="40" t="s">
        <v>118</v>
      </c>
      <c r="R28" s="40" t="s">
        <v>49</v>
      </c>
      <c r="S28" s="40" t="s">
        <v>66</v>
      </c>
      <c r="T28" s="40" t="s">
        <v>119</v>
      </c>
      <c r="U28" s="40" t="s">
        <v>51</v>
      </c>
      <c r="V28" s="91" t="s">
        <v>74</v>
      </c>
      <c r="W28" s="40"/>
      <c r="X28" s="90" t="s">
        <v>236</v>
      </c>
      <c r="Y28" s="86"/>
      <c r="Z28" s="108"/>
      <c r="AA28" s="90" t="s">
        <v>237</v>
      </c>
      <c r="AB28" s="108"/>
    </row>
    <row r="29" ht="187" customHeight="1" spans="1:28">
      <c r="A29" s="11"/>
      <c r="B29" s="37">
        <v>44226</v>
      </c>
      <c r="C29" s="50" t="s">
        <v>238</v>
      </c>
      <c r="D29" s="30">
        <v>47</v>
      </c>
      <c r="E29" s="30">
        <v>10</v>
      </c>
      <c r="F29" s="39">
        <v>0.381944444444444</v>
      </c>
      <c r="G29" s="40" t="s">
        <v>239</v>
      </c>
      <c r="H29" s="46" t="s">
        <v>240</v>
      </c>
      <c r="I29" s="46">
        <v>0</v>
      </c>
      <c r="J29" s="46" t="s">
        <v>241</v>
      </c>
      <c r="K29" s="40" t="s">
        <v>242</v>
      </c>
      <c r="L29" s="74">
        <v>20000</v>
      </c>
      <c r="M29" s="40">
        <v>4</v>
      </c>
      <c r="N29" s="40">
        <v>8</v>
      </c>
      <c r="O29" s="40">
        <f>N29*44</f>
        <v>352</v>
      </c>
      <c r="P29" s="76">
        <f>O29*8.08</f>
        <v>2844.16</v>
      </c>
      <c r="Q29" s="40" t="s">
        <v>141</v>
      </c>
      <c r="R29" s="40" t="s">
        <v>49</v>
      </c>
      <c r="S29" s="40" t="s">
        <v>153</v>
      </c>
      <c r="T29" s="40" t="s">
        <v>119</v>
      </c>
      <c r="U29" s="40" t="s">
        <v>51</v>
      </c>
      <c r="V29" s="91" t="s">
        <v>144</v>
      </c>
      <c r="W29" s="40"/>
      <c r="X29" s="90" t="s">
        <v>243</v>
      </c>
      <c r="Y29" s="86"/>
      <c r="Z29" s="108"/>
      <c r="AA29" s="90" t="s">
        <v>244</v>
      </c>
      <c r="AB29" s="108"/>
    </row>
    <row r="30" ht="121.5" customHeight="1" spans="1:28">
      <c r="A30" s="11"/>
      <c r="B30" s="37">
        <v>44250</v>
      </c>
      <c r="C30" s="51" t="s">
        <v>245</v>
      </c>
      <c r="D30" s="30">
        <v>35</v>
      </c>
      <c r="E30" s="30">
        <v>5</v>
      </c>
      <c r="F30" s="39">
        <v>0.708333333333333</v>
      </c>
      <c r="G30" s="40" t="s">
        <v>246</v>
      </c>
      <c r="H30" s="46" t="s">
        <v>247</v>
      </c>
      <c r="I30" s="46">
        <v>1</v>
      </c>
      <c r="J30" s="46" t="s">
        <v>248</v>
      </c>
      <c r="K30" s="40" t="s">
        <v>249</v>
      </c>
      <c r="L30" s="74">
        <v>700</v>
      </c>
      <c r="M30" s="40">
        <v>2</v>
      </c>
      <c r="N30" s="40">
        <v>4</v>
      </c>
      <c r="O30" s="40">
        <f>N30*44</f>
        <v>176</v>
      </c>
      <c r="P30" s="76">
        <f>O30*8.08</f>
        <v>1422.08</v>
      </c>
      <c r="Q30" s="40" t="s">
        <v>141</v>
      </c>
      <c r="R30" s="40" t="s">
        <v>36</v>
      </c>
      <c r="S30" s="40" t="s">
        <v>163</v>
      </c>
      <c r="T30" s="40" t="s">
        <v>119</v>
      </c>
      <c r="U30" s="40" t="s">
        <v>51</v>
      </c>
      <c r="V30" s="91" t="s">
        <v>164</v>
      </c>
      <c r="W30" s="90" t="s">
        <v>250</v>
      </c>
      <c r="X30" s="69"/>
      <c r="Y30" s="86"/>
      <c r="Z30" s="90" t="s">
        <v>251</v>
      </c>
      <c r="AA30" s="108"/>
      <c r="AB30" s="108"/>
    </row>
    <row r="31" ht="146" customHeight="1" spans="1:28">
      <c r="A31" s="42" t="s">
        <v>147</v>
      </c>
      <c r="B31" s="37">
        <v>44253</v>
      </c>
      <c r="C31" s="45" t="s">
        <v>252</v>
      </c>
      <c r="D31" s="30">
        <v>42</v>
      </c>
      <c r="E31" s="30">
        <v>12</v>
      </c>
      <c r="F31" s="39">
        <v>0.694444444444444</v>
      </c>
      <c r="G31" s="40" t="s">
        <v>253</v>
      </c>
      <c r="H31" s="52" t="s">
        <v>254</v>
      </c>
      <c r="I31" s="52">
        <v>0</v>
      </c>
      <c r="J31" s="40" t="s">
        <v>255</v>
      </c>
      <c r="K31" s="40" t="s">
        <v>256</v>
      </c>
      <c r="L31" s="74">
        <v>1000</v>
      </c>
      <c r="M31" s="40">
        <v>8</v>
      </c>
      <c r="N31" s="40">
        <f>(24*85%*3)</f>
        <v>61.2</v>
      </c>
      <c r="O31" s="40">
        <v>468</v>
      </c>
      <c r="P31" s="76">
        <f>O31*5.19</f>
        <v>2428.92</v>
      </c>
      <c r="Q31" s="40" t="s">
        <v>141</v>
      </c>
      <c r="R31" s="40" t="s">
        <v>129</v>
      </c>
      <c r="S31" s="40" t="s">
        <v>66</v>
      </c>
      <c r="T31" s="40" t="s">
        <v>119</v>
      </c>
      <c r="U31" s="40" t="s">
        <v>51</v>
      </c>
      <c r="V31" s="91" t="s">
        <v>74</v>
      </c>
      <c r="W31" s="40"/>
      <c r="X31" s="90" t="s">
        <v>257</v>
      </c>
      <c r="Y31" s="86"/>
      <c r="Z31" s="108"/>
      <c r="AA31" s="90" t="s">
        <v>258</v>
      </c>
      <c r="AB31" s="108"/>
    </row>
    <row r="32" ht="102.5" customHeight="1" spans="1:28">
      <c r="A32" s="11"/>
      <c r="B32" s="37">
        <v>44257</v>
      </c>
      <c r="C32" s="53" t="s">
        <v>259</v>
      </c>
      <c r="D32" s="30">
        <v>34</v>
      </c>
      <c r="E32" s="30">
        <v>2</v>
      </c>
      <c r="F32" s="39">
        <v>0.145833333333333</v>
      </c>
      <c r="G32" s="40" t="s">
        <v>260</v>
      </c>
      <c r="H32" s="46" t="s">
        <v>261</v>
      </c>
      <c r="I32" s="46">
        <v>0</v>
      </c>
      <c r="J32" s="46" t="s">
        <v>262</v>
      </c>
      <c r="K32" s="40" t="s">
        <v>263</v>
      </c>
      <c r="L32" s="74">
        <v>500</v>
      </c>
      <c r="M32" s="40">
        <v>1</v>
      </c>
      <c r="N32" s="40">
        <v>2.3</v>
      </c>
      <c r="O32" s="40">
        <f>N32*44</f>
        <v>101.2</v>
      </c>
      <c r="P32" s="76">
        <f>O32*8.08</f>
        <v>817.696</v>
      </c>
      <c r="Q32" s="40" t="s">
        <v>118</v>
      </c>
      <c r="R32" s="40" t="s">
        <v>142</v>
      </c>
      <c r="S32" s="40" t="s">
        <v>163</v>
      </c>
      <c r="T32" s="40" t="s">
        <v>119</v>
      </c>
      <c r="U32" s="40" t="s">
        <v>264</v>
      </c>
      <c r="V32" s="91" t="s">
        <v>172</v>
      </c>
      <c r="W32" s="40"/>
      <c r="X32" s="90" t="s">
        <v>265</v>
      </c>
      <c r="Y32" s="86"/>
      <c r="Z32" s="112"/>
      <c r="AA32" s="90" t="s">
        <v>266</v>
      </c>
      <c r="AB32" s="112"/>
    </row>
    <row r="33" ht="131" customHeight="1" spans="1:28">
      <c r="A33" s="47" t="s">
        <v>267</v>
      </c>
      <c r="B33" s="37">
        <v>44262</v>
      </c>
      <c r="C33" s="43" t="s">
        <v>268</v>
      </c>
      <c r="D33" s="30">
        <v>42</v>
      </c>
      <c r="E33" s="30">
        <v>7</v>
      </c>
      <c r="F33" s="39">
        <v>0.222222222222222</v>
      </c>
      <c r="G33" s="40" t="s">
        <v>269</v>
      </c>
      <c r="H33" s="54" t="s">
        <v>270</v>
      </c>
      <c r="I33" s="54">
        <v>1</v>
      </c>
      <c r="J33" s="46" t="s">
        <v>271</v>
      </c>
      <c r="K33" s="40" t="s">
        <v>272</v>
      </c>
      <c r="L33" s="74">
        <v>15000</v>
      </c>
      <c r="M33" s="40">
        <v>12</v>
      </c>
      <c r="N33" s="40">
        <v>14</v>
      </c>
      <c r="O33" s="40" t="s">
        <v>47</v>
      </c>
      <c r="P33" s="76">
        <f>N33*158</f>
        <v>2212</v>
      </c>
      <c r="Q33" s="40" t="s">
        <v>118</v>
      </c>
      <c r="R33" s="40" t="s">
        <v>49</v>
      </c>
      <c r="S33" s="40" t="s">
        <v>153</v>
      </c>
      <c r="T33" s="40" t="s">
        <v>119</v>
      </c>
      <c r="U33" s="40" t="s">
        <v>51</v>
      </c>
      <c r="V33" s="91" t="s">
        <v>164</v>
      </c>
      <c r="W33" s="94" t="s">
        <v>165</v>
      </c>
      <c r="X33" s="69"/>
      <c r="Y33" s="86"/>
      <c r="Z33" s="90"/>
      <c r="AA33" s="90" t="s">
        <v>166</v>
      </c>
      <c r="AB33" s="90"/>
    </row>
    <row r="34" ht="135.5" customHeight="1" spans="1:28">
      <c r="A34" s="11"/>
      <c r="B34" s="37">
        <v>44266</v>
      </c>
      <c r="C34" s="53" t="s">
        <v>273</v>
      </c>
      <c r="D34" s="30">
        <v>46</v>
      </c>
      <c r="E34" s="30">
        <v>11</v>
      </c>
      <c r="F34" s="39">
        <v>0.916666666666667</v>
      </c>
      <c r="G34" s="40" t="s">
        <v>125</v>
      </c>
      <c r="H34" s="46" t="s">
        <v>274</v>
      </c>
      <c r="I34" s="46">
        <v>1</v>
      </c>
      <c r="J34" s="46" t="s">
        <v>248</v>
      </c>
      <c r="K34" s="40" t="s">
        <v>275</v>
      </c>
      <c r="L34" s="74">
        <v>5000</v>
      </c>
      <c r="M34" s="40">
        <v>8</v>
      </c>
      <c r="N34" s="40">
        <v>20.4</v>
      </c>
      <c r="O34" s="40">
        <f>N34*453</f>
        <v>9241.2</v>
      </c>
      <c r="P34" s="76">
        <f>O34*8.08</f>
        <v>74668.896</v>
      </c>
      <c r="Q34" s="40" t="s">
        <v>118</v>
      </c>
      <c r="R34" s="40" t="s">
        <v>129</v>
      </c>
      <c r="S34" s="40" t="s">
        <v>163</v>
      </c>
      <c r="T34" s="40" t="s">
        <v>131</v>
      </c>
      <c r="U34" s="40" t="s">
        <v>67</v>
      </c>
      <c r="V34" s="91" t="s">
        <v>164</v>
      </c>
      <c r="W34" s="90" t="s">
        <v>276</v>
      </c>
      <c r="X34" s="69"/>
      <c r="Y34" s="86"/>
      <c r="Z34" s="90" t="s">
        <v>277</v>
      </c>
      <c r="AA34" s="108"/>
      <c r="AB34" s="108"/>
    </row>
    <row r="35" ht="134" customHeight="1" spans="1:28">
      <c r="A35" s="11"/>
      <c r="B35" s="37">
        <v>44305</v>
      </c>
      <c r="C35" s="45" t="s">
        <v>278</v>
      </c>
      <c r="D35" s="30">
        <v>38</v>
      </c>
      <c r="E35" s="30">
        <v>4</v>
      </c>
      <c r="F35" s="39">
        <v>0.979166666666667</v>
      </c>
      <c r="G35" s="40" t="s">
        <v>279</v>
      </c>
      <c r="H35" s="46"/>
      <c r="I35" s="46">
        <v>0</v>
      </c>
      <c r="J35" s="52" t="s">
        <v>280</v>
      </c>
      <c r="K35" s="40" t="s">
        <v>281</v>
      </c>
      <c r="L35" s="74">
        <v>500</v>
      </c>
      <c r="M35" s="40">
        <v>4</v>
      </c>
      <c r="N35" s="40">
        <v>35.6</v>
      </c>
      <c r="O35" s="40" t="s">
        <v>47</v>
      </c>
      <c r="P35" s="76">
        <f>N35*142</f>
        <v>5055.2</v>
      </c>
      <c r="Q35" s="40" t="s">
        <v>118</v>
      </c>
      <c r="R35" s="40" t="s">
        <v>36</v>
      </c>
      <c r="S35" s="40" t="s">
        <v>66</v>
      </c>
      <c r="T35" s="40" t="s">
        <v>119</v>
      </c>
      <c r="U35" s="40" t="s">
        <v>51</v>
      </c>
      <c r="V35" s="91" t="s">
        <v>74</v>
      </c>
      <c r="W35" s="40"/>
      <c r="X35" s="90" t="s">
        <v>282</v>
      </c>
      <c r="Y35" s="86"/>
      <c r="AA35" s="90" t="s">
        <v>283</v>
      </c>
      <c r="AB35" s="108"/>
    </row>
    <row r="36" ht="169.5" customHeight="1" spans="1:28">
      <c r="A36" s="11"/>
      <c r="B36" s="48">
        <v>44325</v>
      </c>
      <c r="C36" s="45" t="s">
        <v>284</v>
      </c>
      <c r="D36" s="30">
        <v>41</v>
      </c>
      <c r="E36" s="30">
        <v>6</v>
      </c>
      <c r="F36" s="39">
        <v>0.138888888888889</v>
      </c>
      <c r="G36" s="11" t="s">
        <v>285</v>
      </c>
      <c r="H36" s="46" t="s">
        <v>286</v>
      </c>
      <c r="I36" s="46">
        <v>1</v>
      </c>
      <c r="J36" s="52" t="s">
        <v>287</v>
      </c>
      <c r="K36" s="11" t="s">
        <v>288</v>
      </c>
      <c r="L36" s="77">
        <v>25000</v>
      </c>
      <c r="M36" s="11">
        <v>28</v>
      </c>
      <c r="N36" s="11">
        <f>((5*85%)+(13.5*85%))*24</f>
        <v>377.4</v>
      </c>
      <c r="O36" s="40" t="s">
        <v>47</v>
      </c>
      <c r="P36" s="78">
        <f>(N36*142)</f>
        <v>53590.8</v>
      </c>
      <c r="Q36" s="40" t="s">
        <v>118</v>
      </c>
      <c r="R36" s="40" t="s">
        <v>49</v>
      </c>
      <c r="S36" s="40" t="s">
        <v>153</v>
      </c>
      <c r="T36" s="40" t="s">
        <v>119</v>
      </c>
      <c r="U36" s="40" t="s">
        <v>67</v>
      </c>
      <c r="V36" s="91" t="s">
        <v>164</v>
      </c>
      <c r="W36" s="94" t="s">
        <v>165</v>
      </c>
      <c r="X36" s="69"/>
      <c r="Y36" s="86"/>
      <c r="Z36" s="90"/>
      <c r="AA36" s="90" t="s">
        <v>289</v>
      </c>
      <c r="AB36" s="90"/>
    </row>
    <row r="37" ht="120" spans="1:28">
      <c r="A37" s="11"/>
      <c r="B37" s="37">
        <v>44358</v>
      </c>
      <c r="C37" s="53" t="s">
        <v>290</v>
      </c>
      <c r="D37" s="30">
        <v>51</v>
      </c>
      <c r="E37" s="30">
        <v>12</v>
      </c>
      <c r="F37" s="39">
        <v>0.166666666666667</v>
      </c>
      <c r="G37" s="40" t="s">
        <v>291</v>
      </c>
      <c r="H37" s="46" t="s">
        <v>292</v>
      </c>
      <c r="I37" s="46">
        <v>1</v>
      </c>
      <c r="J37" s="46" t="s">
        <v>293</v>
      </c>
      <c r="K37" s="40" t="s">
        <v>294</v>
      </c>
      <c r="L37" s="74">
        <v>11000</v>
      </c>
      <c r="M37" s="40">
        <v>4</v>
      </c>
      <c r="N37" s="40">
        <v>20.4</v>
      </c>
      <c r="O37" s="40" t="s">
        <v>295</v>
      </c>
      <c r="P37" s="80">
        <f>N37*256.68</f>
        <v>5236.272</v>
      </c>
      <c r="Q37" s="40" t="s">
        <v>118</v>
      </c>
      <c r="R37" s="40" t="s">
        <v>49</v>
      </c>
      <c r="S37" s="40" t="s">
        <v>50</v>
      </c>
      <c r="T37" s="40" t="s">
        <v>131</v>
      </c>
      <c r="U37" s="40" t="s">
        <v>51</v>
      </c>
      <c r="V37" s="91" t="s">
        <v>164</v>
      </c>
      <c r="W37" s="90" t="s">
        <v>296</v>
      </c>
      <c r="X37" s="69"/>
      <c r="Y37" s="86"/>
      <c r="Z37" s="90" t="s">
        <v>297</v>
      </c>
      <c r="AA37" s="108"/>
      <c r="AB37" s="108"/>
    </row>
    <row r="38" ht="127.5" customHeight="1" spans="1:28">
      <c r="A38" s="11"/>
      <c r="B38" s="37">
        <v>44407</v>
      </c>
      <c r="C38" s="43" t="s">
        <v>298</v>
      </c>
      <c r="D38" s="30">
        <v>41</v>
      </c>
      <c r="E38" s="30">
        <v>9</v>
      </c>
      <c r="F38" s="39">
        <v>0.388888888888889</v>
      </c>
      <c r="G38" s="40" t="s">
        <v>299</v>
      </c>
      <c r="H38" s="46" t="s">
        <v>300</v>
      </c>
      <c r="I38" s="46">
        <v>0</v>
      </c>
      <c r="J38" s="54" t="s">
        <v>301</v>
      </c>
      <c r="K38" s="40" t="s">
        <v>302</v>
      </c>
      <c r="L38" s="74">
        <v>2000</v>
      </c>
      <c r="M38" s="40">
        <v>8</v>
      </c>
      <c r="N38" s="40">
        <v>15</v>
      </c>
      <c r="O38" s="40" t="s">
        <v>47</v>
      </c>
      <c r="P38" s="76">
        <f>N38*226.22</f>
        <v>3393.3</v>
      </c>
      <c r="Q38" s="40" t="s">
        <v>141</v>
      </c>
      <c r="R38" s="40" t="s">
        <v>49</v>
      </c>
      <c r="S38" s="40" t="s">
        <v>163</v>
      </c>
      <c r="T38" s="40" t="s">
        <v>154</v>
      </c>
      <c r="U38" s="40" t="s">
        <v>51</v>
      </c>
      <c r="V38" s="91" t="s">
        <v>172</v>
      </c>
      <c r="X38" s="90" t="s">
        <v>303</v>
      </c>
      <c r="Y38" s="111"/>
      <c r="Z38" s="110"/>
      <c r="AA38" s="90" t="s">
        <v>304</v>
      </c>
      <c r="AB38" s="90"/>
    </row>
    <row r="39" ht="187.5" customHeight="1" spans="1:28">
      <c r="A39" s="40"/>
      <c r="B39" s="37">
        <v>44453</v>
      </c>
      <c r="C39" s="51" t="s">
        <v>305</v>
      </c>
      <c r="D39" s="30">
        <v>40</v>
      </c>
      <c r="E39" s="30">
        <v>5</v>
      </c>
      <c r="F39" s="39">
        <v>0.868055555555556</v>
      </c>
      <c r="G39" s="40" t="s">
        <v>260</v>
      </c>
      <c r="H39" s="46" t="s">
        <v>306</v>
      </c>
      <c r="I39" s="46">
        <v>0</v>
      </c>
      <c r="J39" s="46" t="s">
        <v>307</v>
      </c>
      <c r="K39" s="40" t="s">
        <v>294</v>
      </c>
      <c r="L39" s="74">
        <v>7000</v>
      </c>
      <c r="M39" s="40">
        <v>4</v>
      </c>
      <c r="N39" s="40">
        <v>14</v>
      </c>
      <c r="O39" s="40">
        <f>N39*44.3</f>
        <v>620.2</v>
      </c>
      <c r="P39" s="76">
        <f>O39*(7.9+7.78)/2</f>
        <v>4862.368</v>
      </c>
      <c r="Q39" s="40" t="s">
        <v>118</v>
      </c>
      <c r="R39" s="40" t="s">
        <v>36</v>
      </c>
      <c r="S39" s="40" t="s">
        <v>50</v>
      </c>
      <c r="T39" s="40" t="s">
        <v>119</v>
      </c>
      <c r="U39" s="40" t="s">
        <v>51</v>
      </c>
      <c r="V39" s="91" t="s">
        <v>172</v>
      </c>
      <c r="W39" s="40"/>
      <c r="X39" s="90" t="s">
        <v>308</v>
      </c>
      <c r="Y39" s="86"/>
      <c r="Z39" s="108"/>
      <c r="AA39" s="90" t="s">
        <v>309</v>
      </c>
      <c r="AB39" s="108"/>
    </row>
    <row r="40" ht="101" customHeight="1" spans="1:28">
      <c r="A40" s="11"/>
      <c r="B40" s="37">
        <v>44525</v>
      </c>
      <c r="C40" s="43" t="s">
        <v>310</v>
      </c>
      <c r="D40" s="30">
        <v>38</v>
      </c>
      <c r="E40" s="30">
        <v>11</v>
      </c>
      <c r="F40" s="39">
        <v>0.690277777777778</v>
      </c>
      <c r="G40" s="40" t="s">
        <v>311</v>
      </c>
      <c r="H40" s="46"/>
      <c r="I40" s="46">
        <v>0</v>
      </c>
      <c r="J40" s="54" t="s">
        <v>312</v>
      </c>
      <c r="K40" s="40" t="s">
        <v>313</v>
      </c>
      <c r="L40" s="74">
        <v>28000</v>
      </c>
      <c r="M40" s="40">
        <v>13</v>
      </c>
      <c r="N40" s="40">
        <f>24*85%*2</f>
        <v>40.8</v>
      </c>
      <c r="O40" s="81">
        <f>490*N40</f>
        <v>19992</v>
      </c>
      <c r="P40" s="76">
        <f t="shared" ref="P40:P41" si="0">O40*8.08</f>
        <v>161535.36</v>
      </c>
      <c r="Q40" s="40" t="s">
        <v>141</v>
      </c>
      <c r="R40" s="40" t="s">
        <v>129</v>
      </c>
      <c r="S40" s="40" t="s">
        <v>91</v>
      </c>
      <c r="T40" s="40" t="s">
        <v>131</v>
      </c>
      <c r="U40" s="40" t="s">
        <v>38</v>
      </c>
      <c r="V40" s="91" t="s">
        <v>74</v>
      </c>
      <c r="W40" s="40"/>
      <c r="X40" s="90" t="s">
        <v>314</v>
      </c>
      <c r="Y40" s="86"/>
      <c r="Z40" s="108"/>
      <c r="AA40" s="90" t="s">
        <v>315</v>
      </c>
      <c r="AB40" s="108"/>
    </row>
    <row r="41" ht="154" customHeight="1" spans="1:28">
      <c r="A41" s="11"/>
      <c r="B41" s="37">
        <v>44553</v>
      </c>
      <c r="C41" s="45" t="s">
        <v>316</v>
      </c>
      <c r="D41" s="30" t="s">
        <v>317</v>
      </c>
      <c r="E41" s="30">
        <v>4</v>
      </c>
      <c r="F41" s="39">
        <v>0.138888888888889</v>
      </c>
      <c r="G41" s="40" t="s">
        <v>318</v>
      </c>
      <c r="H41" s="46"/>
      <c r="I41" s="46">
        <v>0</v>
      </c>
      <c r="J41" s="52" t="s">
        <v>319</v>
      </c>
      <c r="K41" s="40" t="s">
        <v>57</v>
      </c>
      <c r="L41" s="74">
        <v>15000</v>
      </c>
      <c r="M41" s="40">
        <v>4</v>
      </c>
      <c r="N41" s="40">
        <v>5.4</v>
      </c>
      <c r="O41" s="40">
        <f>N41*44</f>
        <v>237.6</v>
      </c>
      <c r="P41" s="76">
        <f t="shared" si="0"/>
        <v>1919.808</v>
      </c>
      <c r="Q41" s="40" t="s">
        <v>118</v>
      </c>
      <c r="R41" s="40" t="s">
        <v>36</v>
      </c>
      <c r="S41" s="40" t="s">
        <v>320</v>
      </c>
      <c r="T41" s="40" t="s">
        <v>119</v>
      </c>
      <c r="U41" s="40" t="s">
        <v>51</v>
      </c>
      <c r="V41" s="91" t="s">
        <v>144</v>
      </c>
      <c r="W41" s="40"/>
      <c r="X41" s="95" t="s">
        <v>321</v>
      </c>
      <c r="Y41" s="86"/>
      <c r="Z41" s="108"/>
      <c r="AA41" s="95" t="s">
        <v>322</v>
      </c>
      <c r="AB41" s="108"/>
    </row>
    <row r="42" ht="112" customHeight="1" spans="1:28">
      <c r="A42" s="47" t="s">
        <v>323</v>
      </c>
      <c r="B42" s="37">
        <v>44604</v>
      </c>
      <c r="C42" s="55" t="s">
        <v>324</v>
      </c>
      <c r="D42" s="30">
        <v>37</v>
      </c>
      <c r="E42" s="30">
        <v>4</v>
      </c>
      <c r="F42" s="39">
        <v>0.729166666666667</v>
      </c>
      <c r="G42" s="40" t="s">
        <v>325</v>
      </c>
      <c r="H42" s="11" t="s">
        <v>326</v>
      </c>
      <c r="I42" s="11">
        <v>1</v>
      </c>
      <c r="J42" s="11" t="s">
        <v>327</v>
      </c>
      <c r="K42" s="40" t="s">
        <v>328</v>
      </c>
      <c r="L42" s="74">
        <v>410</v>
      </c>
      <c r="M42" s="40">
        <v>1</v>
      </c>
      <c r="N42" s="40">
        <v>2.5</v>
      </c>
      <c r="O42" s="40">
        <f>N42*56</f>
        <v>140</v>
      </c>
      <c r="P42" s="76">
        <f>O42*5.73</f>
        <v>802.2</v>
      </c>
      <c r="Q42" s="40" t="s">
        <v>141</v>
      </c>
      <c r="R42" s="40" t="s">
        <v>36</v>
      </c>
      <c r="S42" s="40" t="s">
        <v>163</v>
      </c>
      <c r="T42" s="40" t="s">
        <v>119</v>
      </c>
      <c r="U42" s="40" t="s">
        <v>264</v>
      </c>
      <c r="V42" s="91" t="s">
        <v>144</v>
      </c>
      <c r="W42" s="96" t="s">
        <v>329</v>
      </c>
      <c r="X42" s="69"/>
      <c r="Y42" s="86"/>
      <c r="Z42" s="108"/>
      <c r="AA42" s="113" t="s">
        <v>330</v>
      </c>
      <c r="AB42" s="108"/>
    </row>
    <row r="43" ht="154.5" customHeight="1" spans="1:28">
      <c r="A43" s="42" t="s">
        <v>331</v>
      </c>
      <c r="B43" s="37">
        <v>44608</v>
      </c>
      <c r="C43" s="55" t="s">
        <v>332</v>
      </c>
      <c r="D43" s="30">
        <v>38</v>
      </c>
      <c r="E43" s="30">
        <v>2</v>
      </c>
      <c r="F43" s="39">
        <v>0.625</v>
      </c>
      <c r="G43" s="40" t="s">
        <v>333</v>
      </c>
      <c r="H43" s="11" t="s">
        <v>334</v>
      </c>
      <c r="I43" s="11">
        <v>1</v>
      </c>
      <c r="J43" s="11" t="s">
        <v>335</v>
      </c>
      <c r="K43" s="40" t="s">
        <v>336</v>
      </c>
      <c r="L43" s="74">
        <v>4000</v>
      </c>
      <c r="M43" s="40">
        <v>3</v>
      </c>
      <c r="N43" s="40">
        <v>5</v>
      </c>
      <c r="O43" s="40">
        <f>N43*(22*3.5*3.5*6)</f>
        <v>8085</v>
      </c>
      <c r="P43" s="76">
        <f>O43*2.08</f>
        <v>16816.8</v>
      </c>
      <c r="Q43" s="40" t="s">
        <v>141</v>
      </c>
      <c r="R43" s="40" t="s">
        <v>142</v>
      </c>
      <c r="S43" s="40" t="s">
        <v>50</v>
      </c>
      <c r="T43" s="40" t="s">
        <v>200</v>
      </c>
      <c r="U43" s="40" t="s">
        <v>67</v>
      </c>
      <c r="V43" s="91" t="s">
        <v>172</v>
      </c>
      <c r="W43" s="40" t="s">
        <v>337</v>
      </c>
      <c r="X43" s="69"/>
      <c r="Y43" s="86"/>
      <c r="Z43" s="90"/>
      <c r="AA43" s="114" t="s">
        <v>338</v>
      </c>
      <c r="AB43" s="108"/>
    </row>
    <row r="44" ht="150.5" customHeight="1" spans="1:28">
      <c r="A44" s="36" t="s">
        <v>339</v>
      </c>
      <c r="B44" s="37">
        <v>44645</v>
      </c>
      <c r="C44" s="51" t="s">
        <v>340</v>
      </c>
      <c r="D44" s="30">
        <v>43</v>
      </c>
      <c r="E44" s="30">
        <v>7</v>
      </c>
      <c r="F44" s="39">
        <v>0.46875</v>
      </c>
      <c r="G44" s="40" t="s">
        <v>341</v>
      </c>
      <c r="H44" s="40" t="s">
        <v>342</v>
      </c>
      <c r="I44" s="40">
        <v>1</v>
      </c>
      <c r="J44" s="11" t="s">
        <v>343</v>
      </c>
      <c r="K44" s="40" t="s">
        <v>344</v>
      </c>
      <c r="L44" s="74">
        <v>30000</v>
      </c>
      <c r="M44" s="40">
        <v>8</v>
      </c>
      <c r="N44" s="40">
        <v>8.8</v>
      </c>
      <c r="O44" s="40">
        <f>N44*400</f>
        <v>3520</v>
      </c>
      <c r="P44" s="76">
        <f>O44*8.08</f>
        <v>28441.6</v>
      </c>
      <c r="Q44" s="40" t="s">
        <v>141</v>
      </c>
      <c r="R44" s="40" t="s">
        <v>49</v>
      </c>
      <c r="S44" s="40" t="s">
        <v>163</v>
      </c>
      <c r="T44" s="40" t="s">
        <v>131</v>
      </c>
      <c r="U44" s="40" t="s">
        <v>67</v>
      </c>
      <c r="V44" s="91" t="s">
        <v>164</v>
      </c>
      <c r="W44" s="40" t="s">
        <v>345</v>
      </c>
      <c r="X44" s="69"/>
      <c r="Y44" s="86"/>
      <c r="Z44" s="108"/>
      <c r="AA44" s="113" t="s">
        <v>346</v>
      </c>
      <c r="AB44" s="108"/>
    </row>
    <row r="45" ht="135" customHeight="1" spans="1:28">
      <c r="A45" s="40"/>
      <c r="B45" s="37">
        <v>44653</v>
      </c>
      <c r="C45" s="51" t="s">
        <v>347</v>
      </c>
      <c r="D45" s="30">
        <v>43</v>
      </c>
      <c r="E45" s="30">
        <v>7</v>
      </c>
      <c r="F45" s="39">
        <v>0.65625</v>
      </c>
      <c r="G45" s="40" t="s">
        <v>348</v>
      </c>
      <c r="H45" s="11" t="s">
        <v>349</v>
      </c>
      <c r="I45" s="11">
        <v>1</v>
      </c>
      <c r="J45" s="11" t="s">
        <v>350</v>
      </c>
      <c r="K45" s="40" t="s">
        <v>328</v>
      </c>
      <c r="L45" s="74">
        <v>410</v>
      </c>
      <c r="M45" s="40">
        <v>1</v>
      </c>
      <c r="N45" s="40">
        <v>2.7</v>
      </c>
      <c r="O45" s="40">
        <f>N45*44</f>
        <v>118.8</v>
      </c>
      <c r="P45" s="76">
        <f>O45*5.73</f>
        <v>680.724</v>
      </c>
      <c r="Q45" s="40" t="s">
        <v>141</v>
      </c>
      <c r="R45" s="40" t="s">
        <v>49</v>
      </c>
      <c r="S45" s="40" t="s">
        <v>163</v>
      </c>
      <c r="T45" s="40" t="s">
        <v>119</v>
      </c>
      <c r="U45" s="40" t="s">
        <v>264</v>
      </c>
      <c r="V45" s="91" t="s">
        <v>164</v>
      </c>
      <c r="W45" s="90" t="s">
        <v>351</v>
      </c>
      <c r="X45" s="69"/>
      <c r="Y45" s="86"/>
      <c r="Z45" s="90" t="s">
        <v>352</v>
      </c>
      <c r="AA45" s="108"/>
      <c r="AB45" s="108"/>
    </row>
    <row r="46" ht="132" customHeight="1" spans="1:28">
      <c r="A46" s="40"/>
      <c r="B46" s="37">
        <v>44659</v>
      </c>
      <c r="C46" s="43" t="s">
        <v>353</v>
      </c>
      <c r="D46" s="30">
        <v>46</v>
      </c>
      <c r="E46" s="30">
        <v>1.5</v>
      </c>
      <c r="F46" s="39">
        <v>0.416666666666667</v>
      </c>
      <c r="G46" s="40" t="s">
        <v>354</v>
      </c>
      <c r="H46" s="44" t="s">
        <v>355</v>
      </c>
      <c r="I46" s="54">
        <v>1</v>
      </c>
      <c r="J46" s="40" t="s">
        <v>356</v>
      </c>
      <c r="K46" s="40" t="s">
        <v>357</v>
      </c>
      <c r="L46" s="74">
        <v>4000</v>
      </c>
      <c r="M46" s="40">
        <v>10</v>
      </c>
      <c r="N46" s="40">
        <v>20.4</v>
      </c>
      <c r="O46" s="40">
        <f>(22*3.5*3.5*6)*N46</f>
        <v>32986.8</v>
      </c>
      <c r="P46" s="76">
        <f>2.08*O46</f>
        <v>68612.544</v>
      </c>
      <c r="Q46" s="40" t="s">
        <v>141</v>
      </c>
      <c r="R46" s="40" t="s">
        <v>142</v>
      </c>
      <c r="S46" s="40" t="s">
        <v>66</v>
      </c>
      <c r="T46" s="40" t="s">
        <v>200</v>
      </c>
      <c r="U46" s="40" t="s">
        <v>67</v>
      </c>
      <c r="V46" s="91" t="s">
        <v>164</v>
      </c>
      <c r="W46" s="90" t="s">
        <v>358</v>
      </c>
      <c r="X46" s="69"/>
      <c r="Y46" s="86"/>
      <c r="Z46" s="90" t="s">
        <v>359</v>
      </c>
      <c r="AA46" s="90"/>
      <c r="AB46" s="108"/>
    </row>
    <row r="47" ht="125" customHeight="1" spans="1:28">
      <c r="A47" s="40"/>
      <c r="B47" s="37">
        <v>44696</v>
      </c>
      <c r="C47" s="51" t="s">
        <v>360</v>
      </c>
      <c r="D47" s="30">
        <v>37</v>
      </c>
      <c r="E47" s="30">
        <v>5</v>
      </c>
      <c r="F47" s="39">
        <v>0.173611111111111</v>
      </c>
      <c r="G47" s="40" t="s">
        <v>361</v>
      </c>
      <c r="H47" s="40" t="s">
        <v>362</v>
      </c>
      <c r="I47" s="40">
        <v>0</v>
      </c>
      <c r="J47" s="11" t="s">
        <v>363</v>
      </c>
      <c r="K47" s="40" t="s">
        <v>364</v>
      </c>
      <c r="L47" s="74">
        <v>300</v>
      </c>
      <c r="M47" s="40">
        <v>1</v>
      </c>
      <c r="N47" s="40">
        <v>3.5</v>
      </c>
      <c r="O47" s="40" t="s">
        <v>47</v>
      </c>
      <c r="P47" s="80">
        <f>N47*256.68</f>
        <v>898.38</v>
      </c>
      <c r="Q47" s="40" t="s">
        <v>118</v>
      </c>
      <c r="R47" s="40" t="s">
        <v>36</v>
      </c>
      <c r="S47" s="40" t="s">
        <v>163</v>
      </c>
      <c r="T47" s="40" t="s">
        <v>131</v>
      </c>
      <c r="U47" s="40" t="s">
        <v>264</v>
      </c>
      <c r="V47" s="91" t="s">
        <v>172</v>
      </c>
      <c r="W47" s="40"/>
      <c r="X47" s="90" t="s">
        <v>365</v>
      </c>
      <c r="Y47" s="86"/>
      <c r="Z47" s="108"/>
      <c r="AA47" s="90" t="s">
        <v>366</v>
      </c>
      <c r="AB47" s="108"/>
    </row>
    <row r="48" ht="141" customHeight="1" spans="1:28">
      <c r="A48" s="40"/>
      <c r="B48" s="37">
        <v>44745</v>
      </c>
      <c r="C48" s="51" t="s">
        <v>367</v>
      </c>
      <c r="D48" s="30">
        <v>39</v>
      </c>
      <c r="E48" s="30">
        <v>7</v>
      </c>
      <c r="F48" s="39">
        <v>0.822916666666667</v>
      </c>
      <c r="G48" s="40" t="s">
        <v>368</v>
      </c>
      <c r="H48" s="40" t="s">
        <v>369</v>
      </c>
      <c r="I48" s="40">
        <v>1</v>
      </c>
      <c r="J48" s="40" t="s">
        <v>370</v>
      </c>
      <c r="K48" s="40" t="s">
        <v>371</v>
      </c>
      <c r="L48" s="74">
        <v>1000</v>
      </c>
      <c r="M48" s="40">
        <v>4</v>
      </c>
      <c r="N48" s="40">
        <v>5.5</v>
      </c>
      <c r="O48" s="75">
        <f>N48*450</f>
        <v>2475</v>
      </c>
      <c r="P48" s="76">
        <f>O48*5.73</f>
        <v>14181.75</v>
      </c>
      <c r="Q48" s="40" t="s">
        <v>118</v>
      </c>
      <c r="R48" s="40" t="s">
        <v>49</v>
      </c>
      <c r="S48" s="40" t="s">
        <v>163</v>
      </c>
      <c r="T48" s="40" t="s">
        <v>131</v>
      </c>
      <c r="U48" s="40" t="s">
        <v>67</v>
      </c>
      <c r="V48" s="91" t="s">
        <v>164</v>
      </c>
      <c r="W48" s="90" t="s">
        <v>372</v>
      </c>
      <c r="X48" s="69"/>
      <c r="Y48" s="86"/>
      <c r="Z48" s="90" t="s">
        <v>373</v>
      </c>
      <c r="AA48" s="108"/>
      <c r="AB48" s="108"/>
    </row>
    <row r="49" ht="119" customHeight="1" spans="1:28">
      <c r="A49" s="40"/>
      <c r="B49" s="37">
        <v>44752</v>
      </c>
      <c r="C49" s="51" t="s">
        <v>374</v>
      </c>
      <c r="D49" s="30">
        <v>41</v>
      </c>
      <c r="E49" s="30">
        <v>6</v>
      </c>
      <c r="F49" s="39">
        <v>0.125</v>
      </c>
      <c r="G49" s="40" t="s">
        <v>375</v>
      </c>
      <c r="H49" s="40" t="s">
        <v>376</v>
      </c>
      <c r="I49" s="40">
        <v>0</v>
      </c>
      <c r="J49" s="11" t="s">
        <v>377</v>
      </c>
      <c r="K49" s="40" t="s">
        <v>378</v>
      </c>
      <c r="L49" s="74">
        <v>1100</v>
      </c>
      <c r="M49" s="40">
        <v>3</v>
      </c>
      <c r="N49" s="40">
        <v>15</v>
      </c>
      <c r="O49" s="75">
        <f>N49*200</f>
        <v>3000</v>
      </c>
      <c r="P49" s="80">
        <f>N49*256.68</f>
        <v>3850.2</v>
      </c>
      <c r="Q49" s="40" t="s">
        <v>118</v>
      </c>
      <c r="R49" s="40" t="s">
        <v>49</v>
      </c>
      <c r="S49" s="40" t="s">
        <v>50</v>
      </c>
      <c r="T49" s="40" t="s">
        <v>131</v>
      </c>
      <c r="U49" s="40" t="s">
        <v>51</v>
      </c>
      <c r="V49" s="91" t="s">
        <v>144</v>
      </c>
      <c r="W49" s="40"/>
      <c r="X49" s="90" t="s">
        <v>379</v>
      </c>
      <c r="Y49" s="86"/>
      <c r="Z49" s="112"/>
      <c r="AA49" s="90" t="s">
        <v>380</v>
      </c>
      <c r="AB49" s="115"/>
    </row>
    <row r="50" ht="114" customHeight="1" spans="1:28">
      <c r="A50" s="40"/>
      <c r="B50" s="37">
        <v>44774</v>
      </c>
      <c r="C50" s="51" t="s">
        <v>381</v>
      </c>
      <c r="D50" s="56">
        <v>39</v>
      </c>
      <c r="E50" s="30">
        <v>7</v>
      </c>
      <c r="F50" s="39">
        <v>0.03125</v>
      </c>
      <c r="G50" s="40" t="s">
        <v>382</v>
      </c>
      <c r="H50" s="40" t="s">
        <v>383</v>
      </c>
      <c r="I50" s="40">
        <v>1</v>
      </c>
      <c r="J50" s="40" t="s">
        <v>384</v>
      </c>
      <c r="K50" s="40" t="s">
        <v>385</v>
      </c>
      <c r="L50" s="74">
        <v>220</v>
      </c>
      <c r="M50" s="40">
        <v>1</v>
      </c>
      <c r="N50" s="40">
        <v>2.5</v>
      </c>
      <c r="O50" s="40">
        <f>N50*44</f>
        <v>110</v>
      </c>
      <c r="P50" s="76">
        <f>O50*5.73</f>
        <v>630.3</v>
      </c>
      <c r="Q50" s="40" t="s">
        <v>118</v>
      </c>
      <c r="R50" s="40" t="s">
        <v>49</v>
      </c>
      <c r="S50" s="40" t="s">
        <v>163</v>
      </c>
      <c r="T50" s="40" t="s">
        <v>119</v>
      </c>
      <c r="U50" s="40" t="s">
        <v>264</v>
      </c>
      <c r="V50" s="91" t="s">
        <v>172</v>
      </c>
      <c r="W50" s="97" t="s">
        <v>386</v>
      </c>
      <c r="X50" s="98"/>
      <c r="Y50" s="116"/>
      <c r="Z50" s="97" t="s">
        <v>387</v>
      </c>
      <c r="AA50" s="112"/>
      <c r="AB50" s="117"/>
    </row>
    <row r="51" ht="119.5" customHeight="1" spans="1:28">
      <c r="A51" s="40"/>
      <c r="B51" s="37">
        <v>44813</v>
      </c>
      <c r="C51" s="51" t="s">
        <v>388</v>
      </c>
      <c r="D51" s="30">
        <v>39</v>
      </c>
      <c r="E51" s="30">
        <v>4</v>
      </c>
      <c r="F51" s="39">
        <v>0.0416666666666667</v>
      </c>
      <c r="G51" s="40" t="s">
        <v>389</v>
      </c>
      <c r="H51" s="40" t="s">
        <v>390</v>
      </c>
      <c r="I51" s="40">
        <v>0</v>
      </c>
      <c r="J51" s="40" t="s">
        <v>391</v>
      </c>
      <c r="K51" s="40" t="s">
        <v>392</v>
      </c>
      <c r="L51" s="74">
        <v>24000</v>
      </c>
      <c r="M51" s="40">
        <v>36</v>
      </c>
      <c r="N51" s="40">
        <f>24*85%*10</f>
        <v>204</v>
      </c>
      <c r="O51" s="75">
        <f>N51*450</f>
        <v>91800</v>
      </c>
      <c r="P51" s="76">
        <f>O51*5.73</f>
        <v>526014</v>
      </c>
      <c r="Q51" s="40" t="s">
        <v>118</v>
      </c>
      <c r="R51" s="40" t="s">
        <v>36</v>
      </c>
      <c r="S51" s="40" t="s">
        <v>66</v>
      </c>
      <c r="T51" s="40" t="s">
        <v>131</v>
      </c>
      <c r="U51" s="40" t="s">
        <v>38</v>
      </c>
      <c r="V51" s="91" t="s">
        <v>172</v>
      </c>
      <c r="W51" s="99"/>
      <c r="X51" s="90" t="s">
        <v>393</v>
      </c>
      <c r="Y51" s="116"/>
      <c r="Z51" s="97"/>
      <c r="AA51" s="90" t="s">
        <v>394</v>
      </c>
      <c r="AB51" s="115"/>
    </row>
    <row r="52" ht="134.5" customHeight="1" spans="1:28">
      <c r="A52" s="40"/>
      <c r="B52" s="37">
        <v>44827</v>
      </c>
      <c r="C52" s="51" t="s">
        <v>395</v>
      </c>
      <c r="D52" s="30">
        <v>35</v>
      </c>
      <c r="E52" s="30">
        <v>0.5</v>
      </c>
      <c r="F52" s="30" t="s">
        <v>396</v>
      </c>
      <c r="G52" s="40" t="s">
        <v>397</v>
      </c>
      <c r="H52" s="40" t="s">
        <v>398</v>
      </c>
      <c r="I52" s="40">
        <v>0</v>
      </c>
      <c r="J52" s="40" t="s">
        <v>399</v>
      </c>
      <c r="K52" s="40" t="s">
        <v>400</v>
      </c>
      <c r="L52" s="74">
        <v>360</v>
      </c>
      <c r="M52" s="40">
        <v>1</v>
      </c>
      <c r="N52" s="40">
        <v>2.5</v>
      </c>
      <c r="O52" s="40">
        <f>N52*44</f>
        <v>110</v>
      </c>
      <c r="P52" s="76">
        <f>O52*4.5</f>
        <v>495</v>
      </c>
      <c r="Q52" s="40" t="s">
        <v>141</v>
      </c>
      <c r="R52" s="40" t="s">
        <v>142</v>
      </c>
      <c r="S52" s="40" t="s">
        <v>163</v>
      </c>
      <c r="T52" s="40" t="s">
        <v>119</v>
      </c>
      <c r="U52" s="40" t="s">
        <v>264</v>
      </c>
      <c r="V52" s="91" t="s">
        <v>164</v>
      </c>
      <c r="W52" s="40"/>
      <c r="X52" s="90" t="s">
        <v>401</v>
      </c>
      <c r="Y52" s="86"/>
      <c r="Z52" s="95"/>
      <c r="AA52" s="90" t="s">
        <v>402</v>
      </c>
      <c r="AB52" s="108"/>
    </row>
    <row r="53" ht="134.5" customHeight="1" spans="1:28">
      <c r="A53" s="11"/>
      <c r="B53" s="37">
        <v>44827</v>
      </c>
      <c r="C53" s="51" t="s">
        <v>403</v>
      </c>
      <c r="D53" s="30">
        <v>44</v>
      </c>
      <c r="E53" s="30">
        <v>10</v>
      </c>
      <c r="F53" s="39">
        <v>0.770833333333333</v>
      </c>
      <c r="G53" s="40" t="s">
        <v>404</v>
      </c>
      <c r="H53" s="11" t="s">
        <v>405</v>
      </c>
      <c r="I53" s="11">
        <v>1</v>
      </c>
      <c r="J53" s="11" t="s">
        <v>406</v>
      </c>
      <c r="K53" s="40" t="s">
        <v>400</v>
      </c>
      <c r="L53" s="74">
        <v>30000</v>
      </c>
      <c r="M53" s="40">
        <v>8</v>
      </c>
      <c r="N53" s="40">
        <f>20*85%*2</f>
        <v>34</v>
      </c>
      <c r="O53" s="75">
        <f>N53*520</f>
        <v>17680</v>
      </c>
      <c r="P53" s="76">
        <f>O53*(5.66+5.8)/2</f>
        <v>101306.4</v>
      </c>
      <c r="Q53" s="40" t="s">
        <v>118</v>
      </c>
      <c r="R53" s="40" t="s">
        <v>49</v>
      </c>
      <c r="S53" s="40" t="s">
        <v>163</v>
      </c>
      <c r="T53" s="40" t="s">
        <v>131</v>
      </c>
      <c r="U53" s="40" t="s">
        <v>38</v>
      </c>
      <c r="V53" s="91" t="s">
        <v>164</v>
      </c>
      <c r="W53" s="90" t="s">
        <v>407</v>
      </c>
      <c r="X53" s="69"/>
      <c r="Y53" s="86"/>
      <c r="Z53" s="90" t="s">
        <v>408</v>
      </c>
      <c r="AA53" s="108"/>
      <c r="AB53" s="90"/>
    </row>
    <row r="54" ht="130.5" customHeight="1" spans="1:28">
      <c r="A54" s="11"/>
      <c r="B54" s="37">
        <v>44871</v>
      </c>
      <c r="C54" s="51" t="s">
        <v>409</v>
      </c>
      <c r="D54" s="30">
        <v>42</v>
      </c>
      <c r="E54" s="30">
        <v>7</v>
      </c>
      <c r="F54" s="39">
        <v>0.211805555555556</v>
      </c>
      <c r="G54" s="40" t="s">
        <v>410</v>
      </c>
      <c r="H54" s="40" t="s">
        <v>411</v>
      </c>
      <c r="I54" s="40">
        <v>1</v>
      </c>
      <c r="J54" s="40" t="s">
        <v>412</v>
      </c>
      <c r="K54" s="40" t="s">
        <v>413</v>
      </c>
      <c r="L54" s="74">
        <v>410</v>
      </c>
      <c r="M54" s="40">
        <v>1</v>
      </c>
      <c r="N54" s="40">
        <v>3</v>
      </c>
      <c r="O54" s="40">
        <f>N54*44</f>
        <v>132</v>
      </c>
      <c r="P54" s="76">
        <f>O54*5.73</f>
        <v>756.36</v>
      </c>
      <c r="Q54" s="40" t="s">
        <v>118</v>
      </c>
      <c r="R54" s="40" t="s">
        <v>49</v>
      </c>
      <c r="S54" s="40" t="s">
        <v>163</v>
      </c>
      <c r="T54" s="40" t="s">
        <v>119</v>
      </c>
      <c r="U54" s="40" t="s">
        <v>264</v>
      </c>
      <c r="V54" s="91" t="s">
        <v>172</v>
      </c>
      <c r="W54" s="90" t="s">
        <v>414</v>
      </c>
      <c r="X54" s="69"/>
      <c r="Y54" s="86"/>
      <c r="Z54" s="90" t="s">
        <v>415</v>
      </c>
      <c r="AA54" s="112"/>
      <c r="AB54" s="95"/>
    </row>
    <row r="55" ht="121.5" customHeight="1" spans="1:28">
      <c r="A55" s="11"/>
      <c r="B55" s="37">
        <v>44877</v>
      </c>
      <c r="C55" s="51" t="s">
        <v>416</v>
      </c>
      <c r="D55" s="30">
        <v>44</v>
      </c>
      <c r="E55" s="30">
        <v>6</v>
      </c>
      <c r="F55" s="39">
        <v>0.0625</v>
      </c>
      <c r="G55" s="40" t="s">
        <v>417</v>
      </c>
      <c r="H55" s="40" t="s">
        <v>418</v>
      </c>
      <c r="I55" s="40">
        <v>0</v>
      </c>
      <c r="J55" s="40" t="s">
        <v>419</v>
      </c>
      <c r="K55" s="40" t="s">
        <v>364</v>
      </c>
      <c r="L55" s="74">
        <v>450</v>
      </c>
      <c r="M55" s="40">
        <v>1</v>
      </c>
      <c r="N55" s="40">
        <v>2.5</v>
      </c>
      <c r="O55" s="40" t="s">
        <v>47</v>
      </c>
      <c r="P55" s="76">
        <f>N55*317.93</f>
        <v>794.825</v>
      </c>
      <c r="Q55" s="40" t="s">
        <v>118</v>
      </c>
      <c r="R55" s="40" t="s">
        <v>49</v>
      </c>
      <c r="S55" s="40" t="s">
        <v>163</v>
      </c>
      <c r="T55" s="40" t="s">
        <v>215</v>
      </c>
      <c r="U55" s="40" t="s">
        <v>264</v>
      </c>
      <c r="V55" s="91" t="s">
        <v>172</v>
      </c>
      <c r="W55" s="99"/>
      <c r="X55" s="90" t="s">
        <v>379</v>
      </c>
      <c r="Y55" s="116"/>
      <c r="Z55" s="118"/>
      <c r="AA55" s="90" t="s">
        <v>380</v>
      </c>
      <c r="AB55" s="115"/>
    </row>
    <row r="56" ht="140.5" customHeight="1" spans="1:28">
      <c r="A56" s="40"/>
      <c r="B56" s="37">
        <v>44887</v>
      </c>
      <c r="C56" s="51" t="s">
        <v>420</v>
      </c>
      <c r="D56" s="30">
        <v>39</v>
      </c>
      <c r="E56" s="30">
        <v>3</v>
      </c>
      <c r="F56" s="39">
        <v>0.135416666666667</v>
      </c>
      <c r="G56" s="40" t="s">
        <v>421</v>
      </c>
      <c r="H56" s="40" t="s">
        <v>422</v>
      </c>
      <c r="I56" s="40">
        <v>1</v>
      </c>
      <c r="J56" s="40" t="s">
        <v>423</v>
      </c>
      <c r="K56" s="40" t="s">
        <v>364</v>
      </c>
      <c r="L56" s="74">
        <v>200</v>
      </c>
      <c r="M56" s="40">
        <v>1</v>
      </c>
      <c r="N56" s="40">
        <v>2.5</v>
      </c>
      <c r="O56" s="40" t="s">
        <v>47</v>
      </c>
      <c r="P56" s="76">
        <f>N56*145.5</f>
        <v>363.75</v>
      </c>
      <c r="Q56" s="40" t="s">
        <v>118</v>
      </c>
      <c r="R56" s="40" t="s">
        <v>36</v>
      </c>
      <c r="S56" s="40" t="s">
        <v>163</v>
      </c>
      <c r="T56" s="40" t="s">
        <v>215</v>
      </c>
      <c r="U56" s="40" t="s">
        <v>264</v>
      </c>
      <c r="V56" s="91" t="s">
        <v>172</v>
      </c>
      <c r="W56" s="90" t="s">
        <v>414</v>
      </c>
      <c r="X56" s="69"/>
      <c r="Y56" s="86"/>
      <c r="Z56" s="90" t="s">
        <v>415</v>
      </c>
      <c r="AA56" s="112"/>
      <c r="AB56" s="115"/>
    </row>
    <row r="57" ht="152" customHeight="1" spans="1:28">
      <c r="A57" s="36" t="s">
        <v>424</v>
      </c>
      <c r="B57" s="37">
        <v>45004</v>
      </c>
      <c r="C57" s="57" t="s">
        <v>425</v>
      </c>
      <c r="D57" s="30">
        <v>44</v>
      </c>
      <c r="E57" s="30">
        <v>9</v>
      </c>
      <c r="F57" s="39">
        <v>0.982638888888889</v>
      </c>
      <c r="G57" s="40" t="s">
        <v>426</v>
      </c>
      <c r="H57" s="58" t="s">
        <v>427</v>
      </c>
      <c r="I57" s="82">
        <v>1</v>
      </c>
      <c r="J57" s="58" t="s">
        <v>428</v>
      </c>
      <c r="K57" s="40" t="s">
        <v>429</v>
      </c>
      <c r="L57" s="74">
        <v>27000</v>
      </c>
      <c r="M57" s="40">
        <v>8</v>
      </c>
      <c r="N57" s="40">
        <v>15</v>
      </c>
      <c r="O57" s="40">
        <f>N57*450</f>
        <v>6750</v>
      </c>
      <c r="P57" s="76">
        <f>O57*5.73</f>
        <v>38677.5</v>
      </c>
      <c r="Q57" s="40" t="s">
        <v>118</v>
      </c>
      <c r="R57" s="40" t="s">
        <v>49</v>
      </c>
      <c r="S57" s="40" t="s">
        <v>163</v>
      </c>
      <c r="T57" s="40" t="s">
        <v>131</v>
      </c>
      <c r="U57" s="40" t="s">
        <v>67</v>
      </c>
      <c r="V57" s="91" t="s">
        <v>164</v>
      </c>
      <c r="W57" s="90" t="s">
        <v>407</v>
      </c>
      <c r="X57" s="69"/>
      <c r="Y57" s="86"/>
      <c r="Z57" s="90" t="s">
        <v>430</v>
      </c>
      <c r="AA57" s="108"/>
      <c r="AB57" s="90"/>
    </row>
    <row r="58" ht="129.5" customHeight="1" spans="1:28">
      <c r="A58" s="36" t="s">
        <v>431</v>
      </c>
      <c r="B58" s="48">
        <v>45111</v>
      </c>
      <c r="C58" s="57" t="s">
        <v>432</v>
      </c>
      <c r="D58" s="30">
        <v>38</v>
      </c>
      <c r="E58" s="30">
        <v>6</v>
      </c>
      <c r="F58" s="39">
        <v>0.670138888888889</v>
      </c>
      <c r="G58" s="11" t="s">
        <v>433</v>
      </c>
      <c r="H58" s="58" t="s">
        <v>434</v>
      </c>
      <c r="I58" s="82">
        <v>0</v>
      </c>
      <c r="J58" s="58" t="s">
        <v>435</v>
      </c>
      <c r="K58" s="11" t="s">
        <v>436</v>
      </c>
      <c r="L58" s="77">
        <v>1300</v>
      </c>
      <c r="M58" s="11">
        <v>6</v>
      </c>
      <c r="N58" s="11">
        <v>26</v>
      </c>
      <c r="O58" s="11">
        <f>N58*43</f>
        <v>1118</v>
      </c>
      <c r="P58" s="78">
        <f>O58*6.78</f>
        <v>7580.04</v>
      </c>
      <c r="Q58" s="40" t="s">
        <v>141</v>
      </c>
      <c r="R58" s="40" t="s">
        <v>49</v>
      </c>
      <c r="S58" s="40" t="s">
        <v>91</v>
      </c>
      <c r="T58" s="40" t="s">
        <v>119</v>
      </c>
      <c r="U58" s="40" t="s">
        <v>51</v>
      </c>
      <c r="V58" s="91" t="s">
        <v>437</v>
      </c>
      <c r="W58" s="40"/>
      <c r="X58" s="90" t="s">
        <v>438</v>
      </c>
      <c r="Y58" s="86"/>
      <c r="Z58" s="108"/>
      <c r="AA58" s="90" t="s">
        <v>439</v>
      </c>
      <c r="AB58" s="108"/>
    </row>
    <row r="59" ht="145.5" customHeight="1" spans="1:28">
      <c r="A59" s="47" t="s">
        <v>440</v>
      </c>
      <c r="B59" s="37">
        <v>45171</v>
      </c>
      <c r="C59" s="57" t="s">
        <v>441</v>
      </c>
      <c r="D59" s="30">
        <v>36</v>
      </c>
      <c r="E59" s="30">
        <v>7</v>
      </c>
      <c r="F59" s="39">
        <v>0.916666666666667</v>
      </c>
      <c r="G59" s="40" t="s">
        <v>442</v>
      </c>
      <c r="H59" s="46" t="s">
        <v>443</v>
      </c>
      <c r="I59" s="46">
        <v>0</v>
      </c>
      <c r="J59" s="40" t="s">
        <v>444</v>
      </c>
      <c r="K59" s="40" t="s">
        <v>445</v>
      </c>
      <c r="L59" s="74">
        <v>510.71</v>
      </c>
      <c r="M59" s="40">
        <v>6</v>
      </c>
      <c r="N59" s="40">
        <f>24*85%*1.5</f>
        <v>30.6</v>
      </c>
      <c r="O59" s="40">
        <f>N59*450</f>
        <v>13770</v>
      </c>
      <c r="P59" s="76">
        <f>O59*5.73</f>
        <v>78902.1</v>
      </c>
      <c r="Q59" s="40" t="s">
        <v>118</v>
      </c>
      <c r="R59" s="40" t="s">
        <v>49</v>
      </c>
      <c r="S59" s="40" t="s">
        <v>66</v>
      </c>
      <c r="T59" s="40" t="s">
        <v>446</v>
      </c>
      <c r="U59" s="40" t="s">
        <v>67</v>
      </c>
      <c r="V59" s="91" t="s">
        <v>172</v>
      </c>
      <c r="W59" s="40"/>
      <c r="X59" s="69" t="s">
        <v>447</v>
      </c>
      <c r="Y59" s="86"/>
      <c r="Z59" s="108"/>
      <c r="AA59" s="69" t="s">
        <v>448</v>
      </c>
      <c r="AB59" s="108"/>
    </row>
    <row r="60" ht="125.5" customHeight="1" spans="1:28">
      <c r="A60" s="11"/>
      <c r="B60" s="48">
        <v>45212</v>
      </c>
      <c r="C60" s="57" t="s">
        <v>449</v>
      </c>
      <c r="D60" s="30">
        <v>47</v>
      </c>
      <c r="E60" s="30">
        <v>8</v>
      </c>
      <c r="F60" s="39">
        <v>0.0208333333333333</v>
      </c>
      <c r="G60" s="59" t="s">
        <v>442</v>
      </c>
      <c r="H60" s="58" t="s">
        <v>450</v>
      </c>
      <c r="I60" s="82">
        <v>0</v>
      </c>
      <c r="J60" s="58" t="s">
        <v>451</v>
      </c>
      <c r="K60" s="11" t="s">
        <v>452</v>
      </c>
      <c r="L60" s="77">
        <v>3940</v>
      </c>
      <c r="M60" s="11">
        <v>5</v>
      </c>
      <c r="N60" s="11">
        <v>25</v>
      </c>
      <c r="O60" s="11" t="s">
        <v>453</v>
      </c>
      <c r="P60" s="78">
        <f>N60*226.22</f>
        <v>5655.5</v>
      </c>
      <c r="Q60" s="40" t="s">
        <v>118</v>
      </c>
      <c r="R60" s="40" t="s">
        <v>49</v>
      </c>
      <c r="S60" s="40" t="s">
        <v>66</v>
      </c>
      <c r="T60" s="40" t="s">
        <v>446</v>
      </c>
      <c r="U60" s="40" t="s">
        <v>51</v>
      </c>
      <c r="V60" s="91" t="s">
        <v>454</v>
      </c>
      <c r="W60" s="40"/>
      <c r="X60" s="90" t="s">
        <v>455</v>
      </c>
      <c r="Y60" s="86"/>
      <c r="Z60" s="108"/>
      <c r="AA60" s="90" t="s">
        <v>456</v>
      </c>
      <c r="AB60" s="108"/>
    </row>
    <row r="61" ht="210.5" customHeight="1" spans="1:28">
      <c r="A61" s="36" t="s">
        <v>424</v>
      </c>
      <c r="B61" s="48">
        <v>45487</v>
      </c>
      <c r="C61" s="57" t="s">
        <v>457</v>
      </c>
      <c r="D61" s="30">
        <v>44</v>
      </c>
      <c r="E61" s="30">
        <v>10</v>
      </c>
      <c r="F61" s="39">
        <v>0.499305555555556</v>
      </c>
      <c r="G61" s="11" t="s">
        <v>458</v>
      </c>
      <c r="H61" s="58" t="s">
        <v>459</v>
      </c>
      <c r="I61" s="82">
        <v>1</v>
      </c>
      <c r="J61" s="58" t="s">
        <v>460</v>
      </c>
      <c r="K61" s="11" t="s">
        <v>461</v>
      </c>
      <c r="L61" s="77">
        <v>2250</v>
      </c>
      <c r="M61" s="11">
        <v>7</v>
      </c>
      <c r="N61" s="11">
        <v>27</v>
      </c>
      <c r="O61" s="11" t="s">
        <v>462</v>
      </c>
      <c r="P61" s="78">
        <f>N61*93</f>
        <v>2511</v>
      </c>
      <c r="Q61" s="40" t="s">
        <v>141</v>
      </c>
      <c r="R61" s="40" t="s">
        <v>49</v>
      </c>
      <c r="S61" s="40" t="s">
        <v>320</v>
      </c>
      <c r="T61" s="40" t="s">
        <v>119</v>
      </c>
      <c r="U61" s="40" t="s">
        <v>51</v>
      </c>
      <c r="V61" s="91" t="s">
        <v>164</v>
      </c>
      <c r="W61" s="40" t="s">
        <v>463</v>
      </c>
      <c r="X61" s="90"/>
      <c r="Y61" s="86"/>
      <c r="Z61" s="90"/>
      <c r="AA61" s="90" t="s">
        <v>464</v>
      </c>
      <c r="AB61" s="108"/>
    </row>
    <row r="62" ht="179.5" customHeight="1" spans="1:28">
      <c r="A62" s="42" t="s">
        <v>431</v>
      </c>
      <c r="B62" s="48">
        <v>45555</v>
      </c>
      <c r="C62" s="57" t="s">
        <v>465</v>
      </c>
      <c r="D62" s="30">
        <v>42</v>
      </c>
      <c r="E62" s="30">
        <v>6</v>
      </c>
      <c r="F62" s="39">
        <v>0.826388888888889</v>
      </c>
      <c r="G62" s="11" t="s">
        <v>466</v>
      </c>
      <c r="H62" s="46" t="s">
        <v>467</v>
      </c>
      <c r="I62" s="46">
        <v>0</v>
      </c>
      <c r="J62" s="11" t="s">
        <v>468</v>
      </c>
      <c r="K62" s="11" t="s">
        <v>469</v>
      </c>
      <c r="L62" s="77">
        <v>210</v>
      </c>
      <c r="M62" s="11">
        <v>2</v>
      </c>
      <c r="N62" s="11">
        <v>3</v>
      </c>
      <c r="O62" s="11" t="s">
        <v>462</v>
      </c>
      <c r="P62" s="78">
        <f>N62*256.68</f>
        <v>770.04</v>
      </c>
      <c r="Q62" s="40" t="s">
        <v>118</v>
      </c>
      <c r="R62" s="40" t="s">
        <v>49</v>
      </c>
      <c r="S62" s="40" t="s">
        <v>163</v>
      </c>
      <c r="T62" s="40" t="s">
        <v>131</v>
      </c>
      <c r="U62" s="40" t="s">
        <v>264</v>
      </c>
      <c r="V62" s="91" t="s">
        <v>172</v>
      </c>
      <c r="W62" s="97"/>
      <c r="X62" s="90" t="s">
        <v>470</v>
      </c>
      <c r="Y62" s="116"/>
      <c r="Z62" s="97"/>
      <c r="AA62" s="90" t="s">
        <v>471</v>
      </c>
      <c r="AB62" s="95"/>
    </row>
    <row r="63" ht="17.5" customHeight="1" spans="8:16">
      <c r="H63" s="60" t="s">
        <v>472</v>
      </c>
      <c r="I63" s="83" t="s">
        <v>473</v>
      </c>
      <c r="J63" s="60" t="s">
        <v>474</v>
      </c>
      <c r="P63" s="84">
        <f>SUM(P14:P62)</f>
        <v>3051925.647</v>
      </c>
    </row>
    <row r="64" ht="16.5" customHeight="1" spans="8:10">
      <c r="H64" s="60" t="s">
        <v>475</v>
      </c>
      <c r="J64" s="60" t="s">
        <v>476</v>
      </c>
    </row>
    <row r="65" ht="15.5" customHeight="1" spans="8:10">
      <c r="H65" s="60" t="s">
        <v>477</v>
      </c>
      <c r="J65" s="60" t="s">
        <v>478</v>
      </c>
    </row>
    <row r="66" ht="18" customHeight="1" spans="8:10">
      <c r="H66" s="60" t="s">
        <v>479</v>
      </c>
      <c r="J66" s="60" t="s">
        <v>480</v>
      </c>
    </row>
    <row r="67" ht="19" customHeight="1" spans="8:10">
      <c r="H67" s="60" t="s">
        <v>481</v>
      </c>
      <c r="J67" s="60" t="s">
        <v>482</v>
      </c>
    </row>
    <row r="68" customHeight="1" spans="14:14">
      <c r="N68" s="11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Revised Dataset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Mensah</dc:creator>
  <cp:lastModifiedBy>Samuel kwamena</cp:lastModifiedBy>
  <dcterms:created xsi:type="dcterms:W3CDTF">2025-05-01T10:36:00Z</dcterms:created>
  <dcterms:modified xsi:type="dcterms:W3CDTF">2025-06-20T20:55:41Z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747915DE23F24B20BB20B04BBD252D8F_12</vt:lpwstr>
  </property>
  <property fmtid="{D5CDD505-2E9C-101B-9397-08002B2CF9AE}" pid="3" name="KSOProductBuildVer">
    <vt:lpwstr>1033-12.2.0.21179</vt:lpwstr>
  </property>
</Properties>
</file>