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Лист1" sheetId="1" state="visible" r:id="rId1"/>
  </sheets>
  <definedNames>
    <definedName name="_xlfn._FV" hidden="1">#NAME?</definedName>
  </definedNames>
  <calcPr/>
</workbook>
</file>

<file path=xl/sharedStrings.xml><?xml version="1.0" encoding="utf-8"?>
<sst xmlns="http://schemas.openxmlformats.org/spreadsheetml/2006/main" count="49" uniqueCount="49">
  <si>
    <t>Вариант</t>
  </si>
  <si>
    <t>фамилия</t>
  </si>
  <si>
    <t>Условия</t>
  </si>
  <si>
    <t xml:space="preserve">з/п (в месяц)</t>
  </si>
  <si>
    <t xml:space="preserve">Мат помощь </t>
  </si>
  <si>
    <t>Премия</t>
  </si>
  <si>
    <t>особенность</t>
  </si>
  <si>
    <t xml:space="preserve">Дети (до 18)</t>
  </si>
  <si>
    <t>лечение</t>
  </si>
  <si>
    <t>обучение</t>
  </si>
  <si>
    <t xml:space="preserve">Выигрыш (в целях рекламы)</t>
  </si>
  <si>
    <t xml:space="preserve">Продажа квартиры</t>
  </si>
  <si>
    <t xml:space="preserve">Срок владения, лет</t>
  </si>
  <si>
    <t xml:space="preserve">Продажа авто</t>
  </si>
  <si>
    <t xml:space="preserve">Покупка квартиры</t>
  </si>
  <si>
    <t xml:space="preserve">     10.  </t>
  </si>
  <si>
    <t>Карпатова</t>
  </si>
  <si>
    <t xml:space="preserve">Жена инвалида 1 группы</t>
  </si>
  <si>
    <t xml:space="preserve">В желтых свверху полях</t>
  </si>
  <si>
    <t xml:space="preserve">Напишите месяц выдачи</t>
  </si>
  <si>
    <t xml:space="preserve">Сами пишите сколько</t>
  </si>
  <si>
    <t xml:space="preserve">Лечение предел</t>
  </si>
  <si>
    <t xml:space="preserve">Обучение предел</t>
  </si>
  <si>
    <t>Вычет</t>
  </si>
  <si>
    <t xml:space="preserve">Покупка предел</t>
  </si>
  <si>
    <t xml:space="preserve">За 12 мес.</t>
  </si>
  <si>
    <t xml:space="preserve">НС МАКС</t>
  </si>
  <si>
    <t xml:space="preserve">будет вычет</t>
  </si>
  <si>
    <t xml:space="preserve">Налог на кв</t>
  </si>
  <si>
    <t xml:space="preserve">Налог на авто</t>
  </si>
  <si>
    <t xml:space="preserve">Необл Сумм</t>
  </si>
  <si>
    <t xml:space="preserve">Сумма вычета</t>
  </si>
  <si>
    <t xml:space="preserve">Сумма с вычетом</t>
  </si>
  <si>
    <t xml:space="preserve">Сколько раз будет вычет за детей</t>
  </si>
  <si>
    <t xml:space="preserve">Вычет за детей</t>
  </si>
  <si>
    <t xml:space="preserve">Соц вычет СУММ</t>
  </si>
  <si>
    <t>Фамилии</t>
  </si>
  <si>
    <t xml:space="preserve">Сумма совокупного</t>
  </si>
  <si>
    <t>Вычеты</t>
  </si>
  <si>
    <t xml:space="preserve">НБ по ст. 13% (по месту работы)</t>
  </si>
  <si>
    <t xml:space="preserve">Сумма уплаченного налога за год по ст. 13%</t>
  </si>
  <si>
    <t xml:space="preserve">НБ по ст 13% (остальные доходы)</t>
  </si>
  <si>
    <t xml:space="preserve">Сумма налога по ст 13% (остальные доходы)</t>
  </si>
  <si>
    <t xml:space="preserve">НБ (по ст.35%)</t>
  </si>
  <si>
    <t xml:space="preserve">Сумма налога за год (по ст. 35%)</t>
  </si>
  <si>
    <t xml:space="preserve">дохода (по месту работы)</t>
  </si>
  <si>
    <t>стандартные</t>
  </si>
  <si>
    <t>социальные</t>
  </si>
  <si>
    <t xml:space="preserve">имущественные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</si>
</sst>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* #,##0.00\ &quot;₽&quot;_-;\-* #,##0.00\ &quot;₽&quot;_-;_-* &quot;-&quot;??\ &quot;₽&quot;_-;_-@_-"/>
    <numFmt numFmtId="161" formatCode="_-* #,##0\ &quot;₽&quot;_-;\-* #,##0\ &quot;₽&quot;_-;_-* &quot;-&quot;\ &quot;₽&quot;_-;_-@_-"/>
    <numFmt numFmtId="162" formatCode="_-* #,##0.00_-;\-* #,##0.00_-;_-* &quot;-&quot;??_-;_-@_-"/>
    <numFmt numFmtId="163" formatCode="_-* #,##0_-;\-* #,##0_-;_-* &quot;-&quot;_-;_-@_-"/>
  </numFmts>
  <fonts count="23"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b/>
      <sz val="11.000000"/>
      <color theme="1" tint="0"/>
      <name val="Calibri"/>
      <scheme val="minor"/>
    </font>
    <font>
      <b/>
      <sz val="11.000000"/>
      <color theme="0" tint="0"/>
      <name val="Calibri"/>
      <scheme val="minor"/>
    </font>
    <font>
      <sz val="18.000000"/>
      <color theme="3" tint="0"/>
      <name val="Calibri Light"/>
      <scheme val="major"/>
    </font>
    <font>
      <sz val="11.000000"/>
      <color rgb="FF9C5700"/>
      <name val="Calibri"/>
      <scheme val="minor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  <font>
      <b/>
      <sz val="10.000000"/>
      <color theme="1" tint="0"/>
      <name val="Times New Roman"/>
    </font>
    <font>
      <sz val="10.000000"/>
      <color indexed="64"/>
      <name val="Times New Roman"/>
    </font>
    <font>
      <sz val="11.000000"/>
      <name val="Calibri"/>
      <scheme val="minor"/>
    </font>
    <font>
      <b/>
      <sz val="12.000000"/>
      <color theme="1" tint="0"/>
      <name val="Times New Roman"/>
    </font>
    <font>
      <sz val="10.000000"/>
      <color theme="1" tint="0"/>
      <name val="Times New Roman"/>
    </font>
    <font>
      <sz val="12.000000"/>
      <color theme="1" tint="0"/>
      <name val="Times New Roman"/>
    </font>
  </fonts>
  <fills count="36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5"/>
        <bgColor indexed="5"/>
      </patternFill>
    </fill>
    <fill>
      <patternFill patternType="solid">
        <fgColor indexed="2"/>
        <bgColor indexed="2"/>
      </patternFill>
    </fill>
    <fill>
      <patternFill patternType="solid">
        <fgColor theme="0" tint="0"/>
        <bgColor theme="0" tint="0"/>
      </patternFill>
    </fill>
  </fills>
  <borders count="2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none"/>
      <bottom style="thick">
        <color theme="4" tint="0"/>
      </bottom>
      <diagonal style="none"/>
    </border>
    <border>
      <left style="none"/>
      <right style="none"/>
      <top style="none"/>
      <bottom style="thick">
        <color theme="4" tint="0.49998500000000001"/>
      </bottom>
      <diagonal style="none"/>
    </border>
    <border>
      <left style="none"/>
      <right style="none"/>
      <top style="none"/>
      <bottom style="medium">
        <color theme="4" tint="0.399976"/>
      </bottom>
      <diagonal style="none"/>
    </border>
    <border>
      <left style="none"/>
      <right style="none"/>
      <top style="thin">
        <color theme="4" tint="0"/>
      </top>
      <bottom style="double">
        <color theme="4" tint="0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0" fillId="14" borderId="0" numFmtId="0" applyNumberFormat="1" applyFont="1" applyFill="1" applyBorder="1"/>
    <xf fontId="0" fillId="15" borderId="0" numFmtId="0" applyNumberFormat="1" applyFont="1" applyFill="1" applyBorder="1"/>
    <xf fontId="0" fillId="16" borderId="0" numFmtId="0" applyNumberFormat="1" applyFont="1" applyFill="1" applyBorder="1"/>
    <xf fontId="0" fillId="17" borderId="0" numFmtId="0" applyNumberFormat="1" applyFont="1" applyFill="1" applyBorder="1"/>
    <xf fontId="0" fillId="18" borderId="0" numFmtId="0" applyNumberFormat="1" applyFont="1" applyFill="1" applyBorder="1"/>
    <xf fontId="0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7" borderId="2" numFmtId="0" applyNumberFormat="1" applyFont="1" applyFill="1" applyBorder="1"/>
    <xf fontId="4" fillId="27" borderId="1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5" fillId="0" borderId="3" numFmtId="0" applyNumberFormat="1" applyFont="1" applyFill="1" applyBorder="1"/>
    <xf fontId="6" fillId="0" borderId="4" numFmtId="0" applyNumberFormat="1" applyFont="1" applyFill="1" applyBorder="1"/>
    <xf fontId="7" fillId="0" borderId="5" numFmtId="0" applyNumberFormat="1" applyFont="1" applyFill="1" applyBorder="1"/>
    <xf fontId="7" fillId="0" borderId="0" numFmtId="0" applyNumberFormat="1" applyFont="1" applyFill="1" applyBorder="1"/>
    <xf fontId="8" fillId="0" borderId="6" numFmtId="0" applyNumberFormat="1" applyFont="1" applyFill="1" applyBorder="1"/>
    <xf fontId="9" fillId="28" borderId="7" numFmtId="0" applyNumberFormat="1" applyFont="1" applyFill="1" applyBorder="1"/>
    <xf fontId="10" fillId="0" borderId="0" numFmtId="0" applyNumberFormat="1" applyFont="1" applyFill="1" applyBorder="1"/>
    <xf fontId="11" fillId="29" borderId="0" numFmtId="0" applyNumberFormat="1" applyFont="1" applyFill="1" applyBorder="1"/>
    <xf fontId="12" fillId="30" borderId="0" numFmtId="0" applyNumberFormat="1" applyFont="1" applyFill="1" applyBorder="1"/>
    <xf fontId="13" fillId="0" borderId="0" numFmtId="0" applyNumberFormat="1" applyFont="1" applyFill="1" applyBorder="1"/>
    <xf fontId="0" fillId="31" borderId="8" numFmtId="0" applyNumberFormat="1" applyFont="1" applyFill="1" applyBorder="1"/>
    <xf fontId="0" fillId="0" borderId="0" numFmtId="9" applyNumberFormat="1" applyFont="1" applyFill="1" applyBorder="1"/>
    <xf fontId="14" fillId="0" borderId="9" numFmtId="0" applyNumberFormat="1" applyFont="1" applyFill="1" applyBorder="1"/>
    <xf fontId="15" fillId="0" borderId="0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16" fillId="32" borderId="0" numFmtId="0" applyNumberFormat="1" applyFont="1" applyFill="1" applyBorder="1"/>
  </cellStyleXfs>
  <cellXfs count="39">
    <xf fontId="0" fillId="0" borderId="0" numFmtId="0" xfId="0"/>
    <xf fontId="17" fillId="0" borderId="10" numFmtId="0" xfId="0" applyFont="1" applyBorder="1" applyAlignment="1">
      <alignment horizontal="justify" vertical="center" wrapText="1"/>
    </xf>
    <xf fontId="17" fillId="0" borderId="11" numFmtId="0" xfId="0" applyFont="1" applyBorder="1" applyAlignment="1">
      <alignment horizontal="center" vertical="center" wrapText="1"/>
    </xf>
    <xf fontId="17" fillId="0" borderId="12" numFmtId="0" xfId="0" applyFont="1" applyBorder="1" applyAlignment="1">
      <alignment horizontal="center" vertical="center" wrapText="1"/>
    </xf>
    <xf fontId="17" fillId="0" borderId="13" numFmtId="0" xfId="0" applyFont="1" applyBorder="1" applyAlignment="1">
      <alignment horizontal="center" vertical="center" wrapText="1"/>
    </xf>
    <xf fontId="17" fillId="0" borderId="14" numFmtId="0" xfId="0" applyFont="1" applyBorder="1" applyAlignment="1">
      <alignment horizontal="justify" vertical="center" wrapText="1"/>
    </xf>
    <xf fontId="17" fillId="0" borderId="15" numFmtId="0" xfId="0" applyFont="1" applyBorder="1" applyAlignment="1">
      <alignment horizontal="justify" vertical="center" wrapText="1"/>
    </xf>
    <xf fontId="17" fillId="0" borderId="16" numFmtId="0" xfId="0" applyFont="1" applyBorder="1" applyAlignment="1">
      <alignment horizontal="justify" vertical="center" wrapText="1"/>
    </xf>
    <xf fontId="17" fillId="33" borderId="16" numFmtId="0" xfId="0" applyFont="1" applyFill="1" applyBorder="1" applyAlignment="1">
      <alignment horizontal="justify" vertical="center" wrapText="1"/>
    </xf>
    <xf fontId="17" fillId="33" borderId="17" numFmtId="0" xfId="0" applyFont="1" applyFill="1" applyBorder="1" applyAlignment="1">
      <alignment horizontal="justify" vertical="center" wrapText="1"/>
    </xf>
    <xf fontId="18" fillId="0" borderId="18" numFmtId="0" xfId="0" applyFont="1" applyBorder="1" applyAlignment="1">
      <alignment vertical="top" wrapText="1"/>
    </xf>
    <xf fontId="0" fillId="0" borderId="0" numFmtId="0" xfId="0" applyAlignment="1">
      <alignment horizontal="center"/>
    </xf>
    <xf fontId="0" fillId="34" borderId="19" numFmtId="0" xfId="0" applyFill="1" applyBorder="1" applyAlignment="1">
      <alignment horizontal="center"/>
    </xf>
    <xf fontId="0" fillId="34" borderId="0" numFmtId="0" xfId="0" applyFill="1" applyAlignment="1">
      <alignment horizontal="center"/>
    </xf>
    <xf fontId="0" fillId="35" borderId="0" numFmtId="0" xfId="0" applyFill="1" applyAlignment="1">
      <alignment horizontal="center"/>
    </xf>
    <xf fontId="0" fillId="33" borderId="0" numFmtId="0" xfId="0" applyFill="1" applyAlignment="1">
      <alignment horizontal="center"/>
    </xf>
    <xf fontId="0" fillId="0" borderId="0" numFmtId="0" xfId="0"/>
    <xf fontId="19" fillId="0" borderId="0" numFmtId="0" xfId="0" applyFont="1" applyAlignment="1">
      <alignment horizontal="center"/>
    </xf>
    <xf fontId="0" fillId="0" borderId="20" numFmtId="0" xfId="0" applyBorder="1"/>
    <xf fontId="0" fillId="0" borderId="20" numFmtId="0" xfId="0" applyBorder="1" applyAlignment="1">
      <alignment horizontal="center"/>
    </xf>
    <xf fontId="19" fillId="35" borderId="20" numFmtId="0" xfId="0" applyFont="1" applyFill="1" applyBorder="1" applyAlignment="1">
      <alignment horizontal="center"/>
    </xf>
    <xf fontId="19" fillId="35" borderId="20" numFmtId="0" xfId="0" applyFont="1" applyFill="1" applyBorder="1"/>
    <xf fontId="0" fillId="35" borderId="20" numFmtId="0" xfId="0" applyFill="1" applyBorder="1"/>
    <xf fontId="0" fillId="35" borderId="20" numFmtId="0" xfId="0" applyFill="1" applyBorder="1" applyAlignment="1">
      <alignment horizontal="center"/>
    </xf>
    <xf fontId="20" fillId="33" borderId="10" numFmtId="0" xfId="0" applyFont="1" applyFill="1" applyBorder="1" applyAlignment="1">
      <alignment horizontal="center" textRotation="90" vertical="center" wrapText="1"/>
    </xf>
    <xf fontId="20" fillId="0" borderId="10" numFmtId="0" xfId="0" applyFont="1" applyBorder="1" applyAlignment="1">
      <alignment textRotation="90" vertical="center" wrapText="1"/>
    </xf>
    <xf fontId="20" fillId="0" borderId="21" numFmtId="0" xfId="0" applyFont="1" applyBorder="1" applyAlignment="1">
      <alignment textRotation="90" vertical="center" wrapText="1"/>
    </xf>
    <xf fontId="20" fillId="0" borderId="11" numFmtId="0" xfId="0" applyFont="1" applyBorder="1" applyAlignment="1">
      <alignment horizontal="center" vertical="center" wrapText="1"/>
    </xf>
    <xf fontId="20" fillId="0" borderId="12" numFmtId="0" xfId="0" applyFont="1" applyBorder="1" applyAlignment="1">
      <alignment horizontal="center" vertical="center" wrapText="1"/>
    </xf>
    <xf fontId="20" fillId="0" borderId="13" numFmtId="0" xfId="0" applyFont="1" applyBorder="1" applyAlignment="1">
      <alignment horizontal="center" vertical="center" wrapText="1"/>
    </xf>
    <xf fontId="20" fillId="0" borderId="10" numFmtId="0" xfId="0" applyFont="1" applyBorder="1" applyAlignment="1">
      <alignment horizontal="center" textRotation="90" vertical="center" wrapText="1"/>
    </xf>
    <xf fontId="20" fillId="33" borderId="14" numFmtId="0" xfId="0" applyFont="1" applyFill="1" applyBorder="1" applyAlignment="1">
      <alignment horizontal="center" textRotation="90" vertical="center" wrapText="1"/>
    </xf>
    <xf fontId="20" fillId="0" borderId="16" numFmtId="0" xfId="0" applyFont="1" applyBorder="1" applyAlignment="1">
      <alignment textRotation="90" vertical="center" wrapText="1"/>
    </xf>
    <xf fontId="20" fillId="0" borderId="17" numFmtId="0" xfId="0" applyFont="1" applyBorder="1" applyAlignment="1">
      <alignment textRotation="90" vertical="center" wrapText="1"/>
    </xf>
    <xf fontId="20" fillId="0" borderId="16" numFmtId="0" xfId="0" applyFont="1" applyBorder="1" applyAlignment="1">
      <alignment horizontal="center" textRotation="90" vertical="center" wrapText="1"/>
    </xf>
    <xf fontId="21" fillId="33" borderId="17" numFmtId="0" xfId="0" applyFont="1" applyFill="1" applyBorder="1" applyAlignment="1">
      <alignment horizontal="justify" vertical="center" wrapText="1"/>
    </xf>
    <xf fontId="22" fillId="0" borderId="17" numFmtId="0" xfId="0" applyFont="1" applyBorder="1" applyAlignment="1">
      <alignment horizontal="right" vertical="center" wrapText="1"/>
    </xf>
    <xf fontId="20" fillId="33" borderId="16" numFmtId="0" xfId="0" applyFont="1" applyFill="1" applyBorder="1" applyAlignment="1">
      <alignment horizontal="center" textRotation="90" vertical="center" wrapText="1"/>
    </xf>
    <xf fontId="22" fillId="0" borderId="17" numFmtId="0" xfId="0" applyFont="1" applyBorder="1" applyAlignment="1">
      <alignment vertical="center" wrapText="1"/>
    </xf>
  </cellXfs>
  <cellStyles count="47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J15" activeCellId="0" sqref="J15"/>
    </sheetView>
  </sheetViews>
  <sheetFormatPr baseColWidth="8" defaultRowHeight="15" customHeight="1"/>
  <cols>
    <col customWidth="1" min="3" max="3" width="18.2852"/>
    <col bestFit="1" customWidth="1" min="4" max="4" width="16.140599999999999"/>
    <col bestFit="1" customWidth="1" min="5" max="5" width="15.710900000000001"/>
    <col bestFit="1" customWidth="1" min="6" max="6" width="21.140599999999999"/>
    <col bestFit="1" customWidth="1" min="7" max="7" width="14.855499999999999"/>
    <col bestFit="1" customWidth="1" min="8" max="8" width="16.425799999999999"/>
    <col bestFit="1" customWidth="1" min="9" max="9" width="17.710899999999999"/>
    <col bestFit="1" customWidth="1" min="10" max="10" width="25.140599999999999"/>
    <col bestFit="1" customWidth="1" min="11" max="11" width="16.5703"/>
    <col bestFit="1" customWidth="1" min="12" max="12" width="16.855499999999999"/>
    <col bestFit="1" customWidth="1" min="13" max="13" width="13.425800000000001"/>
    <col bestFit="1" customWidth="1" min="14" max="14" width="16.855499999999999"/>
    <col bestFit="1" customWidth="1" min="15" max="15" width="16.2852"/>
  </cols>
  <sheetData>
    <row r="1" ht="15.75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22.5" customHeight="1">
      <c r="A2" s="5"/>
      <c r="B2" s="5"/>
      <c r="C2" s="1" t="s">
        <v>3</v>
      </c>
      <c r="D2" s="1" t="s">
        <v>4</v>
      </c>
      <c r="E2" s="6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12</v>
      </c>
      <c r="O2" s="1" t="s">
        <v>14</v>
      </c>
    </row>
    <row r="3" ht="15.75">
      <c r="A3" s="7"/>
      <c r="B3" s="7"/>
      <c r="C3" s="7"/>
      <c r="D3" s="8">
        <v>5</v>
      </c>
      <c r="E3" s="9">
        <v>7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 ht="24">
      <c r="A4" s="10" t="s">
        <v>15</v>
      </c>
      <c r="B4" s="10" t="s">
        <v>16</v>
      </c>
      <c r="C4" s="10">
        <v>35000</v>
      </c>
      <c r="D4" s="10">
        <v>8500</v>
      </c>
      <c r="E4" s="10">
        <v>20800</v>
      </c>
      <c r="F4" s="10" t="s">
        <v>17</v>
      </c>
      <c r="G4" s="10">
        <v>2</v>
      </c>
      <c r="H4" s="10">
        <v>21000</v>
      </c>
      <c r="I4" s="10">
        <v>150000</v>
      </c>
      <c r="J4" s="10">
        <v>17800</v>
      </c>
      <c r="K4" s="10">
        <v>1500000</v>
      </c>
      <c r="L4" s="10">
        <v>1.3</v>
      </c>
      <c r="M4" s="10">
        <v>450000</v>
      </c>
      <c r="N4" s="10">
        <v>6</v>
      </c>
      <c r="O4" s="10">
        <v>1650000</v>
      </c>
    </row>
    <row r="5" ht="15">
      <c r="B5" s="11"/>
      <c r="C5" s="11"/>
      <c r="D5" s="12" t="s">
        <v>18</v>
      </c>
      <c r="E5" s="12"/>
      <c r="F5" s="11"/>
      <c r="G5" s="11">
        <f>IF($G$4=1,1400*$C$13,0)</f>
        <v>0</v>
      </c>
      <c r="H5" s="11"/>
      <c r="I5" s="11"/>
      <c r="J5" s="11"/>
      <c r="K5" s="11"/>
      <c r="L5" s="11"/>
      <c r="M5" s="11"/>
      <c r="N5" s="11"/>
      <c r="O5" s="11"/>
      <c r="P5" s="11"/>
    </row>
    <row r="6" ht="15">
      <c r="B6" s="11"/>
      <c r="C6" s="11"/>
      <c r="D6" s="13" t="s">
        <v>19</v>
      </c>
      <c r="E6" s="13"/>
      <c r="F6" s="14" t="s">
        <v>20</v>
      </c>
      <c r="G6" s="11">
        <f>IF($G$4=2,1400*2*$C$13,0)</f>
        <v>25200</v>
      </c>
      <c r="H6" s="11" t="s">
        <v>21</v>
      </c>
      <c r="I6" s="11" t="s">
        <v>22</v>
      </c>
      <c r="J6" s="11" t="s">
        <v>23</v>
      </c>
      <c r="K6" s="11">
        <f>IF(L4&gt;=5,0,K4-1000000)</f>
        <v>500000</v>
      </c>
      <c r="L6" s="11"/>
      <c r="M6" s="11">
        <f>IF(N4&gt;=3,0,M4-250000)</f>
        <v>0</v>
      </c>
      <c r="N6" s="11"/>
      <c r="O6" s="11" t="s">
        <v>24</v>
      </c>
      <c r="P6" s="11"/>
    </row>
    <row r="7" ht="15">
      <c r="B7" s="11"/>
      <c r="C7" s="11" t="s">
        <v>25</v>
      </c>
      <c r="D7" s="11" t="s">
        <v>26</v>
      </c>
      <c r="F7" s="14" t="s">
        <v>27</v>
      </c>
      <c r="G7" s="11">
        <f>IF($G$4=3,(1400*2+3000)*$C$13,0)</f>
        <v>0</v>
      </c>
      <c r="H7" s="11">
        <v>120000</v>
      </c>
      <c r="I7" s="11">
        <v>120000</v>
      </c>
      <c r="J7" s="11">
        <v>4000</v>
      </c>
      <c r="K7" s="11" t="s">
        <v>28</v>
      </c>
      <c r="L7" s="11"/>
      <c r="M7" s="11" t="s">
        <v>29</v>
      </c>
      <c r="N7" s="11"/>
      <c r="O7" s="11">
        <f>2000000</f>
        <v>2000000</v>
      </c>
      <c r="P7" s="11"/>
    </row>
    <row r="8" ht="15">
      <c r="B8" s="11"/>
      <c r="C8" s="11">
        <f>C4*12</f>
        <v>420000</v>
      </c>
      <c r="D8">
        <v>4000</v>
      </c>
      <c r="E8" s="11"/>
      <c r="F8" s="15">
        <v>0</v>
      </c>
      <c r="G8" s="11">
        <f>IF($G$4=4,(1400*2+3000*2)*$C$13,0)</f>
        <v>0</v>
      </c>
      <c r="H8" s="11" t="b">
        <f>H7&gt;H4+I4</f>
        <v>0</v>
      </c>
      <c r="I8" s="11" t="b">
        <f>I7&gt;I4</f>
        <v>0</v>
      </c>
      <c r="J8" s="11"/>
      <c r="K8" s="11">
        <f>IF(K6&lt;=0,0,K6)</f>
        <v>500000</v>
      </c>
      <c r="L8" s="11"/>
      <c r="M8" s="11">
        <f>IF(M6&lt;=0,0,M6)</f>
        <v>0</v>
      </c>
      <c r="N8" s="11"/>
      <c r="O8" s="11" t="b">
        <f>O7&gt;O4</f>
        <v>1</v>
      </c>
      <c r="P8" s="11"/>
    </row>
    <row r="9" ht="15">
      <c r="B9" s="11"/>
      <c r="C9" s="16"/>
      <c r="D9" s="16" t="s">
        <v>30</v>
      </c>
      <c r="E9" s="11"/>
      <c r="F9" s="11" t="s">
        <v>31</v>
      </c>
      <c r="G9" s="11">
        <f>IF($G$4=5,(1400*2+3000*3)*$C$13,0)</f>
        <v>0</v>
      </c>
      <c r="H9" s="11" t="s">
        <v>23</v>
      </c>
      <c r="I9" s="11" t="s">
        <v>23</v>
      </c>
      <c r="J9" s="11" t="s">
        <v>32</v>
      </c>
      <c r="K9" s="11"/>
      <c r="L9" s="11"/>
      <c r="M9" s="11"/>
      <c r="N9" s="11"/>
      <c r="O9" s="11" t="s">
        <v>23</v>
      </c>
      <c r="P9" s="11"/>
    </row>
    <row r="10" ht="15">
      <c r="B10" s="11"/>
      <c r="C10" s="11">
        <f>INT(350000/C4)</f>
        <v>10</v>
      </c>
      <c r="D10" s="11">
        <f>IF(D4&lt;=4000,D4,4000)</f>
        <v>4000</v>
      </c>
      <c r="E10" s="11"/>
      <c r="F10" s="11">
        <f>F8*12</f>
        <v>0</v>
      </c>
      <c r="G10" s="11">
        <f>IF($G$4=6,(1400*2+3000*4)*$C$13,0)</f>
        <v>0</v>
      </c>
      <c r="H10" s="11">
        <f>IF(H8,H4*0.13,H7*0.13)</f>
        <v>15600</v>
      </c>
      <c r="I10" s="11">
        <f>IF(I8,I4*0.13,I7*0.13)</f>
        <v>15600</v>
      </c>
      <c r="J10" s="11">
        <f>IF(J4-J7&gt;=0,J4-J7,0)</f>
        <v>13800</v>
      </c>
      <c r="K10" s="11"/>
      <c r="L10" s="11"/>
      <c r="M10" s="11"/>
      <c r="N10" s="11"/>
      <c r="O10" s="11">
        <f>IF(O8,O4*0.13,O7*0.13)</f>
        <v>214500</v>
      </c>
      <c r="P10" s="11"/>
    </row>
    <row r="11" ht="15">
      <c r="B11" s="11"/>
      <c r="C11" s="11" t="s">
        <v>33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ht="15">
      <c r="B12" s="11"/>
      <c r="C12" s="11">
        <f>IF(C10&gt;=D3,D4,0)</f>
        <v>8500</v>
      </c>
      <c r="D12" s="11">
        <f>IF(C10&gt;=E3,E4,0)</f>
        <v>20800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ht="15">
      <c r="B13" s="11"/>
      <c r="C13" s="17">
        <f>IF(IF(C4*C10+C12+D12&gt;350000,C10-1,C10)&gt;=12,12,IF(C4*C10+C12+D12&gt;350000,C10-1,C10))</f>
        <v>9</v>
      </c>
      <c r="D13" s="17"/>
      <c r="E13" s="11"/>
      <c r="F13" s="11"/>
      <c r="G13" s="11" t="s">
        <v>34</v>
      </c>
      <c r="H13" s="11"/>
      <c r="I13" s="11" t="s">
        <v>35</v>
      </c>
      <c r="J13" s="11"/>
      <c r="K13" s="11"/>
      <c r="L13" s="11"/>
      <c r="M13" s="11"/>
      <c r="N13" s="11"/>
      <c r="O13" s="11"/>
      <c r="P13" s="11"/>
    </row>
    <row r="14" ht="15">
      <c r="B14" s="11"/>
      <c r="C14" s="11"/>
      <c r="D14" s="11"/>
      <c r="E14" s="11"/>
      <c r="F14" s="11"/>
      <c r="G14" s="11">
        <f>SUM(G5:G10)</f>
        <v>25200</v>
      </c>
      <c r="H14" s="11"/>
      <c r="I14" s="11">
        <f>IF(SUM(H10:I10)&gt;15600,15600,SUM(H10:I10))</f>
        <v>15600</v>
      </c>
      <c r="J14" s="11"/>
      <c r="K14" s="11"/>
      <c r="L14" s="11"/>
      <c r="M14" s="11"/>
      <c r="N14" s="11"/>
      <c r="O14" s="11"/>
      <c r="P14" s="11"/>
    </row>
    <row r="15" ht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ht="1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ht="15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8"/>
      <c r="L17" s="18"/>
      <c r="M17" s="18"/>
      <c r="N17" s="18"/>
      <c r="O17" s="18"/>
    </row>
    <row r="18" ht="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ht="15">
      <c r="A19" s="18"/>
      <c r="B19" s="18"/>
      <c r="C19" s="20"/>
      <c r="D19" s="20"/>
      <c r="E19" s="20"/>
      <c r="F19" s="20"/>
      <c r="G19" s="20"/>
      <c r="H19" s="20"/>
      <c r="I19" s="21"/>
      <c r="J19" s="20"/>
      <c r="K19" s="21"/>
      <c r="L19" s="22"/>
      <c r="M19" s="23"/>
      <c r="N19" s="23"/>
      <c r="O19" s="22"/>
    </row>
    <row r="20" ht="15">
      <c r="A20" s="18"/>
      <c r="B20" s="18"/>
      <c r="C20" s="19"/>
      <c r="D20" s="19"/>
      <c r="E20" s="19"/>
      <c r="F20" s="19"/>
      <c r="G20" s="19"/>
      <c r="H20" s="19"/>
      <c r="I20" s="18"/>
      <c r="J20" s="18"/>
      <c r="K20" s="18"/>
      <c r="L20" s="18"/>
      <c r="M20" s="19"/>
      <c r="N20" s="19"/>
      <c r="O20" s="18"/>
    </row>
    <row r="21" ht="15.75">
      <c r="E21" s="11"/>
      <c r="F21" s="11"/>
    </row>
    <row r="22" ht="74.25" customHeight="1">
      <c r="B22" s="24"/>
      <c r="C22" s="25" t="s">
        <v>36</v>
      </c>
      <c r="D22" s="26" t="s">
        <v>37</v>
      </c>
      <c r="E22" s="27" t="s">
        <v>38</v>
      </c>
      <c r="F22" s="28"/>
      <c r="G22" s="29"/>
      <c r="H22" s="30" t="s">
        <v>39</v>
      </c>
      <c r="I22" s="30" t="s">
        <v>40</v>
      </c>
      <c r="J22" s="30" t="s">
        <v>41</v>
      </c>
      <c r="K22" s="30" t="s">
        <v>42</v>
      </c>
      <c r="L22" s="25" t="s">
        <v>43</v>
      </c>
      <c r="M22" s="25" t="s">
        <v>44</v>
      </c>
    </row>
    <row r="23" ht="39">
      <c r="B23" s="31"/>
      <c r="C23" s="32"/>
      <c r="D23" s="33" t="s">
        <v>45</v>
      </c>
      <c r="E23" s="33" t="s">
        <v>46</v>
      </c>
      <c r="F23" s="33" t="s">
        <v>47</v>
      </c>
      <c r="G23" s="33" t="s">
        <v>48</v>
      </c>
      <c r="H23" s="34"/>
      <c r="I23" s="34"/>
      <c r="J23" s="34"/>
      <c r="K23" s="34"/>
      <c r="L23" s="32"/>
      <c r="M23" s="32"/>
    </row>
    <row r="24" ht="16.5">
      <c r="B24" s="31"/>
      <c r="C24" s="35"/>
      <c r="D24" s="36">
        <f>SUM(C8+D4+E4)</f>
        <v>449300</v>
      </c>
      <c r="E24" s="36">
        <f>F10+G14</f>
        <v>25200</v>
      </c>
      <c r="F24" s="36">
        <f>I14</f>
        <v>15600</v>
      </c>
      <c r="G24" s="36">
        <f>O10</f>
        <v>214500</v>
      </c>
      <c r="H24" s="36">
        <f>D24-D10-E24</f>
        <v>420100</v>
      </c>
      <c r="I24" s="36">
        <f>H24*0.13</f>
        <v>54613</v>
      </c>
      <c r="J24" s="36">
        <f>K8+M8</f>
        <v>500000</v>
      </c>
      <c r="K24" s="36">
        <f>J24*0.13</f>
        <v>65000</v>
      </c>
      <c r="L24" s="11">
        <f>J10</f>
        <v>13800</v>
      </c>
      <c r="M24" s="36">
        <f>L24*0.34999999999999998</f>
        <v>4830</v>
      </c>
    </row>
    <row r="25" ht="16.5">
      <c r="B25" s="37"/>
      <c r="C25" s="38"/>
      <c r="D25" s="36"/>
      <c r="E25" s="36"/>
      <c r="F25" s="36"/>
      <c r="G25" s="36"/>
      <c r="H25" s="36"/>
      <c r="I25" s="36"/>
      <c r="J25" s="36"/>
      <c r="K25" s="36"/>
      <c r="L25" s="36"/>
      <c r="M25" s="36"/>
    </row>
  </sheetData>
  <mergeCells count="29">
    <mergeCell ref="A1:A3"/>
    <mergeCell ref="B1:B3"/>
    <mergeCell ref="C1:O1"/>
    <mergeCell ref="C2:C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D5:E5"/>
    <mergeCell ref="D6:E6"/>
    <mergeCell ref="C11:D11"/>
    <mergeCell ref="C13:D13"/>
    <mergeCell ref="C14:D14"/>
    <mergeCell ref="E21:F21"/>
    <mergeCell ref="B22:B25"/>
    <mergeCell ref="C22:C23"/>
    <mergeCell ref="E22:G22"/>
    <mergeCell ref="H22:H23"/>
    <mergeCell ref="I22:I23"/>
    <mergeCell ref="J22:J23"/>
    <mergeCell ref="K22:K23"/>
    <mergeCell ref="L22:L23"/>
    <mergeCell ref="M22:M23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</dc:creator>
  <cp:revision>1</cp:revision>
  <dcterms:created xsi:type="dcterms:W3CDTF">2023-05-01T08:20:00Z</dcterms:created>
  <dcterms:modified xsi:type="dcterms:W3CDTF">2023-06-14T17:46:34Z</dcterms:modified>
  <cp:version>1048576</cp:version>
</cp:coreProperties>
</file>