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文档\"/>
    </mc:Choice>
  </mc:AlternateContent>
  <xr:revisionPtr revIDLastSave="0" documentId="13_ncr:1_{027DB7FE-1CF1-47A7-9059-A73BEDCA85D6}" xr6:coauthVersionLast="47" xr6:coauthVersionMax="47" xr10:uidLastSave="{00000000-0000-0000-0000-000000000000}"/>
  <bookViews>
    <workbookView xWindow="-120" yWindow="-120" windowWidth="29040" windowHeight="15720" tabRatio="603" activeTab="8" xr2:uid="{00000000-000D-0000-FFFF-FFFF00000000}"/>
  </bookViews>
  <sheets>
    <sheet name="计算器" sheetId="1" r:id="rId1"/>
    <sheet name="敌人表" sheetId="16" r:id="rId2"/>
    <sheet name="干员表" sheetId="4" r:id="rId3"/>
    <sheet name="模组表" sheetId="12" r:id="rId4"/>
    <sheet name="触发天赋表" sheetId="10" r:id="rId5"/>
    <sheet name="加成天赋表" sheetId="11" r:id="rId6"/>
    <sheet name="技能表" sheetId="13" r:id="rId7"/>
    <sheet name="等级与精英" sheetId="6" r:id="rId8"/>
    <sheet name="技能一属性计算器" sheetId="8" r:id="rId9"/>
    <sheet name="等级属性计算器" sheetId="9" r:id="rId10"/>
    <sheet name="职业表" sheetId="5" r:id="rId11"/>
  </sheets>
  <definedNames>
    <definedName name="敌人">敌人表!$A$3:$A$100</definedName>
    <definedName name="干员">干员表!$A$3:$A$999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8" l="1"/>
  <c r="F8" i="1"/>
  <c r="E8" i="1"/>
  <c r="D8" i="1"/>
  <c r="C8" i="1"/>
  <c r="CO2" i="8" a="1"/>
  <c r="CO2" i="8" s="1"/>
  <c r="CJ2" i="8" a="1"/>
  <c r="CJ2" i="8" s="1"/>
  <c r="CE2" i="8" a="1"/>
  <c r="CE2" i="8" s="1"/>
  <c r="K15" i="13" a="1"/>
  <c r="K15" i="13" s="1"/>
  <c r="N15" i="13" a="1"/>
  <c r="N15" i="13" s="1"/>
  <c r="D15" i="13" a="1"/>
  <c r="D15" i="13" s="1"/>
  <c r="K14" i="13" a="1"/>
  <c r="K14" i="13" s="1"/>
  <c r="D14" i="13"/>
  <c r="N13" i="13"/>
  <c r="K13" i="13" a="1"/>
  <c r="K13" i="13" s="1"/>
  <c r="H13" i="13"/>
  <c r="D13" i="13" a="1"/>
  <c r="D13" i="13" s="1"/>
  <c r="K12" i="13" a="1"/>
  <c r="K12" i="13" s="1"/>
  <c r="K11" i="13" a="1"/>
  <c r="K11" i="13" s="1"/>
  <c r="D12" i="13" a="1"/>
  <c r="D12" i="13" s="1"/>
  <c r="K10" i="13" a="1"/>
  <c r="K10" i="13" s="1"/>
  <c r="D11" i="13" a="1"/>
  <c r="D11" i="13" s="1"/>
  <c r="D10" i="13" a="1"/>
  <c r="D10" i="13" s="1"/>
  <c r="H4" i="11"/>
  <c r="I4" i="11" s="1"/>
  <c r="D4" i="11"/>
  <c r="E4" i="11" s="1"/>
  <c r="B13" i="8"/>
  <c r="BW4" i="8" a="1"/>
  <c r="BW4" i="8" s="1"/>
  <c r="BW3" i="8" a="1"/>
  <c r="BW3" i="8" s="1"/>
  <c r="BT4" i="8" a="1"/>
  <c r="BT4" i="8" s="1"/>
  <c r="BT3" i="8" a="1"/>
  <c r="BT3" i="8" s="1"/>
  <c r="BQ4" i="8" a="1"/>
  <c r="BQ4" i="8" s="1"/>
  <c r="BQ3" i="8" a="1"/>
  <c r="BQ3" i="8" s="1"/>
  <c r="BN4" i="8" a="1"/>
  <c r="BN4" i="8" s="1"/>
  <c r="BN3" i="8" a="1"/>
  <c r="BN3" i="8" s="1"/>
  <c r="BJ4" i="8"/>
  <c r="BJ3" i="8"/>
  <c r="BG4" i="8"/>
  <c r="BG3" i="8"/>
  <c r="BD4" i="8"/>
  <c r="BD3" i="8"/>
  <c r="BA4" i="8"/>
  <c r="BA3" i="8"/>
  <c r="AW4" i="8"/>
  <c r="AW3" i="8"/>
  <c r="AT4" i="8"/>
  <c r="AT3" i="8"/>
  <c r="AQ4" i="8"/>
  <c r="AQ3" i="8"/>
  <c r="AN4" i="8"/>
  <c r="AN3" i="8"/>
  <c r="AJ4" i="8"/>
  <c r="AJ3" i="8"/>
  <c r="AG4" i="8"/>
  <c r="AG3" i="8"/>
  <c r="AD4" i="8"/>
  <c r="AD3" i="8"/>
  <c r="AA3" i="8"/>
  <c r="AA4" i="8"/>
  <c r="W3" i="8"/>
  <c r="W4" i="8"/>
  <c r="T4" i="8"/>
  <c r="T3" i="8"/>
  <c r="Q4" i="8"/>
  <c r="Q3" i="8"/>
  <c r="N4" i="8"/>
  <c r="N3" i="8"/>
  <c r="D17" i="11"/>
  <c r="E17" i="11" s="1"/>
  <c r="D16" i="11"/>
  <c r="E16" i="11" s="1"/>
  <c r="H16" i="11"/>
  <c r="I16" i="11" s="1"/>
  <c r="D15" i="11"/>
  <c r="E15" i="11" s="1"/>
  <c r="I7" i="10"/>
  <c r="J7" i="10" s="1"/>
  <c r="D7" i="10"/>
  <c r="E7" i="10" s="1"/>
  <c r="D6" i="10"/>
  <c r="E6" i="10" s="1"/>
  <c r="D14" i="11"/>
  <c r="E14" i="11" s="1"/>
  <c r="D5" i="10"/>
  <c r="E5" i="10" s="1"/>
  <c r="H14" i="11"/>
  <c r="I14" i="11" s="1"/>
  <c r="D13" i="11"/>
  <c r="E13" i="11" s="1"/>
  <c r="I5" i="10"/>
  <c r="D9" i="11"/>
  <c r="E9" i="11" s="1"/>
  <c r="D12" i="11"/>
  <c r="E12" i="11" s="1"/>
  <c r="D11" i="11"/>
  <c r="E11" i="11" s="1"/>
  <c r="D10" i="11"/>
  <c r="E10" i="11" s="1"/>
  <c r="D8" i="11"/>
  <c r="E8" i="11" s="1"/>
  <c r="D7" i="11"/>
  <c r="E7" i="11" s="1"/>
  <c r="D6" i="11"/>
  <c r="E6" i="11" s="1"/>
  <c r="D5" i="11"/>
  <c r="E5" i="11" s="1"/>
  <c r="D3" i="11"/>
  <c r="E3" i="11" s="1"/>
  <c r="K9" i="13" a="1"/>
  <c r="K9" i="13" s="1"/>
  <c r="D9" i="13"/>
  <c r="K8" i="13" a="1"/>
  <c r="K8" i="13" s="1"/>
  <c r="D8" i="13" a="1"/>
  <c r="D8" i="13" s="1"/>
  <c r="K7" i="13" a="1"/>
  <c r="K7" i="13" s="1"/>
  <c r="E7" i="13" a="1"/>
  <c r="E7" i="13" s="1"/>
  <c r="D7" i="13"/>
  <c r="N6" i="13" a="1"/>
  <c r="K5" i="13" a="1"/>
  <c r="K5" i="13" s="1"/>
  <c r="D5" i="13" a="1"/>
  <c r="D5" i="13" s="1"/>
  <c r="K4" i="13"/>
  <c r="E4" i="13" a="1"/>
  <c r="E4" i="13" s="1"/>
  <c r="D4" i="13" a="1"/>
  <c r="D4" i="13" s="1"/>
  <c r="E3" i="13"/>
  <c r="D3" i="13"/>
  <c r="B5" i="1"/>
  <c r="C26" i="6" s="1"/>
  <c r="J2" i="1"/>
  <c r="K6" i="13"/>
  <c r="D6" i="13"/>
  <c r="B10" i="8"/>
  <c r="K16" i="13"/>
  <c r="E16" i="13"/>
  <c r="D16" i="13"/>
  <c r="D8" i="10"/>
  <c r="E8" i="10" s="1"/>
  <c r="I4" i="10"/>
  <c r="D4" i="10"/>
  <c r="E4" i="10" s="1"/>
  <c r="J4" i="10" s="1"/>
  <c r="D3" i="10"/>
  <c r="E3" i="10" s="1"/>
  <c r="B21" i="6"/>
  <c r="C21" i="6" s="1" a="1"/>
  <c r="C21" i="6" s="1"/>
  <c r="A33" i="6" s="1" a="1"/>
  <c r="A33" i="6" s="1"/>
  <c r="E2" i="9" a="1"/>
  <c r="E2" i="9" s="1"/>
  <c r="E3" i="9" s="1"/>
  <c r="B5" i="8" s="1"/>
  <c r="K4" i="9" a="1"/>
  <c r="K4" i="9" s="1"/>
  <c r="J4" i="9" a="1"/>
  <c r="J4" i="9" s="1"/>
  <c r="K3" i="9" a="1"/>
  <c r="K3" i="9" s="1"/>
  <c r="J3" i="9" a="1"/>
  <c r="J3" i="9" s="1"/>
  <c r="K2" i="9" a="1"/>
  <c r="K2" i="9" s="1"/>
  <c r="J2" i="9" a="1"/>
  <c r="J2" i="9" s="1"/>
  <c r="I2" i="9" a="1"/>
  <c r="I2" i="9" s="1"/>
  <c r="I4" i="9" a="1"/>
  <c r="I4" i="9" s="1"/>
  <c r="I3" i="9" a="1"/>
  <c r="I3" i="9" s="1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3" i="4"/>
  <c r="F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N7" i="8" a="1"/>
  <c r="CA7" i="8" a="1"/>
  <c r="BW8" i="8" a="1"/>
  <c r="BT7" i="8" a="1"/>
  <c r="BQ7" i="8" a="1"/>
  <c r="BN7" i="8" a="1"/>
  <c r="BJ7" i="8" a="1"/>
  <c r="BG7" i="8" a="1"/>
  <c r="BD7" i="8" a="1"/>
  <c r="BA7" i="8" a="1"/>
  <c r="AW7" i="8" a="1"/>
  <c r="AT7" i="8" a="1"/>
  <c r="AQ7" i="8" a="1"/>
  <c r="AN7" i="8" a="1"/>
  <c r="AJ7" i="8" a="1"/>
  <c r="AG7" i="8" a="1"/>
  <c r="AD7" i="8" a="1"/>
  <c r="AA7" i="8" a="1"/>
  <c r="W7" i="8" a="1"/>
  <c r="BT8" i="8" a="1"/>
  <c r="BQ8" i="8" a="1"/>
  <c r="BN8" i="8" a="1"/>
  <c r="BJ8" i="8" a="1"/>
  <c r="BG8" i="8" a="1"/>
  <c r="BD8" i="8" a="1"/>
  <c r="BA8" i="8" a="1"/>
  <c r="AW8" i="8" a="1"/>
  <c r="AT8" i="8" a="1"/>
  <c r="AQ8" i="8" a="1"/>
  <c r="AN8" i="8" a="1"/>
  <c r="AJ8" i="8" a="1"/>
  <c r="AG8" i="8" a="1"/>
  <c r="AD8" i="8" a="1"/>
  <c r="AA8" i="8" a="1"/>
  <c r="W8" i="8" a="1"/>
  <c r="T8" i="8" a="1"/>
  <c r="Q8" i="8" a="1"/>
  <c r="T7" i="8" a="1"/>
  <c r="Q7" i="8" a="1"/>
  <c r="N8" i="8" a="1"/>
  <c r="N7" i="8" l="1"/>
  <c r="CA7" i="8"/>
  <c r="BW8" i="8"/>
  <c r="BT7" i="8"/>
  <c r="BQ7" i="8"/>
  <c r="BN7" i="8"/>
  <c r="BJ7" i="8"/>
  <c r="BG7" i="8"/>
  <c r="BD7" i="8"/>
  <c r="BA7" i="8"/>
  <c r="BA2" i="8" s="1"/>
  <c r="AW7" i="8"/>
  <c r="AW2" i="8" s="1" a="1"/>
  <c r="AW2" i="8" s="1"/>
  <c r="AT7" i="8"/>
  <c r="AT2" i="8" s="1"/>
  <c r="AQ7" i="8"/>
  <c r="AN7" i="8"/>
  <c r="AJ7" i="8"/>
  <c r="AG7" i="8"/>
  <c r="AD7" i="8"/>
  <c r="AA7" i="8"/>
  <c r="W7" i="8"/>
  <c r="N2" i="8"/>
  <c r="BT8" i="8"/>
  <c r="BQ8" i="8"/>
  <c r="BN8" i="8"/>
  <c r="BJ8" i="8"/>
  <c r="BG8" i="8"/>
  <c r="BD8" i="8"/>
  <c r="BA8" i="8"/>
  <c r="AW8" i="8"/>
  <c r="AT8" i="8"/>
  <c r="AQ8" i="8"/>
  <c r="AN8" i="8"/>
  <c r="AJ8" i="8"/>
  <c r="AG8" i="8"/>
  <c r="AD8" i="8"/>
  <c r="AA8" i="8"/>
  <c r="W8" i="8"/>
  <c r="T8" i="8"/>
  <c r="Q8" i="8"/>
  <c r="T7" i="8"/>
  <c r="Q7" i="8"/>
  <c r="N8" i="8"/>
  <c r="N6" i="13"/>
  <c r="N45" i="6"/>
  <c r="N42" i="6"/>
  <c r="B43" i="6"/>
  <c r="C43" i="6" s="1"/>
  <c r="N36" i="6"/>
  <c r="N39" i="6"/>
  <c r="I2" i="1"/>
  <c r="A26" i="6"/>
  <c r="B26" i="6"/>
  <c r="A23" i="6" a="1"/>
  <c r="A23" i="6" s="1"/>
  <c r="A24" i="6" s="1" a="1"/>
  <c r="A24" i="6" s="1"/>
  <c r="B23" i="6" a="1"/>
  <c r="B23" i="6" s="1"/>
  <c r="B24" i="6" s="1" a="1"/>
  <c r="B24" i="6" s="1"/>
  <c r="B2" i="9"/>
  <c r="B3" i="9" s="1"/>
  <c r="C2" i="9"/>
  <c r="C3" i="9" s="1"/>
  <c r="D2" i="9"/>
  <c r="D3" i="9" s="1"/>
  <c r="CA2" i="8" l="1" a="1"/>
  <c r="CA2" i="8" s="1"/>
  <c r="AN2" i="8"/>
  <c r="C4" i="8" s="1"/>
  <c r="AQ2" i="8"/>
  <c r="Q2" i="8"/>
  <c r="D2" i="8" s="1"/>
  <c r="T2" i="8"/>
  <c r="E2" i="8" s="1"/>
  <c r="W2" i="8" a="1"/>
  <c r="W2" i="8" s="1"/>
  <c r="F2" i="8" s="1"/>
  <c r="AA2" i="8"/>
  <c r="C3" i="8" s="1"/>
  <c r="AD2" i="8"/>
  <c r="D3" i="8" s="1"/>
  <c r="AG2" i="8"/>
  <c r="E3" i="8" s="1"/>
  <c r="AJ2" i="8" a="1"/>
  <c r="AJ2" i="8" s="1"/>
  <c r="F3" i="8" s="1"/>
  <c r="BD2" i="8"/>
  <c r="D5" i="8" s="1"/>
  <c r="BJ2" i="8" a="1"/>
  <c r="BJ2" i="8" s="1"/>
  <c r="F5" i="8" s="1"/>
  <c r="BG2" i="8"/>
  <c r="E5" i="8" s="1"/>
  <c r="BQ2" i="8"/>
  <c r="D6" i="8" s="1"/>
  <c r="BN2" i="8"/>
  <c r="C6" i="8" s="1"/>
  <c r="BT2" i="8"/>
  <c r="E6" i="8" s="1"/>
  <c r="BW2" i="8" a="1"/>
  <c r="BW2" i="8" s="1"/>
  <c r="F6" i="8" s="1"/>
  <c r="E4" i="8"/>
  <c r="F4" i="8"/>
  <c r="C5" i="8"/>
  <c r="D4" i="8"/>
  <c r="C2" i="8"/>
  <c r="B4" i="8"/>
  <c r="H2" i="1"/>
  <c r="B2" i="8"/>
  <c r="F2" i="1"/>
  <c r="B3" i="8"/>
  <c r="G2" i="1"/>
  <c r="C16" i="8" a="1"/>
  <c r="C16" i="8" l="1"/>
  <c r="G6" i="8"/>
  <c r="C10" i="8" s="1"/>
  <c r="D10" i="8" s="1"/>
  <c r="F10" i="8" s="1"/>
  <c r="G5" i="8"/>
  <c r="G3" i="8"/>
  <c r="G16" i="8" s="1"/>
  <c r="G4" i="8"/>
  <c r="G2" i="8"/>
  <c r="E37" i="6" l="1"/>
  <c r="G10" i="8"/>
  <c r="B37" i="6" s="1"/>
  <c r="E40" i="6"/>
  <c r="D37" i="6" l="1"/>
  <c r="C37" i="6"/>
  <c r="B40" i="6"/>
  <c r="D40" i="6" l="1"/>
  <c r="C40" i="6"/>
  <c r="B12" i="1" s="1" a="1"/>
  <c r="B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<sst xmlns="http://schemas.openxmlformats.org/spreadsheetml/2006/main" count="857" uniqueCount="335">
  <si>
    <t>干员</t>
    <phoneticPr fontId="1" type="noConversion"/>
  </si>
  <si>
    <t>攻击</t>
    <phoneticPr fontId="1" type="noConversion"/>
  </si>
  <si>
    <t>防御</t>
    <phoneticPr fontId="1" type="noConversion"/>
  </si>
  <si>
    <t>生命</t>
    <phoneticPr fontId="1" type="noConversion"/>
  </si>
  <si>
    <t>法抗</t>
    <phoneticPr fontId="1" type="noConversion"/>
  </si>
  <si>
    <t>职业</t>
    <phoneticPr fontId="1" type="noConversion"/>
  </si>
  <si>
    <t>子职业</t>
    <phoneticPr fontId="1" type="noConversion"/>
  </si>
  <si>
    <t>攻击间隔</t>
    <phoneticPr fontId="1" type="noConversion"/>
  </si>
  <si>
    <t>Lancet-2</t>
  </si>
  <si>
    <t>医疗</t>
  </si>
  <si>
    <t>术师</t>
  </si>
  <si>
    <t>先锋</t>
    <phoneticPr fontId="1" type="noConversion"/>
  </si>
  <si>
    <t>冲锋手</t>
  </si>
  <si>
    <t>尖兵</t>
  </si>
  <si>
    <t>情报官</t>
  </si>
  <si>
    <t>战术家</t>
  </si>
  <si>
    <t>执旗手</t>
  </si>
  <si>
    <t>剑豪</t>
  </si>
  <si>
    <t>强攻手</t>
  </si>
  <si>
    <t>收割者</t>
  </si>
  <si>
    <t>教官</t>
  </si>
  <si>
    <t>斗士</t>
  </si>
  <si>
    <t>无畏者</t>
  </si>
  <si>
    <t>术战者</t>
  </si>
  <si>
    <t>武者</t>
  </si>
  <si>
    <t>解放者</t>
  </si>
  <si>
    <t>重剑手</t>
  </si>
  <si>
    <t>领主</t>
  </si>
  <si>
    <t>撼地者</t>
  </si>
  <si>
    <t>不屈者</t>
  </si>
  <si>
    <t>决战者</t>
  </si>
  <si>
    <t>哨戒铁卫</t>
  </si>
  <si>
    <t>守护者</t>
  </si>
  <si>
    <t>要塞</t>
  </si>
  <si>
    <t>铁卫</t>
  </si>
  <si>
    <t>驭法铁卫</t>
  </si>
  <si>
    <t>本源铁卫</t>
  </si>
  <si>
    <t>投掷手</t>
  </si>
  <si>
    <t>攻城手</t>
  </si>
  <si>
    <t>散射手</t>
  </si>
  <si>
    <t>炮手</t>
  </si>
  <si>
    <t>神射手</t>
  </si>
  <si>
    <t>速射手</t>
  </si>
  <si>
    <t>重射手</t>
  </si>
  <si>
    <t>猎手</t>
  </si>
  <si>
    <t>回环射手</t>
  </si>
  <si>
    <t>医疗</t>
    <phoneticPr fontId="1" type="noConversion"/>
  </si>
  <si>
    <t>辅助</t>
    <phoneticPr fontId="1" type="noConversion"/>
  </si>
  <si>
    <t>术士</t>
    <phoneticPr fontId="1" type="noConversion"/>
  </si>
  <si>
    <t>特种</t>
    <phoneticPr fontId="1" type="noConversion"/>
  </si>
  <si>
    <t>中坚术师</t>
  </si>
  <si>
    <t>扩散术师</t>
  </si>
  <si>
    <t>秘术师</t>
  </si>
  <si>
    <t>轰击术师</t>
  </si>
  <si>
    <t>链术师</t>
  </si>
  <si>
    <t>阵法术师</t>
  </si>
  <si>
    <t>驭械术师</t>
  </si>
  <si>
    <t>本源术师</t>
  </si>
  <si>
    <t>塑灵术师</t>
  </si>
  <si>
    <t>医师</t>
  </si>
  <si>
    <t>咒愈师</t>
  </si>
  <si>
    <t>疗养师</t>
  </si>
  <si>
    <t>群愈师</t>
  </si>
  <si>
    <t>行医</t>
  </si>
  <si>
    <t>链愈师</t>
  </si>
  <si>
    <t>凝滞师</t>
  </si>
  <si>
    <t>削弱者</t>
  </si>
  <si>
    <t>召唤师</t>
  </si>
  <si>
    <t>吟游者</t>
  </si>
  <si>
    <t>工匠</t>
  </si>
  <si>
    <t>护佑者</t>
  </si>
  <si>
    <t>巫役</t>
  </si>
  <si>
    <t>凝滞师</t>
    <phoneticPr fontId="1" type="noConversion"/>
  </si>
  <si>
    <t>伏击客</t>
  </si>
  <si>
    <t>傀儡师</t>
  </si>
  <si>
    <t>处决者</t>
  </si>
  <si>
    <t>怪杰</t>
  </si>
  <si>
    <t>推击手</t>
  </si>
  <si>
    <t>行商</t>
  </si>
  <si>
    <t>钩索师</t>
  </si>
  <si>
    <t>陷阱师</t>
  </si>
  <si>
    <t>炼金师</t>
  </si>
  <si>
    <t>巡空者</t>
  </si>
  <si>
    <t>物理</t>
    <phoneticPr fontId="1" type="noConversion"/>
  </si>
  <si>
    <t>法术</t>
    <phoneticPr fontId="1" type="noConversion"/>
  </si>
  <si>
    <t>回复</t>
    <phoneticPr fontId="1" type="noConversion"/>
  </si>
  <si>
    <t>直接加算</t>
    <phoneticPr fontId="1" type="noConversion"/>
  </si>
  <si>
    <t>直接乘算</t>
    <phoneticPr fontId="1" type="noConversion"/>
  </si>
  <si>
    <t>最终加算</t>
    <phoneticPr fontId="1" type="noConversion"/>
  </si>
  <si>
    <t>最终乘算</t>
    <phoneticPr fontId="1" type="noConversion"/>
  </si>
  <si>
    <t>伤害类型二</t>
    <phoneticPr fontId="1" type="noConversion"/>
  </si>
  <si>
    <t>伤害类型一</t>
    <phoneticPr fontId="1" type="noConversion"/>
  </si>
  <si>
    <t>星级</t>
    <phoneticPr fontId="1" type="noConversion"/>
  </si>
  <si>
    <t>等级</t>
    <phoneticPr fontId="1" type="noConversion"/>
  </si>
  <si>
    <t>精英阶段</t>
    <phoneticPr fontId="1" type="noConversion"/>
  </si>
  <si>
    <t>Castle-3</t>
  </si>
  <si>
    <t>夜刀</t>
    <phoneticPr fontId="1" type="noConversion"/>
  </si>
  <si>
    <t>黑角</t>
    <phoneticPr fontId="1" type="noConversion"/>
  </si>
  <si>
    <t>巡林者</t>
    <phoneticPr fontId="1" type="noConversion"/>
  </si>
  <si>
    <t>信赖</t>
    <phoneticPr fontId="1" type="noConversion"/>
  </si>
  <si>
    <t>潜能</t>
    <phoneticPr fontId="1" type="noConversion"/>
  </si>
  <si>
    <t>最大潜能</t>
    <phoneticPr fontId="1" type="noConversion"/>
  </si>
  <si>
    <t>医师</t>
    <phoneticPr fontId="1" type="noConversion"/>
  </si>
  <si>
    <t>近卫</t>
    <phoneticPr fontId="1" type="noConversion"/>
  </si>
  <si>
    <t>重装</t>
    <phoneticPr fontId="1" type="noConversion"/>
  </si>
  <si>
    <t>无</t>
    <phoneticPr fontId="1" type="noConversion"/>
  </si>
  <si>
    <t>生命上限</t>
    <phoneticPr fontId="1" type="noConversion"/>
  </si>
  <si>
    <t>精英阶段上限</t>
    <phoneticPr fontId="1" type="noConversion"/>
  </si>
  <si>
    <t>精一等级上限</t>
    <phoneticPr fontId="1" type="noConversion"/>
  </si>
  <si>
    <t>精零等级上限</t>
    <phoneticPr fontId="1" type="noConversion"/>
  </si>
  <si>
    <t>精二等级上限</t>
    <phoneticPr fontId="1" type="noConversion"/>
  </si>
  <si>
    <t>无畏者</t>
    <phoneticPr fontId="1" type="noConversion"/>
  </si>
  <si>
    <t>尖兵</t>
    <phoneticPr fontId="1" type="noConversion"/>
  </si>
  <si>
    <t xml:space="preserve">  </t>
    <phoneticPr fontId="1" type="noConversion"/>
  </si>
  <si>
    <t>杜林</t>
    <phoneticPr fontId="1" type="noConversion"/>
  </si>
  <si>
    <t>12F</t>
    <phoneticPr fontId="1" type="noConversion"/>
  </si>
  <si>
    <t>芬</t>
    <phoneticPr fontId="1" type="noConversion"/>
  </si>
  <si>
    <t>香草</t>
    <phoneticPr fontId="1" type="noConversion"/>
  </si>
  <si>
    <t>翎羽</t>
    <phoneticPr fontId="1" type="noConversion"/>
  </si>
  <si>
    <t>玫兰莎</t>
    <phoneticPr fontId="1" type="noConversion"/>
  </si>
  <si>
    <t>卡缇</t>
    <phoneticPr fontId="1" type="noConversion"/>
  </si>
  <si>
    <t>米格鲁</t>
    <phoneticPr fontId="1" type="noConversion"/>
  </si>
  <si>
    <t>克洛丝</t>
    <phoneticPr fontId="1" type="noConversion"/>
  </si>
  <si>
    <t>安德切尔</t>
    <phoneticPr fontId="1" type="noConversion"/>
  </si>
  <si>
    <t>炎熔</t>
    <phoneticPr fontId="1" type="noConversion"/>
  </si>
  <si>
    <t>芙蓉</t>
    <phoneticPr fontId="1" type="noConversion"/>
  </si>
  <si>
    <t>安塞尔</t>
    <phoneticPr fontId="1" type="noConversion"/>
  </si>
  <si>
    <t>史都华德</t>
    <phoneticPr fontId="1" type="noConversion"/>
  </si>
  <si>
    <t>梓兰</t>
    <phoneticPr fontId="1" type="noConversion"/>
  </si>
  <si>
    <t>夜烟</t>
    <phoneticPr fontId="1" type="noConversion"/>
  </si>
  <si>
    <t>狙击</t>
    <phoneticPr fontId="1" type="noConversion"/>
  </si>
  <si>
    <t>铁卫</t>
    <phoneticPr fontId="1" type="noConversion"/>
  </si>
  <si>
    <t>速射手</t>
    <phoneticPr fontId="1" type="noConversion"/>
  </si>
  <si>
    <t>冲锋手</t>
    <phoneticPr fontId="1" type="noConversion"/>
  </si>
  <si>
    <t>中坚术师</t>
    <phoneticPr fontId="1" type="noConversion"/>
  </si>
  <si>
    <t>原值</t>
    <phoneticPr fontId="1" type="noConversion"/>
  </si>
  <si>
    <t>最终属性</t>
    <phoneticPr fontId="1" type="noConversion"/>
  </si>
  <si>
    <t>等级修饰</t>
    <phoneticPr fontId="1" type="noConversion"/>
  </si>
  <si>
    <t>信赖修饰</t>
    <phoneticPr fontId="1" type="noConversion"/>
  </si>
  <si>
    <t>信赖加成</t>
    <phoneticPr fontId="1" type="noConversion"/>
  </si>
  <si>
    <t>精零满级</t>
    <phoneticPr fontId="1" type="noConversion"/>
  </si>
  <si>
    <t>精零一级</t>
    <phoneticPr fontId="1" type="noConversion"/>
  </si>
  <si>
    <t>精一满级</t>
    <phoneticPr fontId="1" type="noConversion"/>
  </si>
  <si>
    <t>精二满级</t>
    <phoneticPr fontId="1" type="noConversion"/>
  </si>
  <si>
    <t>精零成长</t>
    <phoneticPr fontId="1" type="noConversion"/>
  </si>
  <si>
    <t>精一成长</t>
    <phoneticPr fontId="1" type="noConversion"/>
  </si>
  <si>
    <t>精二成长</t>
    <phoneticPr fontId="1" type="noConversion"/>
  </si>
  <si>
    <t>再部署</t>
    <phoneticPr fontId="1" type="noConversion"/>
  </si>
  <si>
    <t>天赋数量</t>
    <phoneticPr fontId="1" type="noConversion"/>
  </si>
  <si>
    <t>加成</t>
  </si>
  <si>
    <t>触发</t>
  </si>
  <si>
    <t>加成</t>
    <phoneticPr fontId="1" type="noConversion"/>
  </si>
  <si>
    <t>行数</t>
    <phoneticPr fontId="1" type="noConversion"/>
  </si>
  <si>
    <t>状态</t>
    <phoneticPr fontId="1" type="noConversion"/>
  </si>
  <si>
    <t>攻击间隔</t>
    <phoneticPr fontId="1" type="noConversion"/>
  </si>
  <si>
    <t>天赋一类型</t>
    <phoneticPr fontId="1" type="noConversion"/>
  </si>
  <si>
    <t>天赋二类型</t>
    <phoneticPr fontId="1" type="noConversion"/>
  </si>
  <si>
    <t>无</t>
  </si>
  <si>
    <t>天赋一</t>
    <phoneticPr fontId="1" type="noConversion"/>
  </si>
  <si>
    <t>触发事件</t>
    <phoneticPr fontId="1" type="noConversion"/>
  </si>
  <si>
    <t>救援喷雾</t>
    <phoneticPr fontId="1" type="noConversion"/>
  </si>
  <si>
    <t>事件等级</t>
    <phoneticPr fontId="1" type="noConversion"/>
  </si>
  <si>
    <t>事件描述</t>
    <phoneticPr fontId="1" type="noConversion"/>
  </si>
  <si>
    <t>战术整理</t>
    <phoneticPr fontId="1" type="noConversion"/>
  </si>
  <si>
    <t>部署后--秒内所有友方【近战位】单位的攻击力和防御力++</t>
    <phoneticPr fontId="1" type="noConversion"/>
  </si>
  <si>
    <t>部署后立即恢复全场友方单位--点生命</t>
    <phoneticPr fontId="1" type="noConversion"/>
  </si>
  <si>
    <t>事件输出</t>
    <phoneticPr fontId="1" type="noConversion"/>
  </si>
  <si>
    <t>输出类型</t>
    <phoneticPr fontId="1" type="noConversion"/>
  </si>
  <si>
    <t>事件触发一</t>
    <phoneticPr fontId="1" type="noConversion"/>
  </si>
  <si>
    <t>事件触发二</t>
    <phoneticPr fontId="1" type="noConversion"/>
  </si>
  <si>
    <t>计算类型</t>
    <phoneticPr fontId="1" type="noConversion"/>
  </si>
  <si>
    <t>黑色烟雾</t>
    <phoneticPr fontId="1" type="noConversion"/>
  </si>
  <si>
    <t>攻击使目标法术抗性--，持续-秒</t>
    <phoneticPr fontId="1" type="noConversion"/>
  </si>
  <si>
    <t>模组</t>
    <phoneticPr fontId="1" type="noConversion"/>
  </si>
  <si>
    <t>代号一</t>
    <phoneticPr fontId="1" type="noConversion"/>
  </si>
  <si>
    <t>代号二</t>
    <phoneticPr fontId="1" type="noConversion"/>
  </si>
  <si>
    <t>X</t>
    <phoneticPr fontId="1" type="noConversion"/>
  </si>
  <si>
    <t>模组等级</t>
    <phoneticPr fontId="1" type="noConversion"/>
  </si>
  <si>
    <t>模组列表</t>
    <phoneticPr fontId="1" type="noConversion"/>
  </si>
  <si>
    <t>Y</t>
    <phoneticPr fontId="1" type="noConversion"/>
  </si>
  <si>
    <t>模组编号</t>
    <phoneticPr fontId="1" type="noConversion"/>
  </si>
  <si>
    <t>模组名</t>
    <phoneticPr fontId="1" type="noConversion"/>
  </si>
  <si>
    <t>女巫的帽子</t>
    <phoneticPr fontId="1" type="noConversion"/>
  </si>
  <si>
    <t>特性追加</t>
    <phoneticPr fontId="1" type="noConversion"/>
  </si>
  <si>
    <t>追加类型</t>
    <phoneticPr fontId="1" type="noConversion"/>
  </si>
  <si>
    <t>无视法抗</t>
    <phoneticPr fontId="1" type="noConversion"/>
  </si>
  <si>
    <t>计算方式</t>
    <phoneticPr fontId="1" type="noConversion"/>
  </si>
  <si>
    <t>数值</t>
    <phoneticPr fontId="1" type="noConversion"/>
  </si>
  <si>
    <t>天赋更新</t>
    <phoneticPr fontId="1" type="noConversion"/>
  </si>
  <si>
    <t>天赋序号</t>
    <phoneticPr fontId="1" type="noConversion"/>
  </si>
  <si>
    <t>天赋类型</t>
    <phoneticPr fontId="1" type="noConversion"/>
  </si>
  <si>
    <t>触发</t>
    <phoneticPr fontId="1" type="noConversion"/>
  </si>
  <si>
    <t>黑夜的歌声</t>
    <phoneticPr fontId="1" type="noConversion"/>
  </si>
  <si>
    <t>这是一个测试时口胡的mod</t>
    <phoneticPr fontId="1" type="noConversion"/>
  </si>
  <si>
    <t>降低法抗</t>
    <phoneticPr fontId="1" type="noConversion"/>
  </si>
  <si>
    <t>技能名</t>
    <phoneticPr fontId="1" type="noConversion"/>
  </si>
  <si>
    <t>一技能</t>
    <phoneticPr fontId="1" type="noConversion"/>
  </si>
  <si>
    <t>主动技能</t>
    <phoneticPr fontId="1" type="noConversion"/>
  </si>
  <si>
    <t>技力需求</t>
    <phoneticPr fontId="1" type="noConversion"/>
  </si>
  <si>
    <t>初始技力</t>
    <phoneticPr fontId="1" type="noConversion"/>
  </si>
  <si>
    <t>攻击力强化·β型</t>
  </si>
  <si>
    <t>技能等级</t>
    <phoneticPr fontId="1" type="noConversion"/>
  </si>
  <si>
    <t>Rank Ⅰ</t>
  </si>
  <si>
    <t>Rank Ⅱ</t>
  </si>
  <si>
    <t>Rank Ⅲ</t>
  </si>
  <si>
    <t>技能加成一</t>
    <phoneticPr fontId="1" type="noConversion"/>
  </si>
  <si>
    <t>加成类型</t>
    <phoneticPr fontId="1" type="noConversion"/>
  </si>
  <si>
    <t>计算顺序</t>
    <phoneticPr fontId="1" type="noConversion"/>
  </si>
  <si>
    <t>持续时间</t>
    <phoneticPr fontId="1" type="noConversion"/>
  </si>
  <si>
    <t xml:space="preserve">   </t>
    <phoneticPr fontId="1" type="noConversion"/>
  </si>
  <si>
    <t>代号</t>
    <phoneticPr fontId="1" type="noConversion"/>
  </si>
  <si>
    <t>技能一</t>
    <phoneticPr fontId="1" type="noConversion"/>
  </si>
  <si>
    <t>总伤</t>
    <phoneticPr fontId="1" type="noConversion"/>
  </si>
  <si>
    <t>DPS</t>
    <phoneticPr fontId="1" type="noConversion"/>
  </si>
  <si>
    <t>伤害类型</t>
    <phoneticPr fontId="1" type="noConversion"/>
  </si>
  <si>
    <t>是否启用</t>
    <phoneticPr fontId="1" type="noConversion"/>
  </si>
  <si>
    <t>总和</t>
    <phoneticPr fontId="1" type="noConversion"/>
  </si>
  <si>
    <t>直接加算</t>
    <phoneticPr fontId="1" type="noConversion"/>
  </si>
  <si>
    <t>直接乘算</t>
    <phoneticPr fontId="1" type="noConversion"/>
  </si>
  <si>
    <t>最终加算</t>
    <phoneticPr fontId="1" type="noConversion"/>
  </si>
  <si>
    <t>最终乘算</t>
    <phoneticPr fontId="1" type="noConversion"/>
  </si>
  <si>
    <t>生命</t>
    <phoneticPr fontId="1" type="noConversion"/>
  </si>
  <si>
    <t>攻击</t>
    <phoneticPr fontId="1" type="noConversion"/>
  </si>
  <si>
    <t>防御</t>
    <phoneticPr fontId="1" type="noConversion"/>
  </si>
  <si>
    <t>法抗</t>
    <phoneticPr fontId="1" type="noConversion"/>
  </si>
  <si>
    <t>攻速计算</t>
    <phoneticPr fontId="1" type="noConversion"/>
  </si>
  <si>
    <t>攻速</t>
    <phoneticPr fontId="1" type="noConversion"/>
  </si>
  <si>
    <t>最终攻击间隔</t>
    <phoneticPr fontId="1" type="noConversion"/>
  </si>
  <si>
    <t>攻击力强化·α型</t>
    <phoneticPr fontId="1" type="noConversion"/>
  </si>
  <si>
    <t/>
  </si>
  <si>
    <t>打次</t>
    <phoneticPr fontId="1" type="noConversion"/>
  </si>
  <si>
    <t>周期DPS</t>
    <phoneticPr fontId="1" type="noConversion"/>
  </si>
  <si>
    <t>冲锋号令·α型</t>
    <phoneticPr fontId="1" type="noConversion"/>
  </si>
  <si>
    <t>回复费用</t>
    <phoneticPr fontId="1" type="noConversion"/>
  </si>
  <si>
    <t>费用计算</t>
    <phoneticPr fontId="1" type="noConversion"/>
  </si>
  <si>
    <t>回复数值</t>
    <phoneticPr fontId="1" type="noConversion"/>
  </si>
  <si>
    <t>技能一列表</t>
    <phoneticPr fontId="1" type="noConversion"/>
  </si>
  <si>
    <t>DPH</t>
    <phoneticPr fontId="1" type="noConversion"/>
  </si>
  <si>
    <t>单次回费</t>
    <phoneticPr fontId="1" type="noConversion"/>
  </si>
  <si>
    <t>周期秒回</t>
    <phoneticPr fontId="1" type="noConversion"/>
  </si>
  <si>
    <t>&lt;&gt;0</t>
    <phoneticPr fontId="1" type="noConversion"/>
  </si>
  <si>
    <t>冲锋号令·援军</t>
    <phoneticPr fontId="1" type="noConversion"/>
  </si>
  <si>
    <t>迅捷打击·α型</t>
    <phoneticPr fontId="1" type="noConversion"/>
  </si>
  <si>
    <t>技能加成二</t>
    <phoneticPr fontId="1" type="noConversion"/>
  </si>
  <si>
    <t>生命回复·α型</t>
    <phoneticPr fontId="1" type="noConversion"/>
  </si>
  <si>
    <t>单次回复</t>
    <phoneticPr fontId="1" type="noConversion"/>
  </si>
  <si>
    <t>周期HPS</t>
    <phoneticPr fontId="1" type="noConversion"/>
  </si>
  <si>
    <t>伤害持续时间</t>
    <phoneticPr fontId="1" type="noConversion"/>
  </si>
  <si>
    <t>防御力强化·α型</t>
    <phoneticPr fontId="1" type="noConversion"/>
  </si>
  <si>
    <t>回复类型</t>
    <phoneticPr fontId="1" type="noConversion"/>
  </si>
  <si>
    <t>自动回复</t>
    <phoneticPr fontId="1" type="noConversion"/>
  </si>
  <si>
    <t>攻击回复</t>
    <phoneticPr fontId="1" type="noConversion"/>
  </si>
  <si>
    <t>二连射·自动</t>
    <phoneticPr fontId="1" type="noConversion"/>
  </si>
  <si>
    <t>倍率</t>
    <phoneticPr fontId="1" type="noConversion"/>
  </si>
  <si>
    <t>攻击次数</t>
    <phoneticPr fontId="1" type="noConversion"/>
  </si>
  <si>
    <t>快速重新部署</t>
    <phoneticPr fontId="1" type="noConversion"/>
  </si>
  <si>
    <t>装甲改良</t>
    <phoneticPr fontId="1" type="noConversion"/>
  </si>
  <si>
    <t>空射大师</t>
    <phoneticPr fontId="1" type="noConversion"/>
  </si>
  <si>
    <t>小个子的幸运</t>
    <phoneticPr fontId="1" type="noConversion"/>
  </si>
  <si>
    <t>法术闪避</t>
    <phoneticPr fontId="1" type="noConversion"/>
  </si>
  <si>
    <t>闪避率提升</t>
    <phoneticPr fontId="1" type="noConversion"/>
  </si>
  <si>
    <t>物理闪避</t>
    <phoneticPr fontId="1" type="noConversion"/>
  </si>
  <si>
    <t>轻量化</t>
    <phoneticPr fontId="1" type="noConversion"/>
  </si>
  <si>
    <t>部署费用</t>
    <phoneticPr fontId="1" type="noConversion"/>
  </si>
  <si>
    <t>攻击提升</t>
    <phoneticPr fontId="1" type="noConversion"/>
  </si>
  <si>
    <t>攻击力++</t>
    <phoneticPr fontId="1" type="noConversion"/>
  </si>
  <si>
    <t>自身部署费用--</t>
    <phoneticPr fontId="1" type="noConversion"/>
  </si>
  <si>
    <t>获得--的物理闪避</t>
    <phoneticPr fontId="1" type="noConversion"/>
  </si>
  <si>
    <t>获得--的法术闪避</t>
    <phoneticPr fontId="1" type="noConversion"/>
  </si>
  <si>
    <t>攻击飞行目标时，攻击力--</t>
    <phoneticPr fontId="1" type="noConversion"/>
  </si>
  <si>
    <t>生命上限和防御力各--</t>
    <phoneticPr fontId="1" type="noConversion"/>
  </si>
  <si>
    <t>再部署时间---秒</t>
    <phoneticPr fontId="1" type="noConversion"/>
  </si>
  <si>
    <t>生命上限提升</t>
    <phoneticPr fontId="1" type="noConversion"/>
  </si>
  <si>
    <t>生命上限++</t>
    <phoneticPr fontId="1" type="noConversion"/>
  </si>
  <si>
    <t>防御提升</t>
    <phoneticPr fontId="1" type="noConversion"/>
  </si>
  <si>
    <t>防御力++</t>
    <phoneticPr fontId="1" type="noConversion"/>
  </si>
  <si>
    <t xml:space="preserve">要害瞄准·初级	</t>
    <phoneticPr fontId="1" type="noConversion"/>
  </si>
  <si>
    <t>攻击时，--几率当次攻击的攻击力提升至--</t>
    <phoneticPr fontId="1" type="noConversion"/>
  </si>
  <si>
    <t>几率</t>
    <phoneticPr fontId="1" type="noConversion"/>
  </si>
  <si>
    <t>短板突破</t>
    <phoneticPr fontId="1" type="noConversion"/>
  </si>
  <si>
    <t>攻击速度++，优先攻击使用远程武器的敌人</t>
    <phoneticPr fontId="1" type="noConversion"/>
  </si>
  <si>
    <t>加成一</t>
    <phoneticPr fontId="1" type="noConversion"/>
  </si>
  <si>
    <t>加成二</t>
    <phoneticPr fontId="1" type="noConversion"/>
  </si>
  <si>
    <t>远程敌人仇恨</t>
    <phoneticPr fontId="1" type="noConversion"/>
  </si>
  <si>
    <t>快速技能使用</t>
    <phoneticPr fontId="1" type="noConversion"/>
  </si>
  <si>
    <t>部署后立即获得--点技力</t>
    <phoneticPr fontId="1" type="noConversion"/>
  </si>
  <si>
    <t>技力</t>
    <phoneticPr fontId="1" type="noConversion"/>
  </si>
  <si>
    <t>触发器</t>
    <phoneticPr fontId="1" type="noConversion"/>
  </si>
  <si>
    <t>部署</t>
    <phoneticPr fontId="1" type="noConversion"/>
  </si>
  <si>
    <t>攻击时</t>
    <phoneticPr fontId="1" type="noConversion"/>
  </si>
  <si>
    <t>治疗力提升</t>
    <phoneticPr fontId="1" type="noConversion"/>
  </si>
  <si>
    <t>附加治疗</t>
    <phoneticPr fontId="1" type="noConversion"/>
  </si>
  <si>
    <t>有--的几率额外治疗一名友方单位</t>
    <phoneticPr fontId="1" type="noConversion"/>
  </si>
  <si>
    <t>索敌数</t>
    <phoneticPr fontId="1" type="noConversion"/>
  </si>
  <si>
    <t>铠甲突破</t>
    <phoneticPr fontId="1" type="noConversion"/>
  </si>
  <si>
    <t>攻击力++，优先攻击防御力最高的敌人</t>
    <phoneticPr fontId="1" type="noConversion"/>
  </si>
  <si>
    <t>防御力最高敌人仇恨</t>
    <phoneticPr fontId="1" type="noConversion"/>
  </si>
  <si>
    <t>施法速度提升</t>
    <phoneticPr fontId="1" type="noConversion"/>
  </si>
  <si>
    <t>攻击速度++</t>
    <phoneticPr fontId="1" type="noConversion"/>
  </si>
  <si>
    <t xml:space="preserve"> </t>
    <phoneticPr fontId="1" type="noConversion"/>
  </si>
  <si>
    <t>加成天赋一加成一</t>
    <phoneticPr fontId="1" type="noConversion"/>
  </si>
  <si>
    <t>加成天赋一加成二</t>
    <phoneticPr fontId="1" type="noConversion"/>
  </si>
  <si>
    <t>触发天赋一加成一</t>
    <phoneticPr fontId="1" type="noConversion"/>
  </si>
  <si>
    <t>触发天赋一加成二</t>
    <phoneticPr fontId="1" type="noConversion"/>
  </si>
  <si>
    <t>战术咏唱·α型</t>
    <phoneticPr fontId="1" type="noConversion"/>
  </si>
  <si>
    <t>治疗强化·α型</t>
    <phoneticPr fontId="1" type="noConversion"/>
  </si>
  <si>
    <t>治疗范围强化</t>
    <phoneticPr fontId="1" type="noConversion"/>
  </si>
  <si>
    <t>攻击范围</t>
    <phoneticPr fontId="1" type="noConversion"/>
  </si>
  <si>
    <t>强力击·α型</t>
    <phoneticPr fontId="1" type="noConversion"/>
  </si>
  <si>
    <t>单次伤害</t>
    <phoneticPr fontId="1" type="noConversion"/>
  </si>
  <si>
    <t>攻击力倍率</t>
    <phoneticPr fontId="1" type="noConversion"/>
  </si>
  <si>
    <t>伤害倍率</t>
    <phoneticPr fontId="1" type="noConversion"/>
  </si>
  <si>
    <t>治疗倍率</t>
    <phoneticPr fontId="1" type="noConversion"/>
  </si>
  <si>
    <t>巡林者</t>
  </si>
  <si>
    <t>最终攻击力倍率</t>
    <phoneticPr fontId="1" type="noConversion"/>
  </si>
  <si>
    <t>百分比无视防御</t>
    <phoneticPr fontId="1" type="noConversion"/>
  </si>
  <si>
    <t>目标防御力</t>
    <phoneticPr fontId="1" type="noConversion"/>
  </si>
  <si>
    <t>数值无视防御力</t>
    <phoneticPr fontId="1" type="noConversion"/>
  </si>
  <si>
    <t>敌人</t>
    <phoneticPr fontId="1" type="noConversion"/>
  </si>
  <si>
    <t>敌人</t>
    <phoneticPr fontId="1" type="noConversion"/>
  </si>
  <si>
    <t>原石虫</t>
  </si>
  <si>
    <t>原石虫</t>
    <phoneticPr fontId="1" type="noConversion"/>
  </si>
  <si>
    <t>级别一</t>
    <phoneticPr fontId="1" type="noConversion"/>
  </si>
  <si>
    <t>最大生命值</t>
    <phoneticPr fontId="1" type="noConversion"/>
  </si>
  <si>
    <t>攻击力</t>
    <phoneticPr fontId="1" type="noConversion"/>
  </si>
  <si>
    <t>防御力</t>
    <phoneticPr fontId="1" type="noConversion"/>
  </si>
  <si>
    <t>法术抗性</t>
    <phoneticPr fontId="1" type="noConversion"/>
  </si>
  <si>
    <t>妖怪</t>
    <phoneticPr fontId="1" type="noConversion"/>
  </si>
  <si>
    <t>级别</t>
    <phoneticPr fontId="1" type="noConversion"/>
  </si>
  <si>
    <t>种类</t>
    <phoneticPr fontId="1" type="noConversion"/>
  </si>
  <si>
    <t>地位级别</t>
    <phoneticPr fontId="1" type="noConversion"/>
  </si>
  <si>
    <t>攻击方式</t>
    <phoneticPr fontId="1" type="noConversion"/>
  </si>
  <si>
    <t>行动方式</t>
    <phoneticPr fontId="1" type="noConversion"/>
  </si>
  <si>
    <t>无人机</t>
    <phoneticPr fontId="1" type="noConversion"/>
  </si>
  <si>
    <t>普通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</si>
</sst>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workbookViewId="0">
      <selection activeCell="H8" sqref="H8"/>
    </sheetView>
  </sheetViews>
  <sheetFormatPr defaultColWidth="9" defaultRowHeight="14.25" x14ac:dyDescent="0.2"/>
  <cols>
    <col min="1" max="16384" width="9" style="1"/>
  </cols>
  <sheetData>
    <row r="1" spans="1:12" x14ac:dyDescent="0.2">
      <c r="A1" s="1" t="s">
        <v>0</v>
      </c>
      <c r="B1" s="1" t="s">
        <v>94</v>
      </c>
      <c r="C1" s="1" t="s">
        <v>93</v>
      </c>
      <c r="D1" s="1" t="s">
        <v>100</v>
      </c>
      <c r="E1" s="1" t="s">
        <v>99</v>
      </c>
      <c r="F1" s="1" t="s">
        <v>3</v>
      </c>
      <c r="G1" s="1" t="s">
        <v>1</v>
      </c>
      <c r="H1" s="1" t="s">
        <v>2</v>
      </c>
      <c r="I1" s="1" t="s">
        <v>4</v>
      </c>
      <c r="J1" s="1" t="s">
        <v>154</v>
      </c>
      <c r="K1" s="1" t="s">
        <v>147</v>
      </c>
      <c r="L1" s="1" t="s">
        <v>201</v>
      </c>
    </row>
    <row r="2" spans="1:12" x14ac:dyDescent="0.2">
      <c r="A2" s="1" t="s">
        <v>313</v>
      </c>
      <c r="B2" s="1">
        <v>0</v>
      </c>
      <c r="C2" s="1">
        <v>30</v>
      </c>
      <c r="D2" s="1">
        <v>6</v>
      </c>
      <c r="E2" s="1">
        <v>100</v>
      </c>
      <c r="F2" s="1">
        <f>等级属性计算器!B3</f>
        <v>780</v>
      </c>
      <c r="G2" s="1">
        <f>等级属性计算器!C3</f>
        <v>299</v>
      </c>
      <c r="H2" s="1">
        <f>等级属性计算器!D3</f>
        <v>66</v>
      </c>
      <c r="I2" s="1">
        <f>等级属性计算器!E3</f>
        <v>0</v>
      </c>
      <c r="J2" s="1">
        <f>_xlfn.XLOOKUP(_xlfn.XLOOKUP(A2,干员表!A:A,干员表!D:D),职业表!B:B,职业表!E:E)</f>
        <v>1</v>
      </c>
      <c r="L2" s="1">
        <v>7</v>
      </c>
    </row>
    <row r="4" spans="1:12" x14ac:dyDescent="0.2">
      <c r="A4" s="1" t="s">
        <v>173</v>
      </c>
      <c r="B4" s="1" t="s">
        <v>210</v>
      </c>
      <c r="C4" s="1" t="s">
        <v>177</v>
      </c>
    </row>
    <row r="5" spans="1:12" x14ac:dyDescent="0.2">
      <c r="B5" s="1" t="str">
        <f>IF(计算器!A5="","",_xlfn.XLOOKUP(计算器!A5,模组表!C:C,模组表!B:B))</f>
        <v/>
      </c>
      <c r="C5" s="1" t="s">
        <v>229</v>
      </c>
    </row>
    <row r="7" spans="1:12" s="10" customFormat="1" x14ac:dyDescent="0.2">
      <c r="A7" s="10" t="s">
        <v>318</v>
      </c>
      <c r="B7" s="10" t="s">
        <v>328</v>
      </c>
      <c r="C7" t="s">
        <v>323</v>
      </c>
      <c r="D7" t="s">
        <v>324</v>
      </c>
      <c r="E7" t="s">
        <v>325</v>
      </c>
      <c r="F7" t="s">
        <v>326</v>
      </c>
    </row>
    <row r="8" spans="1:12" s="10" customFormat="1" x14ac:dyDescent="0.2">
      <c r="A8" s="10" t="s">
        <v>320</v>
      </c>
      <c r="B8" s="10">
        <v>1</v>
      </c>
      <c r="C8" s="10">
        <f>_xlfn.XLOOKUP(A8,敌人表!A:A,敌人表!F:F)</f>
        <v>550</v>
      </c>
      <c r="D8" s="10">
        <f>_xlfn.XLOOKUP(A8,敌人表!A:A,敌人表!G:G)</f>
        <v>130</v>
      </c>
      <c r="E8" s="10">
        <f>_xlfn.XLOOKUP(A8,敌人表!A:A,敌人表!H:H)</f>
        <v>0</v>
      </c>
      <c r="F8" s="10">
        <f>_xlfn.XLOOKUP(A8,敌人表!A:A,敌人表!I:I)</f>
        <v>0</v>
      </c>
    </row>
    <row r="9" spans="1:12" s="10" customFormat="1" x14ac:dyDescent="0.2"/>
    <row r="10" spans="1:12" s="10" customFormat="1" x14ac:dyDescent="0.2"/>
    <row r="12" spans="1:12" x14ac:dyDescent="0.2">
      <c r="B12" s="1" t="str" cm="1">
        <f t="array" ref="B12">IF(COUNTIF(技能表!A:A,计算器!A2)=0,"",IF(计算器!L2="","",IF(等级与精英!N36,等级与精英!B36:E37,IF(等级与精英!N39,等级与精英!B39:E40,IF(等级与精英!N42,等级与精英!B42:C43,IF(等级与精英!N45,等级与精英!B45:C46))))))</f>
        <v/>
      </c>
    </row>
    <row r="13" spans="1:12" x14ac:dyDescent="0.2">
      <c r="A13" s="1" t="s">
        <v>211</v>
      </c>
    </row>
    <row r="22" spans="20:20" x14ac:dyDescent="0.2">
      <c r="T22" s="1" t="s">
        <v>113</v>
      </c>
    </row>
    <row r="41" spans="2:2" x14ac:dyDescent="0.2">
      <c r="B41" s="1" t="s">
        <v>299</v>
      </c>
    </row>
  </sheetData>
  <dataConsolidate/>
  <phoneticPr fontId="1" type="noConversion"/>
  <dataValidations count="3">
    <dataValidation type="list" allowBlank="1" showInputMessage="1" showErrorMessage="1" sqref="A2" xr:uid="{F61945BF-2B19-4C4E-A153-1C0EF1F53AD1}">
      <formula1>干员</formula1>
    </dataValidation>
    <dataValidation type="whole" allowBlank="1" showInputMessage="1" showErrorMessage="1" sqref="E2" xr:uid="{9D13C60E-E629-4941-9FDA-0C7DBF85EDCE}">
      <formula1>0</formula1>
      <formula2>100</formula2>
    </dataValidation>
    <dataValidation type="list" allowBlank="1" showInputMessage="1" showErrorMessage="1" sqref="A8" xr:uid="{5EADC7D3-19E6-45CD-9FA9-E5920EDAE0A4}">
      <formula1>敌人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AAE69E1F-B721-4B97-B2F6-B0A6C09A7FD1}">
          <x14:formula1>
            <xm:f>IF(ISBLANK($B$5),"",等级与精英!$A$26:$C$26)</xm:f>
          </x14:formula1>
          <xm:sqref>C5</xm:sqref>
        </x14:dataValidation>
        <x14:dataValidation type="list" allowBlank="1" showInputMessage="1" showErrorMessage="1" xr:uid="{30244657-1447-460B-B8C0-184AE8E1468F}">
          <x14:formula1>
            <xm:f>等级与精英!$A$24:$C$24</xm:f>
          </x14:formula1>
          <xm:sqref>A5</xm:sqref>
        </x14:dataValidation>
        <x14:dataValidation type="list" allowBlank="1" showInputMessage="1" showErrorMessage="1" xr:uid="{0E55B68D-A467-460F-A8F9-B255FC56FCA2}">
          <x14:formula1>
            <xm:f>等级与精英!$A$33:$J$33</xm:f>
          </x14:formula1>
          <xm:sqref>L2</xm:sqref>
        </x14:dataValidation>
        <x14:dataValidation type="list" allowBlank="1" showInputMessage="1" showErrorMessage="1" xr:uid="{8D8114FC-45AE-4338-B7AB-60A4DBE63488}">
          <x14:formula1>
            <xm:f>INDIRECT("等级与精英!B3:B"&amp;(3+INDEX(等级与精英!B2:B7,MATCH(INDEX(干员表!B:B,MATCH(A2,干员表!A:A,0)),等级与精英!A2:A7,0))))</xm:f>
          </x14:formula1>
          <xm:sqref>B2</xm:sqref>
        </x14:dataValidation>
        <x14:dataValidation type="whole" allowBlank="1" showInputMessage="1" showErrorMessage="1" xr:uid="{6BC7E6A2-715A-4FC5-837F-0FFD623A7D09}">
          <x14:formula1>
            <xm:f>1</xm:f>
          </x14:formula1>
          <x14:formula2>
            <xm:f>INDEX((等级与精英!B12:D17),INDEX(干员表!B:B,MATCH(A2,干员表!A:A,0)),1+B2)</xm:f>
          </x14:formula2>
          <xm:sqref>C2</xm:sqref>
        </x14:dataValidation>
        <x14:dataValidation type="whole" allowBlank="1" showInputMessage="1" showErrorMessage="1" xr:uid="{820B49DC-E357-4E13-9394-EA1DDA859409}">
          <x14:formula1>
            <xm:f>1</xm:f>
          </x14:formula1>
          <x14:formula2>
            <xm:f>INDEX(干员表!E:E,MATCH(A2,干员表!A:A))</xm:f>
          </x14:formula2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74FB-027A-49D4-9B6C-318BBE18F164}">
  <dimension ref="A1:I4"/>
  <sheetViews>
    <sheetView workbookViewId="0">
      <selection activeCell="D4" sqref="D4"/>
    </sheetView>
  </sheetViews>
  <sheetFormatPr defaultRowHeight="14.25" x14ac:dyDescent="0.2"/>
  <sheetData>
    <row r="1" spans="1:9" x14ac:dyDescent="0.2">
      <c r="F1" t="s">
        <v>322</v>
      </c>
    </row>
    <row r="2" spans="1:9" x14ac:dyDescent="0.2">
      <c r="A2" t="s">
        <v>319</v>
      </c>
      <c r="B2" t="s">
        <v>329</v>
      </c>
      <c r="C2" t="s">
        <v>330</v>
      </c>
      <c r="D2" t="s">
        <v>331</v>
      </c>
      <c r="E2" t="s">
        <v>332</v>
      </c>
      <c r="F2" t="s">
        <v>323</v>
      </c>
      <c r="G2" t="s">
        <v>324</v>
      </c>
      <c r="H2" t="s">
        <v>325</v>
      </c>
      <c r="I2" t="s">
        <v>326</v>
      </c>
    </row>
    <row r="3" spans="1:9" x14ac:dyDescent="0.2">
      <c r="A3" t="s">
        <v>321</v>
      </c>
      <c r="F3">
        <v>550</v>
      </c>
      <c r="G3">
        <v>130</v>
      </c>
      <c r="H3">
        <v>0</v>
      </c>
      <c r="I3">
        <v>0</v>
      </c>
    </row>
    <row r="4" spans="1:9" x14ac:dyDescent="0.2">
      <c r="A4" t="s">
        <v>327</v>
      </c>
      <c r="B4" t="s">
        <v>333</v>
      </c>
      <c r="C4" t="s">
        <v>334</v>
      </c>
      <c r="F4">
        <v>800</v>
      </c>
      <c r="G4">
        <v>0</v>
      </c>
      <c r="H4">
        <v>50</v>
      </c>
      <c r="I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34129-FDF6-4B45-ACCF-720B29EDF94A}">
  <dimension ref="A1:AF2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N28" sqref="N28"/>
    </sheetView>
  </sheetViews>
  <sheetFormatPr defaultColWidth="9" defaultRowHeight="14.25" x14ac:dyDescent="0.2"/>
  <cols>
    <col min="1" max="16384" width="9" style="1"/>
  </cols>
  <sheetData>
    <row r="1" spans="1:32" x14ac:dyDescent="0.2">
      <c r="H1" s="1" t="s">
        <v>141</v>
      </c>
      <c r="L1" s="1" t="s">
        <v>140</v>
      </c>
      <c r="P1" s="1" t="s">
        <v>142</v>
      </c>
      <c r="T1" s="1" t="s">
        <v>143</v>
      </c>
      <c r="X1" s="1" t="s">
        <v>139</v>
      </c>
    </row>
    <row r="2" spans="1:32" x14ac:dyDescent="0.2">
      <c r="A2" s="1" t="s">
        <v>0</v>
      </c>
      <c r="B2" s="1" t="s">
        <v>92</v>
      </c>
      <c r="C2" s="1" t="s">
        <v>5</v>
      </c>
      <c r="D2" s="1" t="s">
        <v>6</v>
      </c>
      <c r="E2" s="1" t="s">
        <v>101</v>
      </c>
      <c r="F2" s="1" t="s">
        <v>91</v>
      </c>
      <c r="G2" s="1" t="s">
        <v>90</v>
      </c>
      <c r="H2" s="1" t="s">
        <v>3</v>
      </c>
      <c r="I2" s="1" t="s">
        <v>1</v>
      </c>
      <c r="J2" s="1" t="s">
        <v>2</v>
      </c>
      <c r="K2" s="1" t="s">
        <v>4</v>
      </c>
      <c r="L2" s="1" t="s">
        <v>106</v>
      </c>
      <c r="M2" s="1" t="s">
        <v>1</v>
      </c>
      <c r="N2" s="1" t="s">
        <v>2</v>
      </c>
      <c r="O2" s="1" t="s">
        <v>4</v>
      </c>
      <c r="P2" s="1" t="s">
        <v>106</v>
      </c>
      <c r="Q2" s="1" t="s">
        <v>1</v>
      </c>
      <c r="R2" s="1" t="s">
        <v>2</v>
      </c>
      <c r="S2" s="1" t="s">
        <v>4</v>
      </c>
      <c r="T2" s="1" t="s">
        <v>106</v>
      </c>
      <c r="U2" s="1" t="s">
        <v>1</v>
      </c>
      <c r="V2" s="1" t="s">
        <v>2</v>
      </c>
      <c r="W2" s="1" t="s">
        <v>4</v>
      </c>
      <c r="X2" s="1" t="s">
        <v>3</v>
      </c>
      <c r="Y2" s="1" t="s">
        <v>1</v>
      </c>
      <c r="Z2" s="1" t="s">
        <v>2</v>
      </c>
      <c r="AA2" s="1" t="s">
        <v>7</v>
      </c>
      <c r="AB2" s="1" t="s">
        <v>148</v>
      </c>
      <c r="AC2" s="1" t="s">
        <v>155</v>
      </c>
      <c r="AD2" s="1" t="s">
        <v>156</v>
      </c>
      <c r="AE2" s="1" t="s">
        <v>174</v>
      </c>
      <c r="AF2" s="1" t="s">
        <v>175</v>
      </c>
    </row>
    <row r="3" spans="1:32" x14ac:dyDescent="0.2">
      <c r="A3" s="1" t="s">
        <v>8</v>
      </c>
      <c r="B3" s="1">
        <v>1</v>
      </c>
      <c r="C3" s="1" t="s">
        <v>9</v>
      </c>
      <c r="D3" s="1" t="s">
        <v>102</v>
      </c>
      <c r="E3" s="1">
        <v>6</v>
      </c>
      <c r="F3" s="1" t="str">
        <f>INDEX(职业表!C:C,MATCH(干员表!D3,职业表!B:B,0))</f>
        <v>回复</v>
      </c>
      <c r="G3" s="1" t="str">
        <f>INDEX(职业表!D:D,MATCH(干员表!D3,职业表!B:B,0))</f>
        <v>无</v>
      </c>
      <c r="H3" s="1">
        <v>261</v>
      </c>
      <c r="I3" s="1">
        <v>42</v>
      </c>
      <c r="J3" s="1">
        <v>16</v>
      </c>
      <c r="K3" s="1">
        <v>0</v>
      </c>
      <c r="L3" s="1">
        <v>435</v>
      </c>
      <c r="M3" s="1">
        <v>70</v>
      </c>
      <c r="N3" s="1">
        <v>27</v>
      </c>
      <c r="O3" s="1">
        <v>0</v>
      </c>
      <c r="X3" s="1">
        <v>100</v>
      </c>
      <c r="Y3" s="1">
        <v>40</v>
      </c>
      <c r="AA3" s="1">
        <f>INDEX(职业表!E:E,MATCH(干员表!D3,职业表!B:B,0))</f>
        <v>2.85</v>
      </c>
      <c r="AB3" s="1">
        <v>1</v>
      </c>
      <c r="AC3" s="1" t="s">
        <v>150</v>
      </c>
      <c r="AD3" s="1" t="s">
        <v>157</v>
      </c>
    </row>
    <row r="4" spans="1:32" x14ac:dyDescent="0.2">
      <c r="A4" s="1" t="s">
        <v>95</v>
      </c>
      <c r="B4" s="1">
        <v>1</v>
      </c>
      <c r="C4" s="1" t="s">
        <v>103</v>
      </c>
      <c r="D4" s="1" t="s">
        <v>111</v>
      </c>
      <c r="E4" s="1">
        <v>6</v>
      </c>
      <c r="F4" s="1" t="str">
        <f>INDEX(职业表!C:C,MATCH(干员表!D4,职业表!B:B,0))</f>
        <v>物理</v>
      </c>
      <c r="G4" s="1" t="str">
        <f>INDEX(职业表!D:D,MATCH(干员表!D4,职业表!B:B,0))</f>
        <v>无</v>
      </c>
      <c r="H4" s="1">
        <v>928</v>
      </c>
      <c r="I4" s="1">
        <v>247</v>
      </c>
      <c r="J4" s="1">
        <v>63</v>
      </c>
      <c r="K4" s="1">
        <v>0</v>
      </c>
      <c r="L4" s="1">
        <v>1191</v>
      </c>
      <c r="M4" s="1">
        <v>353</v>
      </c>
      <c r="N4" s="1">
        <v>90</v>
      </c>
      <c r="O4" s="1">
        <v>0</v>
      </c>
      <c r="X4" s="1">
        <v>200</v>
      </c>
      <c r="Y4" s="1">
        <v>60</v>
      </c>
      <c r="AA4" s="1">
        <f>INDEX(职业表!E:E,MATCH(干员表!D4,职业表!B:B,0))</f>
        <v>1.5</v>
      </c>
      <c r="AB4" s="1">
        <v>1</v>
      </c>
      <c r="AC4" s="1" t="s">
        <v>150</v>
      </c>
      <c r="AD4" s="1" t="s">
        <v>157</v>
      </c>
    </row>
    <row r="5" spans="1:32" x14ac:dyDescent="0.2">
      <c r="A5" s="1" t="s">
        <v>96</v>
      </c>
      <c r="B5" s="1">
        <v>2</v>
      </c>
      <c r="C5" s="1" t="s">
        <v>11</v>
      </c>
      <c r="D5" s="1" t="s">
        <v>112</v>
      </c>
      <c r="E5" s="1">
        <v>6</v>
      </c>
      <c r="F5" s="1" t="str">
        <f>INDEX(职业表!C:C,MATCH(干员表!D5,职业表!B:B,0))</f>
        <v>物理</v>
      </c>
      <c r="G5" s="1" t="str">
        <f>INDEX(职业表!D:D,MATCH(干员表!D5,职业表!B:B,0))</f>
        <v>无</v>
      </c>
      <c r="H5" s="1">
        <v>721</v>
      </c>
      <c r="I5" s="1">
        <v>150</v>
      </c>
      <c r="J5" s="1">
        <v>134</v>
      </c>
      <c r="K5" s="1">
        <v>0</v>
      </c>
      <c r="L5" s="1">
        <v>1030</v>
      </c>
      <c r="M5" s="1">
        <v>232</v>
      </c>
      <c r="N5" s="1">
        <v>192</v>
      </c>
      <c r="O5" s="1">
        <v>0</v>
      </c>
      <c r="Y5" s="1">
        <v>30</v>
      </c>
      <c r="AA5" s="1">
        <f>INDEX(职业表!E:E,MATCH(干员表!D5,职业表!B:B,0))</f>
        <v>1.05</v>
      </c>
      <c r="AB5" s="1">
        <v>1</v>
      </c>
      <c r="AC5" s="1" t="s">
        <v>149</v>
      </c>
      <c r="AD5" s="1" t="s">
        <v>157</v>
      </c>
    </row>
    <row r="6" spans="1:32" x14ac:dyDescent="0.2">
      <c r="A6" s="1" t="s">
        <v>97</v>
      </c>
      <c r="B6" s="1">
        <v>2</v>
      </c>
      <c r="C6" s="1" t="s">
        <v>104</v>
      </c>
      <c r="D6" s="1" t="s">
        <v>131</v>
      </c>
      <c r="E6" s="1">
        <v>6</v>
      </c>
      <c r="F6" s="1" t="str">
        <f>INDEX(职业表!C:C,MATCH(干员表!D6,职业表!B:B,0))</f>
        <v>物理</v>
      </c>
      <c r="G6" s="1" t="str">
        <f>INDEX(职业表!D:D,MATCH(干员表!D6,职业表!B:B,0))</f>
        <v>无</v>
      </c>
      <c r="H6" s="1">
        <v>1219</v>
      </c>
      <c r="I6" s="1">
        <v>180</v>
      </c>
      <c r="J6" s="1">
        <v>220</v>
      </c>
      <c r="K6" s="1">
        <v>0</v>
      </c>
      <c r="L6" s="1">
        <v>1670</v>
      </c>
      <c r="M6" s="1">
        <v>240</v>
      </c>
      <c r="N6" s="1">
        <v>315</v>
      </c>
      <c r="O6" s="1">
        <v>0</v>
      </c>
      <c r="Z6" s="1">
        <v>40</v>
      </c>
      <c r="AA6" s="1">
        <f>INDEX(职业表!E:E,MATCH(干员表!D6,职业表!B:B,0))</f>
        <v>1.2</v>
      </c>
      <c r="AB6" s="1">
        <v>1</v>
      </c>
      <c r="AC6" s="1" t="s">
        <v>149</v>
      </c>
      <c r="AD6" s="1" t="s">
        <v>157</v>
      </c>
    </row>
    <row r="7" spans="1:32" x14ac:dyDescent="0.2">
      <c r="A7" s="1" t="s">
        <v>98</v>
      </c>
      <c r="B7" s="1">
        <v>2</v>
      </c>
      <c r="C7" s="1" t="s">
        <v>130</v>
      </c>
      <c r="D7" s="1" t="s">
        <v>132</v>
      </c>
      <c r="E7" s="1">
        <v>6</v>
      </c>
      <c r="F7" s="1" t="str">
        <f>INDEX(职业表!C:C,MATCH(干员表!D7,职业表!B:B,0))</f>
        <v>物理</v>
      </c>
      <c r="G7" s="1" t="str">
        <f>INDEX(职业表!D:D,MATCH(干员表!D7,职业表!B:B,0))</f>
        <v>无</v>
      </c>
      <c r="H7" s="1">
        <v>546</v>
      </c>
      <c r="I7" s="1">
        <v>161</v>
      </c>
      <c r="J7" s="1">
        <v>46</v>
      </c>
      <c r="K7" s="1">
        <v>0</v>
      </c>
      <c r="L7" s="1">
        <v>780</v>
      </c>
      <c r="M7" s="1">
        <v>269</v>
      </c>
      <c r="N7" s="1">
        <v>66</v>
      </c>
      <c r="O7" s="1">
        <v>0</v>
      </c>
      <c r="Y7" s="1">
        <v>30</v>
      </c>
      <c r="AA7" s="1">
        <f>INDEX(职业表!E:E,MATCH(干员表!D7,职业表!B:B,0))</f>
        <v>1</v>
      </c>
      <c r="AB7" s="1">
        <v>1</v>
      </c>
      <c r="AC7" s="1" t="s">
        <v>149</v>
      </c>
      <c r="AD7" s="1" t="s">
        <v>157</v>
      </c>
    </row>
    <row r="8" spans="1:32" x14ac:dyDescent="0.2">
      <c r="A8" s="1" t="s">
        <v>114</v>
      </c>
      <c r="B8" s="1">
        <v>2</v>
      </c>
      <c r="C8" s="1" t="s">
        <v>10</v>
      </c>
      <c r="D8" s="1" t="s">
        <v>134</v>
      </c>
      <c r="E8" s="1">
        <v>6</v>
      </c>
      <c r="F8" s="1" t="str">
        <f>INDEX(职业表!C:C,MATCH(干员表!D8,职业表!B:B,0))</f>
        <v>法术</v>
      </c>
      <c r="G8" s="1" t="str">
        <f>INDEX(职业表!D:D,MATCH(干员表!D8,职业表!B:B,0))</f>
        <v>无</v>
      </c>
      <c r="H8" s="1">
        <v>571</v>
      </c>
      <c r="I8" s="1">
        <v>238</v>
      </c>
      <c r="J8" s="1">
        <v>36</v>
      </c>
      <c r="K8" s="1">
        <v>10</v>
      </c>
      <c r="L8" s="1">
        <v>952</v>
      </c>
      <c r="M8" s="1">
        <v>340</v>
      </c>
      <c r="N8" s="1">
        <v>62</v>
      </c>
      <c r="O8" s="1">
        <v>10</v>
      </c>
      <c r="Y8" s="1">
        <v>30</v>
      </c>
      <c r="AA8" s="1">
        <f>INDEX(职业表!E:E,MATCH(干员表!D8,职业表!B:B,0))</f>
        <v>1.6</v>
      </c>
      <c r="AB8" s="1">
        <v>1</v>
      </c>
      <c r="AC8" s="1" t="s">
        <v>149</v>
      </c>
      <c r="AD8" s="1" t="s">
        <v>157</v>
      </c>
    </row>
    <row r="9" spans="1:32" x14ac:dyDescent="0.2">
      <c r="A9" s="1" t="s">
        <v>115</v>
      </c>
      <c r="B9" s="1">
        <v>2</v>
      </c>
      <c r="C9" s="1" t="s">
        <v>10</v>
      </c>
      <c r="D9" s="1" t="s">
        <v>51</v>
      </c>
      <c r="E9" s="1">
        <v>6</v>
      </c>
      <c r="F9" s="1" t="str">
        <f>INDEX(职业表!C:C,MATCH(干员表!D9,职业表!B:B,0))</f>
        <v>法术</v>
      </c>
      <c r="G9" s="1" t="str">
        <f>INDEX(职业表!D:D,MATCH(干员表!D9,职业表!B:B,0))</f>
        <v>无</v>
      </c>
      <c r="H9" s="1">
        <v>1461</v>
      </c>
      <c r="I9" s="1">
        <v>302</v>
      </c>
      <c r="J9" s="1">
        <v>31</v>
      </c>
      <c r="K9" s="1">
        <v>10</v>
      </c>
      <c r="L9" s="1">
        <v>1461</v>
      </c>
      <c r="M9" s="1">
        <v>432</v>
      </c>
      <c r="N9" s="1">
        <v>50</v>
      </c>
      <c r="O9" s="1">
        <v>10</v>
      </c>
      <c r="Y9" s="1">
        <v>50</v>
      </c>
      <c r="AA9" s="1">
        <f>INDEX(职业表!E:E,MATCH(干员表!D9,职业表!B:B,0))</f>
        <v>2.9</v>
      </c>
      <c r="AB9" s="1">
        <v>1</v>
      </c>
      <c r="AC9" s="1" t="s">
        <v>149</v>
      </c>
      <c r="AD9" s="1" t="s">
        <v>157</v>
      </c>
    </row>
    <row r="10" spans="1:32" x14ac:dyDescent="0.2">
      <c r="A10" s="1" t="s">
        <v>116</v>
      </c>
      <c r="B10" s="1">
        <v>3</v>
      </c>
      <c r="C10" s="1" t="s">
        <v>11</v>
      </c>
      <c r="D10" s="1" t="s">
        <v>112</v>
      </c>
      <c r="E10" s="1">
        <v>6</v>
      </c>
      <c r="F10" s="1" t="str">
        <f>INDEX(职业表!C:C,MATCH(干员表!D10,职业表!B:B,0))</f>
        <v>物理</v>
      </c>
      <c r="G10" s="1" t="str">
        <f>INDEX(职业表!D:D,MATCH(干员表!D10,职业表!B:B,0))</f>
        <v>无</v>
      </c>
      <c r="H10" s="1">
        <v>742</v>
      </c>
      <c r="I10" s="1">
        <v>157</v>
      </c>
      <c r="J10" s="1">
        <v>130</v>
      </c>
      <c r="K10" s="1">
        <v>0</v>
      </c>
      <c r="L10" s="1">
        <v>1060</v>
      </c>
      <c r="M10" s="1">
        <v>235</v>
      </c>
      <c r="N10" s="1">
        <v>187</v>
      </c>
      <c r="O10" s="1">
        <v>0</v>
      </c>
      <c r="P10" s="1">
        <v>1325</v>
      </c>
      <c r="Q10" s="1">
        <v>325</v>
      </c>
      <c r="R10" s="1">
        <v>260</v>
      </c>
      <c r="S10" s="1">
        <v>0</v>
      </c>
      <c r="Z10" s="1">
        <v>50</v>
      </c>
      <c r="AA10" s="1">
        <f>INDEX(职业表!E:E,MATCH(干员表!D10,职业表!B:B,0))</f>
        <v>1.05</v>
      </c>
      <c r="AB10" s="1">
        <v>1</v>
      </c>
      <c r="AC10" s="1" t="s">
        <v>149</v>
      </c>
      <c r="AD10" s="1" t="s">
        <v>157</v>
      </c>
    </row>
    <row r="11" spans="1:32" x14ac:dyDescent="0.2">
      <c r="A11" s="1" t="s">
        <v>117</v>
      </c>
      <c r="B11" s="1">
        <v>3</v>
      </c>
      <c r="C11" s="1" t="s">
        <v>11</v>
      </c>
      <c r="D11" s="1" t="s">
        <v>112</v>
      </c>
      <c r="E11" s="1">
        <v>6</v>
      </c>
      <c r="F11" s="1" t="str">
        <f>INDEX(职业表!C:C,MATCH(干员表!D11,职业表!B:B,0))</f>
        <v>物理</v>
      </c>
      <c r="G11" s="1" t="str">
        <f>INDEX(职业表!D:D,MATCH(干员表!D11,职业表!B:B,0))</f>
        <v>无</v>
      </c>
      <c r="H11" s="1">
        <v>711</v>
      </c>
      <c r="I11" s="1">
        <v>168</v>
      </c>
      <c r="J11" s="1">
        <v>128</v>
      </c>
      <c r="K11" s="1">
        <v>0</v>
      </c>
      <c r="L11" s="1">
        <v>1016</v>
      </c>
      <c r="M11" s="1">
        <v>248</v>
      </c>
      <c r="N11" s="1">
        <v>184</v>
      </c>
      <c r="O11" s="1">
        <v>0</v>
      </c>
      <c r="P11" s="1">
        <v>1270</v>
      </c>
      <c r="Q11" s="1">
        <v>355</v>
      </c>
      <c r="R11" s="1">
        <v>240</v>
      </c>
      <c r="S11" s="1">
        <v>0</v>
      </c>
      <c r="Y11" s="1">
        <v>50</v>
      </c>
      <c r="AA11" s="1">
        <f>INDEX(职业表!E:E,MATCH(干员表!D11,职业表!B:B,0))</f>
        <v>1.05</v>
      </c>
      <c r="AB11" s="1">
        <v>1</v>
      </c>
      <c r="AC11" s="1" t="s">
        <v>149</v>
      </c>
      <c r="AD11" s="1" t="s">
        <v>157</v>
      </c>
    </row>
    <row r="12" spans="1:32" x14ac:dyDescent="0.2">
      <c r="A12" s="1" t="s">
        <v>118</v>
      </c>
      <c r="B12" s="1">
        <v>3</v>
      </c>
      <c r="C12" s="1" t="s">
        <v>11</v>
      </c>
      <c r="D12" s="1" t="s">
        <v>133</v>
      </c>
      <c r="E12" s="1">
        <v>6</v>
      </c>
      <c r="F12" s="1" t="str">
        <f>INDEX(职业表!C:C,MATCH(干员表!D12,职业表!B:B,0))</f>
        <v>物理</v>
      </c>
      <c r="G12" s="1" t="str">
        <f>INDEX(职业表!D:D,MATCH(干员表!D12,职业表!B:B,0))</f>
        <v>无</v>
      </c>
      <c r="H12" s="1">
        <v>688</v>
      </c>
      <c r="I12" s="1">
        <v>229</v>
      </c>
      <c r="J12" s="1">
        <v>148</v>
      </c>
      <c r="K12" s="1">
        <v>0</v>
      </c>
      <c r="L12" s="1">
        <v>956</v>
      </c>
      <c r="M12" s="1">
        <v>333</v>
      </c>
      <c r="N12" s="1">
        <v>212</v>
      </c>
      <c r="O12" s="1">
        <v>0</v>
      </c>
      <c r="P12" s="1">
        <v>1226</v>
      </c>
      <c r="Q12" s="1">
        <v>445</v>
      </c>
      <c r="R12" s="1">
        <v>279</v>
      </c>
      <c r="S12" s="1">
        <v>0</v>
      </c>
      <c r="Y12" s="1">
        <v>50</v>
      </c>
      <c r="AA12" s="1">
        <f>INDEX(职业表!E:E,MATCH(干员表!D12,职业表!B:B,0))</f>
        <v>1</v>
      </c>
      <c r="AB12" s="1">
        <v>1</v>
      </c>
      <c r="AC12" s="1" t="s">
        <v>149</v>
      </c>
      <c r="AD12" s="1" t="s">
        <v>157</v>
      </c>
    </row>
    <row r="13" spans="1:32" x14ac:dyDescent="0.2">
      <c r="A13" s="1" t="s">
        <v>119</v>
      </c>
      <c r="B13" s="1">
        <v>3</v>
      </c>
      <c r="C13" s="1" t="s">
        <v>103</v>
      </c>
      <c r="D13" s="1" t="s">
        <v>111</v>
      </c>
      <c r="E13" s="1">
        <v>6</v>
      </c>
      <c r="F13" s="1" t="str">
        <f>INDEX(职业表!C:C,MATCH(干员表!D13,职业表!B:B,0))</f>
        <v>物理</v>
      </c>
      <c r="G13" s="1" t="str">
        <f>INDEX(职业表!D:D,MATCH(干员表!D13,职业表!B:B,0))</f>
        <v>无</v>
      </c>
      <c r="H13" s="1">
        <v>1395</v>
      </c>
      <c r="I13" s="1">
        <v>396</v>
      </c>
      <c r="J13" s="1">
        <v>83</v>
      </c>
      <c r="K13" s="1">
        <v>0</v>
      </c>
      <c r="L13" s="1">
        <v>1993</v>
      </c>
      <c r="M13" s="1">
        <v>583</v>
      </c>
      <c r="N13" s="1">
        <v>119</v>
      </c>
      <c r="O13" s="1">
        <v>0</v>
      </c>
      <c r="P13" s="1">
        <v>2745</v>
      </c>
      <c r="Q13" s="1">
        <v>738</v>
      </c>
      <c r="R13" s="1">
        <v>155</v>
      </c>
      <c r="S13" s="1">
        <v>0</v>
      </c>
      <c r="Y13" s="1">
        <v>65</v>
      </c>
      <c r="AA13" s="1">
        <f>INDEX(职业表!E:E,MATCH(干员表!D13,职业表!B:B,0))</f>
        <v>1.5</v>
      </c>
      <c r="AB13" s="1">
        <v>1</v>
      </c>
      <c r="AC13" s="1" t="s">
        <v>151</v>
      </c>
      <c r="AD13" s="1" t="s">
        <v>157</v>
      </c>
    </row>
    <row r="14" spans="1:32" x14ac:dyDescent="0.2">
      <c r="A14" s="1" t="s">
        <v>120</v>
      </c>
      <c r="B14" s="1">
        <v>3</v>
      </c>
      <c r="C14" s="1" t="s">
        <v>104</v>
      </c>
      <c r="D14" s="1" t="s">
        <v>131</v>
      </c>
      <c r="E14" s="1">
        <v>6</v>
      </c>
      <c r="F14" s="1" t="str">
        <f>INDEX(职业表!C:C,MATCH(干员表!D14,职业表!B:B,0))</f>
        <v>物理</v>
      </c>
      <c r="G14" s="1" t="str">
        <f>INDEX(职业表!D:D,MATCH(干员表!D14,职业表!B:B,0))</f>
        <v>无</v>
      </c>
      <c r="H14" s="1">
        <v>1197</v>
      </c>
      <c r="I14" s="1">
        <v>190</v>
      </c>
      <c r="J14" s="1">
        <v>229</v>
      </c>
      <c r="K14" s="1">
        <v>0</v>
      </c>
      <c r="L14" s="1">
        <v>1597</v>
      </c>
      <c r="M14" s="1">
        <v>244</v>
      </c>
      <c r="N14" s="1">
        <v>342</v>
      </c>
      <c r="O14" s="1">
        <v>0</v>
      </c>
      <c r="P14" s="1">
        <v>2130</v>
      </c>
      <c r="Q14" s="1">
        <v>305</v>
      </c>
      <c r="R14" s="1">
        <v>475</v>
      </c>
      <c r="S14" s="1">
        <v>0</v>
      </c>
      <c r="X14" s="1">
        <v>300</v>
      </c>
      <c r="AA14" s="1">
        <f>INDEX(职业表!E:E,MATCH(干员表!D14,职业表!B:B,0))</f>
        <v>1.2</v>
      </c>
      <c r="AB14" s="1">
        <v>1</v>
      </c>
      <c r="AC14" s="1" t="s">
        <v>149</v>
      </c>
      <c r="AD14" s="1" t="s">
        <v>157</v>
      </c>
    </row>
    <row r="15" spans="1:32" x14ac:dyDescent="0.2">
      <c r="A15" s="1" t="s">
        <v>121</v>
      </c>
      <c r="B15" s="1">
        <v>3</v>
      </c>
      <c r="C15" s="1" t="s">
        <v>104</v>
      </c>
      <c r="D15" s="1" t="s">
        <v>131</v>
      </c>
      <c r="E15" s="1">
        <v>6</v>
      </c>
      <c r="F15" s="1" t="str">
        <f>INDEX(职业表!C:C,MATCH(干员表!D15,职业表!B:B,0))</f>
        <v>物理</v>
      </c>
      <c r="G15" s="1" t="str">
        <f>INDEX(职业表!D:D,MATCH(干员表!D15,职业表!B:B,0))</f>
        <v>无</v>
      </c>
      <c r="H15" s="1">
        <v>1144</v>
      </c>
      <c r="I15" s="1">
        <v>184</v>
      </c>
      <c r="J15" s="1">
        <v>242</v>
      </c>
      <c r="K15" s="1">
        <v>0</v>
      </c>
      <c r="L15" s="1">
        <v>1526</v>
      </c>
      <c r="M15" s="1">
        <v>236</v>
      </c>
      <c r="N15" s="1">
        <v>362</v>
      </c>
      <c r="O15" s="1">
        <v>0</v>
      </c>
      <c r="P15" s="1">
        <v>2035</v>
      </c>
      <c r="Q15" s="1">
        <v>295</v>
      </c>
      <c r="R15" s="1">
        <v>490</v>
      </c>
      <c r="S15" s="1">
        <v>0</v>
      </c>
      <c r="Z15" s="1">
        <v>60</v>
      </c>
      <c r="AA15" s="1">
        <f>INDEX(职业表!E:E,MATCH(干员表!D15,职业表!B:B,0))</f>
        <v>1.2</v>
      </c>
      <c r="AB15" s="1">
        <v>1</v>
      </c>
      <c r="AC15" s="1" t="s">
        <v>151</v>
      </c>
      <c r="AD15" s="1" t="s">
        <v>157</v>
      </c>
    </row>
    <row r="16" spans="1:32" x14ac:dyDescent="0.2">
      <c r="A16" s="1" t="s">
        <v>122</v>
      </c>
      <c r="B16" s="1">
        <v>3</v>
      </c>
      <c r="C16" s="1" t="s">
        <v>130</v>
      </c>
      <c r="D16" s="1" t="s">
        <v>132</v>
      </c>
      <c r="E16" s="1">
        <v>6</v>
      </c>
      <c r="F16" s="1" t="str">
        <f>INDEX(职业表!C:C,MATCH(干员表!D16,职业表!B:B,0))</f>
        <v>物理</v>
      </c>
      <c r="G16" s="1" t="str">
        <f>INDEX(职业表!D:D,MATCH(干员表!D16,职业表!B:B,0))</f>
        <v>无</v>
      </c>
      <c r="H16" s="1">
        <v>545</v>
      </c>
      <c r="I16" s="1">
        <v>154</v>
      </c>
      <c r="J16" s="1">
        <v>52</v>
      </c>
      <c r="K16" s="1">
        <v>0</v>
      </c>
      <c r="L16" s="1">
        <v>826</v>
      </c>
      <c r="M16" s="1">
        <v>258</v>
      </c>
      <c r="N16" s="1">
        <v>88</v>
      </c>
      <c r="O16" s="1">
        <v>0</v>
      </c>
      <c r="P16" s="1">
        <v>1060</v>
      </c>
      <c r="Q16" s="1">
        <v>375</v>
      </c>
      <c r="R16" s="1">
        <v>126</v>
      </c>
      <c r="S16" s="1">
        <v>0</v>
      </c>
      <c r="Y16" s="1">
        <v>50</v>
      </c>
      <c r="AA16" s="1">
        <f>INDEX(职业表!E:E,MATCH(干员表!D16,职业表!B:B,0))</f>
        <v>1</v>
      </c>
      <c r="AB16" s="1">
        <v>1</v>
      </c>
      <c r="AC16" s="1" t="s">
        <v>149</v>
      </c>
      <c r="AD16" s="1" t="s">
        <v>157</v>
      </c>
    </row>
    <row r="17" spans="1:32" x14ac:dyDescent="0.2">
      <c r="A17" s="1" t="s">
        <v>123</v>
      </c>
      <c r="B17" s="1">
        <v>3</v>
      </c>
      <c r="C17" s="1" t="s">
        <v>130</v>
      </c>
      <c r="D17" s="1" t="s">
        <v>132</v>
      </c>
      <c r="E17" s="1">
        <v>6</v>
      </c>
      <c r="F17" s="1" t="str">
        <f>INDEX(职业表!C:C,MATCH(干员表!D17,职业表!B:B,0))</f>
        <v>物理</v>
      </c>
      <c r="G17" s="1" t="str">
        <f>INDEX(职业表!D:D,MATCH(干员表!D17,职业表!B:B,0))</f>
        <v>无</v>
      </c>
      <c r="H17" s="1">
        <v>531</v>
      </c>
      <c r="I17" s="1">
        <v>150</v>
      </c>
      <c r="J17" s="1">
        <v>55</v>
      </c>
      <c r="K17" s="1">
        <v>0</v>
      </c>
      <c r="L17" s="1">
        <v>831</v>
      </c>
      <c r="M17" s="1">
        <v>251</v>
      </c>
      <c r="N17" s="1">
        <v>93</v>
      </c>
      <c r="O17" s="1">
        <v>0</v>
      </c>
      <c r="P17" s="1">
        <v>1080</v>
      </c>
      <c r="Q17" s="1">
        <v>365</v>
      </c>
      <c r="R17" s="1">
        <v>134</v>
      </c>
      <c r="S17" s="1">
        <v>0</v>
      </c>
      <c r="Y17" s="1">
        <v>50</v>
      </c>
      <c r="AA17" s="1">
        <f>INDEX(职业表!E:E,MATCH(干员表!D17,职业表!B:B,0))</f>
        <v>1</v>
      </c>
      <c r="AB17" s="1">
        <v>1</v>
      </c>
      <c r="AC17" s="1" t="s">
        <v>149</v>
      </c>
      <c r="AD17" s="1" t="s">
        <v>157</v>
      </c>
    </row>
    <row r="18" spans="1:32" x14ac:dyDescent="0.2">
      <c r="A18" s="1" t="s">
        <v>124</v>
      </c>
      <c r="B18" s="1">
        <v>3</v>
      </c>
      <c r="C18" s="1" t="s">
        <v>10</v>
      </c>
      <c r="D18" s="1" t="s">
        <v>51</v>
      </c>
      <c r="E18" s="1">
        <v>6</v>
      </c>
      <c r="F18" s="1" t="str">
        <f>INDEX(职业表!C:C,MATCH(干员表!D18,职业表!B:B,0))</f>
        <v>法术</v>
      </c>
      <c r="G18" s="1" t="str">
        <f>INDEX(职业表!D:D,MATCH(干员表!D18,职业表!B:B,0))</f>
        <v>无</v>
      </c>
      <c r="H18" s="1">
        <v>614</v>
      </c>
      <c r="I18" s="1">
        <v>321</v>
      </c>
      <c r="J18" s="1">
        <v>41</v>
      </c>
      <c r="K18" s="1">
        <v>10</v>
      </c>
      <c r="L18" s="1">
        <v>878</v>
      </c>
      <c r="M18" s="1">
        <v>453</v>
      </c>
      <c r="N18" s="1">
        <v>69</v>
      </c>
      <c r="O18" s="1">
        <v>10</v>
      </c>
      <c r="P18" s="1">
        <v>1141</v>
      </c>
      <c r="Q18" s="1">
        <v>582</v>
      </c>
      <c r="R18" s="1">
        <v>95</v>
      </c>
      <c r="S18" s="1">
        <v>15</v>
      </c>
      <c r="Y18" s="1">
        <v>60</v>
      </c>
      <c r="AA18" s="1">
        <f>INDEX(职业表!E:E,MATCH(干员表!D18,职业表!B:B,0))</f>
        <v>2.9</v>
      </c>
      <c r="AB18" s="1">
        <v>1</v>
      </c>
      <c r="AC18" s="1" t="s">
        <v>149</v>
      </c>
      <c r="AD18" s="1" t="s">
        <v>157</v>
      </c>
    </row>
    <row r="19" spans="1:32" x14ac:dyDescent="0.2">
      <c r="A19" s="1" t="s">
        <v>125</v>
      </c>
      <c r="B19" s="1">
        <v>3</v>
      </c>
      <c r="C19" s="1" t="s">
        <v>46</v>
      </c>
      <c r="D19" s="1" t="s">
        <v>102</v>
      </c>
      <c r="E19" s="1">
        <v>6</v>
      </c>
      <c r="F19" s="1" t="str">
        <f>INDEX(职业表!C:C,MATCH(干员表!D19,职业表!B:B,0))</f>
        <v>回复</v>
      </c>
      <c r="G19" s="1" t="str">
        <f>INDEX(职业表!D:D,MATCH(干员表!D19,职业表!B:B,0))</f>
        <v>无</v>
      </c>
      <c r="H19" s="1">
        <v>682</v>
      </c>
      <c r="I19" s="1">
        <v>153</v>
      </c>
      <c r="J19" s="1">
        <v>61</v>
      </c>
      <c r="K19" s="1">
        <v>0</v>
      </c>
      <c r="L19" s="1">
        <v>975</v>
      </c>
      <c r="M19" s="1">
        <v>248</v>
      </c>
      <c r="N19" s="1">
        <v>82</v>
      </c>
      <c r="O19" s="1">
        <v>0</v>
      </c>
      <c r="P19" s="1">
        <v>1220</v>
      </c>
      <c r="Q19" s="1">
        <v>345</v>
      </c>
      <c r="R19" s="1">
        <v>110</v>
      </c>
      <c r="S19" s="1">
        <v>0</v>
      </c>
      <c r="Y19" s="1">
        <v>45</v>
      </c>
      <c r="AA19" s="1">
        <f>INDEX(职业表!E:E,MATCH(干员表!D19,职业表!B:B,0))</f>
        <v>2.85</v>
      </c>
      <c r="AB19" s="1">
        <v>1</v>
      </c>
      <c r="AC19" s="1" t="s">
        <v>149</v>
      </c>
      <c r="AD19" s="1" t="s">
        <v>157</v>
      </c>
    </row>
    <row r="20" spans="1:32" x14ac:dyDescent="0.2">
      <c r="A20" s="1" t="s">
        <v>126</v>
      </c>
      <c r="B20" s="1">
        <v>3</v>
      </c>
      <c r="C20" s="1" t="s">
        <v>46</v>
      </c>
      <c r="D20" s="1" t="s">
        <v>102</v>
      </c>
      <c r="E20" s="1">
        <v>6</v>
      </c>
      <c r="F20" s="1" t="str">
        <f>INDEX(职业表!C:C,MATCH(干员表!D20,职业表!B:B,0))</f>
        <v>回复</v>
      </c>
      <c r="G20" s="1" t="str">
        <f>INDEX(职业表!D:D,MATCH(干员表!D20,职业表!B:B,0))</f>
        <v>无</v>
      </c>
      <c r="H20" s="1">
        <v>634</v>
      </c>
      <c r="I20" s="1">
        <v>156</v>
      </c>
      <c r="J20" s="1">
        <v>60</v>
      </c>
      <c r="K20" s="1">
        <v>0</v>
      </c>
      <c r="L20" s="1">
        <v>907</v>
      </c>
      <c r="M20" s="1">
        <v>257</v>
      </c>
      <c r="N20" s="1">
        <v>81</v>
      </c>
      <c r="O20" s="2">
        <v>0</v>
      </c>
      <c r="P20" s="1">
        <v>1135</v>
      </c>
      <c r="Q20" s="1">
        <v>362</v>
      </c>
      <c r="R20" s="1">
        <v>109</v>
      </c>
      <c r="S20" s="1">
        <v>0</v>
      </c>
      <c r="Y20" s="1">
        <v>45</v>
      </c>
      <c r="AA20" s="1">
        <f>INDEX(职业表!E:E,MATCH(干员表!D20,职业表!B:B,0))</f>
        <v>2.85</v>
      </c>
      <c r="AB20" s="1">
        <v>1</v>
      </c>
      <c r="AC20" s="1" t="s">
        <v>150</v>
      </c>
      <c r="AD20" s="1" t="s">
        <v>157</v>
      </c>
    </row>
    <row r="21" spans="1:32" x14ac:dyDescent="0.2">
      <c r="A21" s="1" t="s">
        <v>127</v>
      </c>
      <c r="B21" s="1">
        <v>3</v>
      </c>
      <c r="C21" s="1" t="s">
        <v>10</v>
      </c>
      <c r="D21" s="1" t="s">
        <v>50</v>
      </c>
      <c r="E21" s="1">
        <v>6</v>
      </c>
      <c r="F21" s="1" t="str">
        <f>INDEX(职业表!C:C,MATCH(干员表!D21,职业表!B:B,0))</f>
        <v>法术</v>
      </c>
      <c r="G21" s="1" t="str">
        <f>INDEX(职业表!D:D,MATCH(干员表!D21,职业表!B:B,0))</f>
        <v>无</v>
      </c>
      <c r="H21" s="1">
        <v>592</v>
      </c>
      <c r="I21" s="1">
        <v>249</v>
      </c>
      <c r="J21" s="1">
        <v>38</v>
      </c>
      <c r="K21" s="1">
        <v>10</v>
      </c>
      <c r="L21" s="1">
        <v>847</v>
      </c>
      <c r="M21" s="1">
        <v>357</v>
      </c>
      <c r="N21" s="1">
        <v>65</v>
      </c>
      <c r="O21" s="1">
        <v>10</v>
      </c>
      <c r="P21" s="1">
        <v>110</v>
      </c>
      <c r="Q21" s="1">
        <v>47</v>
      </c>
      <c r="R21" s="1">
        <v>90</v>
      </c>
      <c r="S21" s="1">
        <v>15</v>
      </c>
      <c r="Y21" s="1">
        <v>50</v>
      </c>
      <c r="AA21" s="1">
        <f>INDEX(职业表!E:E,MATCH(干员表!D21,职业表!B:B,0))</f>
        <v>1.6</v>
      </c>
      <c r="AB21" s="1">
        <v>1</v>
      </c>
      <c r="AC21" s="1" t="s">
        <v>149</v>
      </c>
      <c r="AD21" s="1" t="s">
        <v>157</v>
      </c>
    </row>
    <row r="22" spans="1:32" x14ac:dyDescent="0.2">
      <c r="A22" s="1" t="s">
        <v>128</v>
      </c>
      <c r="B22" s="1">
        <v>3</v>
      </c>
      <c r="C22" s="1" t="s">
        <v>47</v>
      </c>
      <c r="D22" s="1" t="s">
        <v>72</v>
      </c>
      <c r="E22" s="1">
        <v>6</v>
      </c>
      <c r="F22" s="1" t="str">
        <f>INDEX(职业表!C:C,MATCH(干员表!D22,职业表!B:B,0))</f>
        <v>法术</v>
      </c>
      <c r="G22" s="1" t="str">
        <f>INDEX(职业表!D:D,MATCH(干员表!D22,职业表!B:B,0))</f>
        <v>无</v>
      </c>
      <c r="H22" s="1">
        <v>553</v>
      </c>
      <c r="I22" s="1">
        <v>192</v>
      </c>
      <c r="J22" s="1">
        <v>44</v>
      </c>
      <c r="K22" s="1">
        <v>10</v>
      </c>
      <c r="L22" s="1">
        <v>738</v>
      </c>
      <c r="M22" s="1">
        <v>283</v>
      </c>
      <c r="N22" s="1">
        <v>64</v>
      </c>
      <c r="O22" s="1">
        <v>10</v>
      </c>
      <c r="P22" s="1">
        <v>935</v>
      </c>
      <c r="Q22" s="1">
        <v>378</v>
      </c>
      <c r="R22" s="1">
        <v>83</v>
      </c>
      <c r="S22" s="1">
        <v>15</v>
      </c>
      <c r="Y22" s="1">
        <v>40</v>
      </c>
      <c r="AA22" s="1">
        <f>INDEX(职业表!E:E,MATCH(干员表!D22,职业表!B:B,0))</f>
        <v>1.9</v>
      </c>
      <c r="AB22" s="1">
        <v>1</v>
      </c>
      <c r="AC22" s="1" t="s">
        <v>149</v>
      </c>
      <c r="AD22" s="1" t="s">
        <v>157</v>
      </c>
    </row>
    <row r="23" spans="1:32" x14ac:dyDescent="0.2">
      <c r="A23" s="1" t="s">
        <v>129</v>
      </c>
      <c r="B23" s="1">
        <v>4</v>
      </c>
      <c r="C23" s="1" t="s">
        <v>10</v>
      </c>
      <c r="D23" s="1" t="s">
        <v>50</v>
      </c>
      <c r="E23" s="1">
        <v>6</v>
      </c>
      <c r="F23" s="1" t="str">
        <f>INDEX(职业表!C:C,MATCH(干员表!D23,职业表!B:B,0))</f>
        <v>法术</v>
      </c>
      <c r="G23" s="1" t="str">
        <f>INDEX(职业表!D:D,MATCH(干员表!D23,职业表!B:B,0))</f>
        <v>无</v>
      </c>
      <c r="H23" s="1">
        <v>619</v>
      </c>
      <c r="I23" s="1">
        <v>253</v>
      </c>
      <c r="J23" s="1">
        <v>42</v>
      </c>
      <c r="K23" s="1">
        <v>10</v>
      </c>
      <c r="L23" s="1">
        <v>885</v>
      </c>
      <c r="M23" s="1">
        <v>362</v>
      </c>
      <c r="N23" s="1">
        <v>71</v>
      </c>
      <c r="O23" s="1">
        <v>10</v>
      </c>
      <c r="P23" s="1">
        <v>1150</v>
      </c>
      <c r="Q23" s="1">
        <v>483</v>
      </c>
      <c r="R23" s="1">
        <v>98</v>
      </c>
      <c r="S23" s="1">
        <v>15</v>
      </c>
      <c r="T23" s="1">
        <v>1420</v>
      </c>
      <c r="U23" s="1">
        <v>583</v>
      </c>
      <c r="V23" s="1">
        <v>110</v>
      </c>
      <c r="W23" s="1">
        <v>20</v>
      </c>
      <c r="Y23" s="1">
        <v>60</v>
      </c>
      <c r="AA23" s="1">
        <f>INDEX(职业表!E:E,MATCH(干员表!D23,职业表!B:B,0))</f>
        <v>1.6</v>
      </c>
      <c r="AB23" s="1">
        <v>1</v>
      </c>
      <c r="AC23" s="1" t="s">
        <v>150</v>
      </c>
      <c r="AD23" s="1" t="s">
        <v>157</v>
      </c>
      <c r="AE23" s="1" t="s">
        <v>176</v>
      </c>
      <c r="AF23" s="1" t="s">
        <v>179</v>
      </c>
    </row>
  </sheetData>
  <phoneticPr fontId="1" type="noConversion"/>
  <dataValidations count="3">
    <dataValidation type="list" allowBlank="1" showInputMessage="1" showErrorMessage="1" sqref="C3:C1048576" xr:uid="{5E13DCFC-5CD9-4E3F-B7A4-C17E7781D907}">
      <formula1>"先锋,近卫,重装,狙击,术士,辅助,特种,医疗"</formula1>
    </dataValidation>
    <dataValidation type="list" allowBlank="1" showInputMessage="1" showErrorMessage="1" sqref="AC3:AC1048576" xr:uid="{9926F746-6F34-4649-80E9-8B97940E7089}">
      <formula1>"加成,触发,未知"</formula1>
    </dataValidation>
    <dataValidation type="list" allowBlank="1" showInputMessage="1" showErrorMessage="1" sqref="AD3:AD1048576" xr:uid="{98A28685-924E-459B-9C82-4CDB606428DD}">
      <formula1>"加成,触发,未知,无"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10D5-DCA2-40B8-B79B-9FBB38853F8E}">
  <dimension ref="A1:J4"/>
  <sheetViews>
    <sheetView workbookViewId="0">
      <selection activeCell="D13" sqref="D13"/>
    </sheetView>
  </sheetViews>
  <sheetFormatPr defaultColWidth="9" defaultRowHeight="14.25" x14ac:dyDescent="0.2"/>
  <cols>
    <col min="1" max="2" width="9" style="1"/>
    <col min="3" max="3" width="11" style="1" bestFit="1" customWidth="1"/>
    <col min="4" max="16384" width="9" style="1"/>
  </cols>
  <sheetData>
    <row r="1" spans="1:10" x14ac:dyDescent="0.2">
      <c r="D1" s="1" t="s">
        <v>183</v>
      </c>
      <c r="G1" s="1" t="s">
        <v>188</v>
      </c>
    </row>
    <row r="2" spans="1:10" x14ac:dyDescent="0.2">
      <c r="A2" s="1" t="s">
        <v>0</v>
      </c>
      <c r="B2" s="1" t="s">
        <v>180</v>
      </c>
      <c r="C2" s="1" t="s">
        <v>181</v>
      </c>
      <c r="D2" s="1" t="s">
        <v>184</v>
      </c>
      <c r="E2" s="1" t="s">
        <v>186</v>
      </c>
      <c r="F2" s="1" t="s">
        <v>187</v>
      </c>
      <c r="G2" s="1" t="s">
        <v>189</v>
      </c>
      <c r="H2" s="1" t="s">
        <v>190</v>
      </c>
      <c r="I2" s="1" t="s">
        <v>161</v>
      </c>
      <c r="J2" s="1" t="s">
        <v>166</v>
      </c>
    </row>
    <row r="3" spans="1:10" x14ac:dyDescent="0.2">
      <c r="A3" s="1" t="s">
        <v>129</v>
      </c>
      <c r="B3" s="1" t="s">
        <v>176</v>
      </c>
      <c r="C3" s="1" t="s">
        <v>182</v>
      </c>
      <c r="D3" s="1" t="s">
        <v>185</v>
      </c>
      <c r="E3" s="1" t="s">
        <v>88</v>
      </c>
      <c r="F3" s="1">
        <v>10</v>
      </c>
      <c r="G3" s="1">
        <v>1</v>
      </c>
      <c r="H3" s="1" t="s">
        <v>191</v>
      </c>
    </row>
    <row r="4" spans="1:10" x14ac:dyDescent="0.2">
      <c r="A4" s="1" t="s">
        <v>129</v>
      </c>
      <c r="B4" s="1" t="s">
        <v>179</v>
      </c>
      <c r="C4" s="1" t="s">
        <v>192</v>
      </c>
      <c r="D4" s="1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31F19-EE17-482A-BAA6-F6E0F86463BC}">
  <dimension ref="A1:M8"/>
  <sheetViews>
    <sheetView workbookViewId="0">
      <selection activeCell="J6" sqref="J6"/>
    </sheetView>
  </sheetViews>
  <sheetFormatPr defaultColWidth="9" defaultRowHeight="14.25" x14ac:dyDescent="0.2"/>
  <cols>
    <col min="1" max="1" width="9" style="1"/>
    <col min="2" max="2" width="13.5" style="1" bestFit="1" customWidth="1"/>
    <col min="3" max="3" width="55.5" style="1" bestFit="1" customWidth="1"/>
    <col min="4" max="7" width="9" style="1"/>
    <col min="8" max="8" width="9" style="6"/>
    <col min="9" max="16384" width="9" style="1"/>
  </cols>
  <sheetData>
    <row r="1" spans="1:13" x14ac:dyDescent="0.2">
      <c r="B1" s="1" t="s">
        <v>158</v>
      </c>
      <c r="D1" s="1" t="s">
        <v>168</v>
      </c>
      <c r="I1" s="1" t="s">
        <v>169</v>
      </c>
    </row>
    <row r="2" spans="1:13" x14ac:dyDescent="0.2">
      <c r="A2" s="1" t="s">
        <v>0</v>
      </c>
      <c r="B2" s="1" t="s">
        <v>159</v>
      </c>
      <c r="C2" s="1" t="s">
        <v>162</v>
      </c>
      <c r="D2" s="1" t="s">
        <v>161</v>
      </c>
      <c r="E2" s="1" t="s">
        <v>166</v>
      </c>
      <c r="F2" s="1" t="s">
        <v>167</v>
      </c>
      <c r="G2" s="1" t="s">
        <v>170</v>
      </c>
      <c r="H2" s="6" t="s">
        <v>287</v>
      </c>
      <c r="I2" s="1" t="s">
        <v>161</v>
      </c>
      <c r="J2" s="1" t="s">
        <v>166</v>
      </c>
      <c r="K2" s="1" t="s">
        <v>167</v>
      </c>
      <c r="L2" s="1" t="s">
        <v>170</v>
      </c>
      <c r="M2" s="1" t="s">
        <v>287</v>
      </c>
    </row>
    <row r="3" spans="1:13" x14ac:dyDescent="0.2">
      <c r="A3" s="1" t="s">
        <v>8</v>
      </c>
      <c r="B3" s="5" t="s">
        <v>160</v>
      </c>
      <c r="C3" s="5" t="s">
        <v>165</v>
      </c>
      <c r="D3" s="1">
        <f>计算器!D2</f>
        <v>6</v>
      </c>
      <c r="E3" s="1">
        <f>140+触发天赋表!D3*60</f>
        <v>500</v>
      </c>
      <c r="F3" s="1" t="s">
        <v>3</v>
      </c>
      <c r="H3" s="6" t="s">
        <v>288</v>
      </c>
    </row>
    <row r="4" spans="1:13" x14ac:dyDescent="0.2">
      <c r="A4" s="1" t="s">
        <v>95</v>
      </c>
      <c r="B4" s="5" t="s">
        <v>163</v>
      </c>
      <c r="C4" s="5" t="s">
        <v>164</v>
      </c>
      <c r="D4" s="1">
        <f>计算器!D2</f>
        <v>6</v>
      </c>
      <c r="E4" s="1">
        <f>8+2*触发天赋表!D4</f>
        <v>20</v>
      </c>
      <c r="F4" s="1" t="s">
        <v>1</v>
      </c>
      <c r="G4" s="1" t="s">
        <v>87</v>
      </c>
      <c r="H4" s="6" t="s">
        <v>288</v>
      </c>
      <c r="I4" s="1">
        <f>计算器!D2</f>
        <v>6</v>
      </c>
      <c r="J4" s="1">
        <f>触发天赋表!E4</f>
        <v>20</v>
      </c>
      <c r="K4" s="1" t="s">
        <v>2</v>
      </c>
      <c r="L4" s="1" t="s">
        <v>87</v>
      </c>
    </row>
    <row r="5" spans="1:13" x14ac:dyDescent="0.2">
      <c r="A5" s="1" t="s">
        <v>122</v>
      </c>
      <c r="B5" s="1" t="s">
        <v>276</v>
      </c>
      <c r="C5" s="1" t="s">
        <v>277</v>
      </c>
      <c r="D5" s="1">
        <f>IF(计算器!B2=1,IF(计算器!C2=55,2,1),0)</f>
        <v>0</v>
      </c>
      <c r="E5" s="1">
        <f>D5*10</f>
        <v>0</v>
      </c>
      <c r="F5" s="1" t="s">
        <v>278</v>
      </c>
      <c r="H5" s="6" t="s">
        <v>289</v>
      </c>
      <c r="I5" s="1">
        <f>IF(计算器!B2=1,IF(计算器!C2=55,2,1),0)</f>
        <v>0</v>
      </c>
      <c r="J5" s="1">
        <v>50</v>
      </c>
      <c r="K5" s="1" t="s">
        <v>1</v>
      </c>
      <c r="L5" s="1" t="s">
        <v>253</v>
      </c>
      <c r="M5" s="1" t="s">
        <v>289</v>
      </c>
    </row>
    <row r="6" spans="1:13" x14ac:dyDescent="0.2">
      <c r="A6" s="1" t="s">
        <v>124</v>
      </c>
      <c r="B6" s="1" t="s">
        <v>284</v>
      </c>
      <c r="C6" s="1" t="s">
        <v>285</v>
      </c>
      <c r="D6" s="1">
        <f>IF(计算器!B2=1,IF(计算器!C2=55,2,1),0)</f>
        <v>0</v>
      </c>
      <c r="E6" s="1">
        <f>D6*15</f>
        <v>0</v>
      </c>
      <c r="F6" s="1" t="s">
        <v>286</v>
      </c>
      <c r="G6" s="1" t="s">
        <v>86</v>
      </c>
      <c r="H6" s="6" t="s">
        <v>288</v>
      </c>
    </row>
    <row r="7" spans="1:13" x14ac:dyDescent="0.2">
      <c r="A7" s="1" t="s">
        <v>126</v>
      </c>
      <c r="B7" s="1" t="s">
        <v>291</v>
      </c>
      <c r="C7" s="1" t="s">
        <v>292</v>
      </c>
      <c r="D7" s="1">
        <f>IF(计算器!B2=1,IF(计算器!C2=55,2,1),0)</f>
        <v>0</v>
      </c>
      <c r="E7" s="1">
        <f>IF(D7=2,15,IF(D7=1,7,0))</f>
        <v>0</v>
      </c>
      <c r="F7" s="1" t="s">
        <v>278</v>
      </c>
      <c r="H7" s="6" t="s">
        <v>289</v>
      </c>
      <c r="I7" s="1">
        <f>IF(计算器!B2=1,IF(计算器!C2=55,2,1),0)</f>
        <v>0</v>
      </c>
      <c r="J7" s="1">
        <f>IF(I7=0,0,1)</f>
        <v>0</v>
      </c>
      <c r="K7" s="1" t="s">
        <v>293</v>
      </c>
      <c r="M7" s="1" t="s">
        <v>289</v>
      </c>
    </row>
    <row r="8" spans="1:13" x14ac:dyDescent="0.2">
      <c r="A8" s="1" t="s">
        <v>129</v>
      </c>
      <c r="B8" s="5" t="s">
        <v>171</v>
      </c>
      <c r="C8" s="5" t="s">
        <v>172</v>
      </c>
      <c r="D8" s="1">
        <f>计算器!B2+IF(计算器!C5="",0,MAX(0,计算器!C5-1))</f>
        <v>0</v>
      </c>
      <c r="E8" s="1">
        <f>100-IF(触发天赋表!D8&lt;3,(10)*触发天赋表!D8,(21)+(3*(触发天赋表!D8-2)))-IF(计算器!D2&gt;4,3,0)</f>
        <v>97</v>
      </c>
      <c r="F8" s="1" t="s">
        <v>194</v>
      </c>
      <c r="G8" s="1" t="s">
        <v>89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A2517-289E-482F-A7F8-FE9A345515A5}">
  <dimension ref="A1:K17"/>
  <sheetViews>
    <sheetView workbookViewId="0">
      <selection activeCell="J35" sqref="J35"/>
    </sheetView>
  </sheetViews>
  <sheetFormatPr defaultColWidth="9" defaultRowHeight="14.25" x14ac:dyDescent="0.2"/>
  <cols>
    <col min="1" max="1" width="9" style="1"/>
    <col min="2" max="2" width="13" style="1" bestFit="1" customWidth="1"/>
    <col min="3" max="3" width="40.75" style="1" bestFit="1" customWidth="1"/>
    <col min="4" max="16384" width="9" style="1"/>
  </cols>
  <sheetData>
    <row r="1" spans="1:11" x14ac:dyDescent="0.2">
      <c r="B1" s="1" t="s">
        <v>158</v>
      </c>
      <c r="D1" s="1" t="s">
        <v>281</v>
      </c>
      <c r="H1" s="1" t="s">
        <v>282</v>
      </c>
    </row>
    <row r="2" spans="1:11" x14ac:dyDescent="0.2">
      <c r="A2" s="1" t="s">
        <v>0</v>
      </c>
      <c r="B2" s="1" t="s">
        <v>159</v>
      </c>
      <c r="C2" s="1" t="s">
        <v>162</v>
      </c>
      <c r="D2" s="1" t="s">
        <v>93</v>
      </c>
      <c r="E2" s="1" t="s">
        <v>166</v>
      </c>
      <c r="F2" s="1" t="s">
        <v>167</v>
      </c>
      <c r="G2" s="1" t="s">
        <v>170</v>
      </c>
      <c r="H2" s="1" t="s">
        <v>93</v>
      </c>
      <c r="I2" s="1" t="s">
        <v>166</v>
      </c>
      <c r="J2" s="1" t="s">
        <v>167</v>
      </c>
      <c r="K2" s="1" t="s">
        <v>170</v>
      </c>
    </row>
    <row r="3" spans="1:11" x14ac:dyDescent="0.2">
      <c r="A3" s="1" t="s">
        <v>96</v>
      </c>
      <c r="B3" s="1" t="s">
        <v>255</v>
      </c>
      <c r="C3" s="1" t="s">
        <v>271</v>
      </c>
      <c r="D3" s="1">
        <f>IF(计算器!C2=30,1,0)</f>
        <v>1</v>
      </c>
      <c r="E3" s="1">
        <f>IF(D3,-30,0)</f>
        <v>-30</v>
      </c>
      <c r="F3" s="1" t="s">
        <v>147</v>
      </c>
      <c r="G3" s="1" t="s">
        <v>86</v>
      </c>
    </row>
    <row r="4" spans="1:11" x14ac:dyDescent="0.2">
      <c r="A4" s="1" t="s">
        <v>97</v>
      </c>
      <c r="B4" s="1" t="s">
        <v>256</v>
      </c>
      <c r="C4" s="1" t="s">
        <v>270</v>
      </c>
      <c r="D4" s="1">
        <f>IF(计算器!C2=30,1,0)</f>
        <v>1</v>
      </c>
      <c r="E4" s="1">
        <f>IF(D4,12,0)</f>
        <v>12</v>
      </c>
      <c r="F4" s="1" t="s">
        <v>3</v>
      </c>
      <c r="G4" s="1" t="s">
        <v>87</v>
      </c>
      <c r="H4" s="1">
        <f>IF(计算器!C2=30,1,0)</f>
        <v>1</v>
      </c>
      <c r="I4" s="8">
        <f>IF(H4,12,0)</f>
        <v>12</v>
      </c>
      <c r="J4" s="1" t="s">
        <v>2</v>
      </c>
      <c r="K4" s="1" t="s">
        <v>87</v>
      </c>
    </row>
    <row r="5" spans="1:11" x14ac:dyDescent="0.2">
      <c r="A5" s="1" t="s">
        <v>98</v>
      </c>
      <c r="B5" s="1" t="s">
        <v>257</v>
      </c>
      <c r="C5" s="6" t="s">
        <v>269</v>
      </c>
      <c r="D5" s="1">
        <f>IF(计算器!C2=30,1,0)</f>
        <v>1</v>
      </c>
      <c r="E5" s="1">
        <f>IF(D5,50,0)</f>
        <v>50</v>
      </c>
      <c r="F5" s="1" t="s">
        <v>1</v>
      </c>
      <c r="G5" s="1" t="s">
        <v>310</v>
      </c>
    </row>
    <row r="6" spans="1:11" x14ac:dyDescent="0.2">
      <c r="A6" s="1" t="s">
        <v>114</v>
      </c>
      <c r="B6" s="1" t="s">
        <v>258</v>
      </c>
      <c r="C6" s="1" t="s">
        <v>268</v>
      </c>
      <c r="D6" s="1">
        <f>IF(计算器!C2=30,1,0)</f>
        <v>1</v>
      </c>
      <c r="E6" s="1">
        <f>IF(D6,50,0)</f>
        <v>50</v>
      </c>
      <c r="F6" s="1" t="s">
        <v>259</v>
      </c>
      <c r="G6" s="1" t="s">
        <v>86</v>
      </c>
    </row>
    <row r="7" spans="1:11" x14ac:dyDescent="0.2">
      <c r="A7" s="1" t="s">
        <v>115</v>
      </c>
      <c r="B7" s="1" t="s">
        <v>260</v>
      </c>
      <c r="C7" s="1" t="s">
        <v>267</v>
      </c>
      <c r="D7" s="1">
        <f>IF(计算器!C2=30,1,0)</f>
        <v>1</v>
      </c>
      <c r="E7" s="1">
        <f>IF(D7,50,0)</f>
        <v>50</v>
      </c>
      <c r="F7" s="1" t="s">
        <v>261</v>
      </c>
      <c r="G7" s="1" t="s">
        <v>86</v>
      </c>
    </row>
    <row r="8" spans="1:11" x14ac:dyDescent="0.2">
      <c r="A8" s="1" t="s">
        <v>116</v>
      </c>
      <c r="B8" s="1" t="s">
        <v>262</v>
      </c>
      <c r="C8" s="1" t="s">
        <v>266</v>
      </c>
      <c r="D8" s="1">
        <f>IF(计算器!B2=1,1,0)</f>
        <v>0</v>
      </c>
      <c r="E8" s="1">
        <f>IF(D8,-1,0)</f>
        <v>0</v>
      </c>
      <c r="F8" s="1" t="s">
        <v>263</v>
      </c>
      <c r="G8" s="1" t="s">
        <v>86</v>
      </c>
    </row>
    <row r="9" spans="1:11" x14ac:dyDescent="0.2">
      <c r="A9" s="1" t="s">
        <v>117</v>
      </c>
      <c r="B9" s="1" t="s">
        <v>264</v>
      </c>
      <c r="C9" s="1" t="s">
        <v>265</v>
      </c>
      <c r="D9" s="1">
        <f>IF(计算器!B2=1,IF(计算器!C2=55,2,1),0)</f>
        <v>0</v>
      </c>
      <c r="E9" s="1">
        <f>D9*4</f>
        <v>0</v>
      </c>
      <c r="F9" s="1" t="s">
        <v>1</v>
      </c>
      <c r="G9" s="1" t="s">
        <v>87</v>
      </c>
    </row>
    <row r="10" spans="1:11" x14ac:dyDescent="0.2">
      <c r="A10" s="1" t="s">
        <v>118</v>
      </c>
      <c r="B10" s="6" t="s">
        <v>264</v>
      </c>
      <c r="C10" s="6" t="s">
        <v>265</v>
      </c>
      <c r="D10" s="1">
        <f>IF(计算器!B2=1,IF(计算器!C2=55,2,1),0)</f>
        <v>0</v>
      </c>
      <c r="E10" s="6">
        <f>D10*4</f>
        <v>0</v>
      </c>
      <c r="F10" s="6" t="s">
        <v>1</v>
      </c>
      <c r="G10" s="6" t="s">
        <v>87</v>
      </c>
    </row>
    <row r="11" spans="1:11" x14ac:dyDescent="0.2">
      <c r="A11" s="1" t="s">
        <v>119</v>
      </c>
      <c r="B11" s="6" t="s">
        <v>264</v>
      </c>
      <c r="C11" s="6" t="s">
        <v>265</v>
      </c>
      <c r="D11" s="1">
        <f>IF(计算器!B2=1,IF(计算器!C2=55,2,1),0)</f>
        <v>0</v>
      </c>
      <c r="E11" s="6">
        <f>D11*4</f>
        <v>0</v>
      </c>
      <c r="F11" s="6" t="s">
        <v>1</v>
      </c>
      <c r="G11" s="6" t="s">
        <v>87</v>
      </c>
    </row>
    <row r="12" spans="1:11" x14ac:dyDescent="0.2">
      <c r="A12" s="1" t="s">
        <v>120</v>
      </c>
      <c r="B12" s="1" t="s">
        <v>272</v>
      </c>
      <c r="C12" s="1" t="s">
        <v>273</v>
      </c>
      <c r="D12" s="1">
        <f>IF(计算器!B2=1,IF(计算器!C2=55,2,1),0)</f>
        <v>0</v>
      </c>
      <c r="E12" s="1">
        <f>D12*6</f>
        <v>0</v>
      </c>
      <c r="F12" s="1" t="s">
        <v>3</v>
      </c>
      <c r="G12" s="6" t="s">
        <v>87</v>
      </c>
    </row>
    <row r="13" spans="1:11" x14ac:dyDescent="0.2">
      <c r="A13" s="1" t="s">
        <v>121</v>
      </c>
      <c r="B13" s="1" t="s">
        <v>274</v>
      </c>
      <c r="C13" s="1" t="s">
        <v>275</v>
      </c>
      <c r="D13" s="1">
        <f>IF(计算器!B2=1,IF(计算器!C2=55,2,1),0)</f>
        <v>0</v>
      </c>
      <c r="E13" s="1">
        <f>D13*5</f>
        <v>0</v>
      </c>
      <c r="F13" s="1" t="s">
        <v>2</v>
      </c>
      <c r="G13" s="1" t="s">
        <v>87</v>
      </c>
    </row>
    <row r="14" spans="1:11" x14ac:dyDescent="0.2">
      <c r="A14" s="1" t="s">
        <v>123</v>
      </c>
      <c r="B14" s="1" t="s">
        <v>279</v>
      </c>
      <c r="C14" s="1" t="s">
        <v>280</v>
      </c>
      <c r="D14" s="1">
        <f>IF(计算器!B2=1,IF(计算器!C2=55,2,1),0)</f>
        <v>0</v>
      </c>
      <c r="E14" s="1">
        <f>D14*4</f>
        <v>0</v>
      </c>
      <c r="F14" s="1" t="s">
        <v>226</v>
      </c>
      <c r="G14" s="1" t="s">
        <v>86</v>
      </c>
      <c r="H14" s="1">
        <f>IF(计算器!B2=1,IF(计算器!C2=55,2,1),0)</f>
        <v>0</v>
      </c>
      <c r="I14" s="1">
        <f>IF(H14=0,0,600)</f>
        <v>0</v>
      </c>
      <c r="J14" s="1" t="s">
        <v>283</v>
      </c>
      <c r="K14" s="1" t="s">
        <v>86</v>
      </c>
    </row>
    <row r="15" spans="1:11" x14ac:dyDescent="0.2">
      <c r="A15" s="1" t="s">
        <v>125</v>
      </c>
      <c r="B15" s="1" t="s">
        <v>290</v>
      </c>
      <c r="C15" s="1" t="s">
        <v>265</v>
      </c>
      <c r="D15" s="1">
        <f>IF(计算器!B2=1,IF(计算器!C2=55,2,1),0)</f>
        <v>0</v>
      </c>
      <c r="E15" s="1">
        <f>D15*4</f>
        <v>0</v>
      </c>
      <c r="F15" s="1" t="s">
        <v>1</v>
      </c>
      <c r="G15" s="1" t="s">
        <v>86</v>
      </c>
    </row>
    <row r="16" spans="1:11" x14ac:dyDescent="0.2">
      <c r="A16" s="1" t="s">
        <v>127</v>
      </c>
      <c r="B16" s="1" t="s">
        <v>294</v>
      </c>
      <c r="C16" s="1" t="s">
        <v>295</v>
      </c>
      <c r="D16" s="1">
        <f>IF(计算器!B2=1,IF(计算器!C2=55,2,1),0)</f>
        <v>0</v>
      </c>
      <c r="E16" s="1">
        <f>D16*3</f>
        <v>0</v>
      </c>
      <c r="F16" s="1" t="s">
        <v>1</v>
      </c>
      <c r="G16" s="1" t="s">
        <v>87</v>
      </c>
      <c r="H16" s="1">
        <f>IF(计算器!B2=1,IF(计算器!C2=55,2,1),0)</f>
        <v>0</v>
      </c>
      <c r="I16" s="1">
        <f>IF(H16=0,0,600)</f>
        <v>0</v>
      </c>
      <c r="J16" s="1" t="s">
        <v>296</v>
      </c>
      <c r="K16" s="1" t="s">
        <v>86</v>
      </c>
    </row>
    <row r="17" spans="1:7" x14ac:dyDescent="0.2">
      <c r="A17" s="1" t="s">
        <v>128</v>
      </c>
      <c r="B17" s="1" t="s">
        <v>297</v>
      </c>
      <c r="C17" s="1" t="s">
        <v>298</v>
      </c>
      <c r="D17" s="1">
        <f>IF(计算器!B2=1,IF(计算器!C2=55,2,1),0)</f>
        <v>0</v>
      </c>
      <c r="E17" s="1">
        <f>IF(D17=2,9,IF(D17=1,5,0))</f>
        <v>0</v>
      </c>
      <c r="F17" s="1" t="s">
        <v>226</v>
      </c>
      <c r="G17" s="1" t="s">
        <v>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0773-9F40-4CAA-A7F6-94D0F8327591}">
  <dimension ref="A1:Q16"/>
  <sheetViews>
    <sheetView workbookViewId="0">
      <selection activeCell="I7" sqref="I7"/>
    </sheetView>
  </sheetViews>
  <sheetFormatPr defaultColWidth="9" defaultRowHeight="14.25" x14ac:dyDescent="0.2"/>
  <cols>
    <col min="1" max="1" width="9" style="1"/>
    <col min="2" max="2" width="14.625" style="1" bestFit="1" customWidth="1"/>
    <col min="3" max="5" width="9" style="1"/>
    <col min="6" max="6" width="9" style="4"/>
    <col min="7" max="12" width="9" style="1"/>
    <col min="13" max="14" width="9" style="3"/>
    <col min="15" max="16384" width="9" style="1"/>
  </cols>
  <sheetData>
    <row r="1" spans="1:17" x14ac:dyDescent="0.2">
      <c r="B1" s="1" t="s">
        <v>196</v>
      </c>
      <c r="I1" s="1" t="s">
        <v>205</v>
      </c>
      <c r="L1" s="1" t="s">
        <v>243</v>
      </c>
    </row>
    <row r="2" spans="1:17" x14ac:dyDescent="0.2">
      <c r="A2" s="1" t="s">
        <v>0</v>
      </c>
      <c r="B2" s="1" t="s">
        <v>195</v>
      </c>
      <c r="C2" s="1" t="s">
        <v>197</v>
      </c>
      <c r="D2" s="1" t="s">
        <v>198</v>
      </c>
      <c r="E2" s="1" t="s">
        <v>199</v>
      </c>
      <c r="F2" s="4" t="s">
        <v>249</v>
      </c>
      <c r="G2" s="1" t="s">
        <v>214</v>
      </c>
      <c r="H2" s="1" t="s">
        <v>208</v>
      </c>
      <c r="I2" s="1" t="s">
        <v>206</v>
      </c>
      <c r="J2" s="1" t="s">
        <v>207</v>
      </c>
      <c r="K2" s="1" t="s">
        <v>187</v>
      </c>
      <c r="L2" s="1" t="s">
        <v>206</v>
      </c>
      <c r="M2" s="3" t="s">
        <v>207</v>
      </c>
      <c r="N2" s="3" t="s">
        <v>187</v>
      </c>
      <c r="P2" s="1" t="s">
        <v>233</v>
      </c>
      <c r="Q2" s="1" t="s">
        <v>187</v>
      </c>
    </row>
    <row r="3" spans="1:17" x14ac:dyDescent="0.2">
      <c r="A3" s="1" t="s">
        <v>116</v>
      </c>
      <c r="B3" s="1" t="s">
        <v>232</v>
      </c>
      <c r="C3" s="1">
        <v>1</v>
      </c>
      <c r="D3" s="1">
        <f>IF(计算器!L2=7,25,31-计算器!L2)</f>
        <v>25</v>
      </c>
      <c r="E3" s="1">
        <f>IF(计算器!L2&lt;4,0,IF(计算器!L2&lt;7,3,6))</f>
        <v>6</v>
      </c>
      <c r="F3" s="4" t="s">
        <v>250</v>
      </c>
      <c r="G3" s="1" t="s">
        <v>105</v>
      </c>
      <c r="I3" s="3"/>
      <c r="J3" s="3"/>
      <c r="K3" s="3"/>
      <c r="P3" s="1">
        <v>1</v>
      </c>
      <c r="Q3" s="1">
        <v>6</v>
      </c>
    </row>
    <row r="4" spans="1:17" x14ac:dyDescent="0.2">
      <c r="A4" s="1" t="s">
        <v>117</v>
      </c>
      <c r="B4" s="3" t="s">
        <v>241</v>
      </c>
      <c r="C4" s="1">
        <v>1</v>
      </c>
      <c r="D4" s="1" cm="1">
        <f t="array" ref="D4">INDEX({25,25,25,23,22,21,20},计算器!L2)</f>
        <v>20</v>
      </c>
      <c r="E4" s="1" cm="1">
        <f t="array" ref="E4">INDEX({0,1,2,3,3,3,6},计算器!L2)</f>
        <v>6</v>
      </c>
      <c r="F4" s="4" t="s">
        <v>250</v>
      </c>
      <c r="G4" s="1" t="s">
        <v>83</v>
      </c>
      <c r="H4" s="1">
        <v>10</v>
      </c>
      <c r="I4" s="1" t="s">
        <v>1</v>
      </c>
      <c r="J4" s="1" t="s">
        <v>87</v>
      </c>
      <c r="K4" s="1">
        <f>5*计算器!L2</f>
        <v>35</v>
      </c>
      <c r="P4" s="1">
        <v>1</v>
      </c>
      <c r="Q4" s="1">
        <v>6</v>
      </c>
    </row>
    <row r="5" spans="1:17" x14ac:dyDescent="0.2">
      <c r="A5" s="1" t="s">
        <v>118</v>
      </c>
      <c r="B5" s="1" t="s">
        <v>242</v>
      </c>
      <c r="C5" s="1">
        <v>1</v>
      </c>
      <c r="D5" s="1" cm="1">
        <f t="array" ref="D5">INDEX({55,54,53,50,49,48,45},计算器!L2)</f>
        <v>45</v>
      </c>
      <c r="E5" s="1">
        <v>0</v>
      </c>
      <c r="F5" s="4" t="s">
        <v>250</v>
      </c>
      <c r="G5" s="1" t="s">
        <v>83</v>
      </c>
      <c r="H5" s="1">
        <v>25</v>
      </c>
      <c r="I5" s="1" t="s">
        <v>1</v>
      </c>
      <c r="J5" s="1" t="s">
        <v>87</v>
      </c>
      <c r="K5" s="1" cm="1">
        <f t="array" ref="K5">INDEX({6,9,12,15,19,22,25},计算器!L2)</f>
        <v>25</v>
      </c>
    </row>
    <row r="6" spans="1:17" x14ac:dyDescent="0.2">
      <c r="A6" s="1" t="s">
        <v>119</v>
      </c>
      <c r="B6" s="1" t="s">
        <v>228</v>
      </c>
      <c r="C6" s="1">
        <v>1</v>
      </c>
      <c r="D6" s="1">
        <f>IF(计算器!L2&lt;4,50,IF(计算器!L2&lt;7,45,40))</f>
        <v>40</v>
      </c>
      <c r="E6" s="1">
        <v>0</v>
      </c>
      <c r="F6" s="4" t="s">
        <v>250</v>
      </c>
      <c r="G6" s="1" t="s">
        <v>83</v>
      </c>
      <c r="H6" s="1">
        <v>20</v>
      </c>
      <c r="I6" s="1" t="s">
        <v>1</v>
      </c>
      <c r="J6" s="1" t="s">
        <v>87</v>
      </c>
      <c r="K6" s="1">
        <f>5*(计算器!L2+INT((计算器!L2-1)/3)+1)</f>
        <v>50</v>
      </c>
      <c r="L6" s="1" t="s">
        <v>226</v>
      </c>
      <c r="M6" s="3" t="s">
        <v>86</v>
      </c>
      <c r="N6" s="3" cm="1">
        <f t="array" ref="N6">INDEX({10,10,10,15,15,15,25},计算器!L2)</f>
        <v>25</v>
      </c>
    </row>
    <row r="7" spans="1:17" x14ac:dyDescent="0.2">
      <c r="A7" s="1" t="s">
        <v>120</v>
      </c>
      <c r="B7" s="1" t="s">
        <v>244</v>
      </c>
      <c r="C7" s="1">
        <v>1</v>
      </c>
      <c r="D7" s="1">
        <f>27-计算器!L2</f>
        <v>20</v>
      </c>
      <c r="E7" s="1" cm="1">
        <f t="array" ref="E7">INDEX({0,0,0,5,5,5,10},计算器!L2)</f>
        <v>10</v>
      </c>
      <c r="F7" s="4" t="s">
        <v>250</v>
      </c>
      <c r="G7" s="1" t="s">
        <v>85</v>
      </c>
      <c r="I7" s="1" t="s">
        <v>3</v>
      </c>
      <c r="J7" s="1" t="s">
        <v>312</v>
      </c>
      <c r="K7" s="1" cm="1">
        <f t="array" ref="K7">INDEX({20,23,25,30,32,35,40},计算器!L2)</f>
        <v>40</v>
      </c>
    </row>
    <row r="8" spans="1:17" x14ac:dyDescent="0.2">
      <c r="A8" s="1" t="s">
        <v>121</v>
      </c>
      <c r="B8" s="4" t="s">
        <v>248</v>
      </c>
      <c r="C8" s="1">
        <v>1</v>
      </c>
      <c r="D8" s="1" cm="1">
        <f t="array" ref="D8">INDEX({50,50,50,45,45,45,40},计算器!L2)</f>
        <v>40</v>
      </c>
      <c r="E8" s="1">
        <v>0</v>
      </c>
      <c r="F8" s="4" t="s">
        <v>250</v>
      </c>
      <c r="G8" s="1" t="s">
        <v>105</v>
      </c>
      <c r="H8" s="1">
        <v>30</v>
      </c>
      <c r="I8" s="1" t="s">
        <v>2</v>
      </c>
      <c r="J8" s="1" t="s">
        <v>87</v>
      </c>
      <c r="K8" s="1" cm="1">
        <f t="array" ref="K8">INDEX({10,15,20,30,35,40,50},计算器!L2)</f>
        <v>50</v>
      </c>
    </row>
    <row r="9" spans="1:17" x14ac:dyDescent="0.2">
      <c r="A9" s="1" t="s">
        <v>122</v>
      </c>
      <c r="B9" s="1" t="s">
        <v>252</v>
      </c>
      <c r="C9" s="1">
        <v>1</v>
      </c>
      <c r="D9" s="1">
        <f>IF(计算器!L2&lt;4,5,4)</f>
        <v>4</v>
      </c>
      <c r="E9" s="1">
        <v>0</v>
      </c>
      <c r="F9" s="4" t="s">
        <v>251</v>
      </c>
      <c r="G9" s="1" t="s">
        <v>83</v>
      </c>
      <c r="I9" s="1" t="s">
        <v>1</v>
      </c>
      <c r="J9" s="1" t="s">
        <v>310</v>
      </c>
      <c r="K9" s="1" cm="1">
        <f t="array" ref="K9">INDEX({100,105,110,120,125,130,140},计算器!L2)</f>
        <v>140</v>
      </c>
      <c r="L9" s="1" t="s">
        <v>254</v>
      </c>
      <c r="M9" s="3" t="s">
        <v>86</v>
      </c>
      <c r="N9" s="3">
        <v>1</v>
      </c>
    </row>
    <row r="10" spans="1:17" x14ac:dyDescent="0.2">
      <c r="A10" s="1" t="s">
        <v>123</v>
      </c>
      <c r="B10" s="8" t="s">
        <v>228</v>
      </c>
      <c r="C10" s="1">
        <v>1</v>
      </c>
      <c r="D10" s="1" cm="1">
        <f t="array" ref="D10">INDEX({50,50,50,45,45,45,40},计算器!L2)</f>
        <v>40</v>
      </c>
      <c r="E10" s="1">
        <v>0</v>
      </c>
      <c r="F10" s="4" t="s">
        <v>250</v>
      </c>
      <c r="G10" s="1" t="s">
        <v>83</v>
      </c>
      <c r="H10" s="1">
        <v>20</v>
      </c>
      <c r="I10" s="1" t="s">
        <v>1</v>
      </c>
      <c r="J10" s="1" t="s">
        <v>87</v>
      </c>
      <c r="K10" s="1" cm="1">
        <f t="array" ref="K10">INDEX({10,15,20,30,35,40,50},计算器!L2)</f>
        <v>50</v>
      </c>
    </row>
    <row r="11" spans="1:17" x14ac:dyDescent="0.2">
      <c r="A11" s="1" t="s">
        <v>124</v>
      </c>
      <c r="B11" s="1" t="s">
        <v>304</v>
      </c>
      <c r="C11" s="1">
        <v>1</v>
      </c>
      <c r="D11" s="1" cm="1">
        <f t="array" ref="D11">INDEX({50,50,50,45,45,45,40},计算器!L2)</f>
        <v>40</v>
      </c>
      <c r="E11" s="1">
        <v>0</v>
      </c>
      <c r="F11" s="4" t="s">
        <v>250</v>
      </c>
      <c r="G11" s="1" t="s">
        <v>84</v>
      </c>
      <c r="H11" s="1">
        <v>20</v>
      </c>
      <c r="I11" s="1" t="s">
        <v>226</v>
      </c>
      <c r="J11" s="1" t="s">
        <v>86</v>
      </c>
      <c r="K11" s="1" cm="1">
        <f t="array" ref="K11">INDEX({10,15,20,30,35,40,50},计算器!L2)</f>
        <v>50</v>
      </c>
    </row>
    <row r="12" spans="1:17" x14ac:dyDescent="0.2">
      <c r="A12" s="1" t="s">
        <v>125</v>
      </c>
      <c r="B12" s="1" t="s">
        <v>305</v>
      </c>
      <c r="C12" s="1">
        <v>1</v>
      </c>
      <c r="D12" s="1" cm="1">
        <f t="array" ref="D12">INDEX({40,40,40,35,35,35,30},计算器!L2)</f>
        <v>30</v>
      </c>
      <c r="E12" s="1">
        <v>0</v>
      </c>
      <c r="F12" s="4" t="s">
        <v>250</v>
      </c>
      <c r="G12" s="1" t="s">
        <v>85</v>
      </c>
      <c r="H12" s="1">
        <v>20</v>
      </c>
      <c r="I12" s="1" t="s">
        <v>1</v>
      </c>
      <c r="J12" s="1" t="s">
        <v>87</v>
      </c>
      <c r="K12" s="1" cm="1">
        <f t="array" ref="K12">INDEX({10,15,20,30,35,40,50},计算器!L2)</f>
        <v>50</v>
      </c>
    </row>
    <row r="13" spans="1:17" x14ac:dyDescent="0.2">
      <c r="A13" s="1" t="s">
        <v>126</v>
      </c>
      <c r="B13" s="1" t="s">
        <v>306</v>
      </c>
      <c r="C13" s="1">
        <v>1</v>
      </c>
      <c r="D13" s="1" cm="1">
        <f t="array" ref="D13">INDEX({45,44,43,40,39,38,35},计算器!L2)</f>
        <v>35</v>
      </c>
      <c r="E13" s="1">
        <v>10</v>
      </c>
      <c r="F13" s="4" t="s">
        <v>250</v>
      </c>
      <c r="G13" s="1" t="s">
        <v>85</v>
      </c>
      <c r="H13" s="1">
        <f>18+计算器!L2</f>
        <v>25</v>
      </c>
      <c r="I13" s="1" t="s">
        <v>1</v>
      </c>
      <c r="J13" s="1" t="s">
        <v>87</v>
      </c>
      <c r="K13" s="1" cm="1">
        <f t="array" ref="K13">INDEX({5,10,15,20,25,30,40},计算器!L2)</f>
        <v>40</v>
      </c>
      <c r="L13" s="1" t="s">
        <v>307</v>
      </c>
      <c r="M13" s="3" t="s">
        <v>86</v>
      </c>
      <c r="N13" s="3">
        <f>IF(计算器!L2&gt;3,2,1)</f>
        <v>2</v>
      </c>
    </row>
    <row r="14" spans="1:17" x14ac:dyDescent="0.2">
      <c r="A14" s="1" t="s">
        <v>127</v>
      </c>
      <c r="B14" s="1" t="s">
        <v>308</v>
      </c>
      <c r="C14" s="1">
        <v>1</v>
      </c>
      <c r="D14" s="1">
        <f>IF(计算器!L2&gt;3,4,5)</f>
        <v>4</v>
      </c>
      <c r="E14" s="1">
        <v>0</v>
      </c>
      <c r="F14" s="4" t="s">
        <v>251</v>
      </c>
      <c r="G14" s="1" t="s">
        <v>84</v>
      </c>
      <c r="I14" s="1" t="s">
        <v>1</v>
      </c>
      <c r="J14" s="1" t="s">
        <v>310</v>
      </c>
      <c r="K14" s="1" cm="1">
        <f t="array" ref="K14">INDEX({150,155,160,170,175,180,190},计算器!L2)</f>
        <v>190</v>
      </c>
    </row>
    <row r="15" spans="1:17" x14ac:dyDescent="0.2">
      <c r="A15" s="1" t="s">
        <v>128</v>
      </c>
      <c r="B15" s="8" t="s">
        <v>242</v>
      </c>
      <c r="C15" s="1">
        <v>1</v>
      </c>
      <c r="D15" s="1" cm="1">
        <f t="array" ref="D15">INDEX({55,54,53,50,49,48,45},计算器!L2)</f>
        <v>45</v>
      </c>
      <c r="E15" s="1">
        <v>0</v>
      </c>
      <c r="F15" s="4" t="s">
        <v>250</v>
      </c>
      <c r="G15" s="1" t="s">
        <v>84</v>
      </c>
      <c r="H15" s="1">
        <v>25</v>
      </c>
      <c r="I15" s="1" t="s">
        <v>1</v>
      </c>
      <c r="J15" s="1" t="s">
        <v>87</v>
      </c>
      <c r="K15" s="1" cm="1">
        <f t="array" ref="K15">INDEX({6,9,12,15,19,22,25},计算器!L2)</f>
        <v>25</v>
      </c>
      <c r="L15" s="1" t="s">
        <v>226</v>
      </c>
      <c r="M15" s="3" t="s">
        <v>86</v>
      </c>
      <c r="N15" s="3" cm="1">
        <f t="array" ref="N15">INDEX({10,10,10,15,15,15,25},计算器!L2)</f>
        <v>25</v>
      </c>
    </row>
    <row r="16" spans="1:17" x14ac:dyDescent="0.2">
      <c r="A16" s="1" t="s">
        <v>129</v>
      </c>
      <c r="B16" s="1" t="s">
        <v>200</v>
      </c>
      <c r="C16" s="1">
        <v>1</v>
      </c>
      <c r="D16" s="1">
        <f>IF(OR(计算器!L2=1,计算器!L2=2,计算器!L2=3),40,IF(OR(计算器!L2=4,计算器!L2=5,计算器!L2=6,计算器!L2=7,计算器!L2=等级与精英!H29,计算器!L2=等级与精英!I29),37,IF(OR(计算器!L2=等级与精英!J29),35,"")))</f>
        <v>37</v>
      </c>
      <c r="E16" s="1">
        <f>IF(计算器!L2=等级与精英!J29,10,IF(OR(计算器!L2=等级与精英!I29,计算器!L2=等级与精英!H29,计算器!L2=等级与精英!G29),5,0))</f>
        <v>5</v>
      </c>
      <c r="F16" s="4" t="s">
        <v>250</v>
      </c>
      <c r="G16" s="1" t="s">
        <v>84</v>
      </c>
      <c r="H16" s="1">
        <v>25</v>
      </c>
      <c r="I16" s="1" t="s">
        <v>1</v>
      </c>
      <c r="J16" s="1" t="s">
        <v>87</v>
      </c>
      <c r="K16" s="1">
        <f>IF(计算器!L2=等级与精英!J29,80,IF(计算器!L2=等级与精英!I29,70,IF(计算器!L2=等级与精英!H29,60,15+计算器!L2*5)))</f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3B4BF-15B9-4AC9-B8F3-2709FB42F19C}">
  <dimension ref="A1:N50"/>
  <sheetViews>
    <sheetView topLeftCell="A19" workbookViewId="0">
      <selection activeCell="C50" sqref="C50"/>
    </sheetView>
  </sheetViews>
  <sheetFormatPr defaultColWidth="9" defaultRowHeight="14.25" x14ac:dyDescent="0.2"/>
  <cols>
    <col min="1" max="6" width="9" style="1"/>
    <col min="7" max="7" width="9" style="1" customWidth="1"/>
    <col min="8" max="16384" width="9" style="1"/>
  </cols>
  <sheetData>
    <row r="1" spans="1:5" x14ac:dyDescent="0.2">
      <c r="A1" s="1" t="s">
        <v>92</v>
      </c>
      <c r="B1" s="1" t="s">
        <v>107</v>
      </c>
      <c r="C1" s="1" t="s">
        <v>109</v>
      </c>
      <c r="D1" s="1" t="s">
        <v>108</v>
      </c>
      <c r="E1" s="1" t="s">
        <v>110</v>
      </c>
    </row>
    <row r="2" spans="1:5" x14ac:dyDescent="0.2">
      <c r="A2" s="1">
        <v>1</v>
      </c>
      <c r="B2" s="1">
        <v>0</v>
      </c>
      <c r="C2" s="1">
        <v>30</v>
      </c>
    </row>
    <row r="3" spans="1:5" x14ac:dyDescent="0.2">
      <c r="A3" s="1">
        <v>2</v>
      </c>
      <c r="B3" s="1">
        <v>0</v>
      </c>
      <c r="C3" s="1">
        <v>30</v>
      </c>
    </row>
    <row r="4" spans="1:5" x14ac:dyDescent="0.2">
      <c r="A4" s="1">
        <v>3</v>
      </c>
      <c r="B4" s="1">
        <v>1</v>
      </c>
      <c r="C4" s="1">
        <v>50</v>
      </c>
      <c r="D4" s="1">
        <v>55</v>
      </c>
    </row>
    <row r="5" spans="1:5" x14ac:dyDescent="0.2">
      <c r="A5" s="1">
        <v>4</v>
      </c>
      <c r="B5" s="1">
        <v>2</v>
      </c>
      <c r="C5" s="1">
        <v>50</v>
      </c>
      <c r="D5" s="1">
        <v>60</v>
      </c>
      <c r="E5" s="1">
        <v>70</v>
      </c>
    </row>
    <row r="6" spans="1:5" x14ac:dyDescent="0.2">
      <c r="A6" s="1">
        <v>5</v>
      </c>
      <c r="B6" s="1">
        <v>2</v>
      </c>
      <c r="C6" s="1">
        <v>50</v>
      </c>
      <c r="D6" s="1">
        <v>70</v>
      </c>
      <c r="E6" s="1">
        <v>80</v>
      </c>
    </row>
    <row r="7" spans="1:5" x14ac:dyDescent="0.2">
      <c r="A7" s="1">
        <v>6</v>
      </c>
      <c r="B7" s="1">
        <v>2</v>
      </c>
      <c r="C7" s="1">
        <v>50</v>
      </c>
      <c r="D7" s="1">
        <v>80</v>
      </c>
      <c r="E7" s="1">
        <v>90</v>
      </c>
    </row>
    <row r="11" spans="1:5" x14ac:dyDescent="0.2">
      <c r="B11" s="1">
        <v>0</v>
      </c>
      <c r="C11" s="1">
        <v>1</v>
      </c>
      <c r="D11" s="1">
        <v>2</v>
      </c>
    </row>
    <row r="12" spans="1:5" x14ac:dyDescent="0.2">
      <c r="A12" s="1">
        <v>1</v>
      </c>
      <c r="B12" s="1">
        <v>30</v>
      </c>
      <c r="C12" s="1">
        <v>0</v>
      </c>
      <c r="D12" s="1">
        <v>0</v>
      </c>
    </row>
    <row r="13" spans="1:5" x14ac:dyDescent="0.2">
      <c r="A13" s="1">
        <v>2</v>
      </c>
      <c r="B13" s="1">
        <v>30</v>
      </c>
      <c r="C13" s="1">
        <v>0</v>
      </c>
      <c r="D13" s="1">
        <v>0</v>
      </c>
    </row>
    <row r="14" spans="1:5" x14ac:dyDescent="0.2">
      <c r="A14" s="1">
        <v>3</v>
      </c>
      <c r="B14" s="1">
        <v>40</v>
      </c>
      <c r="C14" s="1">
        <v>55</v>
      </c>
      <c r="D14" s="1">
        <v>0</v>
      </c>
    </row>
    <row r="15" spans="1:5" x14ac:dyDescent="0.2">
      <c r="A15" s="1">
        <v>4</v>
      </c>
      <c r="B15" s="1">
        <v>45</v>
      </c>
      <c r="C15" s="1">
        <v>60</v>
      </c>
      <c r="D15" s="1">
        <v>70</v>
      </c>
    </row>
    <row r="16" spans="1:5" x14ac:dyDescent="0.2">
      <c r="A16" s="1">
        <v>5</v>
      </c>
      <c r="B16" s="1">
        <v>50</v>
      </c>
      <c r="C16" s="1">
        <v>70</v>
      </c>
      <c r="D16" s="1">
        <v>80</v>
      </c>
    </row>
    <row r="17" spans="1:10" x14ac:dyDescent="0.2">
      <c r="A17" s="1">
        <v>6</v>
      </c>
      <c r="B17" s="1">
        <v>50</v>
      </c>
      <c r="C17" s="1">
        <v>80</v>
      </c>
      <c r="D17" s="1">
        <v>90</v>
      </c>
    </row>
    <row r="20" spans="1:10" x14ac:dyDescent="0.2">
      <c r="A20" s="1" t="s">
        <v>153</v>
      </c>
      <c r="B20" s="1" t="s">
        <v>152</v>
      </c>
      <c r="C20" s="1" t="s">
        <v>92</v>
      </c>
    </row>
    <row r="21" spans="1:10" x14ac:dyDescent="0.2">
      <c r="B21" s="1">
        <f>MATCH(计算器!A2,干员表!A:A,0)</f>
        <v>7</v>
      </c>
      <c r="C21" s="1" cm="1">
        <f t="array" ref="C21">INDEX(干员表!B:B,等级与精英!B21)</f>
        <v>2</v>
      </c>
    </row>
    <row r="22" spans="1:10" x14ac:dyDescent="0.2">
      <c r="A22" s="1" t="s">
        <v>178</v>
      </c>
    </row>
    <row r="23" spans="1:10" x14ac:dyDescent="0.2">
      <c r="A23" s="1" t="str" cm="1">
        <f t="array" ref="A23">IF(ISBLANK(INDEX(干员表!AE:AE,等级与精英!B21)),"",INDEX(干员表!AE:AE,等级与精英!B21))</f>
        <v/>
      </c>
      <c r="B23" s="1" t="str" cm="1">
        <f t="array" ref="B23">IF(ISBLANK(INDEX(干员表!AF:AF,等级与精英!B21)),"",INDEX(干员表!AF:AF,等级与精英!B21))</f>
        <v/>
      </c>
    </row>
    <row r="24" spans="1:10" x14ac:dyDescent="0.2">
      <c r="A24" s="1" t="str" cm="1">
        <f t="array" ref="A24">IF(A23="","",INDEX(模组表!C:C,MATCH(1,(模组表!A:A=计算器!A2)*(模组表!B:B=等级与精英!A23),0)))</f>
        <v/>
      </c>
      <c r="B24" s="1" t="str" cm="1">
        <f t="array" ref="B24">IF(B23="","",INDEX(模组表!C:C,MATCH(1,(模组表!A:A=计算器!A2)*(模组表!B:B=B23),0)))</f>
        <v/>
      </c>
    </row>
    <row r="25" spans="1:10" x14ac:dyDescent="0.2">
      <c r="A25" s="1" t="s">
        <v>177</v>
      </c>
    </row>
    <row r="26" spans="1:10" x14ac:dyDescent="0.2">
      <c r="A26" s="1" t="str">
        <f>IF(计算器!B5="","",1)</f>
        <v/>
      </c>
      <c r="B26" s="1" t="str">
        <f>IF(计算器!B5="","",2)</f>
        <v/>
      </c>
      <c r="C26" s="1" t="str">
        <f>IF(计算器!B5="","",3)</f>
        <v/>
      </c>
    </row>
    <row r="28" spans="1:10" x14ac:dyDescent="0.2">
      <c r="A28" s="1" t="s">
        <v>201</v>
      </c>
    </row>
    <row r="29" spans="1:10" x14ac:dyDescent="0.2">
      <c r="A29" s="1">
        <v>1</v>
      </c>
      <c r="B29" s="1">
        <v>2</v>
      </c>
      <c r="C29" s="1">
        <v>3</v>
      </c>
      <c r="D29" s="1">
        <v>4</v>
      </c>
      <c r="E29" s="1">
        <v>5</v>
      </c>
      <c r="F29" s="1">
        <v>6</v>
      </c>
      <c r="G29" s="1">
        <v>7</v>
      </c>
      <c r="H29" s="1" t="s">
        <v>202</v>
      </c>
      <c r="I29" s="1" t="s">
        <v>203</v>
      </c>
      <c r="J29" s="1" t="s">
        <v>204</v>
      </c>
    </row>
    <row r="30" spans="1:10" x14ac:dyDescent="0.2">
      <c r="A30" s="1">
        <v>1</v>
      </c>
      <c r="B30" s="1">
        <v>2</v>
      </c>
      <c r="C30" s="1">
        <v>3</v>
      </c>
      <c r="D30" s="1">
        <v>4</v>
      </c>
      <c r="E30" s="1">
        <v>5</v>
      </c>
      <c r="F30" s="1">
        <v>6</v>
      </c>
      <c r="G30" s="1">
        <v>7</v>
      </c>
    </row>
    <row r="31" spans="1:10" x14ac:dyDescent="0.2">
      <c r="A31" s="1">
        <v>1</v>
      </c>
      <c r="B31" s="1">
        <v>2</v>
      </c>
      <c r="C31" s="1">
        <v>3</v>
      </c>
      <c r="D31" s="1">
        <v>4</v>
      </c>
    </row>
    <row r="33" spans="1:14" x14ac:dyDescent="0.2">
      <c r="A33" s="1" t="str" cm="1">
        <f t="array" ref="A33">IF(等级与精英!C21&lt;3,"",IF((等级与精英!C21&gt;2)*(计算器!B2=0),等级与精英!A31:D31,IF((等级与精英!C21&gt;2)*(计算器!B2=1),等级与精英!A30:G30,等级与精英!A29:J29)))</f>
        <v/>
      </c>
    </row>
    <row r="35" spans="1:14" x14ac:dyDescent="0.2">
      <c r="G35" s="1" t="s">
        <v>214</v>
      </c>
      <c r="H35" s="1" t="s">
        <v>233</v>
      </c>
      <c r="I35" s="1" t="s">
        <v>247</v>
      </c>
    </row>
    <row r="36" spans="1:14" x14ac:dyDescent="0.2">
      <c r="A36" s="1" t="s">
        <v>236</v>
      </c>
      <c r="B36" s="1" t="s">
        <v>212</v>
      </c>
      <c r="C36" s="1" t="s">
        <v>213</v>
      </c>
      <c r="D36" s="1" t="s">
        <v>231</v>
      </c>
      <c r="E36" s="1" t="s">
        <v>237</v>
      </c>
      <c r="G36" s="1" t="s">
        <v>83</v>
      </c>
      <c r="H36" s="1">
        <v>0</v>
      </c>
      <c r="I36" s="1" t="s">
        <v>240</v>
      </c>
      <c r="N36" s="1" t="e">
        <f>AND(_xlfn.XLOOKUP(计算器!A2,技能表!A:A,技能表!G:G)=等级与精英!G36,_xlfn.XLOOKUP(计算器!A2,技能表!A:A,技能表!P:P)=等级与精英!H36,_xlfn.XLOOKUP(计算器!A2,技能表!A:A,技能表!H:H)&lt;&gt;0)</f>
        <v>#N/A</v>
      </c>
    </row>
    <row r="37" spans="1:14" x14ac:dyDescent="0.2">
      <c r="B37" s="1" t="str">
        <f ca="1">技能一属性计算器!G10</f>
        <v/>
      </c>
      <c r="C37" s="1" t="e">
        <f ca="1">B37/_xlfn.XLOOKUP(计算器!A2,技能表!A:A,技能表!H:H)</f>
        <v>#VALUE!</v>
      </c>
      <c r="D37" s="1" t="e">
        <f ca="1">B37/(_xlfn.XLOOKUP(计算器!A2,技能表!A:A,技能表!H:H)+_xlfn.XLOOKUP(计算器!A2,技能表!A:A,技能表!D:D))</f>
        <v>#VALUE!</v>
      </c>
      <c r="E37" s="1">
        <f ca="1">技能一属性计算器!G3</f>
        <v>299</v>
      </c>
    </row>
    <row r="39" spans="1:14" x14ac:dyDescent="0.2">
      <c r="B39" s="3" t="s">
        <v>212</v>
      </c>
      <c r="C39" s="3" t="s">
        <v>213</v>
      </c>
      <c r="D39" s="3" t="s">
        <v>231</v>
      </c>
      <c r="E39" s="3" t="s">
        <v>237</v>
      </c>
      <c r="F39" s="3"/>
      <c r="G39" s="3" t="s">
        <v>84</v>
      </c>
      <c r="H39" s="3">
        <v>0</v>
      </c>
      <c r="I39" s="3" t="s">
        <v>240</v>
      </c>
      <c r="N39" s="3" t="e">
        <f>AND(_xlfn.XLOOKUP(计算器!A2,技能表!A:A,技能表!G:G)=等级与精英!G39,_xlfn.XLOOKUP(计算器!A2,技能表!A:A,技能表!P:P)=等级与精英!H39,_xlfn.XLOOKUP(计算器!A2,技能表!A:A,技能表!H:H)&lt;&gt;0)</f>
        <v>#N/A</v>
      </c>
    </row>
    <row r="40" spans="1:14" x14ac:dyDescent="0.2">
      <c r="B40" s="1" t="str">
        <f ca="1">技能一属性计算器!G10</f>
        <v/>
      </c>
      <c r="C40" s="1" t="e">
        <f ca="1">B40/_xlfn.XLOOKUP(计算器!A2,技能表!A:A,技能表!H:H)</f>
        <v>#VALUE!</v>
      </c>
      <c r="D40" s="1" t="e">
        <f ca="1">B40/(_xlfn.XLOOKUP(计算器!A2,技能表!A:A,技能表!H:H)+_xlfn.XLOOKUP(计算器!A2,技能表!A:A,技能表!D:D))</f>
        <v>#VALUE!</v>
      </c>
      <c r="E40" s="1">
        <f ca="1">技能一属性计算器!G3</f>
        <v>299</v>
      </c>
    </row>
    <row r="42" spans="1:14" x14ac:dyDescent="0.2">
      <c r="B42" s="1" t="s">
        <v>238</v>
      </c>
      <c r="C42" s="3" t="s">
        <v>239</v>
      </c>
      <c r="G42" s="1" t="s">
        <v>105</v>
      </c>
      <c r="H42" s="1">
        <v>1</v>
      </c>
      <c r="I42" s="1">
        <v>0</v>
      </c>
      <c r="N42" s="3" t="e">
        <f>AND(_xlfn.XLOOKUP(计算器!A2,技能表!A:A,技能表!G:G)=等级与精英!G42,_xlfn.XLOOKUP(计算器!A2,技能表!A:A,技能表!P:P)=等级与精英!H42,_xlfn.XLOOKUP(计算器!A2,技能表!A:A,技能表!H:H)=I42)</f>
        <v>#N/A</v>
      </c>
    </row>
    <row r="43" spans="1:14" x14ac:dyDescent="0.2">
      <c r="B43" s="1" t="e">
        <f>_xlfn.XLOOKUP(计算器!A2,技能表!A:A,技能表!Q:Q)</f>
        <v>#N/A</v>
      </c>
      <c r="C43" s="1" t="e">
        <f>等级与精英!B43/(_xlfn.XLOOKUP(计算器!A2,技能表!A:A,技能表!D:D)+_xlfn.XLOOKUP(计算器!A2,技能表!A:A,技能表!H:H))</f>
        <v>#N/A</v>
      </c>
    </row>
    <row r="45" spans="1:14" x14ac:dyDescent="0.2">
      <c r="B45" s="1" t="s">
        <v>245</v>
      </c>
      <c r="C45" s="1" t="s">
        <v>246</v>
      </c>
      <c r="G45" s="1" t="s">
        <v>85</v>
      </c>
      <c r="H45" s="1">
        <v>0</v>
      </c>
      <c r="I45" s="1">
        <v>0</v>
      </c>
      <c r="N45" s="3" t="e">
        <f>AND(_xlfn.XLOOKUP(计算器!A2,技能表!A:A,技能表!G:G)=等级与精英!G45,_xlfn.XLOOKUP(计算器!A2,技能表!A:A,技能表!P:P)=等级与精英!H45,_xlfn.XLOOKUP(计算器!A2,技能表!A:A,技能表!H:H)=I45)</f>
        <v>#N/A</v>
      </c>
    </row>
    <row r="50" spans="2:12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7C01-0EA0-4934-91A4-3652415E4EE2}">
  <dimension ref="A1:CR22"/>
  <sheetViews>
    <sheetView tabSelected="1" workbookViewId="0">
      <selection activeCell="M22" sqref="M22"/>
    </sheetView>
  </sheetViews>
  <sheetFormatPr defaultColWidth="9" defaultRowHeight="14.25" x14ac:dyDescent="0.2"/>
  <cols>
    <col min="1" max="8" width="9" style="1"/>
    <col min="9" max="11" width="9" style="10"/>
    <col min="12" max="13" width="9" style="1"/>
    <col min="14" max="14" width="9" style="1" customWidth="1"/>
    <col min="15" max="16" width="9" style="1"/>
    <col min="17" max="17" width="9" style="1" customWidth="1"/>
    <col min="18" max="76" width="9" style="1"/>
    <col min="77" max="77" width="9" style="10"/>
    <col min="78" max="80" width="9" style="1"/>
    <col min="81" max="81" width="9" style="10"/>
    <col min="82" max="83" width="9" style="1"/>
    <col min="84" max="84" width="9" style="10"/>
    <col min="85" max="85" width="9" style="1"/>
    <col min="86" max="91" width="9" style="10"/>
    <col min="92" max="93" width="9" style="1"/>
    <col min="94" max="94" width="9" style="10"/>
    <col min="95" max="16384" width="9" style="1"/>
  </cols>
  <sheetData>
    <row r="1" spans="1:96" x14ac:dyDescent="0.2">
      <c r="B1" s="1" t="s">
        <v>135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136</v>
      </c>
      <c r="M1" s="1" t="s">
        <v>221</v>
      </c>
      <c r="N1" s="1" t="s">
        <v>217</v>
      </c>
      <c r="O1" s="1" t="s">
        <v>215</v>
      </c>
      <c r="Q1" s="1" t="s">
        <v>218</v>
      </c>
      <c r="R1" s="1" t="s">
        <v>215</v>
      </c>
      <c r="T1" s="1" t="s">
        <v>219</v>
      </c>
      <c r="U1" s="1" t="s">
        <v>215</v>
      </c>
      <c r="W1" s="1" t="s">
        <v>220</v>
      </c>
      <c r="X1" s="1" t="s">
        <v>215</v>
      </c>
      <c r="Z1" s="1" t="s">
        <v>222</v>
      </c>
      <c r="AA1" s="1" t="s">
        <v>217</v>
      </c>
      <c r="AB1" s="1" t="s">
        <v>215</v>
      </c>
      <c r="AD1" s="1" t="s">
        <v>218</v>
      </c>
      <c r="AE1" s="1" t="s">
        <v>215</v>
      </c>
      <c r="AG1" s="1" t="s">
        <v>219</v>
      </c>
      <c r="AH1" s="1" t="s">
        <v>215</v>
      </c>
      <c r="AJ1" s="1" t="s">
        <v>220</v>
      </c>
      <c r="AK1" s="1" t="s">
        <v>215</v>
      </c>
      <c r="AM1" s="1" t="s">
        <v>223</v>
      </c>
      <c r="AN1" s="1" t="s">
        <v>217</v>
      </c>
      <c r="AO1" s="1" t="s">
        <v>215</v>
      </c>
      <c r="AQ1" s="1" t="s">
        <v>218</v>
      </c>
      <c r="AR1" s="1" t="s">
        <v>215</v>
      </c>
      <c r="AT1" s="1" t="s">
        <v>219</v>
      </c>
      <c r="AU1" s="1" t="s">
        <v>215</v>
      </c>
      <c r="AW1" s="1" t="s">
        <v>220</v>
      </c>
      <c r="AX1" s="1" t="s">
        <v>215</v>
      </c>
      <c r="AZ1" s="1" t="s">
        <v>224</v>
      </c>
      <c r="BA1" s="1" t="s">
        <v>217</v>
      </c>
      <c r="BB1" s="1" t="s">
        <v>215</v>
      </c>
      <c r="BD1" s="1" t="s">
        <v>218</v>
      </c>
      <c r="BE1" s="1" t="s">
        <v>215</v>
      </c>
      <c r="BG1" s="1" t="s">
        <v>219</v>
      </c>
      <c r="BH1" s="1" t="s">
        <v>215</v>
      </c>
      <c r="BJ1" s="1" t="s">
        <v>220</v>
      </c>
      <c r="BK1" s="1" t="s">
        <v>215</v>
      </c>
      <c r="BM1" s="1" t="s">
        <v>226</v>
      </c>
      <c r="BN1" s="1" t="s">
        <v>86</v>
      </c>
      <c r="BO1" s="1" t="s">
        <v>215</v>
      </c>
      <c r="BQ1" s="1" t="s">
        <v>87</v>
      </c>
      <c r="BR1" s="1" t="s">
        <v>215</v>
      </c>
      <c r="BT1" s="1" t="s">
        <v>88</v>
      </c>
      <c r="BU1" s="1" t="s">
        <v>215</v>
      </c>
      <c r="BW1" s="1" t="s">
        <v>89</v>
      </c>
      <c r="BX1" s="1" t="s">
        <v>215</v>
      </c>
      <c r="BZ1" s="10" t="s">
        <v>310</v>
      </c>
      <c r="CA1" s="10" t="s">
        <v>187</v>
      </c>
      <c r="CB1" s="10" t="s">
        <v>215</v>
      </c>
      <c r="CD1" s="10" t="s">
        <v>83</v>
      </c>
      <c r="CE1" s="10" t="s">
        <v>311</v>
      </c>
      <c r="CG1" s="10" t="s">
        <v>215</v>
      </c>
      <c r="CI1" s="10" t="s">
        <v>84</v>
      </c>
      <c r="CJ1" s="10" t="s">
        <v>311</v>
      </c>
      <c r="CL1" s="10" t="s">
        <v>215</v>
      </c>
      <c r="CN1" s="10" t="s">
        <v>312</v>
      </c>
      <c r="CO1" s="10" t="s">
        <v>187</v>
      </c>
      <c r="CQ1" s="10" t="s">
        <v>215</v>
      </c>
      <c r="CR1" s="10"/>
    </row>
    <row r="2" spans="1:96" x14ac:dyDescent="0.2">
      <c r="A2" s="1" t="s">
        <v>3</v>
      </c>
      <c r="B2" s="1">
        <f>等级属性计算器!B3</f>
        <v>780</v>
      </c>
      <c r="C2" s="1">
        <f ca="1">N2</f>
        <v>0</v>
      </c>
      <c r="D2" s="1">
        <f ca="1">Q2/100</f>
        <v>0</v>
      </c>
      <c r="E2" s="1">
        <f ca="1">T2</f>
        <v>0</v>
      </c>
      <c r="F2" s="1">
        <f ca="1">IF(W2=1,1,W2/100)</f>
        <v>1</v>
      </c>
      <c r="G2" s="1">
        <f ca="1">ROUND(MAX(F2*((B2+C2)*(1+D2)+E2),0),0)</f>
        <v>780</v>
      </c>
      <c r="M2" s="1" t="s">
        <v>216</v>
      </c>
      <c r="N2" s="1">
        <f ca="1">SUMIF(O3:O50,TRUE,N3:N50)</f>
        <v>0</v>
      </c>
      <c r="Q2" s="1">
        <f ca="1">SUMIF(R3:R50,TRUE,Q3:Q50)</f>
        <v>0</v>
      </c>
      <c r="T2" s="1">
        <f ca="1">SUMIF(U3:U50,TRUE,T3:T50)</f>
        <v>0</v>
      </c>
      <c r="W2" s="1" cm="1">
        <f t="array" aca="1" ref="W2" ca="1">PRODUCT(IF(X3:X50=TRUE,IF(W3:W50="",1,IF(W3:W50&lt;=0,W3:W50+100,W3:W50)),1))</f>
        <v>1</v>
      </c>
      <c r="Z2" s="1" t="s">
        <v>216</v>
      </c>
      <c r="AA2" s="1">
        <f ca="1">SUMIF(AB3:AB50,TRUE,AA3:AA50)</f>
        <v>0</v>
      </c>
      <c r="AD2" s="1">
        <f ca="1">SUMIF(AE3:AE50,TRUE,AD3:AD50)</f>
        <v>0</v>
      </c>
      <c r="AG2" s="1">
        <f ca="1">SUMIF(AH3:AH50,TRUE,AG3:AG50)</f>
        <v>0</v>
      </c>
      <c r="AJ2" s="1" cm="1">
        <f t="array" aca="1" ref="AJ2" ca="1">PRODUCT(IF(AK3:AK50=TRUE,IF(AJ3:AJ50="",1,IF(AJ3:AJ50&lt;=0,AJ3:AJ50+100,AJ3:AJ50)),1))</f>
        <v>1</v>
      </c>
      <c r="AM2" s="1" t="s">
        <v>216</v>
      </c>
      <c r="AN2" s="1">
        <f ca="1">SUMIF(AO3:AO50,TRUE,AN3:AN50)</f>
        <v>0</v>
      </c>
      <c r="AQ2" s="1">
        <f ca="1">SUMIF(AR3:AR50,TRUE,AQ3:AQ50)</f>
        <v>0</v>
      </c>
      <c r="AT2" s="1">
        <f ca="1">SUMIF(AU3:AU50,TRUE,AT3:AT50)</f>
        <v>0</v>
      </c>
      <c r="AW2" s="1" cm="1">
        <f t="array" aca="1" ref="AW2" ca="1">PRODUCT(IF(AX3:AX50=TRUE,IF(AW3:AW50="",1,IF(AW3:AW50&lt;=0,AW3:AW50+100,AW3:AW50)),1))</f>
        <v>1</v>
      </c>
      <c r="AZ2" s="1" t="s">
        <v>216</v>
      </c>
      <c r="BA2" s="1">
        <f ca="1">SUMIF(BB3:BB50,TRUE,BA3:BA50)</f>
        <v>0</v>
      </c>
      <c r="BD2" s="1">
        <f ca="1">SUMIF(BE3:BE50,TRUE,BD3:BD50)</f>
        <v>0</v>
      </c>
      <c r="BG2" s="1">
        <f ca="1">SUMIF(BH3:BH50,TRUE,BG3:BG50)</f>
        <v>0</v>
      </c>
      <c r="BJ2" s="1" cm="1">
        <f t="array" aca="1" ref="BJ2" ca="1">PRODUCT(IF(BK3:BK50=TRUE,IF(BJ3:BJ50="",1,IF(BJ3:BJ50&lt;=0,BJ3:BJ50+100,BJ3:BJ50)),1))</f>
        <v>1</v>
      </c>
      <c r="BM2" s="1" t="s">
        <v>216</v>
      </c>
      <c r="BN2" s="3">
        <f ca="1">SUMIF(BO3:BO50,TRUE,BN3:BN50)</f>
        <v>0</v>
      </c>
      <c r="BQ2" s="3">
        <f ca="1">SUMIF(BR3:BR50,TRUE,BQ3:BQ50)</f>
        <v>0</v>
      </c>
      <c r="BT2" s="3">
        <f ca="1">SUMIF(BU3:BU50,TRUE,BT3:BT50)</f>
        <v>0</v>
      </c>
      <c r="BW2" s="3" cm="1">
        <f t="array" aca="1" ref="BW2" ca="1">PRODUCT(IF(BX3:BX50=TRUE,IF(BW3:BW50="",1,IF(BW3:BW50&lt;=0,BW3:BW50+100,BW3:BW50)),1))</f>
        <v>1</v>
      </c>
      <c r="BZ2" s="10" t="s">
        <v>216</v>
      </c>
      <c r="CA2" s="10" cm="1">
        <f t="array" aca="1" ref="CA2" ca="1">PRODUCT(IF(CB3:CB50=TRUE,IF(CA3:CA50="",1,IF(CA3:CA50&lt;=0,CA3:CA50+1,CA3:CA50/100+1)),1))</f>
        <v>1.5</v>
      </c>
      <c r="CE2" s="10" cm="1">
        <f t="array" ref="CE2">PRODUCT(IF(CG3:CG50=TRUE,IF(CE3:CE50="",1,IF(CE3:CE50&lt;=0,CE3:CE50+1,CE3:CE50/100+1)),1))</f>
        <v>1</v>
      </c>
      <c r="CJ2" s="10" cm="1">
        <f t="array" ref="CJ2">PRODUCT(IF(CL3:CL50=TRUE,IF(CJ3:CJ50="",1,IF(CJ3:CJ50&lt;=0,CJ3:CJ50+1,CJ3:CJ50/100+1)),1))</f>
        <v>1</v>
      </c>
      <c r="CO2" s="10" cm="1">
        <f t="array" ref="CO2">PRODUCT(IF(CQ3:CQ50=TRUE,IF(CO3:CO50="",1,IF(CO3:CO50&lt;=0,CO3:CO50+1,CO3:CO50/100+1)),1))</f>
        <v>1</v>
      </c>
    </row>
    <row r="3" spans="1:96" x14ac:dyDescent="0.2">
      <c r="A3" s="1" t="s">
        <v>1</v>
      </c>
      <c r="B3" s="1">
        <f>等级属性计算器!C3</f>
        <v>299</v>
      </c>
      <c r="C3" s="1">
        <f ca="1">AA2</f>
        <v>0</v>
      </c>
      <c r="D3" s="1">
        <f ca="1">AD2/100</f>
        <v>0</v>
      </c>
      <c r="E3" s="1">
        <f ca="1">AG2</f>
        <v>0</v>
      </c>
      <c r="F3" s="1">
        <f ca="1">IF(AJ2=1,1,AJ2/100)</f>
        <v>1</v>
      </c>
      <c r="G3" s="1">
        <f ca="1">ROUND(MAX(0,(F3*(B3+C3)*(1+D3)+E3)),0)</f>
        <v>299</v>
      </c>
      <c r="M3" s="1" t="s">
        <v>205</v>
      </c>
      <c r="N3" s="1" t="str">
        <f>IFERROR(IF((_xlfn.XLOOKUP(计算器!A2,技能表!A:A,技能表!J:J)=N1)*(_xlfn.XLOOKUP(计算器!A2,技能表!A:A,技能表!I:I)=M1),_xlfn.XLOOKUP(计算器!A2,技能表!A:A,技能表!K:K),""),"")</f>
        <v/>
      </c>
      <c r="O3" s="1" t="b">
        <v>1</v>
      </c>
      <c r="Q3" s="1" t="str">
        <f>IFERROR(IF((_xlfn.XLOOKUP(计算器!A2,技能表!A:A,技能表!J:J)=Q1)*(_xlfn.XLOOKUP(计算器!A2,技能表!A:A,技能表!I:I)=M1),_xlfn.XLOOKUP(计算器!A2,技能表!A:A,技能表!K:K),""),"")</f>
        <v/>
      </c>
      <c r="R3" s="1" t="b">
        <v>1</v>
      </c>
      <c r="T3" s="1" t="str">
        <f>IFERROR(IF((_xlfn.XLOOKUP(计算器!A2,技能表!A:A,技能表!J:J)=T1)*(_xlfn.XLOOKUP(计算器!A2,技能表!A:A,技能表!I:I)=M1),_xlfn.XLOOKUP(计算器!A2,技能表!A:A,技能表!K:K),""),"")</f>
        <v/>
      </c>
      <c r="U3" s="1" t="b">
        <v>1</v>
      </c>
      <c r="W3" s="1" t="str">
        <f>IFERROR(IF((_xlfn.XLOOKUP(计算器!A2,技能表!A:A,技能表!J:J)=W1)*(_xlfn.XLOOKUP(计算器!A2,技能表!A:A,技能表!I:I)=M1),_xlfn.XLOOKUP(计算器!A2,技能表!A:A,技能表!K:K),""),"")</f>
        <v/>
      </c>
      <c r="X3" s="8" t="b">
        <v>1</v>
      </c>
      <c r="Z3" s="1" t="s">
        <v>205</v>
      </c>
      <c r="AA3" s="1" t="str">
        <f>IFERROR(IF((_xlfn.XLOOKUP(计算器!A2,技能表!A:A,技能表!J:J)=N1)*(_xlfn.XLOOKUP(计算器!A2,技能表!A:A,技能表!I:I)=Z1),_xlfn.XLOOKUP(计算器!A2,技能表!A:A,技能表!K:K),""),"")</f>
        <v/>
      </c>
      <c r="AB3" s="8" t="b">
        <v>1</v>
      </c>
      <c r="AD3" s="1" t="str">
        <f>IFERROR(IF((_xlfn.XLOOKUP(计算器!A2,技能表!A:A,技能表!J:J)=AD1)*(_xlfn.XLOOKUP(计算器!A2,技能表!A:A,技能表!I:I)=Z1),_xlfn.XLOOKUP(计算器!A2,技能表!A:A,技能表!K:K),""),"")</f>
        <v/>
      </c>
      <c r="AE3" s="8" t="b">
        <v>1</v>
      </c>
      <c r="AG3" s="1" t="str">
        <f>IFERROR(IF((_xlfn.XLOOKUP(计算器!A2,技能表!A:A,技能表!J:J)=AG1)*(_xlfn.XLOOKUP(计算器!A2,技能表!A:A,技能表!I:I)=Z1),_xlfn.XLOOKUP(计算器!A2,技能表!A:A,技能表!K:K),""),"")</f>
        <v/>
      </c>
      <c r="AH3" s="8" t="b">
        <v>1</v>
      </c>
      <c r="AJ3" s="1" t="str">
        <f>IFERROR(IF((_xlfn.XLOOKUP(计算器!A2,技能表!A:A,技能表!J:J)=AJ1)*(_xlfn.XLOOKUP(计算器!A2,技能表!A:A,技能表!I:I)=Z1),_xlfn.XLOOKUP(计算器!A2,技能表!A:A,技能表!K:K),""),"")</f>
        <v/>
      </c>
      <c r="AK3" s="8" t="b">
        <v>1</v>
      </c>
      <c r="AM3" s="1" t="s">
        <v>205</v>
      </c>
      <c r="AN3" s="1" t="str">
        <f>IFERROR(IF((_xlfn.XLOOKUP(计算器!A2,技能表!A:A,技能表!J:J)=AN1)*(_xlfn.XLOOKUP(计算器!A2,技能表!A:A,技能表!I:I)=AM1),_xlfn.XLOOKUP(计算器!A2,技能表!A:A,技能表!K:K),""),"")</f>
        <v/>
      </c>
      <c r="AO3" s="8" t="b">
        <v>1</v>
      </c>
      <c r="AQ3" s="1" t="str">
        <f>IFERROR(IF((_xlfn.XLOOKUP(计算器!A2,技能表!A:A,技能表!J:J)=AQ1)*(_xlfn.XLOOKUP(计算器!A2,技能表!A:A,技能表!I:I)=AM1),_xlfn.XLOOKUP(计算器!A2,技能表!A:A,技能表!K:K),""),"")</f>
        <v/>
      </c>
      <c r="AR3" s="8" t="b">
        <v>1</v>
      </c>
      <c r="AT3" s="1" t="str">
        <f>IFERROR(IF((_xlfn.XLOOKUP(计算器!A2,技能表!A:A,技能表!J:J)=AT1)*(_xlfn.XLOOKUP(计算器!A2,技能表!A:A,技能表!I:I)=AM1),_xlfn.XLOOKUP(计算器!A2,技能表!A:A,技能表!K:K),""),"")</f>
        <v/>
      </c>
      <c r="AU3" s="8" t="b">
        <v>1</v>
      </c>
      <c r="AW3" s="1" t="str">
        <f>IFERROR(IF((_xlfn.XLOOKUP(计算器!A2,技能表!A:A,技能表!J:J)=AW1)*(_xlfn.XLOOKUP(计算器!A2,技能表!A:A,技能表!I:I)=AM1),_xlfn.XLOOKUP(计算器!A2,技能表!A:A,技能表!K:K),""),"")</f>
        <v/>
      </c>
      <c r="AX3" s="8" t="b">
        <v>1</v>
      </c>
      <c r="AZ3" s="1" t="s">
        <v>205</v>
      </c>
      <c r="BA3" s="1" t="str">
        <f>IFERROR(IF((_xlfn.XLOOKUP(计算器!A2,技能表!A:A,技能表!J:J)=BA1)*(_xlfn.XLOOKUP(计算器!A2,技能表!A:A,技能表!I:I)=AZ1),_xlfn.XLOOKUP(计算器!A2,技能表!A:A,技能表!K:K),""),"")</f>
        <v/>
      </c>
      <c r="BB3" s="8" t="b">
        <v>1</v>
      </c>
      <c r="BD3" s="1" t="str">
        <f>IFERROR(IF((_xlfn.XLOOKUP(计算器!A2,技能表!A:A,技能表!J:J)=BD1)*(_xlfn.XLOOKUP(计算器!A2,技能表!A:A,技能表!I:I)=AZ1),_xlfn.XLOOKUP(计算器!A2,技能表!A:A,技能表!K:K),""),"")</f>
        <v/>
      </c>
      <c r="BE3" s="8" t="b">
        <v>1</v>
      </c>
      <c r="BG3" s="1" t="str">
        <f>IFERROR(IF((_xlfn.XLOOKUP(计算器!A2,技能表!A:A,技能表!J:J)=BG1)*(_xlfn.XLOOKUP(计算器!A2,技能表!A:A,技能表!I:I)=AZ1),_xlfn.XLOOKUP(计算器!A2,技能表!A:A,技能表!K:K),""),"")</f>
        <v/>
      </c>
      <c r="BH3" s="8" t="b">
        <v>1</v>
      </c>
      <c r="BJ3" s="1" t="str">
        <f>IFERROR(IF((_xlfn.XLOOKUP(计算器!A2,技能表!A:A,技能表!J:J)=BJ1)*(_xlfn.XLOOKUP(计算器!A2,技能表!A:A,技能表!I:I)=AZ1),_xlfn.XLOOKUP(计算器!A2,技能表!A:A,技能表!K:K),""),"")</f>
        <v/>
      </c>
      <c r="BK3" s="8" t="b">
        <v>1</v>
      </c>
      <c r="BM3" s="1" t="s">
        <v>205</v>
      </c>
      <c r="BN3" s="1" t="str" cm="1">
        <f t="array" ref="BN3">IFERROR(IF((_xlfn.XLOOKUP(计算器!A2,技能表!A:A,技能表!J:J)=INDEX(1:1,1,COLUMN()))*(_xlfn.XLOOKUP(计算器!A2,技能表!A:A,技能表!I:I)=BM1),_xlfn.XLOOKUP(计算器!A2,技能表!A:A,技能表!K:K),""),"")</f>
        <v/>
      </c>
      <c r="BO3" s="8" t="b">
        <v>1</v>
      </c>
      <c r="BQ3" s="1" t="str" cm="1">
        <f t="array" ref="BQ3">IFERROR(IF((_xlfn.XLOOKUP(计算器!A2,技能表!A:A,技能表!J:J)=INDEX(1:1,1,COLUMN()))*(_xlfn.XLOOKUP(计算器!A2,技能表!A:A,技能表!I:I)=BM1),_xlfn.XLOOKUP(计算器!A2,技能表!A:A,技能表!K:K),""),"")</f>
        <v/>
      </c>
      <c r="BR3" s="8" t="b">
        <v>1</v>
      </c>
      <c r="BT3" s="1" t="str" cm="1">
        <f t="array" ref="BT3">IFERROR(IF((_xlfn.XLOOKUP(计算器!A2,技能表!A:A,技能表!J:J)=INDEX(1:1,1,COLUMN()))*(_xlfn.XLOOKUP(计算器!A2,技能表!A:A,技能表!I:I)=BM1),_xlfn.XLOOKUP(计算器!A2,技能表!A:A,技能表!K:K),""),"")</f>
        <v/>
      </c>
      <c r="BU3" s="8" t="b">
        <v>1</v>
      </c>
      <c r="BW3" s="1" t="str" cm="1">
        <f t="array" ref="BW3">IFERROR(IF((_xlfn.XLOOKUP(计算器!A2,技能表!A:A,技能表!J:J)=INDEX(1:1,1,COLUMN()))*(_xlfn.XLOOKUP(计算器!A2,技能表!A:A,技能表!I:I)=BM1),_xlfn.XLOOKUP(计算器!A2,技能表!A:A,技能表!K:K),""),"")</f>
        <v/>
      </c>
      <c r="BX3" s="8" t="b">
        <v>1</v>
      </c>
      <c r="BZ3" s="10" t="s">
        <v>205</v>
      </c>
      <c r="CB3" s="1" t="b">
        <v>1</v>
      </c>
      <c r="CG3" s="10" t="b">
        <v>1</v>
      </c>
      <c r="CL3" s="10" t="b">
        <v>1</v>
      </c>
      <c r="CQ3" s="10" t="b">
        <v>1</v>
      </c>
    </row>
    <row r="4" spans="1:96" x14ac:dyDescent="0.2">
      <c r="A4" s="1" t="s">
        <v>2</v>
      </c>
      <c r="B4" s="1">
        <f>等级属性计算器!D3</f>
        <v>66</v>
      </c>
      <c r="C4" s="1">
        <f ca="1">AN2</f>
        <v>0</v>
      </c>
      <c r="D4" s="1">
        <f ca="1">AQ2/100</f>
        <v>0</v>
      </c>
      <c r="E4" s="1">
        <f ca="1">AT2</f>
        <v>0</v>
      </c>
      <c r="F4" s="1">
        <f ca="1">IF(AW2=1,1,AW2/100)</f>
        <v>1</v>
      </c>
      <c r="G4" s="1">
        <f t="shared" ref="G4:G6" ca="1" si="0">ROUND(MAX(0,(F4*(B4+C4)*(1+D4)+E4)),0)</f>
        <v>66</v>
      </c>
      <c r="M4" s="1" t="s">
        <v>243</v>
      </c>
      <c r="N4" s="1" t="str">
        <f>IFERROR(IF((_xlfn.XLOOKUP(计算器!A2,技能表!A:A,技能表!M:M)=N1)*(_xlfn.XLOOKUP(计算器!A2,技能表!A:A,技能表!L:L)=M1),_xlfn.XLOOKUP(计算器!A2,技能表!A:A,技能表!N:N),""),"")</f>
        <v/>
      </c>
      <c r="O4" s="8" t="b">
        <v>1</v>
      </c>
      <c r="Q4" s="1" t="str">
        <f>IFERROR(IF((_xlfn.XLOOKUP(计算器!A2,技能表!A:A,技能表!M:M)=Q1)*(_xlfn.XLOOKUP(计算器!A2,技能表!A:A,技能表!L:L)=M1),_xlfn.XLOOKUP(计算器!A2,技能表!A:A,技能表!N:N),""),"")</f>
        <v/>
      </c>
      <c r="R4" s="8" t="b">
        <v>1</v>
      </c>
      <c r="T4" s="1" t="str">
        <f>IFERROR(IF((_xlfn.XLOOKUP(计算器!A2,技能表!A:A,技能表!M:M)=T1)*(_xlfn.XLOOKUP(计算器!A2,技能表!A:A,技能表!L:L)=M1),_xlfn.XLOOKUP(计算器!A2,技能表!A:A,技能表!N:N),""),"")</f>
        <v/>
      </c>
      <c r="U4" s="8" t="b">
        <v>1</v>
      </c>
      <c r="W4" s="1" t="str">
        <f>IFERROR(IF((_xlfn.XLOOKUP(计算器!A2,技能表!A:A,技能表!M:M)=W1)*(_xlfn.XLOOKUP(计算器!A2,技能表!A:A,技能表!L:L)=M1),_xlfn.XLOOKUP(计算器!A2,技能表!A:A,技能表!N:N),""),"")</f>
        <v/>
      </c>
      <c r="X4" s="8" t="b">
        <v>1</v>
      </c>
      <c r="Z4" s="1" t="s">
        <v>243</v>
      </c>
      <c r="AA4" s="1" t="str">
        <f>IFERROR(IF((_xlfn.XLOOKUP(计算器!A2,技能表!A:A,技能表!M:M)=AA1)*(_xlfn.XLOOKUP(计算器!A2,技能表!A:A,技能表!L:L)=Z1),_xlfn.XLOOKUP(计算器!A2,技能表!A:A,技能表!N:N),""),"")</f>
        <v/>
      </c>
      <c r="AB4" s="8" t="b">
        <v>1</v>
      </c>
      <c r="AD4" s="1" t="str">
        <f>IFERROR(IF((_xlfn.XLOOKUP(计算器!A2,技能表!A:A,技能表!M:M)=AD1)*(_xlfn.XLOOKUP(计算器!A2,技能表!A:A,技能表!L:L)=Z1),_xlfn.XLOOKUP(计算器!A2,技能表!A:A,技能表!N:N),""),"")</f>
        <v/>
      </c>
      <c r="AE4" s="8" t="b">
        <v>1</v>
      </c>
      <c r="AG4" s="1" t="str">
        <f>IFERROR(IF((_xlfn.XLOOKUP(计算器!A2,技能表!A:A,技能表!M:M)=AG1)*(_xlfn.XLOOKUP(计算器!A2,技能表!A:A,技能表!L:L)=Z1),_xlfn.XLOOKUP(计算器!A2,技能表!A:A,技能表!N:N),""),"")</f>
        <v/>
      </c>
      <c r="AH4" s="8" t="b">
        <v>1</v>
      </c>
      <c r="AJ4" s="1" t="str">
        <f>IFERROR(IF((_xlfn.XLOOKUP(计算器!A2,技能表!A:A,技能表!M:M)=AJ1)*(_xlfn.XLOOKUP(计算器!A2,技能表!A:A,技能表!L:L)=Z1),_xlfn.XLOOKUP(计算器!A2,技能表!A:A,技能表!N:N),""),"")</f>
        <v/>
      </c>
      <c r="AK4" s="8" t="b">
        <v>1</v>
      </c>
      <c r="AM4" s="1" t="s">
        <v>243</v>
      </c>
      <c r="AN4" s="1" t="str">
        <f>IFERROR(IF((_xlfn.XLOOKUP(计算器!A2,技能表!A:A,技能表!M:M)=AN1)*(_xlfn.XLOOKUP(计算器!A2,技能表!A:A,技能表!L:L)=AM1),_xlfn.XLOOKUP(计算器!A2,技能表!A:A,技能表!N:N),""),"")</f>
        <v/>
      </c>
      <c r="AO4" s="8" t="b">
        <v>1</v>
      </c>
      <c r="AQ4" s="1" t="str">
        <f>IFERROR(IF((_xlfn.XLOOKUP(计算器!A2,技能表!A:A,技能表!M:M)=AQ1)*(_xlfn.XLOOKUP(计算器!A2,技能表!A:A,技能表!L:L)=AM1),_xlfn.XLOOKUP(计算器!A2,技能表!A:A,技能表!N:N),""),"")</f>
        <v/>
      </c>
      <c r="AR4" s="8" t="b">
        <v>1</v>
      </c>
      <c r="AT4" s="1" t="str">
        <f>IFERROR(IF((_xlfn.XLOOKUP(计算器!A2,技能表!A:A,技能表!M:M)=AT1)*(_xlfn.XLOOKUP(计算器!A2,技能表!A:A,技能表!L:L)=AM1),_xlfn.XLOOKUP(计算器!A2,技能表!A:A,技能表!N:N),""),"")</f>
        <v/>
      </c>
      <c r="AU4" s="8" t="b">
        <v>1</v>
      </c>
      <c r="AW4" s="1" t="str">
        <f>IFERROR(IF((_xlfn.XLOOKUP(计算器!A2,技能表!A:A,技能表!M:M)=AW1)*(_xlfn.XLOOKUP(计算器!A2,技能表!A:A,技能表!L:L)=AM1),_xlfn.XLOOKUP(计算器!A2,技能表!A:A,技能表!N:N),""),"")</f>
        <v/>
      </c>
      <c r="AX4" s="8" t="b">
        <v>1</v>
      </c>
      <c r="AZ4" s="1" t="s">
        <v>243</v>
      </c>
      <c r="BA4" s="1" t="str">
        <f>IFERROR(IF((_xlfn.XLOOKUP(计算器!A2,技能表!A:A,技能表!M:M)=BA1)*(_xlfn.XLOOKUP(计算器!A2,技能表!A:A,技能表!L:L)=AZ1),_xlfn.XLOOKUP(计算器!A2,技能表!A:A,技能表!N:N),""),"")</f>
        <v/>
      </c>
      <c r="BB4" s="8" t="b">
        <v>1</v>
      </c>
      <c r="BD4" s="1" t="str">
        <f>IFERROR(IF((_xlfn.XLOOKUP(计算器!A2,技能表!A:A,技能表!M:M)=BD1)*(_xlfn.XLOOKUP(计算器!A2,技能表!A:A,技能表!L:L)=AZ1),_xlfn.XLOOKUP(计算器!A2,技能表!A:A,技能表!N:N),""),"")</f>
        <v/>
      </c>
      <c r="BE4" s="8" t="b">
        <v>1</v>
      </c>
      <c r="BG4" s="1" t="str">
        <f>IFERROR(IF((_xlfn.XLOOKUP(计算器!A2,技能表!A:A,技能表!M:M)=BG1)*(_xlfn.XLOOKUP(计算器!A2,技能表!A:A,技能表!L:L)=AZ1),_xlfn.XLOOKUP(计算器!A2,技能表!A:A,技能表!N:N),""),"")</f>
        <v/>
      </c>
      <c r="BH4" s="8" t="b">
        <v>1</v>
      </c>
      <c r="BJ4" s="1" t="str">
        <f>IFERROR(IF((_xlfn.XLOOKUP(计算器!A2,技能表!A:A,技能表!M:M)=BJ1)*(_xlfn.XLOOKUP(计算器!A2,技能表!A:A,技能表!L:L)=AZ1),_xlfn.XLOOKUP(计算器!A2,技能表!A:A,技能表!N:N),""),"")</f>
        <v/>
      </c>
      <c r="BK4" s="8" t="b">
        <v>1</v>
      </c>
      <c r="BM4" s="1" t="s">
        <v>243</v>
      </c>
      <c r="BN4" s="1" t="str" cm="1">
        <f t="array" ref="BN4">IFERROR(IF((_xlfn.XLOOKUP(计算器!A2,技能表!A:A,技能表!M:M)=INDEX(1:1,1,COLUMN()))*(_xlfn.XLOOKUP(计算器!A2,技能表!A:A,技能表!L:L)=BM1),_xlfn.XLOOKUP(计算器!A2,技能表!A:A,技能表!N:N),""),"")</f>
        <v/>
      </c>
      <c r="BO4" s="8" t="b">
        <v>1</v>
      </c>
      <c r="BQ4" s="1" t="str" cm="1">
        <f t="array" ref="BQ4">IFERROR(IF((_xlfn.XLOOKUP(计算器!A2,技能表!A:A,技能表!M:M)=INDEX(1:1,1,COLUMN()))*(_xlfn.XLOOKUP(计算器!A2,技能表!A:A,技能表!L:L)=BM1),_xlfn.XLOOKUP(计算器!A2,技能表!A:A,技能表!N:N),""),"")</f>
        <v/>
      </c>
      <c r="BR4" s="8" t="b">
        <v>1</v>
      </c>
      <c r="BT4" s="1" t="str" cm="1">
        <f t="array" ref="BT4">IFERROR(IF((_xlfn.XLOOKUP(计算器!A2,技能表!A:A,技能表!M:M)=INDEX(1:1,1,COLUMN()))*(_xlfn.XLOOKUP(计算器!A2,技能表!A:A,技能表!L:L)=BM1),_xlfn.XLOOKUP(计算器!A2,技能表!A:A,技能表!N:N),""),"")</f>
        <v/>
      </c>
      <c r="BU4" s="8" t="b">
        <v>1</v>
      </c>
      <c r="BW4" s="1" t="str" cm="1">
        <f t="array" ref="BW4">IFERROR(IF((_xlfn.XLOOKUP(计算器!A2,技能表!A:A,技能表!M:M)=INDEX(1:1,1,COLUMN()))*(_xlfn.XLOOKUP(计算器!A2,技能表!A:A,技能表!L:L)=BM1),_xlfn.XLOOKUP(计算器!A2,技能表!A:A,技能表!N:N),""),"")</f>
        <v/>
      </c>
      <c r="BX4" s="8" t="b">
        <v>1</v>
      </c>
      <c r="BZ4" s="10" t="s">
        <v>243</v>
      </c>
      <c r="CB4" s="10" t="b">
        <v>1</v>
      </c>
      <c r="CG4" s="10" t="b">
        <v>1</v>
      </c>
      <c r="CL4" s="10" t="b">
        <v>1</v>
      </c>
      <c r="CQ4" s="10" t="b">
        <v>1</v>
      </c>
    </row>
    <row r="5" spans="1:96" x14ac:dyDescent="0.2">
      <c r="A5" s="1" t="s">
        <v>4</v>
      </c>
      <c r="B5" s="1">
        <f>等级属性计算器!E3</f>
        <v>0</v>
      </c>
      <c r="C5" s="1">
        <f ca="1">BA2</f>
        <v>0</v>
      </c>
      <c r="D5" s="1">
        <f ca="1">BD2/100</f>
        <v>0</v>
      </c>
      <c r="E5" s="1">
        <f ca="1">BG2</f>
        <v>0</v>
      </c>
      <c r="F5" s="1">
        <f ca="1">IF(BJ2=1,1,BJ2/100)</f>
        <v>1</v>
      </c>
      <c r="G5" s="1">
        <f t="shared" ca="1" si="0"/>
        <v>0</v>
      </c>
      <c r="M5" s="1" t="s">
        <v>302</v>
      </c>
      <c r="O5" s="8"/>
      <c r="X5" s="8"/>
      <c r="Z5" s="8" t="s">
        <v>302</v>
      </c>
      <c r="AB5" s="8"/>
      <c r="AE5" s="8"/>
      <c r="AH5" s="8"/>
      <c r="AK5" s="8"/>
      <c r="AM5" s="8" t="s">
        <v>302</v>
      </c>
      <c r="AO5" s="8"/>
      <c r="AR5" s="8"/>
      <c r="AU5" s="8"/>
      <c r="AX5" s="8"/>
      <c r="AZ5" s="8" t="s">
        <v>302</v>
      </c>
      <c r="BB5" s="8"/>
      <c r="BE5" s="8"/>
      <c r="BH5" s="8"/>
      <c r="BK5" s="8"/>
      <c r="BM5" s="8" t="s">
        <v>302</v>
      </c>
      <c r="BO5" s="8"/>
      <c r="BR5" s="8"/>
      <c r="BU5" s="8"/>
      <c r="BX5" s="8"/>
      <c r="BZ5" s="10" t="s">
        <v>302</v>
      </c>
    </row>
    <row r="6" spans="1:96" x14ac:dyDescent="0.2">
      <c r="A6" s="1" t="s">
        <v>226</v>
      </c>
      <c r="B6" s="1">
        <v>100</v>
      </c>
      <c r="C6" s="1">
        <f ca="1">BN2</f>
        <v>0</v>
      </c>
      <c r="D6" s="1">
        <f ca="1">BQ2/100</f>
        <v>0</v>
      </c>
      <c r="E6" s="1">
        <f ca="1">BT2</f>
        <v>0</v>
      </c>
      <c r="F6" s="1">
        <f ca="1">IF(BW2=1,1,BW2/100)</f>
        <v>1</v>
      </c>
      <c r="G6" s="3">
        <f t="shared" ca="1" si="0"/>
        <v>100</v>
      </c>
      <c r="M6" s="1" t="s">
        <v>303</v>
      </c>
      <c r="O6" s="8"/>
      <c r="X6" s="8"/>
      <c r="Z6" s="8" t="s">
        <v>303</v>
      </c>
      <c r="AB6" s="8"/>
      <c r="AE6" s="8"/>
      <c r="AH6" s="8"/>
      <c r="AK6" s="8"/>
      <c r="AM6" s="8" t="s">
        <v>303</v>
      </c>
      <c r="AO6" s="8"/>
      <c r="AR6" s="8"/>
      <c r="AU6" s="8"/>
      <c r="AX6" s="8"/>
      <c r="AZ6" s="8" t="s">
        <v>303</v>
      </c>
      <c r="BB6" s="8"/>
      <c r="BE6" s="8"/>
      <c r="BH6" s="8"/>
      <c r="BK6" s="8"/>
      <c r="BM6" s="8" t="s">
        <v>303</v>
      </c>
      <c r="BO6" s="8"/>
      <c r="BR6" s="8"/>
      <c r="BU6" s="8"/>
      <c r="BX6" s="8"/>
      <c r="BZ6" s="10" t="s">
        <v>303</v>
      </c>
    </row>
    <row r="7" spans="1:96" x14ac:dyDescent="0.2">
      <c r="M7" s="1" t="s">
        <v>300</v>
      </c>
      <c r="N7" s="1" t="str" cm="1">
        <f t="array" aca="1" ref="N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O7" s="8" t="b">
        <v>1</v>
      </c>
      <c r="Q7" s="9" t="str" cm="1">
        <f t="array" aca="1" ref="Q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R7" s="8" t="b">
        <v>1</v>
      </c>
      <c r="T7" s="9" t="str" cm="1">
        <f t="array" aca="1" ref="T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U7" s="8" t="b">
        <v>1</v>
      </c>
      <c r="W7" s="9" t="str" cm="1">
        <f t="array" aca="1" ref="W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X7" s="8" t="b">
        <v>1</v>
      </c>
      <c r="Z7" s="8" t="s">
        <v>300</v>
      </c>
      <c r="AA7" s="9" t="str" cm="1">
        <f t="array" aca="1" ref="AA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AB7" s="8" t="b">
        <v>1</v>
      </c>
      <c r="AD7" s="9" t="str" cm="1">
        <f t="array" aca="1" ref="AD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AE7" s="8" t="b">
        <v>1</v>
      </c>
      <c r="AG7" s="9" t="str" cm="1">
        <f t="array" aca="1" ref="AG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AH7" s="8" t="b">
        <v>1</v>
      </c>
      <c r="AJ7" s="9" t="str" cm="1">
        <f t="array" aca="1" ref="AJ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AK7" s="8" t="b">
        <v>1</v>
      </c>
      <c r="AM7" s="8" t="s">
        <v>300</v>
      </c>
      <c r="AN7" s="9" t="str" cm="1">
        <f t="array" aca="1" ref="AN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AO7" s="8" t="b">
        <v>1</v>
      </c>
      <c r="AQ7" s="9" t="str" cm="1">
        <f t="array" aca="1" ref="AQ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AR7" s="8" t="b">
        <v>1</v>
      </c>
      <c r="AT7" s="9" t="str" cm="1">
        <f t="array" aca="1" ref="AT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AU7" s="8" t="b">
        <v>1</v>
      </c>
      <c r="AW7" s="9" t="str" cm="1">
        <f t="array" aca="1" ref="AW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AX7" s="8" t="b">
        <v>1</v>
      </c>
      <c r="AZ7" s="8" t="s">
        <v>300</v>
      </c>
      <c r="BA7" s="9" t="str" cm="1">
        <f t="array" aca="1" ref="BA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BB7" s="8" t="b">
        <v>1</v>
      </c>
      <c r="BD7" s="9" t="str" cm="1">
        <f t="array" aca="1" ref="BD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BE7" s="8" t="b">
        <v>1</v>
      </c>
      <c r="BG7" s="9" t="str" cm="1">
        <f t="array" aca="1" ref="BG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BH7" s="8" t="b">
        <v>1</v>
      </c>
      <c r="BJ7" s="9" t="str" cm="1">
        <f t="array" aca="1" ref="BJ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BK7" s="8" t="b">
        <v>1</v>
      </c>
      <c r="BM7" s="8" t="s">
        <v>300</v>
      </c>
      <c r="BN7" s="9" t="str" cm="1">
        <f t="array" aca="1" ref="BN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BO7" s="8" t="b">
        <v>1</v>
      </c>
      <c r="BQ7" s="9" t="str" cm="1">
        <f t="array" aca="1" ref="BQ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BR7" s="8" t="b">
        <v>1</v>
      </c>
      <c r="BT7" s="9" t="str" cm="1">
        <f t="array" aca="1" ref="BT7" ca="1">IFERROR(IF(AND(_xlfn.XLOOKUP(计算器!A2,加成天赋表!A:A,加成天赋表!F:F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G:G)=INDIRECT(ADDRESS(1,COLUMN()))),_xlfn.XLOOKUP(计算器!A2,加成天赋表!A:A,加成天赋表!E:E),""),"")</f>
        <v/>
      </c>
      <c r="BU7" s="8" t="b">
        <v>1</v>
      </c>
      <c r="BW7" s="9"/>
      <c r="BX7" s="8" t="b">
        <v>1</v>
      </c>
      <c r="BZ7" s="10" t="s">
        <v>300</v>
      </c>
      <c r="CA7" s="1" cm="1">
        <f t="array" aca="1" ref="CA7" ca="1">IFERROR(IF(_xlfn.XLOOKUP(计算器!A2,加成天赋表!A:A,加成天赋表!G:G)=INDIRECT(ADDRESS(1,INDEX(MAX(IFERROR(MATCH({"攻击力倍率","伤害倍率","治疗倍率"},A1:INDIRECT(ADDRESS(1,COLUMN())),0),"")),MATCH(TRUE,ISNUMBER(MATCH({"攻击力倍率","伤害倍率","治疗倍率"},A1:INDIRECT(ADDRESS(1,COLUMN())),0)),0)))),_xlfn.XLOOKUP(计算器!A2,加成天赋表!A:A,加成天赋表!E:E),""),"")</f>
        <v>50</v>
      </c>
      <c r="CB7" s="10" t="b">
        <v>1</v>
      </c>
      <c r="CG7" s="10" t="b">
        <v>1</v>
      </c>
      <c r="CL7" s="10" t="b">
        <v>1</v>
      </c>
      <c r="CQ7" s="10" t="b">
        <v>1</v>
      </c>
    </row>
    <row r="8" spans="1:96" x14ac:dyDescent="0.2">
      <c r="M8" s="1" t="s">
        <v>301</v>
      </c>
      <c r="N8" s="1" t="str" cm="1">
        <f t="array" aca="1" ref="N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O8" s="8" t="b">
        <v>1</v>
      </c>
      <c r="Q8" s="9" t="str" cm="1">
        <f t="array" aca="1" ref="Q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R8" s="8" t="b">
        <v>1</v>
      </c>
      <c r="T8" s="9" t="str" cm="1">
        <f t="array" aca="1" ref="T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U8" s="8" t="b">
        <v>1</v>
      </c>
      <c r="W8" s="9" t="str" cm="1">
        <f t="array" aca="1" ref="W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X8" s="8" t="b">
        <v>1</v>
      </c>
      <c r="Z8" s="8" t="s">
        <v>301</v>
      </c>
      <c r="AA8" s="9" t="str" cm="1">
        <f t="array" aca="1" ref="AA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AB8" s="8" t="b">
        <v>1</v>
      </c>
      <c r="AD8" s="9" t="str" cm="1">
        <f t="array" aca="1" ref="AD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AE8" s="8" t="b">
        <v>1</v>
      </c>
      <c r="AG8" s="9" t="str" cm="1">
        <f t="array" aca="1" ref="AG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AH8" s="8" t="b">
        <v>1</v>
      </c>
      <c r="AJ8" s="9" t="str" cm="1">
        <f t="array" aca="1" ref="AJ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AK8" s="8" t="b">
        <v>1</v>
      </c>
      <c r="AM8" s="8" t="s">
        <v>301</v>
      </c>
      <c r="AN8" s="9" t="str" cm="1">
        <f t="array" aca="1" ref="AN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AO8" s="8" t="b">
        <v>1</v>
      </c>
      <c r="AQ8" s="9" t="str" cm="1">
        <f t="array" aca="1" ref="AQ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AR8" s="8" t="b">
        <v>1</v>
      </c>
      <c r="AT8" s="9" t="str" cm="1">
        <f t="array" aca="1" ref="AT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AU8" s="8" t="b">
        <v>1</v>
      </c>
      <c r="AW8" s="9" t="str" cm="1">
        <f t="array" aca="1" ref="AW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AX8" s="8" t="b">
        <v>1</v>
      </c>
      <c r="AZ8" s="8" t="s">
        <v>301</v>
      </c>
      <c r="BA8" s="9" t="str" cm="1">
        <f t="array" aca="1" ref="BA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BB8" s="8" t="b">
        <v>1</v>
      </c>
      <c r="BD8" s="9" t="str" cm="1">
        <f t="array" aca="1" ref="BD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BE8" s="8" t="b">
        <v>1</v>
      </c>
      <c r="BG8" s="9" t="str" cm="1">
        <f t="array" aca="1" ref="BG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BH8" s="8" t="b">
        <v>1</v>
      </c>
      <c r="BJ8" s="9" t="str" cm="1">
        <f t="array" aca="1" ref="BJ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BK8" s="8" t="b">
        <v>1</v>
      </c>
      <c r="BM8" s="8" t="s">
        <v>301</v>
      </c>
      <c r="BN8" s="9" t="str" cm="1">
        <f t="array" aca="1" ref="BN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BO8" s="8" t="b">
        <v>1</v>
      </c>
      <c r="BQ8" s="9" t="str" cm="1">
        <f t="array" aca="1" ref="BQ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BR8" s="8" t="b">
        <v>1</v>
      </c>
      <c r="BT8" s="9" t="str" cm="1">
        <f t="array" aca="1" ref="BT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BU8" s="8" t="b">
        <v>1</v>
      </c>
      <c r="BW8" s="9" t="str" cm="1">
        <f t="array" aca="1" ref="BW8" ca="1">IFERROR(IF(AND(_xlfn.XLOOKUP(计算器!A2,加成天赋表!A:A,加成天赋表!J:J)=INDIRECT(ADDRESS(1,INDEX(MAX(IFERROR(MATCH({"生命","攻击","防御","法抗","攻速"},A1:INDIRECT(ADDRESS(1,COLUMN())),0),"")),MATCH(TRUE,ISNUMBER(MATCH({"生命","攻击","防御","法抗","攻速"},A1:INDIRECT(ADDRESS(1,COLUMN())),0)),0)))),_xlfn.XLOOKUP(计算器!A2,加成天赋表!A:A,加成天赋表!K:K)=INDIRECT(ADDRESS(1,COLUMN()))),_xlfn.XLOOKUP(计算器!A2,加成天赋表!A:A,加成天赋表!I:I),""),"")</f>
        <v/>
      </c>
      <c r="BX8" s="8" t="b">
        <v>1</v>
      </c>
      <c r="BZ8" s="10" t="s">
        <v>301</v>
      </c>
      <c r="CB8" s="10" t="b">
        <v>1</v>
      </c>
      <c r="CG8" s="10" t="b">
        <v>1</v>
      </c>
      <c r="CL8" s="10" t="b">
        <v>1</v>
      </c>
      <c r="CQ8" s="10" t="b">
        <v>1</v>
      </c>
    </row>
    <row r="9" spans="1:96" x14ac:dyDescent="0.2">
      <c r="A9" s="1" t="s">
        <v>209</v>
      </c>
      <c r="B9" s="1" t="s">
        <v>7</v>
      </c>
      <c r="C9" s="1" t="s">
        <v>226</v>
      </c>
      <c r="D9" s="1" t="s">
        <v>227</v>
      </c>
      <c r="F9" s="1" t="s">
        <v>230</v>
      </c>
      <c r="G9" s="1" t="s">
        <v>212</v>
      </c>
    </row>
    <row r="10" spans="1:96" x14ac:dyDescent="0.2">
      <c r="A10" s="1" t="s">
        <v>225</v>
      </c>
      <c r="B10" s="1">
        <f>_xlfn.XLOOKUP(_xlfn.XLOOKUP(计算器!A2,干员表!A:A,干员表!D:D),职业表!B:B,职业表!E:E)</f>
        <v>1</v>
      </c>
      <c r="C10" s="1">
        <f ca="1">G6</f>
        <v>100</v>
      </c>
      <c r="D10" s="1">
        <f ca="1">B10/((IF(C10&lt;10,10,IF(C10&gt;600,600,C10))/100))</f>
        <v>1</v>
      </c>
      <c r="F10" s="1" t="str">
        <f ca="1">IFERROR(INT(_xlfn.XLOOKUP(计算器!A2,技能表!A:A,技能表!H:H)/D10),"")</f>
        <v/>
      </c>
      <c r="G10" s="1" t="str">
        <f ca="1">IFERROR(G3*F10,"")</f>
        <v/>
      </c>
    </row>
    <row r="12" spans="1:96" x14ac:dyDescent="0.2">
      <c r="B12" s="1" t="s">
        <v>235</v>
      </c>
    </row>
    <row r="13" spans="1:96" x14ac:dyDescent="0.2">
      <c r="A13" s="1" t="s">
        <v>234</v>
      </c>
      <c r="B13" s="1" t="str">
        <f>IFERROR(IF(_xlfn.XLOOKUP(计算器!A2,技能表!A:A,技能表!P:P)=1,_xlfn.XLOOKUP(计算器!A2,技能表!A:A,技能表!Q:Q),""),"")</f>
        <v/>
      </c>
    </row>
    <row r="15" spans="1:96" x14ac:dyDescent="0.2">
      <c r="B15" s="1" t="s">
        <v>214</v>
      </c>
      <c r="C15" s="1" t="s">
        <v>314</v>
      </c>
      <c r="D15" s="1" t="s">
        <v>315</v>
      </c>
      <c r="E15" s="1" t="s">
        <v>316</v>
      </c>
      <c r="F15" s="1" t="s">
        <v>317</v>
      </c>
      <c r="G15" s="1" t="s">
        <v>309</v>
      </c>
    </row>
    <row r="16" spans="1:96" x14ac:dyDescent="0.2">
      <c r="B16" s="1" t="s">
        <v>83</v>
      </c>
      <c r="C16" s="1" cm="1">
        <f t="array" aca="1" ref="C16" ca="1">CA2*INDIRECT(ADDRESS(2,82+MATCH(B16,CD1:CI1,0)))</f>
        <v>1.5</v>
      </c>
      <c r="D16" s="1">
        <v>0</v>
      </c>
      <c r="E16" s="1">
        <f>计算器!E8</f>
        <v>0</v>
      </c>
      <c r="F16" s="1">
        <v>0</v>
      </c>
      <c r="G16" s="1">
        <f ca="1">MAX(0.05*G3*C16,G3*C16-((1-D16)*MAX(0,E16-F16)))</f>
        <v>448.5</v>
      </c>
      <c r="CC16" s="1"/>
    </row>
    <row r="17" spans="1:81" x14ac:dyDescent="0.2">
      <c r="CC17" s="1"/>
    </row>
    <row r="18" spans="1:81" x14ac:dyDescent="0.2">
      <c r="CC18" s="1"/>
    </row>
    <row r="19" spans="1:81" x14ac:dyDescent="0.2">
      <c r="B19" s="1" t="s">
        <v>212</v>
      </c>
      <c r="C19" s="1" t="s">
        <v>213</v>
      </c>
      <c r="D19" s="1" t="s">
        <v>237</v>
      </c>
      <c r="E19" s="1" t="s">
        <v>231</v>
      </c>
    </row>
    <row r="20" spans="1:81" x14ac:dyDescent="0.2">
      <c r="A20" s="1" t="s">
        <v>211</v>
      </c>
    </row>
    <row r="21" spans="1:81" x14ac:dyDescent="0.2">
      <c r="O21" s="7"/>
    </row>
    <row r="22" spans="1:81" x14ac:dyDescent="0.2">
      <c r="N22" s="7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8A62-4E2F-47C6-A7BC-224BFFED0550}">
  <dimension ref="A1:L4"/>
  <sheetViews>
    <sheetView workbookViewId="0">
      <selection activeCell="D8" sqref="D8"/>
    </sheetView>
  </sheetViews>
  <sheetFormatPr defaultColWidth="9" defaultRowHeight="14.25" x14ac:dyDescent="0.2"/>
  <cols>
    <col min="1" max="16384" width="9" style="1"/>
  </cols>
  <sheetData>
    <row r="1" spans="1:12" x14ac:dyDescent="0.2">
      <c r="B1" s="1" t="s">
        <v>3</v>
      </c>
      <c r="C1" s="1" t="s">
        <v>1</v>
      </c>
      <c r="D1" s="1" t="s">
        <v>2</v>
      </c>
      <c r="E1" s="1" t="s">
        <v>4</v>
      </c>
      <c r="I1" s="1" t="s">
        <v>3</v>
      </c>
      <c r="J1" s="1" t="s">
        <v>1</v>
      </c>
      <c r="K1" s="1" t="s">
        <v>2</v>
      </c>
      <c r="L1" s="1" t="s">
        <v>4</v>
      </c>
    </row>
    <row r="2" spans="1:12" x14ac:dyDescent="0.2">
      <c r="A2" s="1" t="s">
        <v>137</v>
      </c>
      <c r="B2" s="1">
        <f>ROUND(IF(计算器!B2=2,(INDEX(干员表!P:P,MATCH(计算器!A2,干员表!A:A,0))+(计算器!C2-1)*等级属性计算器!I4),IF(计算器!B2=1,(INDEX(干员表!L:L,MATCH(计算器!A2,干员表!A:A,0))+等级属性计算器!I3*(计算器!C2-1)),INDEX(干员表!H:H,MATCH(计算器!A2,干员表!A:A,0))+等级属性计算器!I2*(计算器!C2-1))),0)</f>
        <v>780</v>
      </c>
      <c r="C2" s="1">
        <f>ROUND(IF(计算器!B2=2,(INDEX(干员表!Q:Q,MATCH(计算器!A2,干员表!A:A,0))+(计算器!C2-1)*等级属性计算器!J4),IF(计算器!B2=1,(INDEX(干员表!M:M,MATCH(计算器!A2,干员表!A:A,0))+等级属性计算器!J3*(计算器!C2-1)),INDEX(干员表!I:I,MATCH(计算器!A2,干员表!A:A,0))+等级属性计算器!J2*(计算器!C2-1))),0)</f>
        <v>269</v>
      </c>
      <c r="D2" s="1">
        <f>ROUND(IF(计算器!B2=2,(INDEX(干员表!R:R,MATCH(计算器!A2,干员表!A:A,0))+(计算器!C2-1)*等级属性计算器!K4),IF(计算器!B2=1,(INDEX(干员表!N:N,MATCH(计算器!A2,干员表!A:A,0))+等级属性计算器!K3*(计算器!C2-1)),INDEX(干员表!J:J,MATCH(计算器!A2,干员表!A:A,0))+等级属性计算器!K2*(计算器!C2-1))),0)</f>
        <v>66</v>
      </c>
      <c r="E2" s="1" cm="1">
        <f t="array" ref="E2">INDEX(干员表!O:W,MATCH(计算器!A2,干员表!A:A,0),1+4*计算器!B2)</f>
        <v>0</v>
      </c>
      <c r="H2" s="1" t="s">
        <v>144</v>
      </c>
      <c r="I2" s="1" cm="1">
        <f t="array" ref="I2">(INDEX(干员表!L:L,MATCH(计算器!A2,干员表!A:A,0))-INDEX(干员表!H:H,MATCH(计算器!A2,干员表!A:A,0)))/(INDEX(等级与精英!B12:B17,INDEX(干员表!B:B,MATCH(计算器!A2,干员表!A:A,0)))-1)</f>
        <v>8.068965517241379</v>
      </c>
      <c r="J2" s="1" cm="1">
        <f t="array" ref="J2">(INDEX(干员表!M:M,MATCH(计算器!A2,干员表!A:A,0))-INDEX(干员表!I:I,MATCH(计算器!A2,干员表!A:A,0)))/(INDEX(等级与精英!B12:B17,INDEX(干员表!B:B,MATCH(计算器!A2,干员表!A:A,0)))-1)</f>
        <v>3.7241379310344827</v>
      </c>
      <c r="K2" s="1" cm="1">
        <f t="array" ref="K2">(INDEX(干员表!N:N,MATCH(计算器!A2,干员表!A:A,0))-INDEX(干员表!J:J,MATCH(计算器!A2,干员表!A:A,0)))/(INDEX(等级与精英!B12:B17,INDEX(干员表!B:B,MATCH(计算器!A2,干员表!A:A,0)))-1)</f>
        <v>0.68965517241379315</v>
      </c>
    </row>
    <row r="3" spans="1:12" x14ac:dyDescent="0.2">
      <c r="A3" s="1" t="s">
        <v>138</v>
      </c>
      <c r="B3" s="1">
        <f>等级属性计算器!B2+IF(MOD(ROUNDDOWN(计算器!E2/2,0)/50*INDEX(干员表!X:X,MATCH(计算器!A2,干员表!A:A,0)),1)=0.5,ROUND(ROUNDDOWN(计算器!E2/2,0)*INDEX(干员表!X:X,MATCH(计算器!A2,干员表!A:A,0))/50/2,0)*2,ROUND(ROUNDDOWN(计算器!E2/2,0)*INDEX(干员表!X:X,MATCH(计算器!A2,干员表!A:A,0))/50,0))</f>
        <v>780</v>
      </c>
      <c r="C3" s="1">
        <f>等级属性计算器!C2+IF(MOD(ROUNDDOWN(计算器!E2/2,0)/50*INDEX(干员表!Y:Y,MATCH(计算器!A2,干员表!A:A,0)),1)=0.5,ROUND(ROUNDDOWN(计算器!E2/2,0)*INDEX(干员表!Y:Y,MATCH(计算器!A2,干员表!A:A,0))/50/2,0)*2,ROUND(ROUNDDOWN(计算器!E2/2,0)*INDEX(干员表!Y:Y,MATCH(计算器!A2,干员表!A:A,0))/50,0))</f>
        <v>299</v>
      </c>
      <c r="D3" s="1">
        <f>等级属性计算器!D2+IF(MOD(ROUNDDOWN(计算器!E2/2,0)/50*INDEX(干员表!Z:Z,MATCH(计算器!A2,干员表!A:A,0)),1)=0.5,ROUND(ROUNDDOWN(计算器!E2/2,0)*INDEX(干员表!Z:Z,MATCH(计算器!A2,干员表!A:A,0))/50/2,0)*2,ROUND(ROUNDDOWN(计算器!E2/2,0)*INDEX(干员表!Z:Z,MATCH(计算器!A2,干员表!A:A,0))/50,0))</f>
        <v>66</v>
      </c>
      <c r="E3" s="1">
        <f>等级属性计算器!E2</f>
        <v>0</v>
      </c>
      <c r="H3" s="1" t="s">
        <v>145</v>
      </c>
      <c r="I3" s="1" cm="1">
        <f t="array" ref="I3">(INDEX(干员表!P:P,MATCH(计算器!A2,干员表!A:A,0))-INDEX(干员表!L:L,MATCH(计算器!A2,干员表!A:A,0)))/(INDEX(等级与精英!C12:C17,INDEX(干员表!B:B,MATCH(计算器!A2,干员表!A:A,0)))-1)</f>
        <v>780</v>
      </c>
      <c r="J3" s="1" cm="1">
        <f t="array" ref="J3">(INDEX(干员表!Q:Q,MATCH(计算器!A2,干员表!A:A,0))-INDEX(干员表!M:M,MATCH(计算器!A2,干员表!A:A,0)))/(INDEX(等级与精英!C12:C17,INDEX(干员表!B:B,MATCH(计算器!A2,干员表!A:A,0)))-1)</f>
        <v>269</v>
      </c>
      <c r="K3" s="1" cm="1">
        <f t="array" ref="K3">(INDEX(干员表!R:R,MATCH(计算器!A2,干员表!A:A,0))-INDEX(干员表!N:N,MATCH(计算器!A2,干员表!A:A,0)))/(INDEX(等级与精英!C12:C17,INDEX(干员表!B:B,MATCH(计算器!A2,干员表!A:A,0)))-1)</f>
        <v>66</v>
      </c>
    </row>
    <row r="4" spans="1:12" x14ac:dyDescent="0.2">
      <c r="H4" s="1" t="s">
        <v>146</v>
      </c>
      <c r="I4" s="1" cm="1">
        <f t="array" ref="I4">(INDEX(干员表!T:T,MATCH(计算器!A2,干员表!A:A,0))-INDEX(干员表!P:P,MATCH(计算器!A2,干员表!A:A,0)))/(INDEX(等级与精英!D12:D17,INDEX(干员表!B:B,MATCH(计算器!A2,干员表!A:A,0)))-1)</f>
        <v>0</v>
      </c>
      <c r="J4" s="1" cm="1">
        <f t="array" ref="J4">(INDEX(干员表!U:U,MATCH(计算器!A2,干员表!A:A,0))-INDEX(干员表!Q:Q,MATCH(计算器!A2,干员表!A:A,0)))/(INDEX(等级与精英!D12:D17,INDEX(干员表!B:B,MATCH(计算器!A2,干员表!A:A,0)))-1)</f>
        <v>0</v>
      </c>
      <c r="K4" s="1" cm="1">
        <f t="array" ref="K4">(INDEX(干员表!V:V,MATCH(计算器!A2,干员表!A:A,0))-INDEX(干员表!R:R,MATCH(计算器!A2,干员表!A:A,0)))/(INDEX(等级与精英!D12:D17,INDEX(干员表!B:B,MATCH(计算器!A2,干员表!A:A,0)))-1)</f>
        <v>0</v>
      </c>
    </row>
  </sheetData>
  <phoneticPr fontId="1" type="noConversion"/>
  <pageMargins left="0.7" right="0.7" top="0.75" bottom="0.75" header="0.3" footer="0.3"/>
  <ignoredErrors>
    <ignoredError sqref="I3:I4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4F5A-C6C2-4864-BD21-71AFC4CEF255}">
  <dimension ref="A1:E67"/>
  <sheetViews>
    <sheetView workbookViewId="0">
      <selection activeCell="I33" sqref="I33"/>
    </sheetView>
  </sheetViews>
  <sheetFormatPr defaultColWidth="9" defaultRowHeight="14.25" x14ac:dyDescent="0.2"/>
  <cols>
    <col min="1" max="16384" width="9" style="1"/>
  </cols>
  <sheetData>
    <row r="1" spans="1:5" x14ac:dyDescent="0.2">
      <c r="A1" s="1" t="s">
        <v>5</v>
      </c>
      <c r="B1" s="1" t="s">
        <v>6</v>
      </c>
      <c r="C1" s="1" t="s">
        <v>91</v>
      </c>
      <c r="D1" s="1" t="s">
        <v>90</v>
      </c>
      <c r="E1" s="1" t="s">
        <v>7</v>
      </c>
    </row>
    <row r="2" spans="1:5" x14ac:dyDescent="0.2">
      <c r="A2" s="11" t="s">
        <v>11</v>
      </c>
      <c r="B2" s="1" t="s">
        <v>12</v>
      </c>
      <c r="C2" s="1" t="s">
        <v>83</v>
      </c>
      <c r="D2" s="1" t="s">
        <v>105</v>
      </c>
      <c r="E2" s="1">
        <v>1</v>
      </c>
    </row>
    <row r="3" spans="1:5" x14ac:dyDescent="0.2">
      <c r="A3" s="11"/>
      <c r="B3" s="1" t="s">
        <v>13</v>
      </c>
      <c r="C3" s="1" t="s">
        <v>83</v>
      </c>
      <c r="D3" s="1" t="s">
        <v>105</v>
      </c>
      <c r="E3" s="1">
        <v>1.05</v>
      </c>
    </row>
    <row r="4" spans="1:5" x14ac:dyDescent="0.2">
      <c r="A4" s="11"/>
      <c r="B4" s="1" t="s">
        <v>14</v>
      </c>
      <c r="C4" s="1" t="s">
        <v>83</v>
      </c>
      <c r="D4" s="1" t="s">
        <v>105</v>
      </c>
      <c r="E4" s="1">
        <v>1</v>
      </c>
    </row>
    <row r="5" spans="1:5" x14ac:dyDescent="0.2">
      <c r="A5" s="11"/>
      <c r="B5" s="1" t="s">
        <v>15</v>
      </c>
      <c r="C5" s="1" t="s">
        <v>83</v>
      </c>
      <c r="D5" s="1" t="s">
        <v>105</v>
      </c>
      <c r="E5" s="1">
        <v>1</v>
      </c>
    </row>
    <row r="6" spans="1:5" x14ac:dyDescent="0.2">
      <c r="A6" s="11"/>
      <c r="B6" s="1" t="s">
        <v>16</v>
      </c>
      <c r="C6" s="1" t="s">
        <v>83</v>
      </c>
      <c r="D6" s="1" t="s">
        <v>105</v>
      </c>
      <c r="E6" s="1">
        <v>1.3</v>
      </c>
    </row>
    <row r="7" spans="1:5" x14ac:dyDescent="0.2">
      <c r="A7" s="11" t="s">
        <v>103</v>
      </c>
      <c r="B7" s="1" t="s">
        <v>17</v>
      </c>
      <c r="C7" s="1" t="s">
        <v>83</v>
      </c>
      <c r="D7" s="1" t="s">
        <v>105</v>
      </c>
      <c r="E7" s="1">
        <v>1.3</v>
      </c>
    </row>
    <row r="8" spans="1:5" x14ac:dyDescent="0.2">
      <c r="A8" s="11"/>
      <c r="B8" s="1" t="s">
        <v>18</v>
      </c>
      <c r="C8" s="1" t="s">
        <v>83</v>
      </c>
      <c r="D8" s="1" t="s">
        <v>105</v>
      </c>
      <c r="E8" s="1">
        <v>1.2</v>
      </c>
    </row>
    <row r="9" spans="1:5" x14ac:dyDescent="0.2">
      <c r="A9" s="11"/>
      <c r="B9" s="1" t="s">
        <v>19</v>
      </c>
      <c r="C9" s="1" t="s">
        <v>83</v>
      </c>
      <c r="D9" s="1" t="s">
        <v>105</v>
      </c>
      <c r="E9" s="1">
        <v>1.3</v>
      </c>
    </row>
    <row r="10" spans="1:5" x14ac:dyDescent="0.2">
      <c r="A10" s="11"/>
      <c r="B10" s="1" t="s">
        <v>20</v>
      </c>
      <c r="C10" s="1" t="s">
        <v>83</v>
      </c>
      <c r="D10" s="1" t="s">
        <v>105</v>
      </c>
      <c r="E10" s="1">
        <v>1.05</v>
      </c>
    </row>
    <row r="11" spans="1:5" x14ac:dyDescent="0.2">
      <c r="A11" s="11"/>
      <c r="B11" s="1" t="s">
        <v>21</v>
      </c>
      <c r="C11" s="1" t="s">
        <v>83</v>
      </c>
      <c r="D11" s="1" t="s">
        <v>105</v>
      </c>
      <c r="E11" s="1">
        <v>0.78</v>
      </c>
    </row>
    <row r="12" spans="1:5" x14ac:dyDescent="0.2">
      <c r="A12" s="11"/>
      <c r="B12" s="1" t="s">
        <v>22</v>
      </c>
      <c r="C12" s="1" t="s">
        <v>83</v>
      </c>
      <c r="D12" s="1" t="s">
        <v>105</v>
      </c>
      <c r="E12" s="1">
        <v>1.5</v>
      </c>
    </row>
    <row r="13" spans="1:5" x14ac:dyDescent="0.2">
      <c r="A13" s="11"/>
      <c r="B13" s="1" t="s">
        <v>23</v>
      </c>
      <c r="C13" s="1" t="s">
        <v>84</v>
      </c>
      <c r="D13" s="1" t="s">
        <v>105</v>
      </c>
      <c r="E13" s="1">
        <v>1.25</v>
      </c>
    </row>
    <row r="14" spans="1:5" x14ac:dyDescent="0.2">
      <c r="A14" s="11"/>
      <c r="B14" s="1" t="s">
        <v>24</v>
      </c>
      <c r="C14" s="1" t="s">
        <v>83</v>
      </c>
      <c r="D14" s="1" t="s">
        <v>105</v>
      </c>
      <c r="E14" s="1">
        <v>1.2</v>
      </c>
    </row>
    <row r="15" spans="1:5" x14ac:dyDescent="0.2">
      <c r="A15" s="11"/>
      <c r="B15" s="1" t="s">
        <v>25</v>
      </c>
      <c r="C15" s="1" t="s">
        <v>83</v>
      </c>
      <c r="D15" s="1" t="s">
        <v>105</v>
      </c>
      <c r="E15" s="1">
        <v>1.2</v>
      </c>
    </row>
    <row r="16" spans="1:5" x14ac:dyDescent="0.2">
      <c r="A16" s="11"/>
      <c r="B16" s="1" t="s">
        <v>26</v>
      </c>
      <c r="C16" s="1" t="s">
        <v>83</v>
      </c>
      <c r="D16" s="1" t="s">
        <v>105</v>
      </c>
      <c r="E16" s="1">
        <v>2.5</v>
      </c>
    </row>
    <row r="17" spans="1:5" x14ac:dyDescent="0.2">
      <c r="A17" s="11"/>
      <c r="B17" s="1" t="s">
        <v>27</v>
      </c>
      <c r="C17" s="1" t="s">
        <v>83</v>
      </c>
      <c r="D17" s="1" t="s">
        <v>105</v>
      </c>
      <c r="E17" s="1">
        <v>1.3</v>
      </c>
    </row>
    <row r="18" spans="1:5" x14ac:dyDescent="0.2">
      <c r="A18" s="11"/>
      <c r="B18" s="1" t="s">
        <v>28</v>
      </c>
      <c r="C18" s="1" t="s">
        <v>83</v>
      </c>
      <c r="D18" s="1" t="s">
        <v>105</v>
      </c>
      <c r="E18" s="1">
        <v>1.8</v>
      </c>
    </row>
    <row r="19" spans="1:5" x14ac:dyDescent="0.2">
      <c r="A19" s="11" t="s">
        <v>104</v>
      </c>
      <c r="B19" s="1" t="s">
        <v>29</v>
      </c>
      <c r="C19" s="1" t="s">
        <v>83</v>
      </c>
      <c r="D19" s="1" t="s">
        <v>105</v>
      </c>
      <c r="E19" s="1">
        <v>1.6</v>
      </c>
    </row>
    <row r="20" spans="1:5" x14ac:dyDescent="0.2">
      <c r="A20" s="11"/>
      <c r="B20" s="1" t="s">
        <v>30</v>
      </c>
      <c r="C20" s="1" t="s">
        <v>83</v>
      </c>
      <c r="D20" s="1" t="s">
        <v>105</v>
      </c>
      <c r="E20" s="1">
        <v>1.6</v>
      </c>
    </row>
    <row r="21" spans="1:5" x14ac:dyDescent="0.2">
      <c r="A21" s="11"/>
      <c r="B21" s="1" t="s">
        <v>31</v>
      </c>
      <c r="C21" s="1" t="s">
        <v>83</v>
      </c>
      <c r="D21" s="1" t="s">
        <v>105</v>
      </c>
      <c r="E21" s="1">
        <v>1.2</v>
      </c>
    </row>
    <row r="22" spans="1:5" x14ac:dyDescent="0.2">
      <c r="A22" s="11"/>
      <c r="B22" s="1" t="s">
        <v>32</v>
      </c>
      <c r="C22" s="1" t="s">
        <v>83</v>
      </c>
      <c r="D22" s="1" t="s">
        <v>105</v>
      </c>
      <c r="E22" s="1">
        <v>1.2</v>
      </c>
    </row>
    <row r="23" spans="1:5" x14ac:dyDescent="0.2">
      <c r="A23" s="11"/>
      <c r="B23" s="1" t="s">
        <v>33</v>
      </c>
      <c r="C23" s="1" t="s">
        <v>83</v>
      </c>
      <c r="D23" s="1" t="s">
        <v>105</v>
      </c>
      <c r="E23" s="1">
        <v>2.8</v>
      </c>
    </row>
    <row r="24" spans="1:5" x14ac:dyDescent="0.2">
      <c r="A24" s="11"/>
      <c r="B24" s="1" t="s">
        <v>34</v>
      </c>
      <c r="C24" s="1" t="s">
        <v>83</v>
      </c>
      <c r="D24" s="1" t="s">
        <v>105</v>
      </c>
      <c r="E24" s="1">
        <v>1.2</v>
      </c>
    </row>
    <row r="25" spans="1:5" x14ac:dyDescent="0.2">
      <c r="A25" s="11"/>
      <c r="B25" s="1" t="s">
        <v>35</v>
      </c>
      <c r="C25" s="1" t="s">
        <v>83</v>
      </c>
      <c r="D25" s="1" t="s">
        <v>105</v>
      </c>
      <c r="E25" s="1">
        <v>1.6</v>
      </c>
    </row>
    <row r="26" spans="1:5" x14ac:dyDescent="0.2">
      <c r="A26" s="11"/>
      <c r="B26" s="1" t="s">
        <v>36</v>
      </c>
      <c r="C26" s="1" t="s">
        <v>83</v>
      </c>
      <c r="D26" s="1" t="s">
        <v>105</v>
      </c>
      <c r="E26" s="1">
        <v>1.6</v>
      </c>
    </row>
    <row r="27" spans="1:5" x14ac:dyDescent="0.2">
      <c r="A27" s="11" t="s">
        <v>130</v>
      </c>
      <c r="B27" s="1" t="s">
        <v>37</v>
      </c>
      <c r="C27" s="1" t="s">
        <v>83</v>
      </c>
      <c r="D27" s="1" t="s">
        <v>105</v>
      </c>
      <c r="E27" s="1">
        <v>2.1</v>
      </c>
    </row>
    <row r="28" spans="1:5" x14ac:dyDescent="0.2">
      <c r="A28" s="11"/>
      <c r="B28" s="1" t="s">
        <v>38</v>
      </c>
      <c r="C28" s="1" t="s">
        <v>83</v>
      </c>
      <c r="D28" s="1" t="s">
        <v>105</v>
      </c>
      <c r="E28" s="1">
        <v>2.4</v>
      </c>
    </row>
    <row r="29" spans="1:5" x14ac:dyDescent="0.2">
      <c r="A29" s="11"/>
      <c r="B29" s="1" t="s">
        <v>39</v>
      </c>
      <c r="C29" s="1" t="s">
        <v>83</v>
      </c>
      <c r="D29" s="1" t="s">
        <v>105</v>
      </c>
      <c r="E29" s="1">
        <v>2.2999999999999998</v>
      </c>
    </row>
    <row r="30" spans="1:5" x14ac:dyDescent="0.2">
      <c r="A30" s="11"/>
      <c r="B30" s="1" t="s">
        <v>40</v>
      </c>
      <c r="C30" s="1" t="s">
        <v>83</v>
      </c>
      <c r="D30" s="1" t="s">
        <v>105</v>
      </c>
      <c r="E30" s="1">
        <v>2.8</v>
      </c>
    </row>
    <row r="31" spans="1:5" x14ac:dyDescent="0.2">
      <c r="A31" s="11"/>
      <c r="B31" s="1" t="s">
        <v>41</v>
      </c>
      <c r="C31" s="1" t="s">
        <v>83</v>
      </c>
      <c r="D31" s="1" t="s">
        <v>105</v>
      </c>
      <c r="E31" s="1">
        <v>2.7</v>
      </c>
    </row>
    <row r="32" spans="1:5" x14ac:dyDescent="0.2">
      <c r="A32" s="11"/>
      <c r="B32" s="1" t="s">
        <v>42</v>
      </c>
      <c r="C32" s="1" t="s">
        <v>83</v>
      </c>
      <c r="D32" s="1" t="s">
        <v>105</v>
      </c>
      <c r="E32" s="1">
        <v>1</v>
      </c>
    </row>
    <row r="33" spans="1:5" x14ac:dyDescent="0.2">
      <c r="A33" s="11"/>
      <c r="B33" s="1" t="s">
        <v>43</v>
      </c>
      <c r="C33" s="1" t="s">
        <v>83</v>
      </c>
      <c r="D33" s="1" t="s">
        <v>105</v>
      </c>
      <c r="E33" s="1">
        <v>1.6</v>
      </c>
    </row>
    <row r="34" spans="1:5" x14ac:dyDescent="0.2">
      <c r="A34" s="11"/>
      <c r="B34" s="1" t="s">
        <v>44</v>
      </c>
      <c r="C34" s="1" t="s">
        <v>83</v>
      </c>
      <c r="D34" s="1" t="s">
        <v>105</v>
      </c>
      <c r="E34" s="1">
        <v>1.6</v>
      </c>
    </row>
    <row r="35" spans="1:5" x14ac:dyDescent="0.2">
      <c r="A35" s="11"/>
      <c r="B35" s="1" t="s">
        <v>45</v>
      </c>
      <c r="C35" s="1" t="s">
        <v>83</v>
      </c>
      <c r="D35" s="1" t="s">
        <v>105</v>
      </c>
      <c r="E35" s="1">
        <v>1</v>
      </c>
    </row>
    <row r="36" spans="1:5" x14ac:dyDescent="0.2">
      <c r="A36" s="11" t="s">
        <v>48</v>
      </c>
      <c r="B36" s="1" t="s">
        <v>50</v>
      </c>
      <c r="C36" s="1" t="s">
        <v>84</v>
      </c>
      <c r="D36" s="1" t="s">
        <v>105</v>
      </c>
      <c r="E36" s="1">
        <v>1.6</v>
      </c>
    </row>
    <row r="37" spans="1:5" x14ac:dyDescent="0.2">
      <c r="A37" s="11"/>
      <c r="B37" s="1" t="s">
        <v>51</v>
      </c>
      <c r="C37" s="1" t="s">
        <v>84</v>
      </c>
      <c r="D37" s="1" t="s">
        <v>105</v>
      </c>
      <c r="E37" s="1">
        <v>2.9</v>
      </c>
    </row>
    <row r="38" spans="1:5" x14ac:dyDescent="0.2">
      <c r="A38" s="11"/>
      <c r="B38" s="1" t="s">
        <v>52</v>
      </c>
      <c r="C38" s="1" t="s">
        <v>84</v>
      </c>
      <c r="D38" s="1" t="s">
        <v>105</v>
      </c>
      <c r="E38" s="1">
        <v>3</v>
      </c>
    </row>
    <row r="39" spans="1:5" x14ac:dyDescent="0.2">
      <c r="A39" s="11"/>
      <c r="B39" s="1" t="s">
        <v>53</v>
      </c>
      <c r="C39" s="1" t="s">
        <v>84</v>
      </c>
      <c r="D39" s="1" t="s">
        <v>105</v>
      </c>
      <c r="E39" s="1">
        <v>2.9</v>
      </c>
    </row>
    <row r="40" spans="1:5" x14ac:dyDescent="0.2">
      <c r="A40" s="11"/>
      <c r="B40" s="1" t="s">
        <v>54</v>
      </c>
      <c r="C40" s="1" t="s">
        <v>84</v>
      </c>
      <c r="D40" s="1" t="s">
        <v>105</v>
      </c>
      <c r="E40" s="1">
        <v>2.2999999999999998</v>
      </c>
    </row>
    <row r="41" spans="1:5" x14ac:dyDescent="0.2">
      <c r="A41" s="11"/>
      <c r="B41" s="1" t="s">
        <v>55</v>
      </c>
      <c r="C41" s="1" t="s">
        <v>84</v>
      </c>
      <c r="D41" s="1" t="s">
        <v>105</v>
      </c>
      <c r="E41" s="1">
        <v>2</v>
      </c>
    </row>
    <row r="42" spans="1:5" x14ac:dyDescent="0.2">
      <c r="A42" s="11"/>
      <c r="B42" s="1" t="s">
        <v>56</v>
      </c>
      <c r="C42" s="1" t="s">
        <v>84</v>
      </c>
      <c r="D42" s="1" t="s">
        <v>105</v>
      </c>
      <c r="E42" s="1">
        <v>1.3</v>
      </c>
    </row>
    <row r="43" spans="1:5" x14ac:dyDescent="0.2">
      <c r="A43" s="11"/>
      <c r="B43" s="1" t="s">
        <v>57</v>
      </c>
      <c r="C43" s="1" t="s">
        <v>84</v>
      </c>
      <c r="D43" s="1" t="s">
        <v>105</v>
      </c>
      <c r="E43" s="1">
        <v>1.6</v>
      </c>
    </row>
    <row r="44" spans="1:5" x14ac:dyDescent="0.2">
      <c r="A44" s="11"/>
      <c r="B44" s="1" t="s">
        <v>58</v>
      </c>
      <c r="C44" s="1" t="s">
        <v>84</v>
      </c>
      <c r="D44" s="1" t="s">
        <v>105</v>
      </c>
      <c r="E44" s="1">
        <v>1.6</v>
      </c>
    </row>
    <row r="45" spans="1:5" x14ac:dyDescent="0.2">
      <c r="A45" s="11" t="s">
        <v>46</v>
      </c>
      <c r="B45" s="1" t="s">
        <v>59</v>
      </c>
      <c r="C45" s="1" t="s">
        <v>85</v>
      </c>
      <c r="D45" s="1" t="s">
        <v>105</v>
      </c>
      <c r="E45" s="1">
        <v>2.85</v>
      </c>
    </row>
    <row r="46" spans="1:5" x14ac:dyDescent="0.2">
      <c r="A46" s="11"/>
      <c r="B46" s="1" t="s">
        <v>60</v>
      </c>
      <c r="C46" s="1" t="s">
        <v>84</v>
      </c>
      <c r="D46" s="1" t="s">
        <v>85</v>
      </c>
      <c r="E46" s="1">
        <v>1.6</v>
      </c>
    </row>
    <row r="47" spans="1:5" x14ac:dyDescent="0.2">
      <c r="A47" s="11"/>
      <c r="B47" s="1" t="s">
        <v>61</v>
      </c>
      <c r="C47" s="1" t="s">
        <v>85</v>
      </c>
      <c r="D47" s="1" t="s">
        <v>105</v>
      </c>
      <c r="E47" s="1">
        <v>2.85</v>
      </c>
    </row>
    <row r="48" spans="1:5" x14ac:dyDescent="0.2">
      <c r="A48" s="11"/>
      <c r="B48" s="1" t="s">
        <v>62</v>
      </c>
      <c r="C48" s="1" t="s">
        <v>85</v>
      </c>
      <c r="D48" s="1" t="s">
        <v>105</v>
      </c>
      <c r="E48" s="1">
        <v>2.85</v>
      </c>
    </row>
    <row r="49" spans="1:5" x14ac:dyDescent="0.2">
      <c r="A49" s="11"/>
      <c r="B49" s="1" t="s">
        <v>63</v>
      </c>
      <c r="C49" s="1" t="s">
        <v>85</v>
      </c>
      <c r="D49" s="1" t="s">
        <v>105</v>
      </c>
      <c r="E49" s="1">
        <v>2.85</v>
      </c>
    </row>
    <row r="50" spans="1:5" x14ac:dyDescent="0.2">
      <c r="A50" s="11"/>
      <c r="B50" s="1" t="s">
        <v>64</v>
      </c>
      <c r="C50" s="1" t="s">
        <v>85</v>
      </c>
      <c r="D50" s="1" t="s">
        <v>105</v>
      </c>
      <c r="E50" s="1">
        <v>2.85</v>
      </c>
    </row>
    <row r="51" spans="1:5" x14ac:dyDescent="0.2">
      <c r="A51" s="11" t="s">
        <v>47</v>
      </c>
      <c r="B51" s="1" t="s">
        <v>65</v>
      </c>
      <c r="C51" s="1" t="s">
        <v>84</v>
      </c>
      <c r="D51" s="1" t="s">
        <v>105</v>
      </c>
      <c r="E51" s="1">
        <v>1.9</v>
      </c>
    </row>
    <row r="52" spans="1:5" x14ac:dyDescent="0.2">
      <c r="A52" s="11"/>
      <c r="B52" s="1" t="s">
        <v>66</v>
      </c>
      <c r="C52" s="1" t="s">
        <v>84</v>
      </c>
      <c r="D52" s="1" t="s">
        <v>105</v>
      </c>
      <c r="E52" s="1">
        <v>1.6</v>
      </c>
    </row>
    <row r="53" spans="1:5" x14ac:dyDescent="0.2">
      <c r="A53" s="11"/>
      <c r="B53" s="1" t="s">
        <v>67</v>
      </c>
      <c r="C53" s="1" t="s">
        <v>84</v>
      </c>
      <c r="D53" s="1" t="s">
        <v>105</v>
      </c>
      <c r="E53" s="1">
        <v>1.6</v>
      </c>
    </row>
    <row r="54" spans="1:5" x14ac:dyDescent="0.2">
      <c r="A54" s="11"/>
      <c r="B54" s="1" t="s">
        <v>68</v>
      </c>
      <c r="C54" s="1" t="s">
        <v>84</v>
      </c>
      <c r="D54" s="1" t="s">
        <v>105</v>
      </c>
      <c r="E54" s="1">
        <v>1.3</v>
      </c>
    </row>
    <row r="55" spans="1:5" x14ac:dyDescent="0.2">
      <c r="A55" s="11"/>
      <c r="B55" s="1" t="s">
        <v>69</v>
      </c>
      <c r="C55" s="1" t="s">
        <v>83</v>
      </c>
      <c r="D55" s="1" t="s">
        <v>105</v>
      </c>
      <c r="E55" s="1">
        <v>1.5</v>
      </c>
    </row>
    <row r="56" spans="1:5" x14ac:dyDescent="0.2">
      <c r="A56" s="11"/>
      <c r="B56" s="1" t="s">
        <v>70</v>
      </c>
      <c r="C56" s="1" t="s">
        <v>84</v>
      </c>
      <c r="D56" s="1" t="s">
        <v>105</v>
      </c>
      <c r="E56" s="1">
        <v>1.6</v>
      </c>
    </row>
    <row r="57" spans="1:5" x14ac:dyDescent="0.2">
      <c r="A57" s="11"/>
      <c r="B57" s="1" t="s">
        <v>71</v>
      </c>
      <c r="C57" s="1" t="s">
        <v>84</v>
      </c>
      <c r="D57" s="1" t="s">
        <v>105</v>
      </c>
      <c r="E57" s="1">
        <v>1.6</v>
      </c>
    </row>
    <row r="58" spans="1:5" x14ac:dyDescent="0.2">
      <c r="A58" s="11" t="s">
        <v>49</v>
      </c>
      <c r="B58" s="1" t="s">
        <v>73</v>
      </c>
      <c r="C58" s="1" t="s">
        <v>83</v>
      </c>
      <c r="D58" s="1" t="s">
        <v>105</v>
      </c>
      <c r="E58" s="1">
        <v>3.5</v>
      </c>
    </row>
    <row r="59" spans="1:5" x14ac:dyDescent="0.2">
      <c r="A59" s="11"/>
      <c r="B59" s="1" t="s">
        <v>74</v>
      </c>
      <c r="C59" s="1" t="s">
        <v>83</v>
      </c>
      <c r="D59" s="1" t="s">
        <v>105</v>
      </c>
      <c r="E59" s="1">
        <v>1.2</v>
      </c>
    </row>
    <row r="60" spans="1:5" x14ac:dyDescent="0.2">
      <c r="A60" s="11"/>
      <c r="B60" s="1" t="s">
        <v>75</v>
      </c>
      <c r="C60" s="1" t="s">
        <v>83</v>
      </c>
      <c r="D60" s="1" t="s">
        <v>105</v>
      </c>
      <c r="E60" s="1">
        <v>0.93</v>
      </c>
    </row>
    <row r="61" spans="1:5" x14ac:dyDescent="0.2">
      <c r="A61" s="11"/>
      <c r="B61" s="1" t="s">
        <v>76</v>
      </c>
      <c r="C61" s="1" t="s">
        <v>83</v>
      </c>
      <c r="D61" s="1" t="s">
        <v>105</v>
      </c>
      <c r="E61" s="1">
        <v>1.3</v>
      </c>
    </row>
    <row r="62" spans="1:5" x14ac:dyDescent="0.2">
      <c r="A62" s="11"/>
      <c r="B62" s="1" t="s">
        <v>77</v>
      </c>
      <c r="C62" s="1" t="s">
        <v>83</v>
      </c>
      <c r="D62" s="1" t="s">
        <v>105</v>
      </c>
      <c r="E62" s="1">
        <v>1.2</v>
      </c>
    </row>
    <row r="63" spans="1:5" x14ac:dyDescent="0.2">
      <c r="A63" s="11"/>
      <c r="B63" s="1" t="s">
        <v>78</v>
      </c>
      <c r="C63" s="1" t="s">
        <v>83</v>
      </c>
      <c r="D63" s="1" t="s">
        <v>105</v>
      </c>
      <c r="E63" s="1">
        <v>1</v>
      </c>
    </row>
    <row r="64" spans="1:5" x14ac:dyDescent="0.2">
      <c r="A64" s="11"/>
      <c r="B64" s="1" t="s">
        <v>79</v>
      </c>
      <c r="C64" s="1" t="s">
        <v>83</v>
      </c>
      <c r="D64" s="1" t="s">
        <v>105</v>
      </c>
      <c r="E64" s="1">
        <v>1.8</v>
      </c>
    </row>
    <row r="65" spans="1:5" x14ac:dyDescent="0.2">
      <c r="A65" s="11"/>
      <c r="B65" s="1" t="s">
        <v>80</v>
      </c>
      <c r="C65" s="1" t="s">
        <v>83</v>
      </c>
      <c r="D65" s="1" t="s">
        <v>105</v>
      </c>
      <c r="E65" s="1">
        <v>0.85</v>
      </c>
    </row>
    <row r="66" spans="1:5" x14ac:dyDescent="0.2">
      <c r="A66" s="11"/>
      <c r="B66" s="1" t="s">
        <v>81</v>
      </c>
      <c r="C66" s="1" t="s">
        <v>83</v>
      </c>
      <c r="D66" s="1" t="s">
        <v>105</v>
      </c>
      <c r="E66" s="1">
        <v>1.5</v>
      </c>
    </row>
    <row r="67" spans="1:5" x14ac:dyDescent="0.2">
      <c r="A67" s="11"/>
      <c r="B67" s="1" t="s">
        <v>82</v>
      </c>
      <c r="C67" s="1" t="s">
        <v>83</v>
      </c>
      <c r="D67" s="1" t="s">
        <v>105</v>
      </c>
      <c r="E67" s="1">
        <v>1.5</v>
      </c>
    </row>
  </sheetData>
  <mergeCells count="8">
    <mergeCell ref="A58:A67"/>
    <mergeCell ref="A45:A50"/>
    <mergeCell ref="A51:A57"/>
    <mergeCell ref="A2:A6"/>
    <mergeCell ref="A7:A18"/>
    <mergeCell ref="A19:A26"/>
    <mergeCell ref="A27:A35"/>
    <mergeCell ref="A36:A4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2</vt:i4>
      </vt:variant>
    </vt:vector>
  </HeadingPairs>
  <TitlesOfParts>
    <vt:vector size="13" baseType="lpstr">
      <vt:lpstr>计算器</vt:lpstr>
      <vt:lpstr>敌人表</vt:lpstr>
      <vt:lpstr>干员表</vt:lpstr>
      <vt:lpstr>模组表</vt:lpstr>
      <vt:lpstr>触发天赋表</vt:lpstr>
      <vt:lpstr>加成天赋表</vt:lpstr>
      <vt:lpstr>技能表</vt:lpstr>
      <vt:lpstr>等级与精英</vt:lpstr>
      <vt:lpstr>技能一属性计算器</vt:lpstr>
      <vt:lpstr>等级属性计算器</vt:lpstr>
      <vt:lpstr>职业表</vt:lpstr>
      <vt:lpstr>敌人</vt:lpstr>
      <vt:lpstr>干员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seamoon</dc:creator>
  <cp:lastModifiedBy>Moon Zhao</cp:lastModifiedBy>
  <dcterms:created xsi:type="dcterms:W3CDTF">2015-06-05T18:19:34Z</dcterms:created>
  <dcterms:modified xsi:type="dcterms:W3CDTF">2025-03-20T08:08:41Z</dcterms:modified>
</cp:coreProperties>
</file>